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19200" windowHeight="6980" tabRatio="838"/>
  </bookViews>
  <sheets>
    <sheet name="MasterA1(current$)" sheetId="7" r:id="rId1"/>
    <sheet name="MasterA2(constant$)" sheetId="22" r:id="rId2"/>
    <sheet name="MasterA3(FTEs)" sheetId="8" r:id="rId3"/>
  </sheets>
  <definedNames>
    <definedName name="BodyA1" localSheetId="1">'MasterA2(constant$)'!#REF!</definedName>
    <definedName name="BodyA1">'MasterA1(current$)'!$A$3:$AR$222</definedName>
    <definedName name="bodya1short">#REF!</definedName>
    <definedName name="BodyA2" localSheetId="1">'MasterA2(constant$)'!$A$9:$AU$229</definedName>
    <definedName name="BodyA2">'MasterA1(current$)'!#REF!</definedName>
    <definedName name="documents__various_fiscal_years.">#REF!</definedName>
    <definedName name="_xlnm.Print_Area" localSheetId="0">'MasterA1(current$)'!$A$1:$BM$218</definedName>
    <definedName name="_xlnm.Print_Area" localSheetId="1">'MasterA2(constant$)'!$A$1:$BM$230</definedName>
    <definedName name="_xlnm.Print_Area" localSheetId="2">'MasterA3(FTEs)'!$A$1:$BK$236</definedName>
    <definedName name="_xlnm.Print_Titles" localSheetId="0">'MasterA1(current$)'!$A:$A,'MasterA1(current$)'!$1:$2</definedName>
    <definedName name="_xlnm.Print_Titles" localSheetId="1">'MasterA2(constant$)'!$A:$A,'MasterA2(constant$)'!$1:$8</definedName>
    <definedName name="_xlnm.Print_Titles" localSheetId="2">'MasterA3(FTEs)'!$A:$A,'MasterA3(FTEs)'!$2:$7</definedName>
    <definedName name="SideA1" localSheetId="1">'MasterA2(constant$)'!#REF!</definedName>
    <definedName name="SideA1">'MasterA1(current$)'!$A$1:$A$227</definedName>
    <definedName name="SIDEA2" localSheetId="2">#REF!</definedName>
    <definedName name="Table_A_1">#REF!</definedName>
    <definedName name="Table_A_2">#REF!</definedName>
    <definedName name="TopA1" localSheetId="1">'MasterA2(constant$)'!#REF!</definedName>
    <definedName name="TopA1">'MasterA1(current$)'!$A$1:$AR$2</definedName>
    <definedName name="topa1short" localSheetId="1">'MasterA2(constant$)'!#REF!</definedName>
    <definedName name="topa1short">'MasterA1(current$)'!$A$1:$AR$2</definedName>
    <definedName name="TopA2" localSheetId="1">'MasterA2(constant$)'!$A$1:$AU$8</definedName>
    <definedName name="TopA2">'MasterA1(current$)'!#REF!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55" i="8" l="1"/>
  <c r="BM156" i="8"/>
  <c r="BL155" i="8"/>
  <c r="BL156" i="8"/>
  <c r="BM124" i="8"/>
  <c r="BL124" i="8"/>
  <c r="BM126" i="8"/>
  <c r="BL126" i="8"/>
  <c r="BH171" i="22"/>
  <c r="BF171" i="22"/>
  <c r="BG171" i="22"/>
  <c r="BI171" i="22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BE155" i="22"/>
  <c r="BI117" i="7"/>
  <c r="BH117" i="7"/>
  <c r="BM34" i="22"/>
  <c r="BL34" i="22"/>
  <c r="BM215" i="7"/>
  <c r="BM213" i="7"/>
  <c r="BM210" i="7"/>
  <c r="BM208" i="7"/>
  <c r="BM206" i="7"/>
  <c r="BM204" i="7"/>
  <c r="BM201" i="7"/>
  <c r="BM198" i="7"/>
  <c r="BM194" i="7"/>
  <c r="BM193" i="7"/>
  <c r="BM192" i="7"/>
  <c r="BM178" i="7"/>
  <c r="BM176" i="7"/>
  <c r="BM174" i="7"/>
  <c r="BM162" i="7"/>
  <c r="BM159" i="7"/>
  <c r="BM153" i="7"/>
  <c r="BM150" i="7"/>
  <c r="BM149" i="7"/>
  <c r="BM146" i="7"/>
  <c r="BM142" i="7"/>
  <c r="BM140" i="7"/>
  <c r="BM138" i="7"/>
  <c r="BM136" i="7"/>
  <c r="BM132" i="7"/>
  <c r="BM131" i="7"/>
  <c r="BM121" i="7"/>
  <c r="BM119" i="7"/>
  <c r="BM117" i="7"/>
  <c r="BM116" i="7"/>
  <c r="BM114" i="7"/>
  <c r="BM110" i="7"/>
  <c r="BM109" i="7"/>
  <c r="BM108" i="7"/>
  <c r="BM107" i="7"/>
  <c r="BM106" i="7"/>
  <c r="BM105" i="7"/>
  <c r="BM102" i="7"/>
  <c r="BM99" i="7"/>
  <c r="BM96" i="7"/>
  <c r="BM90" i="7"/>
  <c r="BM88" i="7"/>
  <c r="BM86" i="7"/>
  <c r="BM84" i="7"/>
  <c r="BM82" i="7"/>
  <c r="BM78" i="7"/>
  <c r="BM77" i="7"/>
  <c r="BM76" i="7"/>
  <c r="BM74" i="7"/>
  <c r="BM73" i="7"/>
  <c r="BM66" i="7"/>
  <c r="BM64" i="7"/>
  <c r="BM61" i="7"/>
  <c r="BM60" i="7"/>
  <c r="BM59" i="7"/>
  <c r="BM58" i="7"/>
  <c r="BM56" i="7"/>
  <c r="BM49" i="7"/>
  <c r="BM48" i="7"/>
  <c r="BM39" i="7"/>
  <c r="BM37" i="7"/>
  <c r="BM35" i="7"/>
  <c r="BM33" i="7"/>
  <c r="BM27" i="7"/>
  <c r="BM22" i="7"/>
  <c r="BM21" i="7"/>
  <c r="BM18" i="7"/>
  <c r="BM13" i="7"/>
  <c r="BM12" i="7"/>
  <c r="BM11" i="7"/>
  <c r="BM7" i="7"/>
  <c r="BM165" i="7"/>
  <c r="BL215" i="7"/>
  <c r="BL213" i="7"/>
  <c r="BL210" i="7"/>
  <c r="BL208" i="7"/>
  <c r="BL206" i="7"/>
  <c r="BL204" i="7"/>
  <c r="BL201" i="7"/>
  <c r="BL198" i="7"/>
  <c r="BL194" i="7"/>
  <c r="BL193" i="7"/>
  <c r="BL192" i="7"/>
  <c r="BL178" i="7"/>
  <c r="BL176" i="7"/>
  <c r="BL174" i="7"/>
  <c r="BL162" i="7"/>
  <c r="BL159" i="7"/>
  <c r="BL153" i="7"/>
  <c r="BL150" i="7"/>
  <c r="BL146" i="7"/>
  <c r="BL142" i="7"/>
  <c r="BL140" i="7"/>
  <c r="BL138" i="7"/>
  <c r="BL136" i="7"/>
  <c r="BL132" i="7"/>
  <c r="BL131" i="7"/>
  <c r="BL121" i="7"/>
  <c r="BL119" i="7"/>
  <c r="BL116" i="7"/>
  <c r="BL114" i="7"/>
  <c r="BL110" i="7"/>
  <c r="BL109" i="7"/>
  <c r="BL108" i="7"/>
  <c r="BL107" i="7"/>
  <c r="BL106" i="7"/>
  <c r="BL105" i="7"/>
  <c r="BL102" i="7"/>
  <c r="BL99" i="7"/>
  <c r="BL96" i="7"/>
  <c r="BL90" i="7"/>
  <c r="BL88" i="7"/>
  <c r="BL86" i="7"/>
  <c r="BL84" i="7"/>
  <c r="BL82" i="7"/>
  <c r="BL78" i="7"/>
  <c r="BL77" i="7"/>
  <c r="BL76" i="7"/>
  <c r="BL74" i="7"/>
  <c r="BL73" i="7"/>
  <c r="BL66" i="7"/>
  <c r="BL64" i="7"/>
  <c r="BL61" i="7"/>
  <c r="BL60" i="7"/>
  <c r="BL59" i="7"/>
  <c r="BL58" i="7"/>
  <c r="BL56" i="7"/>
  <c r="BL49" i="7"/>
  <c r="BL48" i="7"/>
  <c r="BL39" i="7"/>
  <c r="BL37" i="7"/>
  <c r="BL35" i="7"/>
  <c r="BL33" i="7"/>
  <c r="BL29" i="7"/>
  <c r="BL27" i="7"/>
  <c r="BL22" i="7"/>
  <c r="BL21" i="7"/>
  <c r="BL18" i="7"/>
  <c r="BL13" i="7"/>
  <c r="BL12" i="7"/>
  <c r="BL11" i="7"/>
  <c r="BL7" i="7"/>
  <c r="BL165" i="7"/>
  <c r="BL149" i="7"/>
  <c r="BH170" i="7"/>
  <c r="BK165" i="7"/>
  <c r="BI168" i="8"/>
  <c r="BH168" i="8"/>
  <c r="BG168" i="8"/>
  <c r="BI219" i="8"/>
  <c r="BH219" i="8"/>
  <c r="BG219" i="8"/>
  <c r="BL170" i="7"/>
  <c r="BM170" i="7"/>
  <c r="BI112" i="8"/>
  <c r="BH112" i="8"/>
  <c r="BG112" i="8"/>
  <c r="BI107" i="8"/>
  <c r="BH107" i="8"/>
  <c r="BG107" i="8"/>
  <c r="BI104" i="8"/>
  <c r="BG104" i="8"/>
  <c r="BH104" i="8"/>
  <c r="BI50" i="7"/>
  <c r="BH50" i="7"/>
  <c r="BG50" i="7"/>
  <c r="BI52" i="8"/>
  <c r="BH52" i="8"/>
  <c r="BG52" i="8"/>
  <c r="BI47" i="7"/>
  <c r="BH47" i="7"/>
  <c r="BG47" i="7"/>
  <c r="BL47" i="7"/>
  <c r="BI51" i="8"/>
  <c r="BH51" i="8"/>
  <c r="BG51" i="8"/>
  <c r="BI46" i="7"/>
  <c r="BH46" i="7"/>
  <c r="BG46" i="7"/>
  <c r="BI34" i="8"/>
  <c r="BH34" i="8"/>
  <c r="BG34" i="8"/>
  <c r="BI29" i="7"/>
  <c r="BI14" i="7"/>
  <c r="BH14" i="7"/>
  <c r="BG14" i="7"/>
  <c r="BL46" i="7"/>
  <c r="BL50" i="7"/>
  <c r="BM14" i="7"/>
  <c r="BM29" i="7"/>
  <c r="BM47" i="7"/>
  <c r="BL14" i="7"/>
  <c r="BM46" i="7"/>
  <c r="BM50" i="7"/>
  <c r="BM221" i="8"/>
  <c r="BL221" i="8"/>
  <c r="BM219" i="8"/>
  <c r="BL219" i="8"/>
  <c r="BM216" i="8"/>
  <c r="BL216" i="8"/>
  <c r="BM214" i="8"/>
  <c r="BL214" i="8"/>
  <c r="BM212" i="8"/>
  <c r="BL212" i="8"/>
  <c r="BM210" i="8"/>
  <c r="BL210" i="8"/>
  <c r="BM207" i="8"/>
  <c r="BL207" i="8"/>
  <c r="BM204" i="8"/>
  <c r="BL204" i="8"/>
  <c r="BM200" i="8"/>
  <c r="BL200" i="8"/>
  <c r="BM199" i="8"/>
  <c r="BL199" i="8"/>
  <c r="BM198" i="8"/>
  <c r="BL198" i="8"/>
  <c r="BM184" i="8"/>
  <c r="BL184" i="8"/>
  <c r="BM182" i="8"/>
  <c r="BL182" i="8"/>
  <c r="BM180" i="8"/>
  <c r="BL180" i="8"/>
  <c r="BM176" i="8"/>
  <c r="BL176" i="8"/>
  <c r="BM171" i="8"/>
  <c r="BL171" i="8"/>
  <c r="BM168" i="8"/>
  <c r="BL168" i="8"/>
  <c r="BM165" i="8"/>
  <c r="BL165" i="8"/>
  <c r="BM159" i="8"/>
  <c r="BL159" i="8"/>
  <c r="BM152" i="8"/>
  <c r="BL152" i="8"/>
  <c r="BM148" i="8"/>
  <c r="BL148" i="8"/>
  <c r="BM146" i="8"/>
  <c r="BL146" i="8"/>
  <c r="BM144" i="8"/>
  <c r="BL144" i="8"/>
  <c r="BM142" i="8"/>
  <c r="BL142" i="8"/>
  <c r="BM138" i="8"/>
  <c r="BL138" i="8"/>
  <c r="BM137" i="8"/>
  <c r="BL137" i="8"/>
  <c r="BM121" i="8"/>
  <c r="BL121" i="8"/>
  <c r="BM119" i="8"/>
  <c r="BL119" i="8"/>
  <c r="BM115" i="8"/>
  <c r="BL115" i="8"/>
  <c r="BM114" i="8"/>
  <c r="BL114" i="8"/>
  <c r="BM113" i="8"/>
  <c r="BL113" i="8"/>
  <c r="BM112" i="8"/>
  <c r="BL112" i="8"/>
  <c r="BM111" i="8"/>
  <c r="BL111" i="8"/>
  <c r="BM110" i="8"/>
  <c r="BL110" i="8"/>
  <c r="BM107" i="8"/>
  <c r="BL107" i="8"/>
  <c r="BM104" i="8"/>
  <c r="BL104" i="8"/>
  <c r="BM101" i="8"/>
  <c r="BL101" i="8"/>
  <c r="BM95" i="8"/>
  <c r="BL95" i="8"/>
  <c r="BM93" i="8"/>
  <c r="BL93" i="8"/>
  <c r="BM91" i="8"/>
  <c r="BL91" i="8"/>
  <c r="BM89" i="8"/>
  <c r="BL89" i="8"/>
  <c r="BM87" i="8"/>
  <c r="BL87" i="8"/>
  <c r="BM83" i="8"/>
  <c r="BL83" i="8"/>
  <c r="BM82" i="8"/>
  <c r="BL82" i="8"/>
  <c r="BM81" i="8"/>
  <c r="BL81" i="8"/>
  <c r="BM79" i="8"/>
  <c r="BL79" i="8"/>
  <c r="BM78" i="8"/>
  <c r="BL78" i="8"/>
  <c r="BM71" i="8"/>
  <c r="BL71" i="8"/>
  <c r="BM69" i="8"/>
  <c r="BL69" i="8"/>
  <c r="BM66" i="8"/>
  <c r="BL66" i="8"/>
  <c r="BM65" i="8"/>
  <c r="BL65" i="8"/>
  <c r="BM64" i="8"/>
  <c r="BL64" i="8"/>
  <c r="BM63" i="8"/>
  <c r="BL63" i="8"/>
  <c r="BM61" i="8"/>
  <c r="BL61" i="8"/>
  <c r="BM55" i="8"/>
  <c r="BL55" i="8"/>
  <c r="BM54" i="8"/>
  <c r="BL54" i="8"/>
  <c r="BM53" i="8"/>
  <c r="BL53" i="8"/>
  <c r="BM52" i="8"/>
  <c r="BL52" i="8"/>
  <c r="BM51" i="8"/>
  <c r="BL51" i="8"/>
  <c r="BM44" i="8"/>
  <c r="BL44" i="8"/>
  <c r="BM42" i="8"/>
  <c r="BL42" i="8"/>
  <c r="BM41" i="8"/>
  <c r="BL41" i="8"/>
  <c r="BM40" i="8"/>
  <c r="BL40" i="8"/>
  <c r="BM39" i="8"/>
  <c r="BL39" i="8"/>
  <c r="BM38" i="8"/>
  <c r="BL38" i="8"/>
  <c r="BM34" i="8"/>
  <c r="BL34" i="8"/>
  <c r="BM33" i="8"/>
  <c r="BL33" i="8"/>
  <c r="BM32" i="8"/>
  <c r="BL32" i="8"/>
  <c r="BM19" i="8"/>
  <c r="BL19" i="8"/>
  <c r="BM18" i="8"/>
  <c r="BL18" i="8"/>
  <c r="BM17" i="8"/>
  <c r="BL17" i="8"/>
  <c r="BM16" i="8"/>
  <c r="BL16" i="8"/>
  <c r="BM12" i="8"/>
  <c r="BL12" i="8"/>
  <c r="BI221" i="22"/>
  <c r="BI219" i="22"/>
  <c r="BI216" i="22"/>
  <c r="BI214" i="22"/>
  <c r="BI212" i="22"/>
  <c r="BI210" i="22"/>
  <c r="BI207" i="22"/>
  <c r="BI204" i="22"/>
  <c r="BI200" i="22"/>
  <c r="BI199" i="22"/>
  <c r="BI198" i="22"/>
  <c r="BI184" i="22"/>
  <c r="BI182" i="22"/>
  <c r="BI180" i="22"/>
  <c r="BI176" i="22"/>
  <c r="BI168" i="22"/>
  <c r="BI165" i="22"/>
  <c r="BI159" i="22"/>
  <c r="BI156" i="22"/>
  <c r="BI155" i="22"/>
  <c r="BI152" i="22"/>
  <c r="BI148" i="22"/>
  <c r="BI146" i="22"/>
  <c r="BI144" i="22"/>
  <c r="BI142" i="22"/>
  <c r="BI138" i="22"/>
  <c r="BI137" i="22"/>
  <c r="BI126" i="22"/>
  <c r="BI124" i="22"/>
  <c r="BI121" i="22"/>
  <c r="BI119" i="22"/>
  <c r="BI115" i="22"/>
  <c r="BI114" i="22"/>
  <c r="BI113" i="22"/>
  <c r="BI112" i="22"/>
  <c r="BI111" i="22"/>
  <c r="BI110" i="22"/>
  <c r="BI107" i="22"/>
  <c r="BI104" i="22"/>
  <c r="BI101" i="22"/>
  <c r="BI96" i="22"/>
  <c r="BI94" i="22"/>
  <c r="BI92" i="22"/>
  <c r="BI90" i="22"/>
  <c r="BI88" i="22"/>
  <c r="BI84" i="22"/>
  <c r="BI83" i="22"/>
  <c r="BI82" i="22"/>
  <c r="BI80" i="22"/>
  <c r="BI79" i="22"/>
  <c r="BI72" i="22"/>
  <c r="BI70" i="22"/>
  <c r="BI67" i="22"/>
  <c r="BI66" i="22"/>
  <c r="BI65" i="22"/>
  <c r="BI64" i="22"/>
  <c r="BI62" i="22"/>
  <c r="BI56" i="22"/>
  <c r="BI55" i="22"/>
  <c r="BI54" i="22"/>
  <c r="BI53" i="22"/>
  <c r="BI52" i="22"/>
  <c r="BI45" i="22"/>
  <c r="BI43" i="22"/>
  <c r="BI41" i="22"/>
  <c r="BI39" i="22"/>
  <c r="BI35" i="22"/>
  <c r="BI33" i="22"/>
  <c r="BI28" i="22"/>
  <c r="BI27" i="22"/>
  <c r="BI24" i="22"/>
  <c r="BI20" i="22"/>
  <c r="BI19" i="22"/>
  <c r="BI18" i="22"/>
  <c r="BI17" i="22"/>
  <c r="BI13" i="22"/>
  <c r="BH221" i="22"/>
  <c r="BH219" i="22"/>
  <c r="BH216" i="22"/>
  <c r="BH214" i="22"/>
  <c r="BH212" i="22"/>
  <c r="BH210" i="22"/>
  <c r="BH207" i="22"/>
  <c r="BH204" i="22"/>
  <c r="BH200" i="22"/>
  <c r="BH199" i="22"/>
  <c r="BH198" i="22"/>
  <c r="BH184" i="22"/>
  <c r="BH182" i="22"/>
  <c r="BH180" i="22"/>
  <c r="BH176" i="22"/>
  <c r="BH168" i="22"/>
  <c r="BH165" i="22"/>
  <c r="BH159" i="22"/>
  <c r="BH156" i="22"/>
  <c r="BH155" i="22"/>
  <c r="BH152" i="22"/>
  <c r="BH148" i="22"/>
  <c r="BH146" i="22"/>
  <c r="BH144" i="22"/>
  <c r="BH142" i="22"/>
  <c r="BH138" i="22"/>
  <c r="BH137" i="22"/>
  <c r="BH126" i="22"/>
  <c r="BH124" i="22"/>
  <c r="BH121" i="22"/>
  <c r="BH119" i="22"/>
  <c r="BH115" i="22"/>
  <c r="BH114" i="22"/>
  <c r="BH113" i="22"/>
  <c r="BH112" i="22"/>
  <c r="BH111" i="22"/>
  <c r="BH110" i="22"/>
  <c r="BH107" i="22"/>
  <c r="BH104" i="22"/>
  <c r="BH101" i="22"/>
  <c r="BH96" i="22"/>
  <c r="BH94" i="22"/>
  <c r="BH92" i="22"/>
  <c r="BH90" i="22"/>
  <c r="BH88" i="22"/>
  <c r="BH84" i="22"/>
  <c r="BH83" i="22"/>
  <c r="BH82" i="22"/>
  <c r="BH80" i="22"/>
  <c r="BH79" i="22"/>
  <c r="BH72" i="22"/>
  <c r="BH70" i="22"/>
  <c r="BH67" i="22"/>
  <c r="BH66" i="22"/>
  <c r="BH65" i="22"/>
  <c r="BH64" i="22"/>
  <c r="BH62" i="22"/>
  <c r="BH56" i="22"/>
  <c r="BH55" i="22"/>
  <c r="BH54" i="22"/>
  <c r="BH53" i="22"/>
  <c r="BH52" i="22"/>
  <c r="BH45" i="22"/>
  <c r="BH43" i="22"/>
  <c r="BH41" i="22"/>
  <c r="BH39" i="22"/>
  <c r="BH35" i="22"/>
  <c r="BH33" i="22"/>
  <c r="BH28" i="22"/>
  <c r="BH27" i="22"/>
  <c r="BH24" i="22"/>
  <c r="BH20" i="22"/>
  <c r="BH19" i="22"/>
  <c r="BH18" i="22"/>
  <c r="BH17" i="22"/>
  <c r="BH13" i="22"/>
  <c r="BG13" i="22"/>
  <c r="BL13" i="22"/>
  <c r="BG221" i="22"/>
  <c r="BG219" i="22"/>
  <c r="BG216" i="22"/>
  <c r="BG214" i="22"/>
  <c r="BG212" i="22"/>
  <c r="BG210" i="22"/>
  <c r="BG207" i="22"/>
  <c r="BG204" i="22"/>
  <c r="BG200" i="22"/>
  <c r="BG199" i="22"/>
  <c r="BG198" i="22"/>
  <c r="BG184" i="22"/>
  <c r="BG182" i="22"/>
  <c r="BG180" i="22"/>
  <c r="BG176" i="22"/>
  <c r="BG168" i="22"/>
  <c r="BJ168" i="22"/>
  <c r="BG165" i="22"/>
  <c r="BG159" i="22"/>
  <c r="BG156" i="22"/>
  <c r="BG155" i="22"/>
  <c r="BG152" i="22"/>
  <c r="BG148" i="22"/>
  <c r="BG146" i="22"/>
  <c r="BG144" i="22"/>
  <c r="BJ144" i="22"/>
  <c r="BG142" i="22"/>
  <c r="BG138" i="22"/>
  <c r="BG137" i="22"/>
  <c r="BG126" i="22"/>
  <c r="BG124" i="22"/>
  <c r="BG121" i="22"/>
  <c r="BG119" i="22"/>
  <c r="BG115" i="22"/>
  <c r="BG114" i="22"/>
  <c r="BG113" i="22"/>
  <c r="BG112" i="22"/>
  <c r="BG111" i="22"/>
  <c r="BG110" i="22"/>
  <c r="BG107" i="22"/>
  <c r="BJ107" i="22"/>
  <c r="BG104" i="22"/>
  <c r="BG101" i="22"/>
  <c r="BG96" i="22"/>
  <c r="BJ96" i="22"/>
  <c r="BG94" i="22"/>
  <c r="BG92" i="22"/>
  <c r="BG90" i="22"/>
  <c r="BG88" i="22"/>
  <c r="BG84" i="22"/>
  <c r="BG83" i="22"/>
  <c r="BG82" i="22"/>
  <c r="BG80" i="22"/>
  <c r="BG79" i="22"/>
  <c r="BG72" i="22"/>
  <c r="BG70" i="22"/>
  <c r="BG67" i="22"/>
  <c r="BG66" i="22"/>
  <c r="BG65" i="22"/>
  <c r="BG64" i="22"/>
  <c r="BG62" i="22"/>
  <c r="BG55" i="22"/>
  <c r="BG54" i="22"/>
  <c r="BG53" i="22"/>
  <c r="BG52" i="22"/>
  <c r="BG45" i="22"/>
  <c r="BG43" i="22"/>
  <c r="BG41" i="22"/>
  <c r="BJ41" i="22"/>
  <c r="BG39" i="22"/>
  <c r="BG35" i="22"/>
  <c r="BG33" i="22"/>
  <c r="BG28" i="22"/>
  <c r="BG27" i="22"/>
  <c r="BG24" i="22"/>
  <c r="BG20" i="22"/>
  <c r="BG19" i="22"/>
  <c r="BG18" i="22"/>
  <c r="BG17" i="22"/>
  <c r="BF221" i="22"/>
  <c r="BF219" i="22"/>
  <c r="BF216" i="22"/>
  <c r="BF214" i="22"/>
  <c r="BF212" i="22"/>
  <c r="BF210" i="22"/>
  <c r="BF207" i="22"/>
  <c r="BF204" i="22"/>
  <c r="BF200" i="22"/>
  <c r="BF199" i="22"/>
  <c r="BF198" i="22"/>
  <c r="BF184" i="22"/>
  <c r="BF182" i="22"/>
  <c r="BF180" i="22"/>
  <c r="BF176" i="22"/>
  <c r="BF168" i="22"/>
  <c r="BF165" i="22"/>
  <c r="BF159" i="22"/>
  <c r="BF156" i="22"/>
  <c r="BF155" i="22"/>
  <c r="BF152" i="22"/>
  <c r="BF148" i="22"/>
  <c r="BF146" i="22"/>
  <c r="BF144" i="22"/>
  <c r="BF142" i="22"/>
  <c r="BF138" i="22"/>
  <c r="BF137" i="22"/>
  <c r="BF126" i="22"/>
  <c r="BF124" i="22"/>
  <c r="BF121" i="22"/>
  <c r="BF119" i="22"/>
  <c r="BF115" i="22"/>
  <c r="BF114" i="22"/>
  <c r="BF113" i="22"/>
  <c r="BF112" i="22"/>
  <c r="BF111" i="22"/>
  <c r="BF110" i="22"/>
  <c r="BF107" i="22"/>
  <c r="BF104" i="22"/>
  <c r="BF101" i="22"/>
  <c r="BF96" i="22"/>
  <c r="BF94" i="22"/>
  <c r="BF92" i="22"/>
  <c r="BF90" i="22"/>
  <c r="BF88" i="22"/>
  <c r="BF84" i="22"/>
  <c r="BF83" i="22"/>
  <c r="BF82" i="22"/>
  <c r="BF80" i="22"/>
  <c r="BF79" i="22"/>
  <c r="BF72" i="22"/>
  <c r="BF70" i="22"/>
  <c r="BF67" i="22"/>
  <c r="BF66" i="22"/>
  <c r="BF65" i="22"/>
  <c r="BF64" i="22"/>
  <c r="BF62" i="22"/>
  <c r="BF55" i="22"/>
  <c r="BF54" i="22"/>
  <c r="BF45" i="22"/>
  <c r="BF43" i="22"/>
  <c r="BF41" i="22"/>
  <c r="BF39" i="22"/>
  <c r="BF35" i="22"/>
  <c r="BF33" i="22"/>
  <c r="BF28" i="22"/>
  <c r="BF27" i="22"/>
  <c r="BF24" i="22"/>
  <c r="BF20" i="22"/>
  <c r="BF19" i="22"/>
  <c r="BF18" i="22"/>
  <c r="BF17" i="22"/>
  <c r="BF13" i="22"/>
  <c r="BD221" i="22"/>
  <c r="BD219" i="22"/>
  <c r="BD216" i="22"/>
  <c r="BD214" i="22"/>
  <c r="BD212" i="22"/>
  <c r="BD210" i="22"/>
  <c r="BD207" i="22"/>
  <c r="BD204" i="22"/>
  <c r="BD200" i="22"/>
  <c r="BD199" i="22"/>
  <c r="BD198" i="22"/>
  <c r="BD184" i="22"/>
  <c r="BD182" i="22"/>
  <c r="BD180" i="22"/>
  <c r="BD176" i="22"/>
  <c r="BD171" i="22"/>
  <c r="BD168" i="22"/>
  <c r="BD165" i="22"/>
  <c r="BD159" i="22"/>
  <c r="BD156" i="22"/>
  <c r="BD155" i="22"/>
  <c r="BD152" i="22"/>
  <c r="BD146" i="22"/>
  <c r="BD144" i="22"/>
  <c r="BD142" i="22"/>
  <c r="BD138" i="22"/>
  <c r="BD137" i="22"/>
  <c r="BD126" i="22"/>
  <c r="BD124" i="22"/>
  <c r="BD121" i="22"/>
  <c r="BD120" i="22"/>
  <c r="BD119" i="22"/>
  <c r="BD115" i="22"/>
  <c r="BD114" i="22"/>
  <c r="BD113" i="22"/>
  <c r="BD112" i="22"/>
  <c r="BD111" i="22"/>
  <c r="BD110" i="22"/>
  <c r="BD107" i="22"/>
  <c r="BD104" i="22"/>
  <c r="BD101" i="22"/>
  <c r="BD96" i="22"/>
  <c r="BD94" i="22"/>
  <c r="BD92" i="22"/>
  <c r="BD90" i="22"/>
  <c r="BD88" i="22"/>
  <c r="BD84" i="22"/>
  <c r="BD83" i="22"/>
  <c r="BD82" i="22"/>
  <c r="BD80" i="22"/>
  <c r="BD72" i="22"/>
  <c r="BD70" i="22"/>
  <c r="BD67" i="22"/>
  <c r="BD66" i="22"/>
  <c r="BD65" i="22"/>
  <c r="BD64" i="22"/>
  <c r="BD62" i="22"/>
  <c r="BD55" i="22"/>
  <c r="BD54" i="22"/>
  <c r="BD45" i="22"/>
  <c r="BD43" i="22"/>
  <c r="BD41" i="22"/>
  <c r="BD39" i="22"/>
  <c r="BD35" i="22"/>
  <c r="BD33" i="22"/>
  <c r="BD28" i="22"/>
  <c r="BD27" i="22"/>
  <c r="BD24" i="22"/>
  <c r="BD20" i="22"/>
  <c r="BD19" i="22"/>
  <c r="BD18" i="22"/>
  <c r="BD17" i="22"/>
  <c r="BD13" i="22"/>
  <c r="BE221" i="22"/>
  <c r="BE219" i="22"/>
  <c r="BE216" i="22"/>
  <c r="BE214" i="22"/>
  <c r="BE212" i="22"/>
  <c r="BE210" i="22"/>
  <c r="BE204" i="22"/>
  <c r="BE200" i="22"/>
  <c r="BE199" i="22"/>
  <c r="BE198" i="22"/>
  <c r="BE184" i="22"/>
  <c r="BE182" i="22"/>
  <c r="BE180" i="22"/>
  <c r="BE176" i="22"/>
  <c r="BE171" i="22"/>
  <c r="BE168" i="22"/>
  <c r="BE165" i="22"/>
  <c r="BE159" i="22"/>
  <c r="BE156" i="22"/>
  <c r="BE152" i="22"/>
  <c r="BE148" i="22"/>
  <c r="BE146" i="22"/>
  <c r="BE144" i="22"/>
  <c r="BE142" i="22"/>
  <c r="BE138" i="22"/>
  <c r="BE137" i="22"/>
  <c r="BE126" i="22"/>
  <c r="BE124" i="22"/>
  <c r="BE121" i="22"/>
  <c r="BE120" i="22"/>
  <c r="BE119" i="22"/>
  <c r="BE115" i="22"/>
  <c r="BE114" i="22"/>
  <c r="BE113" i="22"/>
  <c r="BE112" i="22"/>
  <c r="BE111" i="22"/>
  <c r="BE110" i="22"/>
  <c r="BE107" i="22"/>
  <c r="BE104" i="22"/>
  <c r="BE101" i="22"/>
  <c r="BE96" i="22"/>
  <c r="BE94" i="22"/>
  <c r="BE92" i="22"/>
  <c r="BE90" i="22"/>
  <c r="BE88" i="22"/>
  <c r="BE84" i="22"/>
  <c r="BE83" i="22"/>
  <c r="BE82" i="22"/>
  <c r="BE80" i="22"/>
  <c r="BE72" i="22"/>
  <c r="BE70" i="22"/>
  <c r="BE67" i="22"/>
  <c r="BE66" i="22"/>
  <c r="BE65" i="22"/>
  <c r="BE64" i="22"/>
  <c r="BE62" i="22"/>
  <c r="BE55" i="22"/>
  <c r="BE54" i="22"/>
  <c r="BE45" i="22"/>
  <c r="BE43" i="22"/>
  <c r="BE41" i="22"/>
  <c r="BE39" i="22"/>
  <c r="BE33" i="22"/>
  <c r="BE28" i="22"/>
  <c r="BE27" i="22"/>
  <c r="BE24" i="22"/>
  <c r="BE20" i="22"/>
  <c r="BE19" i="22"/>
  <c r="BE18" i="22"/>
  <c r="BE17" i="22"/>
  <c r="BE13" i="22"/>
  <c r="BI201" i="8"/>
  <c r="BI173" i="8"/>
  <c r="BI157" i="8"/>
  <c r="BI140" i="8"/>
  <c r="BI122" i="8"/>
  <c r="BI116" i="8"/>
  <c r="BI84" i="8"/>
  <c r="BI67" i="8"/>
  <c r="BI56" i="8"/>
  <c r="BI35" i="8"/>
  <c r="BH35" i="8"/>
  <c r="BI20" i="8"/>
  <c r="BK221" i="8"/>
  <c r="BK219" i="8"/>
  <c r="BK216" i="8"/>
  <c r="BK214" i="8"/>
  <c r="BK212" i="8"/>
  <c r="BK210" i="8"/>
  <c r="BK207" i="8"/>
  <c r="BK204" i="8"/>
  <c r="BK200" i="8"/>
  <c r="BK199" i="8"/>
  <c r="BK198" i="8"/>
  <c r="BK184" i="8"/>
  <c r="BK182" i="8"/>
  <c r="BK180" i="8"/>
  <c r="BK176" i="8"/>
  <c r="BK171" i="8"/>
  <c r="BK168" i="8"/>
  <c r="BK165" i="8"/>
  <c r="BK159" i="8"/>
  <c r="BK156" i="8"/>
  <c r="BK155" i="8"/>
  <c r="BK152" i="8"/>
  <c r="BK148" i="8"/>
  <c r="BK146" i="8"/>
  <c r="BK144" i="8"/>
  <c r="BK142" i="8"/>
  <c r="BK138" i="8"/>
  <c r="BK137" i="8"/>
  <c r="BK126" i="8"/>
  <c r="BK124" i="8"/>
  <c r="BK121" i="8"/>
  <c r="BK119" i="8"/>
  <c r="BK115" i="8"/>
  <c r="BK114" i="8"/>
  <c r="BK113" i="8"/>
  <c r="BK112" i="8"/>
  <c r="BK111" i="8"/>
  <c r="BK110" i="8"/>
  <c r="BK107" i="8"/>
  <c r="BK104" i="8"/>
  <c r="BK101" i="8"/>
  <c r="BK95" i="8"/>
  <c r="BK93" i="8"/>
  <c r="BK91" i="8"/>
  <c r="BK89" i="8"/>
  <c r="BK87" i="8"/>
  <c r="BK83" i="8"/>
  <c r="BK82" i="8"/>
  <c r="BK81" i="8"/>
  <c r="BK79" i="8"/>
  <c r="BK78" i="8"/>
  <c r="BK71" i="8"/>
  <c r="BK69" i="8"/>
  <c r="BK66" i="8"/>
  <c r="BK65" i="8"/>
  <c r="BK64" i="8"/>
  <c r="BK63" i="8"/>
  <c r="BK61" i="8"/>
  <c r="BK55" i="8"/>
  <c r="BK54" i="8"/>
  <c r="BK53" i="8"/>
  <c r="BK52" i="8"/>
  <c r="BK51" i="8"/>
  <c r="BK44" i="8"/>
  <c r="BK42" i="8"/>
  <c r="BK40" i="8"/>
  <c r="BK38" i="8"/>
  <c r="BK34" i="8"/>
  <c r="BK32" i="8"/>
  <c r="BK23" i="8"/>
  <c r="BK19" i="8"/>
  <c r="BK18" i="8"/>
  <c r="BK17" i="8"/>
  <c r="BK16" i="8"/>
  <c r="BK12" i="8"/>
  <c r="BJ221" i="8"/>
  <c r="BJ219" i="8"/>
  <c r="BJ216" i="8"/>
  <c r="BJ214" i="8"/>
  <c r="BJ212" i="8"/>
  <c r="BJ210" i="8"/>
  <c r="BJ207" i="8"/>
  <c r="BJ204" i="8"/>
  <c r="BJ200" i="8"/>
  <c r="BJ199" i="8"/>
  <c r="BJ198" i="8"/>
  <c r="BJ184" i="8"/>
  <c r="BJ182" i="8"/>
  <c r="BJ180" i="8"/>
  <c r="BJ176" i="8"/>
  <c r="BJ171" i="8"/>
  <c r="BJ168" i="8"/>
  <c r="BJ165" i="8"/>
  <c r="BJ159" i="8"/>
  <c r="BJ156" i="8"/>
  <c r="BJ155" i="8"/>
  <c r="BJ152" i="8"/>
  <c r="BJ148" i="8"/>
  <c r="BJ146" i="8"/>
  <c r="BJ144" i="8"/>
  <c r="BJ142" i="8"/>
  <c r="BJ138" i="8"/>
  <c r="BJ137" i="8"/>
  <c r="BJ126" i="8"/>
  <c r="BJ124" i="8"/>
  <c r="BJ121" i="8"/>
  <c r="BJ119" i="8"/>
  <c r="BJ115" i="8"/>
  <c r="BJ114" i="8"/>
  <c r="BJ113" i="8"/>
  <c r="BJ112" i="8"/>
  <c r="BJ111" i="8"/>
  <c r="BJ110" i="8"/>
  <c r="BJ107" i="8"/>
  <c r="BJ104" i="8"/>
  <c r="BJ101" i="8"/>
  <c r="BJ95" i="8"/>
  <c r="BJ93" i="8"/>
  <c r="BJ91" i="8"/>
  <c r="BJ89" i="8"/>
  <c r="BJ87" i="8"/>
  <c r="BJ83" i="8"/>
  <c r="BJ82" i="8"/>
  <c r="BJ81" i="8"/>
  <c r="BJ79" i="8"/>
  <c r="BJ78" i="8"/>
  <c r="BJ71" i="8"/>
  <c r="BJ69" i="8"/>
  <c r="BJ66" i="8"/>
  <c r="BJ65" i="8"/>
  <c r="BJ64" i="8"/>
  <c r="BJ63" i="8"/>
  <c r="BJ61" i="8"/>
  <c r="BJ55" i="8"/>
  <c r="BJ54" i="8"/>
  <c r="BJ53" i="8"/>
  <c r="BJ52" i="8"/>
  <c r="BJ51" i="8"/>
  <c r="BJ44" i="8"/>
  <c r="BJ42" i="8"/>
  <c r="BJ40" i="8"/>
  <c r="BJ38" i="8"/>
  <c r="BJ34" i="8"/>
  <c r="BJ32" i="8"/>
  <c r="BJ23" i="8"/>
  <c r="BJ19" i="8"/>
  <c r="BJ18" i="8"/>
  <c r="BJ17" i="8"/>
  <c r="BJ16" i="8"/>
  <c r="BJ12" i="8"/>
  <c r="BJ182" i="22"/>
  <c r="BJ142" i="22"/>
  <c r="BK210" i="22"/>
  <c r="BK182" i="22"/>
  <c r="BK148" i="22"/>
  <c r="BK142" i="22"/>
  <c r="BK121" i="22"/>
  <c r="BK114" i="22"/>
  <c r="BK110" i="22"/>
  <c r="BK28" i="22"/>
  <c r="BK215" i="7"/>
  <c r="BK213" i="7"/>
  <c r="BK210" i="7"/>
  <c r="BK208" i="7"/>
  <c r="BK206" i="7"/>
  <c r="BK204" i="7"/>
  <c r="BK201" i="7"/>
  <c r="BK198" i="7"/>
  <c r="BK194" i="7"/>
  <c r="BK193" i="7"/>
  <c r="BK192" i="7"/>
  <c r="BK178" i="7"/>
  <c r="BK176" i="7"/>
  <c r="BK174" i="7"/>
  <c r="BK170" i="7"/>
  <c r="BK162" i="7"/>
  <c r="BK159" i="7"/>
  <c r="BK153" i="7"/>
  <c r="BK150" i="7"/>
  <c r="BK149" i="7"/>
  <c r="BK146" i="7"/>
  <c r="BK142" i="7"/>
  <c r="BK140" i="7"/>
  <c r="BK138" i="7"/>
  <c r="BK136" i="7"/>
  <c r="BK132" i="7"/>
  <c r="BK131" i="7"/>
  <c r="BK121" i="7"/>
  <c r="BK119" i="7"/>
  <c r="BK116" i="7"/>
  <c r="BK114" i="7"/>
  <c r="BK110" i="7"/>
  <c r="BK109" i="7"/>
  <c r="BK108" i="7"/>
  <c r="BK107" i="7"/>
  <c r="BK106" i="7"/>
  <c r="BK105" i="7"/>
  <c r="BK102" i="7"/>
  <c r="BK99" i="7"/>
  <c r="BK96" i="7"/>
  <c r="BK90" i="7"/>
  <c r="BK88" i="7"/>
  <c r="BK86" i="7"/>
  <c r="BK84" i="7"/>
  <c r="BK82" i="7"/>
  <c r="BK78" i="7"/>
  <c r="BK77" i="7"/>
  <c r="BK76" i="7"/>
  <c r="BK74" i="7"/>
  <c r="BK73" i="7"/>
  <c r="BK66" i="7"/>
  <c r="BK64" i="7"/>
  <c r="BK61" i="7"/>
  <c r="BK60" i="7"/>
  <c r="BK59" i="7"/>
  <c r="BK58" i="7"/>
  <c r="BK56" i="7"/>
  <c r="BK50" i="7"/>
  <c r="BK49" i="7"/>
  <c r="BK48" i="7"/>
  <c r="BK47" i="7"/>
  <c r="BK46" i="7"/>
  <c r="BK39" i="7"/>
  <c r="BK37" i="7"/>
  <c r="BK35" i="7"/>
  <c r="BK33" i="7"/>
  <c r="BK29" i="7"/>
  <c r="BK27" i="7"/>
  <c r="BK22" i="7"/>
  <c r="BK21" i="7"/>
  <c r="BK18" i="7"/>
  <c r="BK14" i="7"/>
  <c r="BK13" i="7"/>
  <c r="BK12" i="7"/>
  <c r="BK11" i="7"/>
  <c r="BK7" i="7"/>
  <c r="BJ215" i="7"/>
  <c r="BJ213" i="7"/>
  <c r="BJ210" i="7"/>
  <c r="BJ208" i="7"/>
  <c r="BJ206" i="7"/>
  <c r="BJ204" i="7"/>
  <c r="BJ201" i="7"/>
  <c r="BJ198" i="7"/>
  <c r="BJ194" i="7"/>
  <c r="BJ193" i="7"/>
  <c r="BJ192" i="7"/>
  <c r="BJ178" i="7"/>
  <c r="BJ176" i="7"/>
  <c r="BJ174" i="7"/>
  <c r="BJ170" i="7"/>
  <c r="BJ165" i="7"/>
  <c r="BJ162" i="7"/>
  <c r="BJ159" i="7"/>
  <c r="BJ153" i="7"/>
  <c r="BJ150" i="7"/>
  <c r="BJ146" i="7"/>
  <c r="BJ142" i="7"/>
  <c r="BJ140" i="7"/>
  <c r="BJ138" i="7"/>
  <c r="BJ136" i="7"/>
  <c r="BJ132" i="7"/>
  <c r="BJ131" i="7"/>
  <c r="BJ121" i="7"/>
  <c r="BJ119" i="7"/>
  <c r="BJ116" i="7"/>
  <c r="BJ114" i="7"/>
  <c r="BJ110" i="7"/>
  <c r="BJ109" i="7"/>
  <c r="BJ108" i="7"/>
  <c r="BJ107" i="7"/>
  <c r="BJ106" i="7"/>
  <c r="BJ105" i="7"/>
  <c r="BJ102" i="7"/>
  <c r="BJ99" i="7"/>
  <c r="BJ96" i="7"/>
  <c r="BJ90" i="7"/>
  <c r="BJ88" i="7"/>
  <c r="BJ86" i="7"/>
  <c r="BJ84" i="7"/>
  <c r="BJ82" i="7"/>
  <c r="BJ78" i="7"/>
  <c r="BJ77" i="7"/>
  <c r="BJ76" i="7"/>
  <c r="BJ74" i="7"/>
  <c r="BJ73" i="7"/>
  <c r="BJ66" i="7"/>
  <c r="BJ64" i="7"/>
  <c r="BJ61" i="7"/>
  <c r="BJ60" i="7"/>
  <c r="BJ59" i="7"/>
  <c r="BJ58" i="7"/>
  <c r="BJ56" i="7"/>
  <c r="BJ49" i="7"/>
  <c r="BJ48" i="7"/>
  <c r="BJ47" i="7"/>
  <c r="BJ46" i="7"/>
  <c r="BJ39" i="7"/>
  <c r="BJ37" i="7"/>
  <c r="BJ35" i="7"/>
  <c r="BJ33" i="7"/>
  <c r="BJ29" i="7"/>
  <c r="BJ27" i="7"/>
  <c r="BJ22" i="7"/>
  <c r="BJ21" i="7"/>
  <c r="BJ18" i="7"/>
  <c r="BJ14" i="7"/>
  <c r="BJ13" i="7"/>
  <c r="BJ12" i="7"/>
  <c r="BJ11" i="7"/>
  <c r="BJ7" i="7"/>
  <c r="BJ149" i="7"/>
  <c r="BI195" i="7"/>
  <c r="BI167" i="7"/>
  <c r="BI151" i="7"/>
  <c r="BI134" i="7"/>
  <c r="BI111" i="7"/>
  <c r="BI79" i="7"/>
  <c r="BI62" i="7"/>
  <c r="BI51" i="7"/>
  <c r="BI30" i="7"/>
  <c r="BI24" i="7"/>
  <c r="BH24" i="7"/>
  <c r="BI15" i="7"/>
  <c r="BL65" i="22"/>
  <c r="BL72" i="22"/>
  <c r="BI21" i="22"/>
  <c r="BI57" i="22"/>
  <c r="BI45" i="8"/>
  <c r="BL19" i="22"/>
  <c r="BL28" i="22"/>
  <c r="BL41" i="22"/>
  <c r="BL53" i="22"/>
  <c r="BK62" i="22"/>
  <c r="BL62" i="22"/>
  <c r="BL67" i="22"/>
  <c r="BL80" i="22"/>
  <c r="BK88" i="22"/>
  <c r="BL88" i="22"/>
  <c r="BL96" i="22"/>
  <c r="BL110" i="22"/>
  <c r="BL114" i="22"/>
  <c r="BL124" i="22"/>
  <c r="BL142" i="22"/>
  <c r="BL152" i="22"/>
  <c r="BL165" i="22"/>
  <c r="BL180" i="22"/>
  <c r="BL199" i="22"/>
  <c r="BL210" i="22"/>
  <c r="BL219" i="22"/>
  <c r="BM18" i="22"/>
  <c r="BM27" i="22"/>
  <c r="BM39" i="22"/>
  <c r="BM52" i="22"/>
  <c r="BM56" i="22"/>
  <c r="BM66" i="22"/>
  <c r="BM79" i="22"/>
  <c r="BM84" i="22"/>
  <c r="BM94" i="22"/>
  <c r="BM107" i="22"/>
  <c r="BM113" i="22"/>
  <c r="BM121" i="22"/>
  <c r="BM138" i="22"/>
  <c r="BM148" i="22"/>
  <c r="BM159" i="22"/>
  <c r="BM180" i="22"/>
  <c r="BM199" i="22"/>
  <c r="BM210" i="22"/>
  <c r="BM219" i="22"/>
  <c r="BH30" i="22"/>
  <c r="BI67" i="7"/>
  <c r="BI157" i="22"/>
  <c r="BI189" i="8"/>
  <c r="BL20" i="22"/>
  <c r="BL33" i="22"/>
  <c r="BL43" i="22"/>
  <c r="BL54" i="22"/>
  <c r="BL64" i="22"/>
  <c r="BL70" i="22"/>
  <c r="BL82" i="22"/>
  <c r="BL90" i="22"/>
  <c r="BL101" i="22"/>
  <c r="BL111" i="22"/>
  <c r="BL115" i="22"/>
  <c r="BL126" i="22"/>
  <c r="BL144" i="22"/>
  <c r="BL155" i="22"/>
  <c r="BL168" i="22"/>
  <c r="BL182" i="22"/>
  <c r="BL200" i="22"/>
  <c r="BL212" i="22"/>
  <c r="BL221" i="22"/>
  <c r="BM19" i="22"/>
  <c r="BM28" i="22"/>
  <c r="BM41" i="22"/>
  <c r="BM53" i="22"/>
  <c r="BM62" i="22"/>
  <c r="BM67" i="22"/>
  <c r="BM80" i="22"/>
  <c r="BM88" i="22"/>
  <c r="BM96" i="22"/>
  <c r="BM110" i="22"/>
  <c r="BM114" i="22"/>
  <c r="BM124" i="22"/>
  <c r="BM142" i="22"/>
  <c r="BM152" i="22"/>
  <c r="BM165" i="22"/>
  <c r="BM182" i="22"/>
  <c r="BM200" i="22"/>
  <c r="BM212" i="22"/>
  <c r="BM221" i="22"/>
  <c r="BM24" i="7"/>
  <c r="BI173" i="22"/>
  <c r="BI222" i="8"/>
  <c r="BJ17" i="22"/>
  <c r="BL17" i="22"/>
  <c r="BL24" i="22"/>
  <c r="BL35" i="22"/>
  <c r="BL45" i="22"/>
  <c r="BL55" i="22"/>
  <c r="BL83" i="22"/>
  <c r="BL92" i="22"/>
  <c r="BL104" i="22"/>
  <c r="BL112" i="22"/>
  <c r="BL119" i="22"/>
  <c r="BL137" i="22"/>
  <c r="BL146" i="22"/>
  <c r="BL156" i="22"/>
  <c r="BM171" i="22"/>
  <c r="BL171" i="22"/>
  <c r="BL184" i="22"/>
  <c r="BL204" i="22"/>
  <c r="BL214" i="22"/>
  <c r="BM13" i="22"/>
  <c r="BK20" i="22"/>
  <c r="BM20" i="22"/>
  <c r="BM33" i="22"/>
  <c r="BM43" i="22"/>
  <c r="BM54" i="22"/>
  <c r="BK64" i="22"/>
  <c r="BM64" i="22"/>
  <c r="BM70" i="22"/>
  <c r="BM82" i="22"/>
  <c r="BM90" i="22"/>
  <c r="BM101" i="22"/>
  <c r="BM111" i="22"/>
  <c r="BM115" i="22"/>
  <c r="BM126" i="22"/>
  <c r="BM144" i="22"/>
  <c r="BM155" i="22"/>
  <c r="BM168" i="22"/>
  <c r="BM184" i="22"/>
  <c r="BM204" i="22"/>
  <c r="BM214" i="22"/>
  <c r="BI92" i="7"/>
  <c r="BI36" i="22"/>
  <c r="BI116" i="22"/>
  <c r="BI201" i="22"/>
  <c r="BI97" i="8"/>
  <c r="BL18" i="22"/>
  <c r="BL27" i="22"/>
  <c r="BL39" i="22"/>
  <c r="BL52" i="22"/>
  <c r="BL66" i="22"/>
  <c r="BL79" i="22"/>
  <c r="BL84" i="22"/>
  <c r="BL94" i="22"/>
  <c r="BL107" i="22"/>
  <c r="BL113" i="22"/>
  <c r="BL121" i="22"/>
  <c r="BL138" i="22"/>
  <c r="BL148" i="22"/>
  <c r="BL159" i="22"/>
  <c r="BL176" i="22"/>
  <c r="BL198" i="22"/>
  <c r="BL207" i="22"/>
  <c r="BL216" i="22"/>
  <c r="BM17" i="22"/>
  <c r="BM24" i="22"/>
  <c r="BM35" i="22"/>
  <c r="BM45" i="22"/>
  <c r="BM55" i="22"/>
  <c r="BM65" i="22"/>
  <c r="BM72" i="22"/>
  <c r="BK83" i="22"/>
  <c r="BM83" i="22"/>
  <c r="BM92" i="22"/>
  <c r="BM104" i="22"/>
  <c r="BM112" i="22"/>
  <c r="BM119" i="22"/>
  <c r="BM137" i="22"/>
  <c r="BM146" i="22"/>
  <c r="BM156" i="22"/>
  <c r="BM176" i="22"/>
  <c r="BM198" i="22"/>
  <c r="BM207" i="22"/>
  <c r="BM216" i="22"/>
  <c r="BK24" i="7"/>
  <c r="BI154" i="7"/>
  <c r="BI160" i="8"/>
  <c r="BJ28" i="22"/>
  <c r="BJ146" i="22"/>
  <c r="BK90" i="22"/>
  <c r="BJ52" i="22"/>
  <c r="BJ67" i="22"/>
  <c r="BJ152" i="22"/>
  <c r="BJ94" i="22"/>
  <c r="BK159" i="22"/>
  <c r="BJ207" i="22"/>
  <c r="BK17" i="22"/>
  <c r="BK72" i="22"/>
  <c r="BJ54" i="22"/>
  <c r="BJ155" i="22"/>
  <c r="BJ184" i="22"/>
  <c r="BK207" i="22"/>
  <c r="BJ165" i="22"/>
  <c r="BJ13" i="22"/>
  <c r="BJ33" i="22"/>
  <c r="BJ43" i="22"/>
  <c r="BK144" i="22"/>
  <c r="BJ159" i="22"/>
  <c r="BJ198" i="22"/>
  <c r="BJ65" i="22"/>
  <c r="BK119" i="22"/>
  <c r="BK33" i="22"/>
  <c r="BK54" i="22"/>
  <c r="BJ27" i="22"/>
  <c r="BK180" i="22"/>
  <c r="BK94" i="22"/>
  <c r="BJ148" i="22"/>
  <c r="BK92" i="22"/>
  <c r="BK221" i="22"/>
  <c r="BJ214" i="22"/>
  <c r="BK204" i="22"/>
  <c r="BI216" i="7"/>
  <c r="BJ124" i="22"/>
  <c r="BI127" i="8"/>
  <c r="BJ114" i="22"/>
  <c r="BJ113" i="22"/>
  <c r="BJ112" i="22"/>
  <c r="BK111" i="22"/>
  <c r="BK107" i="22"/>
  <c r="BJ83" i="22"/>
  <c r="BJ80" i="22"/>
  <c r="BJ79" i="22"/>
  <c r="BI85" i="22"/>
  <c r="BJ72" i="22"/>
  <c r="BK67" i="22"/>
  <c r="BI72" i="8"/>
  <c r="BJ64" i="22"/>
  <c r="BJ111" i="22"/>
  <c r="BJ20" i="22"/>
  <c r="BJ62" i="22"/>
  <c r="BJ90" i="22"/>
  <c r="BJ110" i="22"/>
  <c r="BJ121" i="22"/>
  <c r="BI140" i="22"/>
  <c r="BK13" i="22"/>
  <c r="BI68" i="22"/>
  <c r="BK79" i="22"/>
  <c r="BK155" i="22"/>
  <c r="BJ18" i="22"/>
  <c r="BJ35" i="22"/>
  <c r="BJ55" i="22"/>
  <c r="BK70" i="22"/>
  <c r="BJ104" i="22"/>
  <c r="BK138" i="22"/>
  <c r="BK156" i="22"/>
  <c r="BJ176" i="22"/>
  <c r="BJ221" i="22"/>
  <c r="BK45" i="22"/>
  <c r="BK65" i="22"/>
  <c r="BK80" i="22"/>
  <c r="BK112" i="22"/>
  <c r="BK124" i="22"/>
  <c r="BI183" i="7"/>
  <c r="BK184" i="22"/>
  <c r="BJ92" i="22"/>
  <c r="BJ19" i="22"/>
  <c r="BK27" i="22"/>
  <c r="BK52" i="22"/>
  <c r="BK168" i="22"/>
  <c r="BK198" i="22"/>
  <c r="BK214" i="22"/>
  <c r="BK176" i="22"/>
  <c r="BJ119" i="22"/>
  <c r="BJ53" i="22"/>
  <c r="BJ171" i="22"/>
  <c r="BJ199" i="22"/>
  <c r="BJ216" i="22"/>
  <c r="BJ70" i="22"/>
  <c r="BJ45" i="22"/>
  <c r="BJ84" i="22"/>
  <c r="BJ101" i="22"/>
  <c r="BJ115" i="22"/>
  <c r="BJ137" i="22"/>
  <c r="BJ200" i="22"/>
  <c r="BJ219" i="22"/>
  <c r="BK43" i="22"/>
  <c r="BJ138" i="22"/>
  <c r="BK24" i="22"/>
  <c r="BJ156" i="22"/>
  <c r="BJ88" i="22"/>
  <c r="BJ180" i="22"/>
  <c r="BJ204" i="22"/>
  <c r="BK18" i="22"/>
  <c r="BK41" i="22"/>
  <c r="BJ39" i="22"/>
  <c r="BK35" i="8"/>
  <c r="BM35" i="8"/>
  <c r="BI30" i="22"/>
  <c r="BJ24" i="22"/>
  <c r="BI40" i="7"/>
  <c r="BK19" i="22"/>
  <c r="BK66" i="22"/>
  <c r="BK82" i="22"/>
  <c r="BK96" i="22"/>
  <c r="BK113" i="22"/>
  <c r="BK126" i="22"/>
  <c r="BK146" i="22"/>
  <c r="BK212" i="22"/>
  <c r="BK152" i="22"/>
  <c r="BK39" i="22"/>
  <c r="BK55" i="22"/>
  <c r="BK84" i="22"/>
  <c r="BK101" i="22"/>
  <c r="BK115" i="22"/>
  <c r="BK171" i="22"/>
  <c r="BK199" i="22"/>
  <c r="BK216" i="22"/>
  <c r="BK56" i="22"/>
  <c r="BK104" i="22"/>
  <c r="BK137" i="22"/>
  <c r="BK200" i="22"/>
  <c r="BK219" i="22"/>
  <c r="BJ126" i="22"/>
  <c r="BJ212" i="22"/>
  <c r="BJ210" i="22"/>
  <c r="BJ82" i="22"/>
  <c r="BJ66" i="22"/>
  <c r="BK35" i="22"/>
  <c r="BK53" i="22"/>
  <c r="BK165" i="22"/>
  <c r="BI223" i="8"/>
  <c r="BI97" i="22"/>
  <c r="BK30" i="22"/>
  <c r="BM30" i="22"/>
  <c r="BI222" i="22"/>
  <c r="BI160" i="22"/>
  <c r="BI129" i="8"/>
  <c r="BI189" i="22"/>
  <c r="BI217" i="7"/>
  <c r="BI73" i="22"/>
  <c r="BI122" i="7"/>
  <c r="BI122" i="22"/>
  <c r="BI46" i="22"/>
  <c r="BI224" i="8"/>
  <c r="BI127" i="22"/>
  <c r="BI124" i="7"/>
  <c r="BI223" i="22"/>
  <c r="BI129" i="22"/>
  <c r="BI218" i="7"/>
  <c r="BH62" i="7"/>
  <c r="BH67" i="7"/>
  <c r="BM62" i="7"/>
  <c r="BI224" i="22"/>
  <c r="BH68" i="22"/>
  <c r="BK62" i="7"/>
  <c r="BF219" i="8"/>
  <c r="BF168" i="8"/>
  <c r="BM68" i="22"/>
  <c r="BM67" i="7"/>
  <c r="BK68" i="22"/>
  <c r="BH73" i="22"/>
  <c r="BK67" i="7"/>
  <c r="BF112" i="8"/>
  <c r="BK73" i="22"/>
  <c r="BM73" i="22"/>
  <c r="BF107" i="8"/>
  <c r="BF104" i="8"/>
  <c r="BF50" i="7"/>
  <c r="BF56" i="22"/>
  <c r="BF52" i="8"/>
  <c r="BF47" i="7"/>
  <c r="BF53" i="22"/>
  <c r="BF51" i="8"/>
  <c r="BF46" i="7"/>
  <c r="BF52" i="22"/>
  <c r="BF38" i="8"/>
  <c r="BF34" i="8"/>
  <c r="BG56" i="22"/>
  <c r="BJ50" i="7"/>
  <c r="BH201" i="8"/>
  <c r="BH173" i="8"/>
  <c r="BH157" i="8"/>
  <c r="BH140" i="8"/>
  <c r="BH122" i="8"/>
  <c r="BH116" i="8"/>
  <c r="BH84" i="8"/>
  <c r="BM84" i="8"/>
  <c r="BH67" i="8"/>
  <c r="BH56" i="8"/>
  <c r="BH20" i="8"/>
  <c r="BH45" i="8"/>
  <c r="BH167" i="7"/>
  <c r="BH151" i="7"/>
  <c r="BH134" i="7"/>
  <c r="BH111" i="7"/>
  <c r="BH79" i="7"/>
  <c r="BH51" i="7"/>
  <c r="BH30" i="7"/>
  <c r="BH15" i="7"/>
  <c r="BH195" i="7"/>
  <c r="BC221" i="22"/>
  <c r="BC219" i="22"/>
  <c r="BC216" i="22"/>
  <c r="BC214" i="22"/>
  <c r="BC212" i="22"/>
  <c r="BC210" i="22"/>
  <c r="BC207" i="22"/>
  <c r="BC204" i="22"/>
  <c r="BC200" i="22"/>
  <c r="BC199" i="22"/>
  <c r="BC198" i="22"/>
  <c r="BC184" i="22"/>
  <c r="BC182" i="22"/>
  <c r="BC171" i="22"/>
  <c r="BC168" i="22"/>
  <c r="BC165" i="22"/>
  <c r="BC159" i="22"/>
  <c r="BC156" i="22"/>
  <c r="BC155" i="22"/>
  <c r="BC152" i="22"/>
  <c r="BC146" i="22"/>
  <c r="BC144" i="22"/>
  <c r="BC142" i="22"/>
  <c r="BC138" i="22"/>
  <c r="BC137" i="22"/>
  <c r="BC126" i="22"/>
  <c r="BC124" i="22"/>
  <c r="BC121" i="22"/>
  <c r="BC120" i="22"/>
  <c r="BC119" i="22"/>
  <c r="BC115" i="22"/>
  <c r="BC114" i="22"/>
  <c r="BC113" i="22"/>
  <c r="BC112" i="22"/>
  <c r="BC111" i="22"/>
  <c r="BC110" i="22"/>
  <c r="BC107" i="22"/>
  <c r="BC104" i="22"/>
  <c r="BC101" i="22"/>
  <c r="BC96" i="22"/>
  <c r="BC94" i="22"/>
  <c r="BC92" i="22"/>
  <c r="BC90" i="22"/>
  <c r="BC88" i="22"/>
  <c r="BC84" i="22"/>
  <c r="BC83" i="22"/>
  <c r="BC82" i="22"/>
  <c r="BC80" i="22"/>
  <c r="BC79" i="22"/>
  <c r="BC72" i="22"/>
  <c r="BC70" i="22"/>
  <c r="BC67" i="22"/>
  <c r="BC66" i="22"/>
  <c r="BC65" i="22"/>
  <c r="BC64" i="22"/>
  <c r="BC62" i="22"/>
  <c r="BC55" i="22"/>
  <c r="BC54" i="22"/>
  <c r="BC45" i="22"/>
  <c r="BC43" i="22"/>
  <c r="BC41" i="22"/>
  <c r="BC39" i="22"/>
  <c r="BC35" i="22"/>
  <c r="BC33" i="22"/>
  <c r="BC28" i="22"/>
  <c r="BC27" i="22"/>
  <c r="BC20" i="22"/>
  <c r="BC19" i="22"/>
  <c r="BC18" i="22"/>
  <c r="BC17" i="22"/>
  <c r="BC13" i="22"/>
  <c r="U221" i="22"/>
  <c r="U219" i="22"/>
  <c r="U216" i="22"/>
  <c r="U214" i="22"/>
  <c r="U212" i="22"/>
  <c r="U210" i="22"/>
  <c r="U207" i="22"/>
  <c r="U204" i="22"/>
  <c r="U200" i="22"/>
  <c r="U198" i="22"/>
  <c r="U195" i="22"/>
  <c r="U193" i="22"/>
  <c r="U188" i="22"/>
  <c r="U186" i="22"/>
  <c r="U184" i="22"/>
  <c r="U182" i="22"/>
  <c r="U180" i="22"/>
  <c r="U178" i="22"/>
  <c r="U172" i="22"/>
  <c r="U171" i="22"/>
  <c r="U168" i="22"/>
  <c r="U165" i="22"/>
  <c r="U159" i="22"/>
  <c r="U156" i="22"/>
  <c r="U155" i="22"/>
  <c r="U146" i="22"/>
  <c r="U144" i="22"/>
  <c r="U139" i="22"/>
  <c r="U137" i="22"/>
  <c r="U126" i="22"/>
  <c r="U124" i="22"/>
  <c r="U121" i="22"/>
  <c r="U114" i="22"/>
  <c r="U110" i="22"/>
  <c r="U107" i="22"/>
  <c r="U101" i="22"/>
  <c r="U96" i="22"/>
  <c r="U94" i="22"/>
  <c r="U92" i="22"/>
  <c r="U84" i="22"/>
  <c r="U83" i="22"/>
  <c r="U81" i="22"/>
  <c r="U78" i="22"/>
  <c r="U72" i="22"/>
  <c r="U66" i="22"/>
  <c r="U65" i="22"/>
  <c r="U63" i="22"/>
  <c r="U62" i="22"/>
  <c r="U54" i="22"/>
  <c r="U53" i="22"/>
  <c r="U52" i="22"/>
  <c r="T54" i="22"/>
  <c r="T53" i="22"/>
  <c r="T52" i="22"/>
  <c r="U45" i="22"/>
  <c r="U35" i="22"/>
  <c r="U33" i="22"/>
  <c r="U27" i="22"/>
  <c r="U24" i="22"/>
  <c r="U19" i="22"/>
  <c r="U18" i="22"/>
  <c r="U17" i="22"/>
  <c r="U13" i="22"/>
  <c r="BM30" i="7"/>
  <c r="BM134" i="7"/>
  <c r="BM51" i="7"/>
  <c r="BM151" i="7"/>
  <c r="BM195" i="7"/>
  <c r="BM79" i="7"/>
  <c r="BM167" i="7"/>
  <c r="BJ56" i="22"/>
  <c r="BL56" i="22"/>
  <c r="BM15" i="7"/>
  <c r="BM111" i="7"/>
  <c r="BM157" i="8"/>
  <c r="BK157" i="8"/>
  <c r="BK122" i="8"/>
  <c r="BM122" i="8"/>
  <c r="BM140" i="8"/>
  <c r="BK140" i="8"/>
  <c r="BH189" i="8"/>
  <c r="BM173" i="8"/>
  <c r="BK173" i="8"/>
  <c r="BM201" i="8"/>
  <c r="BK201" i="8"/>
  <c r="BM116" i="8"/>
  <c r="BK116" i="8"/>
  <c r="BH72" i="8"/>
  <c r="BK67" i="8"/>
  <c r="BM67" i="8"/>
  <c r="BK134" i="7"/>
  <c r="BH140" i="22"/>
  <c r="BH216" i="7"/>
  <c r="BH201" i="22"/>
  <c r="BK195" i="7"/>
  <c r="BH157" i="22"/>
  <c r="BK151" i="7"/>
  <c r="BH183" i="7"/>
  <c r="BH173" i="22"/>
  <c r="BK173" i="22"/>
  <c r="BK167" i="7"/>
  <c r="BH122" i="7"/>
  <c r="BH116" i="22"/>
  <c r="BK111" i="7"/>
  <c r="BH85" i="22"/>
  <c r="BK79" i="7"/>
  <c r="BK51" i="7"/>
  <c r="BH57" i="22"/>
  <c r="BK56" i="8"/>
  <c r="BM56" i="8"/>
  <c r="BH36" i="22"/>
  <c r="BK30" i="7"/>
  <c r="BM20" i="8"/>
  <c r="BK20" i="8"/>
  <c r="BH21" i="22"/>
  <c r="BK15" i="7"/>
  <c r="BK84" i="8"/>
  <c r="BH222" i="8"/>
  <c r="BH160" i="8"/>
  <c r="BH127" i="8"/>
  <c r="BH97" i="8"/>
  <c r="BM97" i="8"/>
  <c r="BM45" i="8"/>
  <c r="BH154" i="7"/>
  <c r="BH40" i="7"/>
  <c r="BH92" i="7"/>
  <c r="BM23" i="8"/>
  <c r="BL23" i="8"/>
  <c r="BE195" i="7"/>
  <c r="BE201" i="22"/>
  <c r="BE167" i="7"/>
  <c r="BE173" i="22"/>
  <c r="BE151" i="7"/>
  <c r="BE157" i="22"/>
  <c r="BE134" i="7"/>
  <c r="BE140" i="22"/>
  <c r="BE117" i="7"/>
  <c r="BE122" i="22"/>
  <c r="BE111" i="7"/>
  <c r="BE116" i="22"/>
  <c r="BE62" i="7"/>
  <c r="BE68" i="22"/>
  <c r="BE24" i="7"/>
  <c r="BE30" i="22"/>
  <c r="BE15" i="7"/>
  <c r="BE21" i="22"/>
  <c r="BM127" i="8"/>
  <c r="BM92" i="7"/>
  <c r="BK21" i="22"/>
  <c r="BM21" i="22"/>
  <c r="BK36" i="22"/>
  <c r="BM36" i="22"/>
  <c r="BK57" i="22"/>
  <c r="BM57" i="22"/>
  <c r="BM173" i="22"/>
  <c r="BM140" i="22"/>
  <c r="BM40" i="7"/>
  <c r="BM116" i="22"/>
  <c r="BM183" i="7"/>
  <c r="BM154" i="7"/>
  <c r="BM201" i="22"/>
  <c r="BM85" i="22"/>
  <c r="BM157" i="22"/>
  <c r="BM216" i="7"/>
  <c r="BK189" i="8"/>
  <c r="BM122" i="7"/>
  <c r="BM160" i="8"/>
  <c r="BK160" i="8"/>
  <c r="BM189" i="8"/>
  <c r="BM222" i="8"/>
  <c r="BK222" i="8"/>
  <c r="BK127" i="8"/>
  <c r="BK72" i="8"/>
  <c r="BM72" i="8"/>
  <c r="BK85" i="22"/>
  <c r="BK201" i="22"/>
  <c r="BH189" i="22"/>
  <c r="BK183" i="7"/>
  <c r="BH222" i="22"/>
  <c r="BK216" i="7"/>
  <c r="BH97" i="22"/>
  <c r="BK92" i="7"/>
  <c r="BK116" i="22"/>
  <c r="BK140" i="22"/>
  <c r="BH217" i="7"/>
  <c r="BH160" i="22"/>
  <c r="BK154" i="7"/>
  <c r="BH122" i="22"/>
  <c r="BK117" i="7"/>
  <c r="BK157" i="22"/>
  <c r="BH127" i="22"/>
  <c r="BK122" i="7"/>
  <c r="BH46" i="22"/>
  <c r="BK40" i="7"/>
  <c r="BH124" i="7"/>
  <c r="BK97" i="8"/>
  <c r="BK45" i="8"/>
  <c r="BE67" i="7"/>
  <c r="BE73" i="22"/>
  <c r="BE122" i="7"/>
  <c r="BE127" i="22"/>
  <c r="BE183" i="7"/>
  <c r="BE189" i="22"/>
  <c r="BE154" i="7"/>
  <c r="BE160" i="22"/>
  <c r="BH223" i="8"/>
  <c r="BH129" i="8"/>
  <c r="BM129" i="8"/>
  <c r="BK46" i="22"/>
  <c r="BM46" i="22"/>
  <c r="BM222" i="22"/>
  <c r="BM217" i="7"/>
  <c r="BM97" i="22"/>
  <c r="BM160" i="22"/>
  <c r="BM189" i="22"/>
  <c r="BM127" i="22"/>
  <c r="BM122" i="22"/>
  <c r="BM124" i="7"/>
  <c r="BM223" i="8"/>
  <c r="BK223" i="8"/>
  <c r="BK127" i="22"/>
  <c r="BK160" i="22"/>
  <c r="BH223" i="22"/>
  <c r="BK217" i="7"/>
  <c r="BK189" i="22"/>
  <c r="BK97" i="22"/>
  <c r="BK222" i="22"/>
  <c r="BK122" i="22"/>
  <c r="BK124" i="7"/>
  <c r="BH129" i="22"/>
  <c r="BK129" i="8"/>
  <c r="BH224" i="8"/>
  <c r="BH218" i="7"/>
  <c r="BI225" i="8"/>
  <c r="BM224" i="8"/>
  <c r="BM223" i="22"/>
  <c r="BK129" i="22"/>
  <c r="BM129" i="22"/>
  <c r="BM218" i="7"/>
  <c r="BK223" i="22"/>
  <c r="BK218" i="7"/>
  <c r="BH224" i="22"/>
  <c r="BK224" i="8"/>
  <c r="BI225" i="22"/>
  <c r="BK224" i="22"/>
  <c r="BM224" i="22"/>
  <c r="B17" i="22"/>
  <c r="AZ134" i="7"/>
  <c r="U24" i="7"/>
  <c r="U30" i="22"/>
  <c r="BE201" i="7"/>
  <c r="BE207" i="22"/>
  <c r="BE219" i="8"/>
  <c r="BE168" i="8"/>
  <c r="BE216" i="7"/>
  <c r="BE222" i="22"/>
  <c r="BE124" i="8"/>
  <c r="BE112" i="8"/>
  <c r="BE107" i="8"/>
  <c r="BE104" i="8"/>
  <c r="BE217" i="7"/>
  <c r="BE223" i="22"/>
  <c r="BE78" i="8"/>
  <c r="BE73" i="7"/>
  <c r="BE79" i="22"/>
  <c r="BD67" i="8"/>
  <c r="BC67" i="8"/>
  <c r="BB67" i="8"/>
  <c r="BA67" i="8"/>
  <c r="AZ67" i="8"/>
  <c r="AY67" i="8"/>
  <c r="AX67" i="8"/>
  <c r="AW67" i="8"/>
  <c r="AV67" i="8"/>
  <c r="AU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BG67" i="8"/>
  <c r="BF67" i="8"/>
  <c r="BE67" i="8"/>
  <c r="BD62" i="7"/>
  <c r="BD68" i="22"/>
  <c r="BC62" i="7"/>
  <c r="BC68" i="22"/>
  <c r="BB62" i="7"/>
  <c r="BA62" i="7"/>
  <c r="AZ62" i="7"/>
  <c r="AZ67" i="7"/>
  <c r="AY62" i="7"/>
  <c r="AX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U68" i="22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G62" i="7"/>
  <c r="BL62" i="7"/>
  <c r="BF62" i="7"/>
  <c r="BF68" i="22"/>
  <c r="BL67" i="8"/>
  <c r="BJ67" i="8"/>
  <c r="BG68" i="22"/>
  <c r="BJ62" i="7"/>
  <c r="BE79" i="7"/>
  <c r="BE85" i="22"/>
  <c r="BE50" i="7"/>
  <c r="BE56" i="22"/>
  <c r="BE51" i="8"/>
  <c r="BE52" i="8"/>
  <c r="BE47" i="7"/>
  <c r="BE53" i="22"/>
  <c r="BJ68" i="22"/>
  <c r="BL68" i="22"/>
  <c r="BE92" i="7"/>
  <c r="BE97" i="22"/>
  <c r="BE46" i="7"/>
  <c r="BE52" i="22"/>
  <c r="BE38" i="8"/>
  <c r="BE34" i="8"/>
  <c r="BE29" i="7"/>
  <c r="BE35" i="22"/>
  <c r="BE30" i="7"/>
  <c r="BE36" i="22"/>
  <c r="BE51" i="7"/>
  <c r="BE57" i="22"/>
  <c r="BE40" i="7"/>
  <c r="BE46" i="22"/>
  <c r="BB221" i="22"/>
  <c r="BB219" i="22"/>
  <c r="BB216" i="22"/>
  <c r="BB214" i="22"/>
  <c r="BB212" i="22"/>
  <c r="BB210" i="22"/>
  <c r="BB207" i="22"/>
  <c r="BB204" i="22"/>
  <c r="BB200" i="22"/>
  <c r="BB199" i="22"/>
  <c r="BB198" i="22"/>
  <c r="BB184" i="22"/>
  <c r="BB182" i="22"/>
  <c r="BB180" i="22"/>
  <c r="BB176" i="22"/>
  <c r="BB171" i="22"/>
  <c r="BB168" i="22"/>
  <c r="BB165" i="22"/>
  <c r="BB159" i="22"/>
  <c r="BB156" i="22"/>
  <c r="BB155" i="22"/>
  <c r="BB152" i="22"/>
  <c r="BB148" i="22"/>
  <c r="BB146" i="22"/>
  <c r="BB144" i="22"/>
  <c r="BB142" i="22"/>
  <c r="BB138" i="22"/>
  <c r="BB137" i="22"/>
  <c r="BB126" i="22"/>
  <c r="BB124" i="22"/>
  <c r="BB121" i="22"/>
  <c r="BB120" i="22"/>
  <c r="BB119" i="22"/>
  <c r="BB115" i="22"/>
  <c r="BB114" i="22"/>
  <c r="BB113" i="22"/>
  <c r="BB112" i="22"/>
  <c r="BB111" i="22"/>
  <c r="BB110" i="22"/>
  <c r="BB107" i="22"/>
  <c r="BB104" i="22"/>
  <c r="BB101" i="22"/>
  <c r="BB96" i="22"/>
  <c r="BB94" i="22"/>
  <c r="BB92" i="22"/>
  <c r="BB90" i="22"/>
  <c r="BB88" i="22"/>
  <c r="BB84" i="22"/>
  <c r="BB83" i="22"/>
  <c r="BB82" i="22"/>
  <c r="BB80" i="22"/>
  <c r="BB79" i="22"/>
  <c r="BB72" i="22"/>
  <c r="BB70" i="22"/>
  <c r="BB67" i="22"/>
  <c r="BB66" i="22"/>
  <c r="BB65" i="22"/>
  <c r="BB64" i="22"/>
  <c r="BB62" i="22"/>
  <c r="BB55" i="22"/>
  <c r="BB54" i="22"/>
  <c r="BB45" i="22"/>
  <c r="BB43" i="22"/>
  <c r="BB41" i="22"/>
  <c r="BB39" i="22"/>
  <c r="BB35" i="22"/>
  <c r="BB33" i="22"/>
  <c r="BB28" i="22"/>
  <c r="BB27" i="22"/>
  <c r="BB20" i="22"/>
  <c r="BB19" i="22"/>
  <c r="BB18" i="22"/>
  <c r="BB17" i="22"/>
  <c r="BB13" i="22"/>
  <c r="BA221" i="22"/>
  <c r="BA219" i="22"/>
  <c r="BA216" i="22"/>
  <c r="BA214" i="22"/>
  <c r="BA212" i="22"/>
  <c r="BA210" i="22"/>
  <c r="BA207" i="22"/>
  <c r="BA204" i="22"/>
  <c r="BA200" i="22"/>
  <c r="BA199" i="22"/>
  <c r="BA198" i="22"/>
  <c r="BA184" i="22"/>
  <c r="BA182" i="22"/>
  <c r="BA180" i="22"/>
  <c r="BA176" i="22"/>
  <c r="BA171" i="22"/>
  <c r="BA168" i="22"/>
  <c r="BA165" i="22"/>
  <c r="BA159" i="22"/>
  <c r="BA156" i="22"/>
  <c r="BA155" i="22"/>
  <c r="BA152" i="22"/>
  <c r="BA146" i="22"/>
  <c r="BA144" i="22"/>
  <c r="BA142" i="22"/>
  <c r="BA139" i="22"/>
  <c r="BA138" i="22"/>
  <c r="BA137" i="22"/>
  <c r="BA126" i="22"/>
  <c r="BA124" i="22"/>
  <c r="BA121" i="22"/>
  <c r="BA120" i="22"/>
  <c r="BA119" i="22"/>
  <c r="BA115" i="22"/>
  <c r="BA114" i="22"/>
  <c r="BA113" i="22"/>
  <c r="BA111" i="22"/>
  <c r="BA110" i="22"/>
  <c r="BA107" i="22"/>
  <c r="BA104" i="22"/>
  <c r="BA101" i="22"/>
  <c r="BA96" i="22"/>
  <c r="BA94" i="22"/>
  <c r="BA92" i="22"/>
  <c r="BA90" i="22"/>
  <c r="BA88" i="22"/>
  <c r="BA84" i="22"/>
  <c r="BA83" i="22"/>
  <c r="BA82" i="22"/>
  <c r="BA78" i="22"/>
  <c r="BA72" i="22"/>
  <c r="BA70" i="22"/>
  <c r="BA67" i="22"/>
  <c r="BA66" i="22"/>
  <c r="BA65" i="22"/>
  <c r="BA64" i="22"/>
  <c r="BA62" i="22"/>
  <c r="BA55" i="22"/>
  <c r="BA54" i="22"/>
  <c r="BA45" i="22"/>
  <c r="BA43" i="22"/>
  <c r="BA41" i="22"/>
  <c r="BA39" i="22"/>
  <c r="BA35" i="22"/>
  <c r="BA33" i="22"/>
  <c r="BA28" i="22"/>
  <c r="BA27" i="22"/>
  <c r="BA20" i="22"/>
  <c r="BA19" i="22"/>
  <c r="BA18" i="22"/>
  <c r="BA17" i="22"/>
  <c r="BA13" i="22"/>
  <c r="AZ221" i="22"/>
  <c r="AZ219" i="22"/>
  <c r="AZ216" i="22"/>
  <c r="AZ214" i="22"/>
  <c r="AZ212" i="22"/>
  <c r="AZ210" i="22"/>
  <c r="AZ207" i="22"/>
  <c r="AZ204" i="22"/>
  <c r="AZ200" i="22"/>
  <c r="AZ199" i="22"/>
  <c r="AZ198" i="22"/>
  <c r="AZ184" i="22"/>
  <c r="AZ182" i="22"/>
  <c r="AZ180" i="22"/>
  <c r="AZ176" i="22"/>
  <c r="AZ171" i="22"/>
  <c r="AZ168" i="22"/>
  <c r="AZ165" i="22"/>
  <c r="AZ159" i="22"/>
  <c r="AZ156" i="22"/>
  <c r="AZ155" i="22"/>
  <c r="AZ152" i="22"/>
  <c r="AZ146" i="22"/>
  <c r="AZ144" i="22"/>
  <c r="AZ139" i="22"/>
  <c r="AZ138" i="22"/>
  <c r="AZ137" i="22"/>
  <c r="AZ126" i="22"/>
  <c r="AZ124" i="22"/>
  <c r="AZ121" i="22"/>
  <c r="AZ120" i="22"/>
  <c r="AZ119" i="22"/>
  <c r="AZ115" i="22"/>
  <c r="AZ114" i="22"/>
  <c r="AZ113" i="22"/>
  <c r="AZ111" i="22"/>
  <c r="AZ110" i="22"/>
  <c r="AZ107" i="22"/>
  <c r="AZ104" i="22"/>
  <c r="AZ101" i="22"/>
  <c r="AZ96" i="22"/>
  <c r="AZ94" i="22"/>
  <c r="AZ92" i="22"/>
  <c r="AZ90" i="22"/>
  <c r="AZ88" i="22"/>
  <c r="AZ84" i="22"/>
  <c r="AZ83" i="22"/>
  <c r="AZ82" i="22"/>
  <c r="AZ78" i="22"/>
  <c r="AZ72" i="22"/>
  <c r="AZ70" i="22"/>
  <c r="AZ67" i="22"/>
  <c r="AZ66" i="22"/>
  <c r="AZ65" i="22"/>
  <c r="AZ64" i="22"/>
  <c r="AZ62" i="22"/>
  <c r="AZ55" i="22"/>
  <c r="AZ54" i="22"/>
  <c r="AZ45" i="22"/>
  <c r="AZ43" i="22"/>
  <c r="AZ41" i="22"/>
  <c r="AZ39" i="22"/>
  <c r="AZ35" i="22"/>
  <c r="AZ33" i="22"/>
  <c r="AZ28" i="22"/>
  <c r="AZ27" i="22"/>
  <c r="AZ20" i="22"/>
  <c r="AZ19" i="22"/>
  <c r="AZ18" i="22"/>
  <c r="AZ17" i="22"/>
  <c r="AZ13" i="22"/>
  <c r="AX221" i="22"/>
  <c r="AX219" i="22"/>
  <c r="AX216" i="22"/>
  <c r="AX214" i="22"/>
  <c r="AX212" i="22"/>
  <c r="AX210" i="22"/>
  <c r="AX207" i="22"/>
  <c r="AX204" i="22"/>
  <c r="AX200" i="22"/>
  <c r="AX199" i="22"/>
  <c r="AX198" i="22"/>
  <c r="AX184" i="22"/>
  <c r="AX182" i="22"/>
  <c r="AX180" i="22"/>
  <c r="AX176" i="22"/>
  <c r="AX171" i="22"/>
  <c r="AX168" i="22"/>
  <c r="AX165" i="22"/>
  <c r="AX159" i="22"/>
  <c r="AX156" i="22"/>
  <c r="AX155" i="22"/>
  <c r="AX150" i="22"/>
  <c r="AX146" i="22"/>
  <c r="AX144" i="22"/>
  <c r="AX139" i="22"/>
  <c r="AX138" i="22"/>
  <c r="AX137" i="22"/>
  <c r="AX126" i="22"/>
  <c r="AX124" i="22"/>
  <c r="AX121" i="22"/>
  <c r="AX120" i="22"/>
  <c r="AX119" i="22"/>
  <c r="AX115" i="22"/>
  <c r="AX114" i="22"/>
  <c r="AX113" i="22"/>
  <c r="AX111" i="22"/>
  <c r="AX110" i="22"/>
  <c r="AX107" i="22"/>
  <c r="AX104" i="22"/>
  <c r="AX101" i="22"/>
  <c r="AX96" i="22"/>
  <c r="AX94" i="22"/>
  <c r="AX92" i="22"/>
  <c r="AX90" i="22"/>
  <c r="AX88" i="22"/>
  <c r="AX84" i="22"/>
  <c r="AX83" i="22"/>
  <c r="AX82" i="22"/>
  <c r="AX78" i="22"/>
  <c r="AX72" i="22"/>
  <c r="AX70" i="22"/>
  <c r="AX67" i="22"/>
  <c r="AX66" i="22"/>
  <c r="AX65" i="22"/>
  <c r="AX64" i="22"/>
  <c r="AX62" i="22"/>
  <c r="AX56" i="22"/>
  <c r="AX55" i="22"/>
  <c r="AX54" i="22"/>
  <c r="AX53" i="22"/>
  <c r="AX52" i="22"/>
  <c r="AX45" i="22"/>
  <c r="AX43" i="22"/>
  <c r="AX41" i="22"/>
  <c r="AX39" i="22"/>
  <c r="AX35" i="22"/>
  <c r="AX33" i="22"/>
  <c r="AX29" i="22"/>
  <c r="AX28" i="22"/>
  <c r="AX27" i="22"/>
  <c r="AX24" i="22"/>
  <c r="AX20" i="22"/>
  <c r="AX19" i="22"/>
  <c r="AX18" i="22"/>
  <c r="AX17" i="22"/>
  <c r="AX13" i="22"/>
  <c r="AW221" i="22"/>
  <c r="AW219" i="22"/>
  <c r="AW216" i="22"/>
  <c r="AW214" i="22"/>
  <c r="AW212" i="22"/>
  <c r="AW210" i="22"/>
  <c r="AW207" i="22"/>
  <c r="AW204" i="22"/>
  <c r="AW200" i="22"/>
  <c r="AW199" i="22"/>
  <c r="AW198" i="22"/>
  <c r="AW184" i="22"/>
  <c r="AW182" i="22"/>
  <c r="AW180" i="22"/>
  <c r="AW176" i="22"/>
  <c r="AW171" i="22"/>
  <c r="AW168" i="22"/>
  <c r="AW165" i="22"/>
  <c r="AW159" i="22"/>
  <c r="AW156" i="22"/>
  <c r="AW155" i="22"/>
  <c r="AW150" i="22"/>
  <c r="AW148" i="22"/>
  <c r="AW146" i="22"/>
  <c r="AW144" i="22"/>
  <c r="AW139" i="22"/>
  <c r="AW138" i="22"/>
  <c r="AW137" i="22"/>
  <c r="AW126" i="22"/>
  <c r="AW124" i="22"/>
  <c r="AW121" i="22"/>
  <c r="AW120" i="22"/>
  <c r="AW119" i="22"/>
  <c r="AW115" i="22"/>
  <c r="AW113" i="22"/>
  <c r="AW111" i="22"/>
  <c r="AW110" i="22"/>
  <c r="AW107" i="22"/>
  <c r="AW104" i="22"/>
  <c r="AW101" i="22"/>
  <c r="AW96" i="22"/>
  <c r="AW94" i="22"/>
  <c r="AW92" i="22"/>
  <c r="AW90" i="22"/>
  <c r="AW88" i="22"/>
  <c r="AW84" i="22"/>
  <c r="AW83" i="22"/>
  <c r="AW82" i="22"/>
  <c r="AW78" i="22"/>
  <c r="AW72" i="22"/>
  <c r="AW70" i="22"/>
  <c r="AW67" i="22"/>
  <c r="AW66" i="22"/>
  <c r="AW62" i="22"/>
  <c r="AW56" i="22"/>
  <c r="AW55" i="22"/>
  <c r="AW54" i="22"/>
  <c r="AW53" i="22"/>
  <c r="AW52" i="22"/>
  <c r="AW45" i="22"/>
  <c r="AW43" i="22"/>
  <c r="AW41" i="22"/>
  <c r="AW39" i="22"/>
  <c r="AW35" i="22"/>
  <c r="AW33" i="22"/>
  <c r="AW29" i="22"/>
  <c r="AW28" i="22"/>
  <c r="AW27" i="22"/>
  <c r="AW20" i="22"/>
  <c r="AW17" i="22"/>
  <c r="AW13" i="22"/>
  <c r="AV221" i="22"/>
  <c r="AV219" i="22"/>
  <c r="AV216" i="22"/>
  <c r="AV214" i="22"/>
  <c r="AV212" i="22"/>
  <c r="AV210" i="22"/>
  <c r="AV207" i="22"/>
  <c r="AV204" i="22"/>
  <c r="AV200" i="22"/>
  <c r="AV199" i="22"/>
  <c r="AV198" i="22"/>
  <c r="AV184" i="22"/>
  <c r="AV182" i="22"/>
  <c r="AV180" i="22"/>
  <c r="AV176" i="22"/>
  <c r="AV171" i="22"/>
  <c r="AV168" i="22"/>
  <c r="AV165" i="22"/>
  <c r="AV159" i="22"/>
  <c r="AV156" i="22"/>
  <c r="AV155" i="22"/>
  <c r="AV150" i="22"/>
  <c r="AV148" i="22"/>
  <c r="AV146" i="22"/>
  <c r="AV144" i="22"/>
  <c r="AV139" i="22"/>
  <c r="AV138" i="22"/>
  <c r="AV137" i="22"/>
  <c r="AV126" i="22"/>
  <c r="AV124" i="22"/>
  <c r="AV121" i="22"/>
  <c r="AV119" i="22"/>
  <c r="AV115" i="22"/>
  <c r="AV113" i="22"/>
  <c r="AV111" i="22"/>
  <c r="AV110" i="22"/>
  <c r="AV107" i="22"/>
  <c r="AV104" i="22"/>
  <c r="AV101" i="22"/>
  <c r="AV96" i="22"/>
  <c r="AV94" i="22"/>
  <c r="AV92" i="22"/>
  <c r="AV90" i="22"/>
  <c r="AV88" i="22"/>
  <c r="AV84" i="22"/>
  <c r="AV83" i="22"/>
  <c r="AV82" i="22"/>
  <c r="AV78" i="22"/>
  <c r="AV72" i="22"/>
  <c r="AV70" i="22"/>
  <c r="AV67" i="22"/>
  <c r="AV66" i="22"/>
  <c r="AV65" i="22"/>
  <c r="AV64" i="22"/>
  <c r="AV62" i="22"/>
  <c r="AV56" i="22"/>
  <c r="AV55" i="22"/>
  <c r="AV54" i="22"/>
  <c r="AV53" i="22"/>
  <c r="AV52" i="22"/>
  <c r="AV45" i="22"/>
  <c r="AV43" i="22"/>
  <c r="AV41" i="22"/>
  <c r="AV39" i="22"/>
  <c r="AV35" i="22"/>
  <c r="AV33" i="22"/>
  <c r="AV29" i="22"/>
  <c r="AV28" i="22"/>
  <c r="AV27" i="22"/>
  <c r="AV24" i="22"/>
  <c r="AV20" i="22"/>
  <c r="AV17" i="22"/>
  <c r="AV13" i="22"/>
  <c r="AU221" i="22"/>
  <c r="AU219" i="22"/>
  <c r="AU216" i="22"/>
  <c r="AU214" i="22"/>
  <c r="AU212" i="22"/>
  <c r="AU210" i="22"/>
  <c r="AU207" i="22"/>
  <c r="AU204" i="22"/>
  <c r="AU200" i="22"/>
  <c r="AU199" i="22"/>
  <c r="AU198" i="22"/>
  <c r="AU184" i="22"/>
  <c r="AU182" i="22"/>
  <c r="AU180" i="22"/>
  <c r="AU176" i="22"/>
  <c r="AU172" i="22"/>
  <c r="AU171" i="22"/>
  <c r="AU168" i="22"/>
  <c r="AU165" i="22"/>
  <c r="AU159" i="22"/>
  <c r="AU156" i="22"/>
  <c r="AU155" i="22"/>
  <c r="AU150" i="22"/>
  <c r="AU148" i="22"/>
  <c r="AU146" i="22"/>
  <c r="AU144" i="22"/>
  <c r="AU139" i="22"/>
  <c r="AU138" i="22"/>
  <c r="AU137" i="22"/>
  <c r="AU126" i="22"/>
  <c r="AU124" i="22"/>
  <c r="AU121" i="22"/>
  <c r="AU119" i="22"/>
  <c r="AU115" i="22"/>
  <c r="AU114" i="22"/>
  <c r="AU113" i="22"/>
  <c r="AU111" i="22"/>
  <c r="AU110" i="22"/>
  <c r="AU107" i="22"/>
  <c r="AU104" i="22"/>
  <c r="AU101" i="22"/>
  <c r="AU96" i="22"/>
  <c r="AU94" i="22"/>
  <c r="AU92" i="22"/>
  <c r="AU90" i="22"/>
  <c r="AU88" i="22"/>
  <c r="AU84" i="22"/>
  <c r="AU83" i="22"/>
  <c r="AU82" i="22"/>
  <c r="AU78" i="22"/>
  <c r="AU72" i="22"/>
  <c r="AU70" i="22"/>
  <c r="AU67" i="22"/>
  <c r="AU66" i="22"/>
  <c r="AU65" i="22"/>
  <c r="AU64" i="22"/>
  <c r="AU63" i="22"/>
  <c r="AU62" i="22"/>
  <c r="AU56" i="22"/>
  <c r="AU55" i="22"/>
  <c r="AU54" i="22"/>
  <c r="AU53" i="22"/>
  <c r="AU52" i="22"/>
  <c r="AU51" i="22"/>
  <c r="AU45" i="22"/>
  <c r="AU43" i="22"/>
  <c r="AU41" i="22"/>
  <c r="AU39" i="22"/>
  <c r="AU35" i="22"/>
  <c r="AU33" i="22"/>
  <c r="AU29" i="22"/>
  <c r="AU28" i="22"/>
  <c r="AU27" i="22"/>
  <c r="AU24" i="22"/>
  <c r="AU20" i="22"/>
  <c r="AU19" i="22"/>
  <c r="AU18" i="22"/>
  <c r="AU17" i="22"/>
  <c r="AU13" i="22"/>
  <c r="AT221" i="22"/>
  <c r="AT219" i="22"/>
  <c r="AT216" i="22"/>
  <c r="AT214" i="22"/>
  <c r="AT212" i="22"/>
  <c r="AT210" i="22"/>
  <c r="AT207" i="22"/>
  <c r="AT204" i="22"/>
  <c r="AT200" i="22"/>
  <c r="AT199" i="22"/>
  <c r="AT198" i="22"/>
  <c r="AT184" i="22"/>
  <c r="AT182" i="22"/>
  <c r="AT180" i="22"/>
  <c r="AT176" i="22"/>
  <c r="AT172" i="22"/>
  <c r="AT171" i="22"/>
  <c r="AT168" i="22"/>
  <c r="AT165" i="22"/>
  <c r="AT159" i="22"/>
  <c r="AT156" i="22"/>
  <c r="AT155" i="22"/>
  <c r="AT150" i="22"/>
  <c r="AT148" i="22"/>
  <c r="AT146" i="22"/>
  <c r="AT144" i="22"/>
  <c r="AT139" i="22"/>
  <c r="AT138" i="22"/>
  <c r="AT137" i="22"/>
  <c r="AT126" i="22"/>
  <c r="AT124" i="22"/>
  <c r="AT121" i="22"/>
  <c r="AT119" i="22"/>
  <c r="AT115" i="22"/>
  <c r="AT114" i="22"/>
  <c r="AT113" i="22"/>
  <c r="AT111" i="22"/>
  <c r="AT110" i="22"/>
  <c r="AT107" i="22"/>
  <c r="AT104" i="22"/>
  <c r="AT101" i="22"/>
  <c r="AT96" i="22"/>
  <c r="AT94" i="22"/>
  <c r="AT92" i="22"/>
  <c r="AT90" i="22"/>
  <c r="AT88" i="22"/>
  <c r="AT84" i="22"/>
  <c r="AT83" i="22"/>
  <c r="AT82" i="22"/>
  <c r="AT78" i="22"/>
  <c r="AT72" i="22"/>
  <c r="AT70" i="22"/>
  <c r="AT67" i="22"/>
  <c r="AT66" i="22"/>
  <c r="AT65" i="22"/>
  <c r="AT64" i="22"/>
  <c r="AT63" i="22"/>
  <c r="AT62" i="22"/>
  <c r="AT56" i="22"/>
  <c r="AT55" i="22"/>
  <c r="AT54" i="22"/>
  <c r="AT53" i="22"/>
  <c r="AT52" i="22"/>
  <c r="AT45" i="22"/>
  <c r="AT43" i="22"/>
  <c r="AT41" i="22"/>
  <c r="AT39" i="22"/>
  <c r="AT35" i="22"/>
  <c r="AT33" i="22"/>
  <c r="AT29" i="22"/>
  <c r="AT28" i="22"/>
  <c r="AT27" i="22"/>
  <c r="AT24" i="22"/>
  <c r="AT20" i="22"/>
  <c r="AT19" i="22"/>
  <c r="AT18" i="22"/>
  <c r="AT17" i="22"/>
  <c r="AT13" i="22"/>
  <c r="AS221" i="22"/>
  <c r="AS219" i="22"/>
  <c r="AS216" i="22"/>
  <c r="AS214" i="22"/>
  <c r="AS212" i="22"/>
  <c r="AS210" i="22"/>
  <c r="AS207" i="22"/>
  <c r="AS204" i="22"/>
  <c r="AS200" i="22"/>
  <c r="AS199" i="22"/>
  <c r="AS198" i="22"/>
  <c r="AS184" i="22"/>
  <c r="AS182" i="22"/>
  <c r="AS180" i="22"/>
  <c r="AS176" i="22"/>
  <c r="AS172" i="22"/>
  <c r="AS171" i="22"/>
  <c r="AS168" i="22"/>
  <c r="AS165" i="22"/>
  <c r="AS159" i="22"/>
  <c r="AS156" i="22"/>
  <c r="AS155" i="22"/>
  <c r="AS150" i="22"/>
  <c r="AS148" i="22"/>
  <c r="AS146" i="22"/>
  <c r="AS144" i="22"/>
  <c r="AS139" i="22"/>
  <c r="AS138" i="22"/>
  <c r="AS137" i="22"/>
  <c r="AS126" i="22"/>
  <c r="AS124" i="22"/>
  <c r="AS121" i="22"/>
  <c r="AS119" i="22"/>
  <c r="AS115" i="22"/>
  <c r="AS114" i="22"/>
  <c r="AS113" i="22"/>
  <c r="AS111" i="22"/>
  <c r="AS110" i="22"/>
  <c r="AS107" i="22"/>
  <c r="AS104" i="22"/>
  <c r="AS101" i="22"/>
  <c r="AS96" i="22"/>
  <c r="AS94" i="22"/>
  <c r="AS92" i="22"/>
  <c r="AS90" i="22"/>
  <c r="AS88" i="22"/>
  <c r="AS84" i="22"/>
  <c r="AS83" i="22"/>
  <c r="AS82" i="22"/>
  <c r="AS78" i="22"/>
  <c r="AS72" i="22"/>
  <c r="AS70" i="22"/>
  <c r="AS67" i="22"/>
  <c r="AS66" i="22"/>
  <c r="AS65" i="22"/>
  <c r="AS64" i="22"/>
  <c r="AS63" i="22"/>
  <c r="AS62" i="22"/>
  <c r="AS56" i="22"/>
  <c r="AS55" i="22"/>
  <c r="AS54" i="22"/>
  <c r="AS53" i="22"/>
  <c r="AS52" i="22"/>
  <c r="AS45" i="22"/>
  <c r="AS43" i="22"/>
  <c r="AS41" i="22"/>
  <c r="AS39" i="22"/>
  <c r="AS35" i="22"/>
  <c r="AS33" i="22"/>
  <c r="AS29" i="22"/>
  <c r="AS28" i="22"/>
  <c r="AS27" i="22"/>
  <c r="AS24" i="22"/>
  <c r="AS20" i="22"/>
  <c r="AS19" i="22"/>
  <c r="AS18" i="22"/>
  <c r="AS17" i="22"/>
  <c r="AS13" i="22"/>
  <c r="AR221" i="22"/>
  <c r="AR219" i="22"/>
  <c r="AR216" i="22"/>
  <c r="AR214" i="22"/>
  <c r="AR212" i="22"/>
  <c r="AR210" i="22"/>
  <c r="AR207" i="22"/>
  <c r="AR204" i="22"/>
  <c r="AR200" i="22"/>
  <c r="AR199" i="22"/>
  <c r="AR198" i="22"/>
  <c r="AR184" i="22"/>
  <c r="AR182" i="22"/>
  <c r="AR180" i="22"/>
  <c r="AR176" i="22"/>
  <c r="AR172" i="22"/>
  <c r="AR171" i="22"/>
  <c r="AR168" i="22"/>
  <c r="AR165" i="22"/>
  <c r="AR159" i="22"/>
  <c r="AR156" i="22"/>
  <c r="AR155" i="22"/>
  <c r="AR150" i="22"/>
  <c r="AR148" i="22"/>
  <c r="AR146" i="22"/>
  <c r="AR144" i="22"/>
  <c r="AR139" i="22"/>
  <c r="AR138" i="22"/>
  <c r="AR137" i="22"/>
  <c r="AR126" i="22"/>
  <c r="AR124" i="22"/>
  <c r="AR121" i="22"/>
  <c r="AR119" i="22"/>
  <c r="AR115" i="22"/>
  <c r="AR114" i="22"/>
  <c r="AR113" i="22"/>
  <c r="AR111" i="22"/>
  <c r="AR110" i="22"/>
  <c r="AR107" i="22"/>
  <c r="AR104" i="22"/>
  <c r="AR101" i="22"/>
  <c r="AR96" i="22"/>
  <c r="AR94" i="22"/>
  <c r="AR92" i="22"/>
  <c r="AR90" i="22"/>
  <c r="AR88" i="22"/>
  <c r="AR84" i="22"/>
  <c r="AR83" i="22"/>
  <c r="AR82" i="22"/>
  <c r="AR78" i="22"/>
  <c r="AR72" i="22"/>
  <c r="AR70" i="22"/>
  <c r="AR67" i="22"/>
  <c r="AR66" i="22"/>
  <c r="AR65" i="22"/>
  <c r="AR64" i="22"/>
  <c r="AR63" i="22"/>
  <c r="AR62" i="22"/>
  <c r="AR56" i="22"/>
  <c r="AR54" i="22"/>
  <c r="AR53" i="22"/>
  <c r="AR52" i="22"/>
  <c r="AR45" i="22"/>
  <c r="AR43" i="22"/>
  <c r="AR41" i="22"/>
  <c r="AR39" i="22"/>
  <c r="AR35" i="22"/>
  <c r="AR33" i="22"/>
  <c r="AR29" i="22"/>
  <c r="AR28" i="22"/>
  <c r="AR27" i="22"/>
  <c r="AR24" i="22"/>
  <c r="AR20" i="22"/>
  <c r="AR19" i="22"/>
  <c r="AR18" i="22"/>
  <c r="AR17" i="22"/>
  <c r="AR13" i="22"/>
  <c r="AQ221" i="22"/>
  <c r="AQ219" i="22"/>
  <c r="AQ216" i="22"/>
  <c r="AQ214" i="22"/>
  <c r="AQ212" i="22"/>
  <c r="AQ210" i="22"/>
  <c r="AQ207" i="22"/>
  <c r="AQ204" i="22"/>
  <c r="AQ200" i="22"/>
  <c r="AQ199" i="22"/>
  <c r="AQ198" i="22"/>
  <c r="AQ184" i="22"/>
  <c r="AQ182" i="22"/>
  <c r="AQ180" i="22"/>
  <c r="AQ176" i="22"/>
  <c r="AQ172" i="22"/>
  <c r="AQ171" i="22"/>
  <c r="AQ168" i="22"/>
  <c r="AQ165" i="22"/>
  <c r="AQ159" i="22"/>
  <c r="AQ156" i="22"/>
  <c r="AQ155" i="22"/>
  <c r="AQ150" i="22"/>
  <c r="AQ148" i="22"/>
  <c r="AQ146" i="22"/>
  <c r="AQ144" i="22"/>
  <c r="AQ139" i="22"/>
  <c r="AQ138" i="22"/>
  <c r="AQ137" i="22"/>
  <c r="AQ126" i="22"/>
  <c r="AQ124" i="22"/>
  <c r="AQ121" i="22"/>
  <c r="AQ119" i="22"/>
  <c r="AQ115" i="22"/>
  <c r="AQ114" i="22"/>
  <c r="AQ113" i="22"/>
  <c r="AQ111" i="22"/>
  <c r="AQ110" i="22"/>
  <c r="AQ107" i="22"/>
  <c r="AQ104" i="22"/>
  <c r="AQ101" i="22"/>
  <c r="AQ96" i="22"/>
  <c r="AQ94" i="22"/>
  <c r="AQ92" i="22"/>
  <c r="AQ90" i="22"/>
  <c r="AQ88" i="22"/>
  <c r="AQ84" i="22"/>
  <c r="AQ83" i="22"/>
  <c r="AQ82" i="22"/>
  <c r="AQ78" i="22"/>
  <c r="AQ72" i="22"/>
  <c r="AQ70" i="22"/>
  <c r="AQ67" i="22"/>
  <c r="AQ66" i="22"/>
  <c r="AQ65" i="22"/>
  <c r="AQ64" i="22"/>
  <c r="AQ63" i="22"/>
  <c r="AQ62" i="22"/>
  <c r="AQ54" i="22"/>
  <c r="AQ53" i="22"/>
  <c r="AQ52" i="22"/>
  <c r="AQ45" i="22"/>
  <c r="AQ43" i="22"/>
  <c r="AQ41" i="22"/>
  <c r="AQ35" i="22"/>
  <c r="AQ33" i="22"/>
  <c r="AQ29" i="22"/>
  <c r="AQ28" i="22"/>
  <c r="AQ27" i="22"/>
  <c r="AQ24" i="22"/>
  <c r="AQ20" i="22"/>
  <c r="AQ19" i="22"/>
  <c r="AQ18" i="22"/>
  <c r="AQ17" i="22"/>
  <c r="AQ13" i="22"/>
  <c r="AP221" i="22"/>
  <c r="AP219" i="22"/>
  <c r="AP216" i="22"/>
  <c r="AP214" i="22"/>
  <c r="AP212" i="22"/>
  <c r="AP210" i="22"/>
  <c r="AP207" i="22"/>
  <c r="AP204" i="22"/>
  <c r="AP200" i="22"/>
  <c r="AP199" i="22"/>
  <c r="AP198" i="22"/>
  <c r="AP184" i="22"/>
  <c r="AP182" i="22"/>
  <c r="AP180" i="22"/>
  <c r="AP176" i="22"/>
  <c r="AP172" i="22"/>
  <c r="AP171" i="22"/>
  <c r="AP168" i="22"/>
  <c r="AP165" i="22"/>
  <c r="AP159" i="22"/>
  <c r="AP156" i="22"/>
  <c r="AP155" i="22"/>
  <c r="AP150" i="22"/>
  <c r="AP148" i="22"/>
  <c r="AP146" i="22"/>
  <c r="AP144" i="22"/>
  <c r="AP139" i="22"/>
  <c r="AP138" i="22"/>
  <c r="AP137" i="22"/>
  <c r="AP126" i="22"/>
  <c r="AP124" i="22"/>
  <c r="AP121" i="22"/>
  <c r="AP119" i="22"/>
  <c r="AP115" i="22"/>
  <c r="AP114" i="22"/>
  <c r="AP113" i="22"/>
  <c r="AP111" i="22"/>
  <c r="AP110" i="22"/>
  <c r="AP107" i="22"/>
  <c r="AP104" i="22"/>
  <c r="AP101" i="22"/>
  <c r="AP96" i="22"/>
  <c r="AP94" i="22"/>
  <c r="AP92" i="22"/>
  <c r="AP90" i="22"/>
  <c r="AP88" i="22"/>
  <c r="AP84" i="22"/>
  <c r="AP83" i="22"/>
  <c r="AP82" i="22"/>
  <c r="AP78" i="22"/>
  <c r="AP72" i="22"/>
  <c r="AP70" i="22"/>
  <c r="AP67" i="22"/>
  <c r="AP66" i="22"/>
  <c r="AP65" i="22"/>
  <c r="AP64" i="22"/>
  <c r="AP63" i="22"/>
  <c r="AP62" i="22"/>
  <c r="AP54" i="22"/>
  <c r="AP53" i="22"/>
  <c r="AP52" i="22"/>
  <c r="AP45" i="22"/>
  <c r="AP43" i="22"/>
  <c r="AP41" i="22"/>
  <c r="AP35" i="22"/>
  <c r="AP33" i="22"/>
  <c r="AP29" i="22"/>
  <c r="AP28" i="22"/>
  <c r="AP27" i="22"/>
  <c r="AP24" i="22"/>
  <c r="AP20" i="22"/>
  <c r="AP19" i="22"/>
  <c r="AP18" i="22"/>
  <c r="AP17" i="22"/>
  <c r="AP13" i="22"/>
  <c r="AO221" i="22"/>
  <c r="AO219" i="22"/>
  <c r="AO216" i="22"/>
  <c r="AO214" i="22"/>
  <c r="AO212" i="22"/>
  <c r="AO210" i="22"/>
  <c r="AO207" i="22"/>
  <c r="AO204" i="22"/>
  <c r="AO200" i="22"/>
  <c r="AO199" i="22"/>
  <c r="AO198" i="22"/>
  <c r="AO184" i="22"/>
  <c r="AO182" i="22"/>
  <c r="AO180" i="22"/>
  <c r="AO176" i="22"/>
  <c r="AO172" i="22"/>
  <c r="AO171" i="22"/>
  <c r="AO168" i="22"/>
  <c r="AO165" i="22"/>
  <c r="AO159" i="22"/>
  <c r="AO156" i="22"/>
  <c r="AO155" i="22"/>
  <c r="AO150" i="22"/>
  <c r="AO148" i="22"/>
  <c r="AO146" i="22"/>
  <c r="AO144" i="22"/>
  <c r="AO139" i="22"/>
  <c r="AO138" i="22"/>
  <c r="AO137" i="22"/>
  <c r="AO126" i="22"/>
  <c r="AO124" i="22"/>
  <c r="AO121" i="22"/>
  <c r="AO119" i="22"/>
  <c r="AO115" i="22"/>
  <c r="AO114" i="22"/>
  <c r="AO113" i="22"/>
  <c r="AO111" i="22"/>
  <c r="AO110" i="22"/>
  <c r="AO107" i="22"/>
  <c r="AO104" i="22"/>
  <c r="AO101" i="22"/>
  <c r="AO96" i="22"/>
  <c r="AO94" i="22"/>
  <c r="AO92" i="22"/>
  <c r="AO90" i="22"/>
  <c r="AO88" i="22"/>
  <c r="AO84" i="22"/>
  <c r="AO83" i="22"/>
  <c r="AO82" i="22"/>
  <c r="AO78" i="22"/>
  <c r="AO72" i="22"/>
  <c r="AO70" i="22"/>
  <c r="AO67" i="22"/>
  <c r="AO66" i="22"/>
  <c r="AO65" i="22"/>
  <c r="AO63" i="22"/>
  <c r="AO62" i="22"/>
  <c r="AO54" i="22"/>
  <c r="AO53" i="22"/>
  <c r="AO52" i="22"/>
  <c r="AO45" i="22"/>
  <c r="AO43" i="22"/>
  <c r="AO41" i="22"/>
  <c r="AO35" i="22"/>
  <c r="AO33" i="22"/>
  <c r="AO29" i="22"/>
  <c r="AO28" i="22"/>
  <c r="AO27" i="22"/>
  <c r="AO24" i="22"/>
  <c r="AO20" i="22"/>
  <c r="AO19" i="22"/>
  <c r="AO18" i="22"/>
  <c r="AO17" i="22"/>
  <c r="AO13" i="22"/>
  <c r="AN221" i="22"/>
  <c r="AN219" i="22"/>
  <c r="AN216" i="22"/>
  <c r="AN214" i="22"/>
  <c r="AN212" i="22"/>
  <c r="AN210" i="22"/>
  <c r="AN207" i="22"/>
  <c r="AN204" i="22"/>
  <c r="AN200" i="22"/>
  <c r="AN199" i="22"/>
  <c r="AN198" i="22"/>
  <c r="AN184" i="22"/>
  <c r="AN182" i="22"/>
  <c r="AN180" i="22"/>
  <c r="AN176" i="22"/>
  <c r="AN172" i="22"/>
  <c r="AN171" i="22"/>
  <c r="AN168" i="22"/>
  <c r="AN165" i="22"/>
  <c r="AN159" i="22"/>
  <c r="AN156" i="22"/>
  <c r="AN155" i="22"/>
  <c r="AN150" i="22"/>
  <c r="AN148" i="22"/>
  <c r="AN146" i="22"/>
  <c r="AN144" i="22"/>
  <c r="AN139" i="22"/>
  <c r="AN138" i="22"/>
  <c r="AN137" i="22"/>
  <c r="AN126" i="22"/>
  <c r="AN124" i="22"/>
  <c r="AN121" i="22"/>
  <c r="AN119" i="22"/>
  <c r="AN115" i="22"/>
  <c r="AN114" i="22"/>
  <c r="AN113" i="22"/>
  <c r="AN111" i="22"/>
  <c r="AN110" i="22"/>
  <c r="AN107" i="22"/>
  <c r="AN101" i="22"/>
  <c r="AN96" i="22"/>
  <c r="AN94" i="22"/>
  <c r="AN92" i="22"/>
  <c r="AN90" i="22"/>
  <c r="AN88" i="22"/>
  <c r="AN84" i="22"/>
  <c r="AN83" i="22"/>
  <c r="AN82" i="22"/>
  <c r="AN78" i="22"/>
  <c r="AN72" i="22"/>
  <c r="AN70" i="22"/>
  <c r="AN67" i="22"/>
  <c r="AN66" i="22"/>
  <c r="AN65" i="22"/>
  <c r="AN63" i="22"/>
  <c r="AN62" i="22"/>
  <c r="AN54" i="22"/>
  <c r="AN53" i="22"/>
  <c r="AN52" i="22"/>
  <c r="AN45" i="22"/>
  <c r="AN43" i="22"/>
  <c r="AN41" i="22"/>
  <c r="AN35" i="22"/>
  <c r="AN33" i="22"/>
  <c r="AN29" i="22"/>
  <c r="AN27" i="22"/>
  <c r="AN24" i="22"/>
  <c r="AN20" i="22"/>
  <c r="AN19" i="22"/>
  <c r="AN18" i="22"/>
  <c r="AN17" i="22"/>
  <c r="AN13" i="22"/>
  <c r="AM221" i="22"/>
  <c r="AM219" i="22"/>
  <c r="AM216" i="22"/>
  <c r="AM214" i="22"/>
  <c r="AM212" i="22"/>
  <c r="AM210" i="22"/>
  <c r="AM207" i="22"/>
  <c r="AM204" i="22"/>
  <c r="AM200" i="22"/>
  <c r="AM199" i="22"/>
  <c r="AM198" i="22"/>
  <c r="AM184" i="22"/>
  <c r="AM182" i="22"/>
  <c r="AM180" i="22"/>
  <c r="AM176" i="22"/>
  <c r="AM172" i="22"/>
  <c r="AM171" i="22"/>
  <c r="AM168" i="22"/>
  <c r="AM165" i="22"/>
  <c r="AM159" i="22"/>
  <c r="AM156" i="22"/>
  <c r="AM155" i="22"/>
  <c r="AM150" i="22"/>
  <c r="AM148" i="22"/>
  <c r="AM146" i="22"/>
  <c r="AM144" i="22"/>
  <c r="AM139" i="22"/>
  <c r="AM138" i="22"/>
  <c r="AM137" i="22"/>
  <c r="AM126" i="22"/>
  <c r="AM124" i="22"/>
  <c r="AM121" i="22"/>
  <c r="AM119" i="22"/>
  <c r="AM115" i="22"/>
  <c r="AM114" i="22"/>
  <c r="AM113" i="22"/>
  <c r="AM111" i="22"/>
  <c r="AM110" i="22"/>
  <c r="AM107" i="22"/>
  <c r="AM101" i="22"/>
  <c r="AM96" i="22"/>
  <c r="AM94" i="22"/>
  <c r="AM92" i="22"/>
  <c r="AM90" i="22"/>
  <c r="AM88" i="22"/>
  <c r="AM84" i="22"/>
  <c r="AM83" i="22"/>
  <c r="AM82" i="22"/>
  <c r="AM78" i="22"/>
  <c r="AM72" i="22"/>
  <c r="AM70" i="22"/>
  <c r="AM67" i="22"/>
  <c r="AM66" i="22"/>
  <c r="AM65" i="22"/>
  <c r="AM63" i="22"/>
  <c r="AM62" i="22"/>
  <c r="AM54" i="22"/>
  <c r="AM53" i="22"/>
  <c r="AM52" i="22"/>
  <c r="AM45" i="22"/>
  <c r="AM41" i="22"/>
  <c r="AM35" i="22"/>
  <c r="AM33" i="22"/>
  <c r="AM29" i="22"/>
  <c r="AM27" i="22"/>
  <c r="AM24" i="22"/>
  <c r="AM20" i="22"/>
  <c r="AM19" i="22"/>
  <c r="AM18" i="22"/>
  <c r="AM17" i="22"/>
  <c r="AM13" i="22"/>
  <c r="AL221" i="22"/>
  <c r="AL219" i="22"/>
  <c r="AL216" i="22"/>
  <c r="AL214" i="22"/>
  <c r="AL212" i="22"/>
  <c r="AL210" i="22"/>
  <c r="AL207" i="22"/>
  <c r="AL204" i="22"/>
  <c r="AL200" i="22"/>
  <c r="AL199" i="22"/>
  <c r="AL198" i="22"/>
  <c r="AL186" i="22"/>
  <c r="AL184" i="22"/>
  <c r="AL182" i="22"/>
  <c r="AL180" i="22"/>
  <c r="AL176" i="22"/>
  <c r="AL172" i="22"/>
  <c r="AL171" i="22"/>
  <c r="AL168" i="22"/>
  <c r="AL165" i="22"/>
  <c r="AL159" i="22"/>
  <c r="AL156" i="22"/>
  <c r="AL155" i="22"/>
  <c r="AL150" i="22"/>
  <c r="AL148" i="22"/>
  <c r="AL146" i="22"/>
  <c r="AL144" i="22"/>
  <c r="AL139" i="22"/>
  <c r="AL138" i="22"/>
  <c r="AL137" i="22"/>
  <c r="AL126" i="22"/>
  <c r="AL124" i="22"/>
  <c r="AL121" i="22"/>
  <c r="AL119" i="22"/>
  <c r="AL115" i="22"/>
  <c r="AL114" i="22"/>
  <c r="AL113" i="22"/>
  <c r="AL111" i="22"/>
  <c r="AL110" i="22"/>
  <c r="AL107" i="22"/>
  <c r="AL101" i="22"/>
  <c r="AL96" i="22"/>
  <c r="AL94" i="22"/>
  <c r="AL92" i="22"/>
  <c r="AL90" i="22"/>
  <c r="AL88" i="22"/>
  <c r="AL84" i="22"/>
  <c r="AL83" i="22"/>
  <c r="AL82" i="22"/>
  <c r="AL81" i="22"/>
  <c r="AL78" i="22"/>
  <c r="AL72" i="22"/>
  <c r="AL70" i="22"/>
  <c r="AL67" i="22"/>
  <c r="AL66" i="22"/>
  <c r="AL65" i="22"/>
  <c r="AL63" i="22"/>
  <c r="AL62" i="22"/>
  <c r="AL54" i="22"/>
  <c r="AL53" i="22"/>
  <c r="AL52" i="22"/>
  <c r="AL45" i="22"/>
  <c r="AL41" i="22"/>
  <c r="AL35" i="22"/>
  <c r="AL33" i="22"/>
  <c r="AL29" i="22"/>
  <c r="AL27" i="22"/>
  <c r="AL24" i="22"/>
  <c r="AL20" i="22"/>
  <c r="AL19" i="22"/>
  <c r="AL18" i="22"/>
  <c r="AL17" i="22"/>
  <c r="AL13" i="22"/>
  <c r="AK221" i="22"/>
  <c r="AK219" i="22"/>
  <c r="AK216" i="22"/>
  <c r="AK214" i="22"/>
  <c r="AK212" i="22"/>
  <c r="AK210" i="22"/>
  <c r="AK207" i="22"/>
  <c r="AK204" i="22"/>
  <c r="AK200" i="22"/>
  <c r="AK199" i="22"/>
  <c r="AK198" i="22"/>
  <c r="AK186" i="22"/>
  <c r="AK184" i="22"/>
  <c r="AK182" i="22"/>
  <c r="AK180" i="22"/>
  <c r="AK176" i="22"/>
  <c r="AK172" i="22"/>
  <c r="AK171" i="22"/>
  <c r="AK168" i="22"/>
  <c r="AK165" i="22"/>
  <c r="AK159" i="22"/>
  <c r="AK156" i="22"/>
  <c r="AK155" i="22"/>
  <c r="AK150" i="22"/>
  <c r="AK148" i="22"/>
  <c r="AK146" i="22"/>
  <c r="AK144" i="22"/>
  <c r="AK139" i="22"/>
  <c r="AK138" i="22"/>
  <c r="AK137" i="22"/>
  <c r="AK126" i="22"/>
  <c r="AK124" i="22"/>
  <c r="AK121" i="22"/>
  <c r="AK119" i="22"/>
  <c r="AK115" i="22"/>
  <c r="AK114" i="22"/>
  <c r="AK113" i="22"/>
  <c r="AK111" i="22"/>
  <c r="AK110" i="22"/>
  <c r="AK107" i="22"/>
  <c r="AK101" i="22"/>
  <c r="AK96" i="22"/>
  <c r="AK94" i="22"/>
  <c r="AK92" i="22"/>
  <c r="AK90" i="22"/>
  <c r="AK84" i="22"/>
  <c r="AK83" i="22"/>
  <c r="AK82" i="22"/>
  <c r="AK81" i="22"/>
  <c r="AK78" i="22"/>
  <c r="AK72" i="22"/>
  <c r="AK67" i="22"/>
  <c r="AK66" i="22"/>
  <c r="AK65" i="22"/>
  <c r="AK63" i="22"/>
  <c r="AK62" i="22"/>
  <c r="AK54" i="22"/>
  <c r="AK53" i="22"/>
  <c r="AK52" i="22"/>
  <c r="AK45" i="22"/>
  <c r="AK41" i="22"/>
  <c r="AK35" i="22"/>
  <c r="AK33" i="22"/>
  <c r="AK29" i="22"/>
  <c r="AK27" i="22"/>
  <c r="AK24" i="22"/>
  <c r="AK19" i="22"/>
  <c r="AK18" i="22"/>
  <c r="AK17" i="22"/>
  <c r="AK13" i="22"/>
  <c r="AJ221" i="22"/>
  <c r="AJ219" i="22"/>
  <c r="AJ216" i="22"/>
  <c r="AJ214" i="22"/>
  <c r="AJ212" i="22"/>
  <c r="AJ210" i="22"/>
  <c r="AJ207" i="22"/>
  <c r="AJ204" i="22"/>
  <c r="AJ200" i="22"/>
  <c r="AJ199" i="22"/>
  <c r="AJ198" i="22"/>
  <c r="AJ186" i="22"/>
  <c r="AJ184" i="22"/>
  <c r="AJ182" i="22"/>
  <c r="AJ180" i="22"/>
  <c r="AJ176" i="22"/>
  <c r="AJ172" i="22"/>
  <c r="AJ171" i="22"/>
  <c r="AJ168" i="22"/>
  <c r="AJ165" i="22"/>
  <c r="AJ159" i="22"/>
  <c r="AJ156" i="22"/>
  <c r="AJ155" i="22"/>
  <c r="AJ150" i="22"/>
  <c r="AJ148" i="22"/>
  <c r="AJ146" i="22"/>
  <c r="AJ144" i="22"/>
  <c r="AJ139" i="22"/>
  <c r="AJ138" i="22"/>
  <c r="AJ137" i="22"/>
  <c r="AJ126" i="22"/>
  <c r="AJ124" i="22"/>
  <c r="AJ121" i="22"/>
  <c r="AJ119" i="22"/>
  <c r="AJ114" i="22"/>
  <c r="AJ113" i="22"/>
  <c r="AJ111" i="22"/>
  <c r="AJ110" i="22"/>
  <c r="AJ107" i="22"/>
  <c r="AJ101" i="22"/>
  <c r="AJ96" i="22"/>
  <c r="AJ94" i="22"/>
  <c r="AJ92" i="22"/>
  <c r="AJ90" i="22"/>
  <c r="AJ84" i="22"/>
  <c r="AJ83" i="22"/>
  <c r="AJ82" i="22"/>
  <c r="AJ81" i="22"/>
  <c r="AJ78" i="22"/>
  <c r="AJ72" i="22"/>
  <c r="AJ67" i="22"/>
  <c r="AJ66" i="22"/>
  <c r="AJ65" i="22"/>
  <c r="AJ63" i="22"/>
  <c r="AJ62" i="22"/>
  <c r="AJ54" i="22"/>
  <c r="AJ53" i="22"/>
  <c r="AJ52" i="22"/>
  <c r="AJ45" i="22"/>
  <c r="AJ41" i="22"/>
  <c r="AJ35" i="22"/>
  <c r="AJ33" i="22"/>
  <c r="AJ29" i="22"/>
  <c r="AJ27" i="22"/>
  <c r="AJ24" i="22"/>
  <c r="AJ19" i="22"/>
  <c r="AJ18" i="22"/>
  <c r="AJ17" i="22"/>
  <c r="AJ13" i="22"/>
  <c r="AI221" i="22"/>
  <c r="AI219" i="22"/>
  <c r="AI216" i="22"/>
  <c r="AI214" i="22"/>
  <c r="AI212" i="22"/>
  <c r="AI210" i="22"/>
  <c r="AI207" i="22"/>
  <c r="AI204" i="22"/>
  <c r="AI200" i="22"/>
  <c r="AI199" i="22"/>
  <c r="AI198" i="22"/>
  <c r="AI186" i="22"/>
  <c r="AI184" i="22"/>
  <c r="AI182" i="22"/>
  <c r="AI180" i="22"/>
  <c r="AI176" i="22"/>
  <c r="AI172" i="22"/>
  <c r="AI171" i="22"/>
  <c r="AI168" i="22"/>
  <c r="AI165" i="22"/>
  <c r="AI159" i="22"/>
  <c r="AI156" i="22"/>
  <c r="AI155" i="22"/>
  <c r="AI150" i="22"/>
  <c r="AI148" i="22"/>
  <c r="AI146" i="22"/>
  <c r="AI144" i="22"/>
  <c r="AI139" i="22"/>
  <c r="AI138" i="22"/>
  <c r="AI137" i="22"/>
  <c r="AI126" i="22"/>
  <c r="AI124" i="22"/>
  <c r="AI121" i="22"/>
  <c r="AI119" i="22"/>
  <c r="AI114" i="22"/>
  <c r="AI113" i="22"/>
  <c r="AI111" i="22"/>
  <c r="AI110" i="22"/>
  <c r="AI107" i="22"/>
  <c r="AI101" i="22"/>
  <c r="AI96" i="22"/>
  <c r="AI94" i="22"/>
  <c r="AI92" i="22"/>
  <c r="AI90" i="22"/>
  <c r="AI84" i="22"/>
  <c r="AI83" i="22"/>
  <c r="AI82" i="22"/>
  <c r="AI81" i="22"/>
  <c r="AI78" i="22"/>
  <c r="AI72" i="22"/>
  <c r="AI67" i="22"/>
  <c r="AI66" i="22"/>
  <c r="AI65" i="22"/>
  <c r="AI63" i="22"/>
  <c r="AI62" i="22"/>
  <c r="AI54" i="22"/>
  <c r="AI53" i="22"/>
  <c r="AI52" i="22"/>
  <c r="AI45" i="22"/>
  <c r="AI41" i="22"/>
  <c r="AI35" i="22"/>
  <c r="AI33" i="22"/>
  <c r="AI27" i="22"/>
  <c r="AI24" i="22"/>
  <c r="AI19" i="22"/>
  <c r="AI18" i="22"/>
  <c r="AI17" i="22"/>
  <c r="AI13" i="22"/>
  <c r="AH221" i="22"/>
  <c r="AH219" i="22"/>
  <c r="AH216" i="22"/>
  <c r="AH214" i="22"/>
  <c r="AH212" i="22"/>
  <c r="AH210" i="22"/>
  <c r="AH207" i="22"/>
  <c r="AH204" i="22"/>
  <c r="AH200" i="22"/>
  <c r="AH199" i="22"/>
  <c r="AH198" i="22"/>
  <c r="AH186" i="22"/>
  <c r="AH184" i="22"/>
  <c r="AH182" i="22"/>
  <c r="AH180" i="22"/>
  <c r="AH176" i="22"/>
  <c r="AH172" i="22"/>
  <c r="AH171" i="22"/>
  <c r="AH168" i="22"/>
  <c r="AH165" i="22"/>
  <c r="AH159" i="22"/>
  <c r="AH156" i="22"/>
  <c r="AH155" i="22"/>
  <c r="AH150" i="22"/>
  <c r="AH148" i="22"/>
  <c r="AH146" i="22"/>
  <c r="AH144" i="22"/>
  <c r="AH139" i="22"/>
  <c r="AH138" i="22"/>
  <c r="AH137" i="22"/>
  <c r="AH126" i="22"/>
  <c r="AH124" i="22"/>
  <c r="AH121" i="22"/>
  <c r="AH119" i="22"/>
  <c r="AH114" i="22"/>
  <c r="AH111" i="22"/>
  <c r="AH110" i="22"/>
  <c r="AH107" i="22"/>
  <c r="AH101" i="22"/>
  <c r="AH96" i="22"/>
  <c r="AH94" i="22"/>
  <c r="AH92" i="22"/>
  <c r="AH90" i="22"/>
  <c r="AH84" i="22"/>
  <c r="AH83" i="22"/>
  <c r="AH82" i="22"/>
  <c r="AH81" i="22"/>
  <c r="AH78" i="22"/>
  <c r="AH72" i="22"/>
  <c r="AH67" i="22"/>
  <c r="AH66" i="22"/>
  <c r="AH65" i="22"/>
  <c r="AH63" i="22"/>
  <c r="AH62" i="22"/>
  <c r="AH54" i="22"/>
  <c r="AH53" i="22"/>
  <c r="AH52" i="22"/>
  <c r="AH45" i="22"/>
  <c r="AH41" i="22"/>
  <c r="AH35" i="22"/>
  <c r="AH33" i="22"/>
  <c r="AH27" i="22"/>
  <c r="AH24" i="22"/>
  <c r="AH19" i="22"/>
  <c r="AH18" i="22"/>
  <c r="AH17" i="22"/>
  <c r="AH13" i="22"/>
  <c r="AG221" i="22"/>
  <c r="AG219" i="22"/>
  <c r="AG216" i="22"/>
  <c r="AG214" i="22"/>
  <c r="AG212" i="22"/>
  <c r="AG210" i="22"/>
  <c r="AG207" i="22"/>
  <c r="AG204" i="22"/>
  <c r="AG200" i="22"/>
  <c r="AG199" i="22"/>
  <c r="AG198" i="22"/>
  <c r="AG186" i="22"/>
  <c r="AG184" i="22"/>
  <c r="AG182" i="22"/>
  <c r="AG180" i="22"/>
  <c r="AG176" i="22"/>
  <c r="AG172" i="22"/>
  <c r="AG171" i="22"/>
  <c r="AG168" i="22"/>
  <c r="AG165" i="22"/>
  <c r="AG159" i="22"/>
  <c r="AG156" i="22"/>
  <c r="AG155" i="22"/>
  <c r="AG150" i="22"/>
  <c r="AG148" i="22"/>
  <c r="AG146" i="22"/>
  <c r="AG144" i="22"/>
  <c r="AG139" i="22"/>
  <c r="AG138" i="22"/>
  <c r="AG137" i="22"/>
  <c r="AG126" i="22"/>
  <c r="AG124" i="22"/>
  <c r="AG121" i="22"/>
  <c r="AG119" i="22"/>
  <c r="AG114" i="22"/>
  <c r="AG111" i="22"/>
  <c r="AG110" i="22"/>
  <c r="AG107" i="22"/>
  <c r="AG101" i="22"/>
  <c r="AG96" i="22"/>
  <c r="AG94" i="22"/>
  <c r="AG92" i="22"/>
  <c r="AG90" i="22"/>
  <c r="AG84" i="22"/>
  <c r="AG83" i="22"/>
  <c r="AG82" i="22"/>
  <c r="AG81" i="22"/>
  <c r="AG78" i="22"/>
  <c r="AG72" i="22"/>
  <c r="AG67" i="22"/>
  <c r="AG66" i="22"/>
  <c r="AG65" i="22"/>
  <c r="AG63" i="22"/>
  <c r="AG62" i="22"/>
  <c r="AG54" i="22"/>
  <c r="AG53" i="22"/>
  <c r="AG52" i="22"/>
  <c r="AG45" i="22"/>
  <c r="AG41" i="22"/>
  <c r="AG35" i="22"/>
  <c r="AG33" i="22"/>
  <c r="AG27" i="22"/>
  <c r="AG24" i="22"/>
  <c r="AG19" i="22"/>
  <c r="AG18" i="22"/>
  <c r="AG17" i="22"/>
  <c r="AG13" i="22"/>
  <c r="AF221" i="22"/>
  <c r="AF219" i="22"/>
  <c r="AF216" i="22"/>
  <c r="AF214" i="22"/>
  <c r="AF212" i="22"/>
  <c r="AF210" i="22"/>
  <c r="AF207" i="22"/>
  <c r="AF204" i="22"/>
  <c r="AF200" i="22"/>
  <c r="AF199" i="22"/>
  <c r="AF198" i="22"/>
  <c r="AF186" i="22"/>
  <c r="AF184" i="22"/>
  <c r="AF182" i="22"/>
  <c r="AF180" i="22"/>
  <c r="AF172" i="22"/>
  <c r="AF171" i="22"/>
  <c r="AF168" i="22"/>
  <c r="AF165" i="22"/>
  <c r="AF159" i="22"/>
  <c r="AF156" i="22"/>
  <c r="AF155" i="22"/>
  <c r="AF150" i="22"/>
  <c r="AF148" i="22"/>
  <c r="AF146" i="22"/>
  <c r="AF144" i="22"/>
  <c r="AF139" i="22"/>
  <c r="AF137" i="22"/>
  <c r="AF126" i="22"/>
  <c r="AF124" i="22"/>
  <c r="AF121" i="22"/>
  <c r="AF119" i="22"/>
  <c r="AF114" i="22"/>
  <c r="AF111" i="22"/>
  <c r="AF110" i="22"/>
  <c r="AF107" i="22"/>
  <c r="AF101" i="22"/>
  <c r="AF96" i="22"/>
  <c r="AF94" i="22"/>
  <c r="AF92" i="22"/>
  <c r="AF90" i="22"/>
  <c r="AF84" i="22"/>
  <c r="AF83" i="22"/>
  <c r="AF81" i="22"/>
  <c r="AF78" i="22"/>
  <c r="AF72" i="22"/>
  <c r="AF67" i="22"/>
  <c r="AF66" i="22"/>
  <c r="AF65" i="22"/>
  <c r="AF63" i="22"/>
  <c r="AF62" i="22"/>
  <c r="AF54" i="22"/>
  <c r="AF53" i="22"/>
  <c r="AF52" i="22"/>
  <c r="AF45" i="22"/>
  <c r="AF41" i="22"/>
  <c r="AF35" i="22"/>
  <c r="AF33" i="22"/>
  <c r="AF27" i="22"/>
  <c r="AF24" i="22"/>
  <c r="AF19" i="22"/>
  <c r="AF18" i="22"/>
  <c r="AF17" i="22"/>
  <c r="AF13" i="22"/>
  <c r="AE221" i="22"/>
  <c r="AE219" i="22"/>
  <c r="AE216" i="22"/>
  <c r="AE214" i="22"/>
  <c r="AE212" i="22"/>
  <c r="AE210" i="22"/>
  <c r="AE207" i="22"/>
  <c r="AE204" i="22"/>
  <c r="AE200" i="22"/>
  <c r="AE199" i="22"/>
  <c r="AE198" i="22"/>
  <c r="AE186" i="22"/>
  <c r="AE184" i="22"/>
  <c r="AE182" i="22"/>
  <c r="AE180" i="22"/>
  <c r="AE172" i="22"/>
  <c r="AE171" i="22"/>
  <c r="AE168" i="22"/>
  <c r="AE165" i="22"/>
  <c r="AE159" i="22"/>
  <c r="AE156" i="22"/>
  <c r="AE155" i="22"/>
  <c r="AE146" i="22"/>
  <c r="AE144" i="22"/>
  <c r="AE139" i="22"/>
  <c r="AE137" i="22"/>
  <c r="AE126" i="22"/>
  <c r="AE124" i="22"/>
  <c r="AE121" i="22"/>
  <c r="AE119" i="22"/>
  <c r="AE114" i="22"/>
  <c r="AE111" i="22"/>
  <c r="AE110" i="22"/>
  <c r="AE107" i="22"/>
  <c r="AE101" i="22"/>
  <c r="AE96" i="22"/>
  <c r="AE94" i="22"/>
  <c r="AE92" i="22"/>
  <c r="AE90" i="22"/>
  <c r="AE84" i="22"/>
  <c r="AE83" i="22"/>
  <c r="AE81" i="22"/>
  <c r="AE78" i="22"/>
  <c r="AE72" i="22"/>
  <c r="AE67" i="22"/>
  <c r="AE66" i="22"/>
  <c r="AE65" i="22"/>
  <c r="AE63" i="22"/>
  <c r="AE62" i="22"/>
  <c r="AE54" i="22"/>
  <c r="AE53" i="22"/>
  <c r="AE52" i="22"/>
  <c r="AE45" i="22"/>
  <c r="AE35" i="22"/>
  <c r="AE33" i="22"/>
  <c r="AE27" i="22"/>
  <c r="AE24" i="22"/>
  <c r="AE19" i="22"/>
  <c r="AE18" i="22"/>
  <c r="AE17" i="22"/>
  <c r="AE13" i="22"/>
  <c r="AD221" i="22"/>
  <c r="AD219" i="22"/>
  <c r="AD216" i="22"/>
  <c r="AD214" i="22"/>
  <c r="AD212" i="22"/>
  <c r="AD210" i="22"/>
  <c r="AD207" i="22"/>
  <c r="AD204" i="22"/>
  <c r="AD200" i="22"/>
  <c r="AD199" i="22"/>
  <c r="AD198" i="22"/>
  <c r="AD186" i="22"/>
  <c r="AD184" i="22"/>
  <c r="AD182" i="22"/>
  <c r="AD180" i="22"/>
  <c r="AD172" i="22"/>
  <c r="AD171" i="22"/>
  <c r="AD168" i="22"/>
  <c r="AD165" i="22"/>
  <c r="AD159" i="22"/>
  <c r="AD156" i="22"/>
  <c r="AD155" i="22"/>
  <c r="AD146" i="22"/>
  <c r="AD144" i="22"/>
  <c r="AD139" i="22"/>
  <c r="AD137" i="22"/>
  <c r="AD126" i="22"/>
  <c r="AD124" i="22"/>
  <c r="AD121" i="22"/>
  <c r="AD119" i="22"/>
  <c r="AD114" i="22"/>
  <c r="AD111" i="22"/>
  <c r="AD110" i="22"/>
  <c r="AD107" i="22"/>
  <c r="AD101" i="22"/>
  <c r="AD96" i="22"/>
  <c r="AD94" i="22"/>
  <c r="AD92" i="22"/>
  <c r="AD90" i="22"/>
  <c r="AD84" i="22"/>
  <c r="AD83" i="22"/>
  <c r="AD81" i="22"/>
  <c r="AD78" i="22"/>
  <c r="AD72" i="22"/>
  <c r="AD67" i="22"/>
  <c r="AD66" i="22"/>
  <c r="AD65" i="22"/>
  <c r="AD63" i="22"/>
  <c r="AD62" i="22"/>
  <c r="AD54" i="22"/>
  <c r="AD53" i="22"/>
  <c r="AD52" i="22"/>
  <c r="AD45" i="22"/>
  <c r="AD35" i="22"/>
  <c r="AD33" i="22"/>
  <c r="AD27" i="22"/>
  <c r="AD24" i="22"/>
  <c r="AD19" i="22"/>
  <c r="AD18" i="22"/>
  <c r="AD17" i="22"/>
  <c r="AD13" i="22"/>
  <c r="AC221" i="22"/>
  <c r="AC219" i="22"/>
  <c r="AC216" i="22"/>
  <c r="AC214" i="22"/>
  <c r="AC212" i="22"/>
  <c r="AC210" i="22"/>
  <c r="AC207" i="22"/>
  <c r="AC204" i="22"/>
  <c r="AC200" i="22"/>
  <c r="AC198" i="22"/>
  <c r="AC186" i="22"/>
  <c r="AC184" i="22"/>
  <c r="AC182" i="22"/>
  <c r="AC180" i="22"/>
  <c r="AC172" i="22"/>
  <c r="AC171" i="22"/>
  <c r="AC168" i="22"/>
  <c r="AC165" i="22"/>
  <c r="AC159" i="22"/>
  <c r="AC156" i="22"/>
  <c r="AC155" i="22"/>
  <c r="AC146" i="22"/>
  <c r="AC144" i="22"/>
  <c r="AC139" i="22"/>
  <c r="AC137" i="22"/>
  <c r="AC126" i="22"/>
  <c r="AC124" i="22"/>
  <c r="AC121" i="22"/>
  <c r="AC119" i="22"/>
  <c r="AC114" i="22"/>
  <c r="AC111" i="22"/>
  <c r="AC110" i="22"/>
  <c r="AC107" i="22"/>
  <c r="AC101" i="22"/>
  <c r="AC96" i="22"/>
  <c r="AC94" i="22"/>
  <c r="AC92" i="22"/>
  <c r="AC90" i="22"/>
  <c r="AC84" i="22"/>
  <c r="AC83" i="22"/>
  <c r="AC81" i="22"/>
  <c r="AC78" i="22"/>
  <c r="AC72" i="22"/>
  <c r="AC66" i="22"/>
  <c r="AC65" i="22"/>
  <c r="AC63" i="22"/>
  <c r="AC62" i="22"/>
  <c r="AC54" i="22"/>
  <c r="AC53" i="22"/>
  <c r="AC52" i="22"/>
  <c r="AC45" i="22"/>
  <c r="AC35" i="22"/>
  <c r="AC33" i="22"/>
  <c r="AC27" i="22"/>
  <c r="AC24" i="22"/>
  <c r="AC19" i="22"/>
  <c r="AC18" i="22"/>
  <c r="AC17" i="22"/>
  <c r="AC13" i="22"/>
  <c r="AA221" i="22"/>
  <c r="AA219" i="22"/>
  <c r="AA216" i="22"/>
  <c r="AA214" i="22"/>
  <c r="AA212" i="22"/>
  <c r="AA210" i="22"/>
  <c r="AA207" i="22"/>
  <c r="AA204" i="22"/>
  <c r="AA200" i="22"/>
  <c r="AA198" i="22"/>
  <c r="AA186" i="22"/>
  <c r="AA184" i="22"/>
  <c r="AA182" i="22"/>
  <c r="AA180" i="22"/>
  <c r="AA178" i="22"/>
  <c r="AA172" i="22"/>
  <c r="AA171" i="22"/>
  <c r="AA168" i="22"/>
  <c r="AA165" i="22"/>
  <c r="AA159" i="22"/>
  <c r="AA156" i="22"/>
  <c r="AA155" i="22"/>
  <c r="AA146" i="22"/>
  <c r="AA144" i="22"/>
  <c r="AA139" i="22"/>
  <c r="AA137" i="22"/>
  <c r="AA126" i="22"/>
  <c r="AA124" i="22"/>
  <c r="AA121" i="22"/>
  <c r="AA119" i="22"/>
  <c r="AA114" i="22"/>
  <c r="AA110" i="22"/>
  <c r="AA107" i="22"/>
  <c r="AA101" i="22"/>
  <c r="AA96" i="22"/>
  <c r="AA94" i="22"/>
  <c r="AA92" i="22"/>
  <c r="AA90" i="22"/>
  <c r="AA84" i="22"/>
  <c r="AA83" i="22"/>
  <c r="AA81" i="22"/>
  <c r="AA78" i="22"/>
  <c r="AA72" i="22"/>
  <c r="AA66" i="22"/>
  <c r="AA65" i="22"/>
  <c r="AA63" i="22"/>
  <c r="AA62" i="22"/>
  <c r="AA54" i="22"/>
  <c r="AA53" i="22"/>
  <c r="AA52" i="22"/>
  <c r="AA45" i="22"/>
  <c r="AA35" i="22"/>
  <c r="AA33" i="22"/>
  <c r="AA27" i="22"/>
  <c r="AA24" i="22"/>
  <c r="AA19" i="22"/>
  <c r="AA18" i="22"/>
  <c r="AA17" i="22"/>
  <c r="AA13" i="22"/>
  <c r="AB221" i="22"/>
  <c r="AB219" i="22"/>
  <c r="AB216" i="22"/>
  <c r="AB214" i="22"/>
  <c r="AB212" i="22"/>
  <c r="AB210" i="22"/>
  <c r="AB207" i="22"/>
  <c r="AB204" i="22"/>
  <c r="AB200" i="22"/>
  <c r="AB198" i="22"/>
  <c r="AB186" i="22"/>
  <c r="AB184" i="22"/>
  <c r="AB182" i="22"/>
  <c r="AB180" i="22"/>
  <c r="AB172" i="22"/>
  <c r="AB171" i="22"/>
  <c r="AB168" i="22"/>
  <c r="AB165" i="22"/>
  <c r="AB159" i="22"/>
  <c r="AB156" i="22"/>
  <c r="AB155" i="22"/>
  <c r="AB146" i="22"/>
  <c r="AB144" i="22"/>
  <c r="AB139" i="22"/>
  <c r="AB137" i="22"/>
  <c r="AB126" i="22"/>
  <c r="AB124" i="22"/>
  <c r="AB121" i="22"/>
  <c r="AB119" i="22"/>
  <c r="AB114" i="22"/>
  <c r="AB111" i="22"/>
  <c r="AB110" i="22"/>
  <c r="AB107" i="22"/>
  <c r="AB101" i="22"/>
  <c r="AB96" i="22"/>
  <c r="AB94" i="22"/>
  <c r="AB92" i="22"/>
  <c r="AB90" i="22"/>
  <c r="AB84" i="22"/>
  <c r="AB83" i="22"/>
  <c r="AB81" i="22"/>
  <c r="AB78" i="22"/>
  <c r="AB72" i="22"/>
  <c r="AB66" i="22"/>
  <c r="AB65" i="22"/>
  <c r="AB63" i="22"/>
  <c r="AB62" i="22"/>
  <c r="AB54" i="22"/>
  <c r="AB53" i="22"/>
  <c r="AB52" i="22"/>
  <c r="AB45" i="22"/>
  <c r="AB35" i="22"/>
  <c r="AB33" i="22"/>
  <c r="AB27" i="22"/>
  <c r="AB24" i="22"/>
  <c r="AB19" i="22"/>
  <c r="AB18" i="22"/>
  <c r="AB17" i="22"/>
  <c r="AB13" i="22"/>
  <c r="Z221" i="22"/>
  <c r="Z219" i="22"/>
  <c r="Z216" i="22"/>
  <c r="Z214" i="22"/>
  <c r="Z212" i="22"/>
  <c r="Z210" i="22"/>
  <c r="Z207" i="22"/>
  <c r="Z204" i="22"/>
  <c r="Z200" i="22"/>
  <c r="Z198" i="22"/>
  <c r="Z186" i="22"/>
  <c r="Z184" i="22"/>
  <c r="Z182" i="22"/>
  <c r="Z180" i="22"/>
  <c r="Z178" i="22"/>
  <c r="Z172" i="22"/>
  <c r="Z171" i="22"/>
  <c r="Z168" i="22"/>
  <c r="Z165" i="22"/>
  <c r="Z159" i="22"/>
  <c r="Z156" i="22"/>
  <c r="Z155" i="22"/>
  <c r="Z146" i="22"/>
  <c r="Z144" i="22"/>
  <c r="Z139" i="22"/>
  <c r="Z137" i="22"/>
  <c r="Z126" i="22"/>
  <c r="Z124" i="22"/>
  <c r="Z121" i="22"/>
  <c r="Z120" i="22"/>
  <c r="Z119" i="22"/>
  <c r="Z114" i="22"/>
  <c r="Z111" i="22"/>
  <c r="Z110" i="22"/>
  <c r="Z107" i="22"/>
  <c r="Z101" i="22"/>
  <c r="Z96" i="22"/>
  <c r="Z94" i="22"/>
  <c r="Z92" i="22"/>
  <c r="Z90" i="22"/>
  <c r="Z84" i="22"/>
  <c r="Z83" i="22"/>
  <c r="Z81" i="22"/>
  <c r="Z78" i="22"/>
  <c r="Z72" i="22"/>
  <c r="Z66" i="22"/>
  <c r="Z65" i="22"/>
  <c r="Z63" i="22"/>
  <c r="Z62" i="22"/>
  <c r="Z54" i="22"/>
  <c r="Z53" i="22"/>
  <c r="Z52" i="22"/>
  <c r="Z45" i="22"/>
  <c r="Z35" i="22"/>
  <c r="Z33" i="22"/>
  <c r="Z27" i="22"/>
  <c r="Z24" i="22"/>
  <c r="Z19" i="22"/>
  <c r="Z18" i="22"/>
  <c r="Z17" i="22"/>
  <c r="Z13" i="22"/>
  <c r="Y221" i="22"/>
  <c r="Y219" i="22"/>
  <c r="Y216" i="22"/>
  <c r="Y214" i="22"/>
  <c r="Y212" i="22"/>
  <c r="Y210" i="22"/>
  <c r="Y207" i="22"/>
  <c r="Y204" i="22"/>
  <c r="Y200" i="22"/>
  <c r="Y198" i="22"/>
  <c r="Y186" i="22"/>
  <c r="Y184" i="22"/>
  <c r="Y182" i="22"/>
  <c r="Y180" i="22"/>
  <c r="Y178" i="22"/>
  <c r="Y172" i="22"/>
  <c r="Y171" i="22"/>
  <c r="Y168" i="22"/>
  <c r="Y165" i="22"/>
  <c r="Y159" i="22"/>
  <c r="Y156" i="22"/>
  <c r="Y155" i="22"/>
  <c r="Y146" i="22"/>
  <c r="Y144" i="22"/>
  <c r="Y139" i="22"/>
  <c r="Y137" i="22"/>
  <c r="Y126" i="22"/>
  <c r="Y124" i="22"/>
  <c r="Y121" i="22"/>
  <c r="Y120" i="22"/>
  <c r="Y119" i="22"/>
  <c r="Y114" i="22"/>
  <c r="Y111" i="22"/>
  <c r="Y110" i="22"/>
  <c r="Y107" i="22"/>
  <c r="Y101" i="22"/>
  <c r="Y96" i="22"/>
  <c r="Y94" i="22"/>
  <c r="Y92" i="22"/>
  <c r="Y90" i="22"/>
  <c r="Y84" i="22"/>
  <c r="Y83" i="22"/>
  <c r="Y81" i="22"/>
  <c r="Y78" i="22"/>
  <c r="Y72" i="22"/>
  <c r="Y66" i="22"/>
  <c r="Y65" i="22"/>
  <c r="Y63" i="22"/>
  <c r="Y62" i="22"/>
  <c r="Y54" i="22"/>
  <c r="Y53" i="22"/>
  <c r="Y52" i="22"/>
  <c r="Y45" i="22"/>
  <c r="Y35" i="22"/>
  <c r="Y33" i="22"/>
  <c r="Y27" i="22"/>
  <c r="Y24" i="22"/>
  <c r="Y19" i="22"/>
  <c r="Y18" i="22"/>
  <c r="Y17" i="22"/>
  <c r="Y13" i="22"/>
  <c r="X221" i="22"/>
  <c r="X219" i="22"/>
  <c r="X216" i="22"/>
  <c r="X214" i="22"/>
  <c r="X212" i="22"/>
  <c r="X210" i="22"/>
  <c r="X207" i="22"/>
  <c r="X204" i="22"/>
  <c r="X200" i="22"/>
  <c r="X198" i="22"/>
  <c r="X186" i="22"/>
  <c r="X184" i="22"/>
  <c r="X182" i="22"/>
  <c r="X180" i="22"/>
  <c r="X178" i="22"/>
  <c r="X172" i="22"/>
  <c r="X171" i="22"/>
  <c r="X168" i="22"/>
  <c r="X165" i="22"/>
  <c r="X159" i="22"/>
  <c r="X156" i="22"/>
  <c r="X155" i="22"/>
  <c r="X146" i="22"/>
  <c r="X144" i="22"/>
  <c r="X139" i="22"/>
  <c r="X137" i="22"/>
  <c r="X126" i="22"/>
  <c r="X124" i="22"/>
  <c r="X121" i="22"/>
  <c r="X120" i="22"/>
  <c r="X119" i="22"/>
  <c r="X114" i="22"/>
  <c r="X110" i="22"/>
  <c r="X107" i="22"/>
  <c r="X101" i="22"/>
  <c r="X96" i="22"/>
  <c r="X94" i="22"/>
  <c r="X92" i="22"/>
  <c r="X90" i="22"/>
  <c r="X84" i="22"/>
  <c r="X83" i="22"/>
  <c r="X81" i="22"/>
  <c r="X78" i="22"/>
  <c r="X72" i="22"/>
  <c r="X66" i="22"/>
  <c r="X65" i="22"/>
  <c r="X63" i="22"/>
  <c r="X62" i="22"/>
  <c r="X54" i="22"/>
  <c r="X53" i="22"/>
  <c r="X52" i="22"/>
  <c r="X45" i="22"/>
  <c r="X35" i="22"/>
  <c r="X33" i="22"/>
  <c r="X27" i="22"/>
  <c r="X24" i="22"/>
  <c r="X19" i="22"/>
  <c r="X18" i="22"/>
  <c r="X17" i="22"/>
  <c r="X13" i="22"/>
  <c r="W221" i="22"/>
  <c r="W219" i="22"/>
  <c r="W216" i="22"/>
  <c r="W214" i="22"/>
  <c r="W212" i="22"/>
  <c r="W210" i="22"/>
  <c r="W207" i="22"/>
  <c r="W204" i="22"/>
  <c r="W200" i="22"/>
  <c r="W198" i="22"/>
  <c r="W195" i="22"/>
  <c r="W186" i="22"/>
  <c r="W184" i="22"/>
  <c r="W182" i="22"/>
  <c r="W180" i="22"/>
  <c r="W178" i="22"/>
  <c r="W172" i="22"/>
  <c r="W171" i="22"/>
  <c r="W168" i="22"/>
  <c r="W165" i="22"/>
  <c r="W159" i="22"/>
  <c r="W156" i="22"/>
  <c r="W155" i="22"/>
  <c r="W146" i="22"/>
  <c r="W144" i="22"/>
  <c r="W139" i="22"/>
  <c r="W137" i="22"/>
  <c r="W126" i="22"/>
  <c r="W124" i="22"/>
  <c r="W121" i="22"/>
  <c r="W120" i="22"/>
  <c r="W119" i="22"/>
  <c r="W114" i="22"/>
  <c r="W110" i="22"/>
  <c r="W107" i="22"/>
  <c r="W101" i="22"/>
  <c r="W96" i="22"/>
  <c r="W94" i="22"/>
  <c r="W92" i="22"/>
  <c r="W84" i="22"/>
  <c r="W83" i="22"/>
  <c r="W81" i="22"/>
  <c r="W78" i="22"/>
  <c r="W72" i="22"/>
  <c r="W66" i="22"/>
  <c r="W65" i="22"/>
  <c r="W63" i="22"/>
  <c r="W62" i="22"/>
  <c r="W54" i="22"/>
  <c r="W53" i="22"/>
  <c r="W52" i="22"/>
  <c r="W45" i="22"/>
  <c r="W35" i="22"/>
  <c r="W33" i="22"/>
  <c r="W27" i="22"/>
  <c r="W24" i="22"/>
  <c r="W19" i="22"/>
  <c r="W18" i="22"/>
  <c r="W17" i="22"/>
  <c r="W13" i="22"/>
  <c r="V221" i="22"/>
  <c r="V219" i="22"/>
  <c r="V216" i="22"/>
  <c r="V214" i="22"/>
  <c r="V212" i="22"/>
  <c r="V210" i="22"/>
  <c r="V207" i="22"/>
  <c r="V204" i="22"/>
  <c r="V200" i="22"/>
  <c r="V198" i="22"/>
  <c r="V195" i="22"/>
  <c r="V193" i="22"/>
  <c r="V186" i="22"/>
  <c r="V184" i="22"/>
  <c r="V182" i="22"/>
  <c r="V180" i="22"/>
  <c r="V178" i="22"/>
  <c r="V172" i="22"/>
  <c r="V171" i="22"/>
  <c r="V168" i="22"/>
  <c r="V165" i="22"/>
  <c r="V159" i="22"/>
  <c r="V156" i="22"/>
  <c r="V155" i="22"/>
  <c r="V146" i="22"/>
  <c r="V144" i="22"/>
  <c r="V139" i="22"/>
  <c r="V137" i="22"/>
  <c r="V126" i="22"/>
  <c r="V124" i="22"/>
  <c r="V121" i="22"/>
  <c r="V120" i="22"/>
  <c r="V114" i="22"/>
  <c r="V110" i="22"/>
  <c r="V107" i="22"/>
  <c r="V101" i="22"/>
  <c r="V96" i="22"/>
  <c r="V94" i="22"/>
  <c r="V92" i="22"/>
  <c r="V84" i="22"/>
  <c r="V83" i="22"/>
  <c r="V81" i="22"/>
  <c r="V78" i="22"/>
  <c r="V72" i="22"/>
  <c r="V66" i="22"/>
  <c r="V65" i="22"/>
  <c r="V63" i="22"/>
  <c r="V62" i="22"/>
  <c r="V54" i="22"/>
  <c r="V53" i="22"/>
  <c r="V52" i="22"/>
  <c r="V45" i="22"/>
  <c r="V35" i="22"/>
  <c r="V33" i="22"/>
  <c r="V27" i="22"/>
  <c r="V24" i="22"/>
  <c r="V19" i="22"/>
  <c r="V18" i="22"/>
  <c r="V17" i="22"/>
  <c r="V13" i="22"/>
  <c r="T221" i="22"/>
  <c r="T219" i="22"/>
  <c r="T216" i="22"/>
  <c r="T214" i="22"/>
  <c r="T212" i="22"/>
  <c r="T210" i="22"/>
  <c r="T204" i="22"/>
  <c r="T200" i="22"/>
  <c r="T198" i="22"/>
  <c r="T195" i="22"/>
  <c r="T193" i="22"/>
  <c r="T188" i="22"/>
  <c r="T186" i="22"/>
  <c r="T184" i="22"/>
  <c r="T182" i="22"/>
  <c r="T180" i="22"/>
  <c r="T178" i="22"/>
  <c r="T172" i="22"/>
  <c r="T171" i="22"/>
  <c r="T168" i="22"/>
  <c r="T165" i="22"/>
  <c r="T159" i="22"/>
  <c r="T156" i="22"/>
  <c r="T155" i="22"/>
  <c r="T146" i="22"/>
  <c r="T144" i="22"/>
  <c r="T139" i="22"/>
  <c r="T137" i="22"/>
  <c r="T126" i="22"/>
  <c r="T124" i="22"/>
  <c r="T121" i="22"/>
  <c r="T114" i="22"/>
  <c r="T110" i="22"/>
  <c r="T107" i="22"/>
  <c r="T101" i="22"/>
  <c r="T96" i="22"/>
  <c r="T94" i="22"/>
  <c r="T92" i="22"/>
  <c r="T84" i="22"/>
  <c r="T83" i="22"/>
  <c r="T81" i="22"/>
  <c r="T78" i="22"/>
  <c r="T72" i="22"/>
  <c r="T66" i="22"/>
  <c r="T65" i="22"/>
  <c r="T63" i="22"/>
  <c r="T62" i="22"/>
  <c r="T45" i="22"/>
  <c r="T35" i="22"/>
  <c r="T33" i="22"/>
  <c r="T24" i="22"/>
  <c r="T19" i="22"/>
  <c r="T18" i="22"/>
  <c r="T17" i="22"/>
  <c r="T13" i="22"/>
  <c r="S221" i="22"/>
  <c r="S219" i="22"/>
  <c r="S216" i="22"/>
  <c r="S214" i="22"/>
  <c r="S212" i="22"/>
  <c r="S204" i="22"/>
  <c r="S200" i="22"/>
  <c r="S198" i="22"/>
  <c r="S195" i="22"/>
  <c r="S193" i="22"/>
  <c r="S188" i="22"/>
  <c r="S186" i="22"/>
  <c r="S184" i="22"/>
  <c r="S182" i="22"/>
  <c r="S180" i="22"/>
  <c r="S178" i="22"/>
  <c r="S172" i="22"/>
  <c r="S171" i="22"/>
  <c r="S165" i="22"/>
  <c r="S159" i="22"/>
  <c r="S156" i="22"/>
  <c r="S155" i="22"/>
  <c r="S146" i="22"/>
  <c r="S144" i="22"/>
  <c r="S139" i="22"/>
  <c r="S137" i="22"/>
  <c r="S126" i="22"/>
  <c r="S124" i="22"/>
  <c r="S110" i="22"/>
  <c r="S107" i="22"/>
  <c r="S101" i="22"/>
  <c r="S96" i="22"/>
  <c r="S94" i="22"/>
  <c r="S92" i="22"/>
  <c r="S84" i="22"/>
  <c r="S83" i="22"/>
  <c r="S81" i="22"/>
  <c r="S78" i="22"/>
  <c r="S72" i="22"/>
  <c r="S66" i="22"/>
  <c r="S65" i="22"/>
  <c r="S63" i="22"/>
  <c r="S62" i="22"/>
  <c r="S54" i="22"/>
  <c r="S53" i="22"/>
  <c r="S52" i="22"/>
  <c r="S35" i="22"/>
  <c r="S33" i="22"/>
  <c r="S24" i="22"/>
  <c r="S19" i="22"/>
  <c r="S18" i="22"/>
  <c r="S17" i="22"/>
  <c r="S13" i="22"/>
  <c r="R221" i="22"/>
  <c r="R219" i="22"/>
  <c r="R216" i="22"/>
  <c r="R214" i="22"/>
  <c r="R212" i="22"/>
  <c r="R204" i="22"/>
  <c r="R200" i="22"/>
  <c r="R198" i="22"/>
  <c r="R195" i="22"/>
  <c r="R193" i="22"/>
  <c r="R188" i="22"/>
  <c r="R186" i="22"/>
  <c r="R184" i="22"/>
  <c r="R182" i="22"/>
  <c r="R180" i="22"/>
  <c r="R178" i="22"/>
  <c r="R172" i="22"/>
  <c r="R171" i="22"/>
  <c r="R165" i="22"/>
  <c r="R159" i="22"/>
  <c r="R156" i="22"/>
  <c r="R146" i="22"/>
  <c r="R144" i="22"/>
  <c r="R139" i="22"/>
  <c r="R137" i="22"/>
  <c r="R126" i="22"/>
  <c r="R124" i="22"/>
  <c r="R110" i="22"/>
  <c r="R107" i="22"/>
  <c r="R101" i="22"/>
  <c r="R96" i="22"/>
  <c r="R94" i="22"/>
  <c r="R92" i="22"/>
  <c r="R84" i="22"/>
  <c r="R83" i="22"/>
  <c r="R81" i="22"/>
  <c r="R78" i="22"/>
  <c r="R72" i="22"/>
  <c r="R66" i="22"/>
  <c r="R65" i="22"/>
  <c r="R63" i="22"/>
  <c r="R62" i="22"/>
  <c r="R54" i="22"/>
  <c r="R53" i="22"/>
  <c r="R52" i="22"/>
  <c r="R35" i="22"/>
  <c r="R33" i="22"/>
  <c r="R24" i="22"/>
  <c r="R19" i="22"/>
  <c r="R17" i="22"/>
  <c r="R13" i="22"/>
  <c r="P221" i="22"/>
  <c r="P219" i="22"/>
  <c r="P216" i="22"/>
  <c r="P214" i="22"/>
  <c r="P204" i="22"/>
  <c r="P200" i="22"/>
  <c r="P198" i="22"/>
  <c r="P193" i="22"/>
  <c r="P188" i="22"/>
  <c r="P186" i="22"/>
  <c r="P184" i="22"/>
  <c r="P182" i="22"/>
  <c r="P180" i="22"/>
  <c r="P178" i="22"/>
  <c r="P172" i="22"/>
  <c r="P171" i="22"/>
  <c r="P165" i="22"/>
  <c r="P159" i="22"/>
  <c r="P156" i="22"/>
  <c r="P146" i="22"/>
  <c r="P144" i="22"/>
  <c r="P139" i="22"/>
  <c r="P137" i="22"/>
  <c r="P126" i="22"/>
  <c r="P124" i="22"/>
  <c r="P110" i="22"/>
  <c r="P107" i="22"/>
  <c r="P101" i="22"/>
  <c r="P96" i="22"/>
  <c r="P94" i="22"/>
  <c r="P92" i="22"/>
  <c r="P84" i="22"/>
  <c r="P83" i="22"/>
  <c r="P81" i="22"/>
  <c r="P78" i="22"/>
  <c r="P72" i="22"/>
  <c r="P66" i="22"/>
  <c r="P65" i="22"/>
  <c r="P63" i="22"/>
  <c r="P62" i="22"/>
  <c r="P54" i="22"/>
  <c r="P53" i="22"/>
  <c r="P52" i="22"/>
  <c r="P35" i="22"/>
  <c r="P33" i="22"/>
  <c r="P27" i="22"/>
  <c r="P24" i="22"/>
  <c r="P19" i="22"/>
  <c r="P17" i="22"/>
  <c r="P13" i="22"/>
  <c r="Q221" i="22"/>
  <c r="Q219" i="22"/>
  <c r="Q216" i="22"/>
  <c r="Q214" i="22"/>
  <c r="Q204" i="22"/>
  <c r="Q200" i="22"/>
  <c r="Q198" i="22"/>
  <c r="Q195" i="22"/>
  <c r="Q193" i="22"/>
  <c r="Q188" i="22"/>
  <c r="Q186" i="22"/>
  <c r="Q184" i="22"/>
  <c r="Q182" i="22"/>
  <c r="Q180" i="22"/>
  <c r="Q178" i="22"/>
  <c r="Q172" i="22"/>
  <c r="Q171" i="22"/>
  <c r="Q165" i="22"/>
  <c r="Q159" i="22"/>
  <c r="Q156" i="22"/>
  <c r="Q146" i="22"/>
  <c r="Q144" i="22"/>
  <c r="Q139" i="22"/>
  <c r="Q137" i="22"/>
  <c r="Q126" i="22"/>
  <c r="Q124" i="22"/>
  <c r="Q110" i="22"/>
  <c r="Q107" i="22"/>
  <c r="Q101" i="22"/>
  <c r="Q96" i="22"/>
  <c r="Q94" i="22"/>
  <c r="Q92" i="22"/>
  <c r="Q84" i="22"/>
  <c r="Q83" i="22"/>
  <c r="Q81" i="22"/>
  <c r="Q78" i="22"/>
  <c r="Q72" i="22"/>
  <c r="Q66" i="22"/>
  <c r="Q65" i="22"/>
  <c r="Q63" i="22"/>
  <c r="Q62" i="22"/>
  <c r="Q54" i="22"/>
  <c r="Q53" i="22"/>
  <c r="Q52" i="22"/>
  <c r="Q35" i="22"/>
  <c r="Q33" i="22"/>
  <c r="Q27" i="22"/>
  <c r="Q24" i="22"/>
  <c r="Q19" i="22"/>
  <c r="Q17" i="22"/>
  <c r="Q13" i="22"/>
  <c r="O221" i="22"/>
  <c r="O219" i="22"/>
  <c r="O216" i="22"/>
  <c r="O214" i="22"/>
  <c r="O204" i="22"/>
  <c r="O200" i="22"/>
  <c r="O198" i="22"/>
  <c r="O193" i="22"/>
  <c r="O188" i="22"/>
  <c r="O186" i="22"/>
  <c r="O184" i="22"/>
  <c r="O182" i="22"/>
  <c r="O180" i="22"/>
  <c r="O178" i="22"/>
  <c r="O171" i="22"/>
  <c r="O165" i="22"/>
  <c r="O159" i="22"/>
  <c r="O156" i="22"/>
  <c r="O146" i="22"/>
  <c r="O144" i="22"/>
  <c r="O139" i="22"/>
  <c r="O137" i="22"/>
  <c r="O126" i="22"/>
  <c r="O124" i="22"/>
  <c r="O110" i="22"/>
  <c r="O107" i="22"/>
  <c r="O101" i="22"/>
  <c r="O96" i="22"/>
  <c r="O94" i="22"/>
  <c r="O92" i="22"/>
  <c r="O84" i="22"/>
  <c r="O83" i="22"/>
  <c r="O81" i="22"/>
  <c r="O78" i="22"/>
  <c r="O72" i="22"/>
  <c r="O66" i="22"/>
  <c r="O65" i="22"/>
  <c r="O63" i="22"/>
  <c r="O62" i="22"/>
  <c r="O54" i="22"/>
  <c r="O53" i="22"/>
  <c r="O52" i="22"/>
  <c r="O35" i="22"/>
  <c r="O33" i="22"/>
  <c r="O27" i="22"/>
  <c r="O24" i="22"/>
  <c r="O19" i="22"/>
  <c r="O17" i="22"/>
  <c r="O13" i="22"/>
  <c r="N221" i="22"/>
  <c r="N219" i="22"/>
  <c r="N216" i="22"/>
  <c r="N214" i="22"/>
  <c r="N204" i="22"/>
  <c r="N200" i="22"/>
  <c r="N198" i="22"/>
  <c r="N193" i="22"/>
  <c r="N188" i="22"/>
  <c r="N186" i="22"/>
  <c r="N184" i="22"/>
  <c r="N182" i="22"/>
  <c r="N180" i="22"/>
  <c r="N178" i="22"/>
  <c r="N171" i="22"/>
  <c r="N165" i="22"/>
  <c r="N159" i="22"/>
  <c r="N156" i="22"/>
  <c r="N146" i="22"/>
  <c r="N144" i="22"/>
  <c r="N139" i="22"/>
  <c r="N137" i="22"/>
  <c r="N126" i="22"/>
  <c r="N124" i="22"/>
  <c r="N110" i="22"/>
  <c r="N107" i="22"/>
  <c r="N101" i="22"/>
  <c r="N96" i="22"/>
  <c r="N94" i="22"/>
  <c r="N92" i="22"/>
  <c r="N83" i="22"/>
  <c r="N81" i="22"/>
  <c r="N78" i="22"/>
  <c r="N72" i="22"/>
  <c r="N66" i="22"/>
  <c r="N65" i="22"/>
  <c r="N63" i="22"/>
  <c r="N62" i="22"/>
  <c r="N54" i="22"/>
  <c r="N53" i="22"/>
  <c r="N52" i="22"/>
  <c r="N35" i="22"/>
  <c r="N33" i="22"/>
  <c r="N24" i="22"/>
  <c r="N19" i="22"/>
  <c r="N17" i="22"/>
  <c r="M221" i="22"/>
  <c r="M219" i="22"/>
  <c r="M216" i="22"/>
  <c r="M214" i="22"/>
  <c r="M204" i="22"/>
  <c r="M200" i="22"/>
  <c r="M198" i="22"/>
  <c r="M188" i="22"/>
  <c r="M186" i="22"/>
  <c r="M184" i="22"/>
  <c r="M182" i="22"/>
  <c r="M180" i="22"/>
  <c r="M178" i="22"/>
  <c r="M171" i="22"/>
  <c r="M165" i="22"/>
  <c r="M159" i="22"/>
  <c r="M156" i="22"/>
  <c r="M146" i="22"/>
  <c r="M144" i="22"/>
  <c r="M139" i="22"/>
  <c r="M137" i="22"/>
  <c r="M126" i="22"/>
  <c r="M124" i="22"/>
  <c r="M110" i="22"/>
  <c r="M107" i="22"/>
  <c r="M101" i="22"/>
  <c r="M94" i="22"/>
  <c r="M92" i="22"/>
  <c r="M83" i="22"/>
  <c r="M81" i="22"/>
  <c r="M78" i="22"/>
  <c r="M72" i="22"/>
  <c r="M66" i="22"/>
  <c r="M65" i="22"/>
  <c r="M63" i="22"/>
  <c r="M62" i="22"/>
  <c r="M54" i="22"/>
  <c r="M53" i="22"/>
  <c r="M52" i="22"/>
  <c r="M35" i="22"/>
  <c r="M33" i="22"/>
  <c r="M24" i="22"/>
  <c r="M19" i="22"/>
  <c r="M17" i="22"/>
  <c r="L221" i="22"/>
  <c r="L219" i="22"/>
  <c r="L216" i="22"/>
  <c r="L214" i="22"/>
  <c r="L204" i="22"/>
  <c r="L200" i="22"/>
  <c r="L198" i="22"/>
  <c r="L188" i="22"/>
  <c r="L186" i="22"/>
  <c r="L184" i="22"/>
  <c r="L182" i="22"/>
  <c r="L180" i="22"/>
  <c r="L178" i="22"/>
  <c r="L171" i="22"/>
  <c r="L165" i="22"/>
  <c r="L159" i="22"/>
  <c r="L156" i="22"/>
  <c r="L146" i="22"/>
  <c r="L144" i="22"/>
  <c r="L139" i="22"/>
  <c r="L137" i="22"/>
  <c r="L126" i="22"/>
  <c r="L124" i="22"/>
  <c r="L110" i="22"/>
  <c r="L107" i="22"/>
  <c r="L94" i="22"/>
  <c r="L92" i="22"/>
  <c r="L83" i="22"/>
  <c r="L81" i="22"/>
  <c r="L78" i="22"/>
  <c r="L72" i="22"/>
  <c r="L66" i="22"/>
  <c r="L65" i="22"/>
  <c r="L63" i="22"/>
  <c r="L62" i="22"/>
  <c r="L54" i="22"/>
  <c r="L53" i="22"/>
  <c r="L52" i="22"/>
  <c r="L35" i="22"/>
  <c r="L33" i="22"/>
  <c r="L24" i="22"/>
  <c r="L19" i="22"/>
  <c r="L17" i="22"/>
  <c r="K221" i="22"/>
  <c r="K219" i="22"/>
  <c r="K216" i="22"/>
  <c r="K214" i="22"/>
  <c r="K204" i="22"/>
  <c r="K200" i="22"/>
  <c r="K198" i="22"/>
  <c r="K188" i="22"/>
  <c r="K186" i="22"/>
  <c r="K184" i="22"/>
  <c r="K182" i="22"/>
  <c r="K180" i="22"/>
  <c r="K178" i="22"/>
  <c r="K171" i="22"/>
  <c r="K165" i="22"/>
  <c r="K159" i="22"/>
  <c r="K156" i="22"/>
  <c r="K146" i="22"/>
  <c r="K144" i="22"/>
  <c r="K139" i="22"/>
  <c r="K137" i="22"/>
  <c r="K126" i="22"/>
  <c r="K124" i="22"/>
  <c r="K110" i="22"/>
  <c r="K107" i="22"/>
  <c r="K94" i="22"/>
  <c r="K92" i="22"/>
  <c r="K83" i="22"/>
  <c r="K81" i="22"/>
  <c r="K78" i="22"/>
  <c r="K66" i="22"/>
  <c r="K65" i="22"/>
  <c r="K63" i="22"/>
  <c r="K62" i="22"/>
  <c r="K54" i="22"/>
  <c r="K53" i="22"/>
  <c r="K52" i="22"/>
  <c r="K35" i="22"/>
  <c r="K33" i="22"/>
  <c r="K24" i="22"/>
  <c r="K19" i="22"/>
  <c r="K17" i="22"/>
  <c r="J221" i="22"/>
  <c r="J219" i="22"/>
  <c r="J216" i="22"/>
  <c r="J214" i="22"/>
  <c r="J204" i="22"/>
  <c r="J200" i="22"/>
  <c r="J198" i="22"/>
  <c r="J188" i="22"/>
  <c r="J186" i="22"/>
  <c r="J184" i="22"/>
  <c r="J182" i="22"/>
  <c r="J180" i="22"/>
  <c r="J178" i="22"/>
  <c r="J171" i="22"/>
  <c r="J165" i="22"/>
  <c r="J159" i="22"/>
  <c r="J156" i="22"/>
  <c r="J146" i="22"/>
  <c r="J144" i="22"/>
  <c r="J139" i="22"/>
  <c r="J137" i="22"/>
  <c r="J126" i="22"/>
  <c r="J124" i="22"/>
  <c r="J110" i="22"/>
  <c r="J107" i="22"/>
  <c r="J94" i="22"/>
  <c r="J92" i="22"/>
  <c r="J83" i="22"/>
  <c r="J81" i="22"/>
  <c r="J78" i="22"/>
  <c r="J66" i="22"/>
  <c r="J65" i="22"/>
  <c r="J63" i="22"/>
  <c r="J62" i="22"/>
  <c r="J54" i="22"/>
  <c r="J53" i="22"/>
  <c r="J52" i="22"/>
  <c r="J35" i="22"/>
  <c r="J33" i="22"/>
  <c r="J24" i="22"/>
  <c r="J19" i="22"/>
  <c r="J17" i="22"/>
  <c r="I221" i="22"/>
  <c r="I219" i="22"/>
  <c r="I216" i="22"/>
  <c r="I214" i="22"/>
  <c r="I204" i="22"/>
  <c r="I200" i="22"/>
  <c r="I198" i="22"/>
  <c r="I188" i="22"/>
  <c r="I186" i="22"/>
  <c r="I184" i="22"/>
  <c r="I182" i="22"/>
  <c r="I180" i="22"/>
  <c r="I178" i="22"/>
  <c r="I171" i="22"/>
  <c r="I165" i="22"/>
  <c r="I159" i="22"/>
  <c r="I156" i="22"/>
  <c r="I146" i="22"/>
  <c r="I144" i="22"/>
  <c r="I139" i="22"/>
  <c r="I137" i="22"/>
  <c r="I126" i="22"/>
  <c r="I124" i="22"/>
  <c r="I110" i="22"/>
  <c r="I107" i="22"/>
  <c r="I94" i="22"/>
  <c r="I92" i="22"/>
  <c r="I83" i="22"/>
  <c r="I81" i="22"/>
  <c r="I78" i="22"/>
  <c r="I66" i="22"/>
  <c r="I65" i="22"/>
  <c r="I63" i="22"/>
  <c r="I62" i="22"/>
  <c r="I54" i="22"/>
  <c r="I53" i="22"/>
  <c r="I52" i="22"/>
  <c r="I35" i="22"/>
  <c r="I24" i="22"/>
  <c r="I19" i="22"/>
  <c r="I17" i="22"/>
  <c r="H221" i="22"/>
  <c r="H219" i="22"/>
  <c r="H216" i="22"/>
  <c r="H214" i="22"/>
  <c r="H204" i="22"/>
  <c r="H200" i="22"/>
  <c r="H198" i="22"/>
  <c r="H188" i="22"/>
  <c r="H186" i="22"/>
  <c r="H184" i="22"/>
  <c r="H182" i="22"/>
  <c r="H180" i="22"/>
  <c r="H178" i="22"/>
  <c r="H171" i="22"/>
  <c r="H165" i="22"/>
  <c r="H159" i="22"/>
  <c r="H156" i="22"/>
  <c r="H146" i="22"/>
  <c r="H144" i="22"/>
  <c r="H139" i="22"/>
  <c r="H137" i="22"/>
  <c r="H126" i="22"/>
  <c r="H124" i="22"/>
  <c r="H110" i="22"/>
  <c r="H107" i="22"/>
  <c r="H94" i="22"/>
  <c r="H92" i="22"/>
  <c r="H83" i="22"/>
  <c r="H81" i="22"/>
  <c r="H78" i="22"/>
  <c r="H65" i="22"/>
  <c r="H63" i="22"/>
  <c r="H62" i="22"/>
  <c r="H54" i="22"/>
  <c r="H53" i="22"/>
  <c r="H52" i="22"/>
  <c r="H35" i="22"/>
  <c r="H24" i="22"/>
  <c r="H19" i="22"/>
  <c r="H17" i="22"/>
  <c r="G221" i="22"/>
  <c r="G219" i="22"/>
  <c r="G216" i="22"/>
  <c r="G214" i="22"/>
  <c r="G204" i="22"/>
  <c r="G200" i="22"/>
  <c r="G198" i="22"/>
  <c r="G188" i="22"/>
  <c r="G186" i="22"/>
  <c r="G184" i="22"/>
  <c r="G182" i="22"/>
  <c r="G180" i="22"/>
  <c r="G178" i="22"/>
  <c r="G171" i="22"/>
  <c r="G165" i="22"/>
  <c r="G159" i="22"/>
  <c r="G156" i="22"/>
  <c r="G146" i="22"/>
  <c r="G144" i="22"/>
  <c r="G139" i="22"/>
  <c r="G137" i="22"/>
  <c r="G126" i="22"/>
  <c r="G124" i="22"/>
  <c r="G110" i="22"/>
  <c r="G107" i="22"/>
  <c r="G94" i="22"/>
  <c r="G83" i="22"/>
  <c r="G81" i="22"/>
  <c r="G78" i="22"/>
  <c r="G62" i="22"/>
  <c r="G54" i="22"/>
  <c r="G53" i="22"/>
  <c r="G52" i="22"/>
  <c r="G35" i="22"/>
  <c r="G24" i="22"/>
  <c r="G17" i="22"/>
  <c r="BE124" i="7"/>
  <c r="BE129" i="22"/>
  <c r="F221" i="22"/>
  <c r="F219" i="22"/>
  <c r="F216" i="22"/>
  <c r="F214" i="22"/>
  <c r="F204" i="22"/>
  <c r="F200" i="22"/>
  <c r="F198" i="22"/>
  <c r="F188" i="22"/>
  <c r="F186" i="22"/>
  <c r="F184" i="22"/>
  <c r="F182" i="22"/>
  <c r="F180" i="22"/>
  <c r="F178" i="22"/>
  <c r="F171" i="22"/>
  <c r="F165" i="22"/>
  <c r="F159" i="22"/>
  <c r="F156" i="22"/>
  <c r="F146" i="22"/>
  <c r="F144" i="22"/>
  <c r="F139" i="22"/>
  <c r="F137" i="22"/>
  <c r="F126" i="22"/>
  <c r="F124" i="22"/>
  <c r="F110" i="22"/>
  <c r="F107" i="22"/>
  <c r="F94" i="22"/>
  <c r="F83" i="22"/>
  <c r="F81" i="22"/>
  <c r="F78" i="22"/>
  <c r="F62" i="22"/>
  <c r="F54" i="22"/>
  <c r="F53" i="22"/>
  <c r="F52" i="22"/>
  <c r="F35" i="22"/>
  <c r="F24" i="22"/>
  <c r="F17" i="22"/>
  <c r="E221" i="22"/>
  <c r="E219" i="22"/>
  <c r="E216" i="22"/>
  <c r="E214" i="22"/>
  <c r="E204" i="22"/>
  <c r="E200" i="22"/>
  <c r="E198" i="22"/>
  <c r="E188" i="22"/>
  <c r="E186" i="22"/>
  <c r="E184" i="22"/>
  <c r="E182" i="22"/>
  <c r="E180" i="22"/>
  <c r="E178" i="22"/>
  <c r="E171" i="22"/>
  <c r="E165" i="22"/>
  <c r="E159" i="22"/>
  <c r="E156" i="22"/>
  <c r="E146" i="22"/>
  <c r="E144" i="22"/>
  <c r="E139" i="22"/>
  <c r="E137" i="22"/>
  <c r="E126" i="22"/>
  <c r="E124" i="22"/>
  <c r="E110" i="22"/>
  <c r="E107" i="22"/>
  <c r="E94" i="22"/>
  <c r="E83" i="22"/>
  <c r="E81" i="22"/>
  <c r="E78" i="22"/>
  <c r="E62" i="22"/>
  <c r="E54" i="22"/>
  <c r="E53" i="22"/>
  <c r="E52" i="22"/>
  <c r="E35" i="22"/>
  <c r="E24" i="22"/>
  <c r="E17" i="22"/>
  <c r="D221" i="22"/>
  <c r="D219" i="22"/>
  <c r="D216" i="22"/>
  <c r="D214" i="22"/>
  <c r="D204" i="22"/>
  <c r="D200" i="22"/>
  <c r="D198" i="22"/>
  <c r="D188" i="22"/>
  <c r="D186" i="22"/>
  <c r="D184" i="22"/>
  <c r="D182" i="22"/>
  <c r="D180" i="22"/>
  <c r="D178" i="22"/>
  <c r="D171" i="22"/>
  <c r="D165" i="22"/>
  <c r="D159" i="22"/>
  <c r="D156" i="22"/>
  <c r="D146" i="22"/>
  <c r="D144" i="22"/>
  <c r="D139" i="22"/>
  <c r="D137" i="22"/>
  <c r="D126" i="22"/>
  <c r="D124" i="22"/>
  <c r="D110" i="22"/>
  <c r="D107" i="22"/>
  <c r="D94" i="22"/>
  <c r="D83" i="22"/>
  <c r="D78" i="22"/>
  <c r="D62" i="22"/>
  <c r="D54" i="22"/>
  <c r="D53" i="22"/>
  <c r="D52" i="22"/>
  <c r="D35" i="22"/>
  <c r="D24" i="22"/>
  <c r="D17" i="22"/>
  <c r="C221" i="22"/>
  <c r="C219" i="22"/>
  <c r="C216" i="22"/>
  <c r="C214" i="22"/>
  <c r="C204" i="22"/>
  <c r="C200" i="22"/>
  <c r="C198" i="22"/>
  <c r="C188" i="22"/>
  <c r="C186" i="22"/>
  <c r="C182" i="22"/>
  <c r="C180" i="22"/>
  <c r="C178" i="22"/>
  <c r="C171" i="22"/>
  <c r="C165" i="22"/>
  <c r="C159" i="22"/>
  <c r="C156" i="22"/>
  <c r="C146" i="22"/>
  <c r="C144" i="22"/>
  <c r="C139" i="22"/>
  <c r="C137" i="22"/>
  <c r="C126" i="22"/>
  <c r="C124" i="22"/>
  <c r="C110" i="22"/>
  <c r="C107" i="22"/>
  <c r="C94" i="22"/>
  <c r="C83" i="22"/>
  <c r="C78" i="22"/>
  <c r="C62" i="22"/>
  <c r="C54" i="22"/>
  <c r="C53" i="22"/>
  <c r="C52" i="22"/>
  <c r="C35" i="22"/>
  <c r="C24" i="22"/>
  <c r="C17" i="22"/>
  <c r="B221" i="22"/>
  <c r="B219" i="22"/>
  <c r="B216" i="22"/>
  <c r="B214" i="22"/>
  <c r="B204" i="22"/>
  <c r="B200" i="22"/>
  <c r="B198" i="22"/>
  <c r="B188" i="22"/>
  <c r="B186" i="22"/>
  <c r="B182" i="22"/>
  <c r="B180" i="22"/>
  <c r="B178" i="22"/>
  <c r="B171" i="22"/>
  <c r="B165" i="22"/>
  <c r="B159" i="22"/>
  <c r="B156" i="22"/>
  <c r="B146" i="22"/>
  <c r="B144" i="22"/>
  <c r="B139" i="22"/>
  <c r="B137" i="22"/>
  <c r="B126" i="22"/>
  <c r="B124" i="22"/>
  <c r="B110" i="22"/>
  <c r="B107" i="22"/>
  <c r="B94" i="22"/>
  <c r="B83" i="22"/>
  <c r="B78" i="22"/>
  <c r="B62" i="22"/>
  <c r="B54" i="22"/>
  <c r="B53" i="22"/>
  <c r="B52" i="22"/>
  <c r="B35" i="22"/>
  <c r="B24" i="22"/>
  <c r="BE218" i="7"/>
  <c r="BE224" i="22"/>
  <c r="BG173" i="8"/>
  <c r="BG157" i="8"/>
  <c r="BG140" i="8"/>
  <c r="BG122" i="8"/>
  <c r="BG116" i="8"/>
  <c r="BG84" i="8"/>
  <c r="BG56" i="8"/>
  <c r="BG35" i="8"/>
  <c r="BG20" i="8"/>
  <c r="BG201" i="8"/>
  <c r="BG195" i="7"/>
  <c r="BL195" i="7"/>
  <c r="BG167" i="7"/>
  <c r="BL167" i="7"/>
  <c r="BG151" i="7"/>
  <c r="BL151" i="7"/>
  <c r="BG134" i="7"/>
  <c r="BL134" i="7"/>
  <c r="BG117" i="7"/>
  <c r="BL117" i="7"/>
  <c r="BG111" i="7"/>
  <c r="BL111" i="7"/>
  <c r="BG79" i="7"/>
  <c r="BL79" i="7"/>
  <c r="BG51" i="7"/>
  <c r="BL51" i="7"/>
  <c r="BG30" i="7"/>
  <c r="BL30" i="7"/>
  <c r="BG24" i="7"/>
  <c r="BL24" i="7"/>
  <c r="BG15" i="7"/>
  <c r="BL15" i="7"/>
  <c r="BF15" i="7"/>
  <c r="BF21" i="22"/>
  <c r="BG45" i="8"/>
  <c r="BL157" i="8"/>
  <c r="BJ157" i="8"/>
  <c r="BL140" i="8"/>
  <c r="BJ140" i="8"/>
  <c r="BL173" i="8"/>
  <c r="BJ173" i="8"/>
  <c r="BL201" i="8"/>
  <c r="BJ201" i="8"/>
  <c r="BL122" i="8"/>
  <c r="BJ122" i="8"/>
  <c r="BL116" i="8"/>
  <c r="BJ116" i="8"/>
  <c r="BL84" i="8"/>
  <c r="BJ84" i="8"/>
  <c r="BG85" i="22"/>
  <c r="BJ79" i="7"/>
  <c r="BG116" i="22"/>
  <c r="BJ111" i="7"/>
  <c r="BG140" i="22"/>
  <c r="BJ134" i="7"/>
  <c r="BG122" i="22"/>
  <c r="BJ117" i="7"/>
  <c r="BG157" i="22"/>
  <c r="BJ151" i="7"/>
  <c r="BG30" i="22"/>
  <c r="BJ24" i="7"/>
  <c r="BG173" i="22"/>
  <c r="BJ167" i="7"/>
  <c r="BG201" i="22"/>
  <c r="BJ195" i="7"/>
  <c r="BL56" i="8"/>
  <c r="BJ56" i="8"/>
  <c r="BJ51" i="7"/>
  <c r="BG57" i="22"/>
  <c r="BL35" i="8"/>
  <c r="BJ35" i="8"/>
  <c r="BJ30" i="7"/>
  <c r="BG36" i="22"/>
  <c r="BL20" i="8"/>
  <c r="BJ20" i="8"/>
  <c r="BG21" i="22"/>
  <c r="BJ15" i="7"/>
  <c r="BG189" i="8"/>
  <c r="BG183" i="7"/>
  <c r="BL183" i="7"/>
  <c r="BG222" i="8"/>
  <c r="BG92" i="7"/>
  <c r="BL92" i="7"/>
  <c r="BG154" i="7"/>
  <c r="BL154" i="7"/>
  <c r="BG216" i="7"/>
  <c r="BL216" i="7"/>
  <c r="BG122" i="7"/>
  <c r="BL122" i="7"/>
  <c r="BG97" i="8"/>
  <c r="BG160" i="8"/>
  <c r="BG127" i="8"/>
  <c r="BG40" i="7"/>
  <c r="BL40" i="7"/>
  <c r="BJ127" i="8"/>
  <c r="BL127" i="8"/>
  <c r="BJ173" i="22"/>
  <c r="BL173" i="22"/>
  <c r="BJ157" i="22"/>
  <c r="BL157" i="22"/>
  <c r="BJ140" i="22"/>
  <c r="BL140" i="22"/>
  <c r="BJ85" i="22"/>
  <c r="BL85" i="22"/>
  <c r="BJ36" i="22"/>
  <c r="BL36" i="22"/>
  <c r="BJ57" i="22"/>
  <c r="BL57" i="22"/>
  <c r="BJ21" i="22"/>
  <c r="BL21" i="22"/>
  <c r="BJ201" i="22"/>
  <c r="BL201" i="22"/>
  <c r="BJ30" i="22"/>
  <c r="BL30" i="22"/>
  <c r="BJ122" i="22"/>
  <c r="BL122" i="22"/>
  <c r="BJ116" i="22"/>
  <c r="BL116" i="22"/>
  <c r="BL160" i="8"/>
  <c r="BJ160" i="8"/>
  <c r="BL189" i="8"/>
  <c r="BJ189" i="8"/>
  <c r="BL222" i="8"/>
  <c r="BJ222" i="8"/>
  <c r="BL97" i="8"/>
  <c r="BJ97" i="8"/>
  <c r="BG97" i="22"/>
  <c r="BJ92" i="7"/>
  <c r="BG189" i="22"/>
  <c r="BJ183" i="7"/>
  <c r="BG160" i="22"/>
  <c r="BJ154" i="7"/>
  <c r="BG222" i="22"/>
  <c r="BJ216" i="7"/>
  <c r="BG127" i="22"/>
  <c r="BJ122" i="7"/>
  <c r="BJ45" i="8"/>
  <c r="BL45" i="8"/>
  <c r="BJ40" i="7"/>
  <c r="BG46" i="22"/>
  <c r="BG217" i="7"/>
  <c r="BL217" i="7"/>
  <c r="BG223" i="8"/>
  <c r="BJ127" i="22"/>
  <c r="BL127" i="22"/>
  <c r="BJ160" i="22"/>
  <c r="BL160" i="22"/>
  <c r="BJ97" i="22"/>
  <c r="BL97" i="22"/>
  <c r="BJ46" i="22"/>
  <c r="BL46" i="22"/>
  <c r="BJ222" i="22"/>
  <c r="BL222" i="22"/>
  <c r="BJ189" i="22"/>
  <c r="BL189" i="22"/>
  <c r="BL223" i="8"/>
  <c r="BJ223" i="8"/>
  <c r="BG223" i="22"/>
  <c r="BJ217" i="7"/>
  <c r="BJ223" i="22"/>
  <c r="BL223" i="22"/>
  <c r="AY70" i="22"/>
  <c r="AY67" i="22"/>
  <c r="AY66" i="22"/>
  <c r="AY65" i="22"/>
  <c r="AY64" i="22"/>
  <c r="AY62" i="22"/>
  <c r="BD219" i="8"/>
  <c r="BD204" i="8"/>
  <c r="BD142" i="7"/>
  <c r="BD148" i="22"/>
  <c r="BD112" i="8"/>
  <c r="BD107" i="8"/>
  <c r="BD104" i="8"/>
  <c r="BD73" i="7"/>
  <c r="BD79" i="22"/>
  <c r="BD78" i="8"/>
  <c r="AZ50" i="7"/>
  <c r="AZ56" i="22"/>
  <c r="BA50" i="7"/>
  <c r="BA56" i="22"/>
  <c r="BB50" i="7"/>
  <c r="BB56" i="22"/>
  <c r="BC50" i="7"/>
  <c r="BC56" i="22"/>
  <c r="BD50" i="7"/>
  <c r="BD56" i="22"/>
  <c r="AZ47" i="7"/>
  <c r="AZ53" i="22"/>
  <c r="BA47" i="7"/>
  <c r="BA53" i="22"/>
  <c r="BB47" i="7"/>
  <c r="BB53" i="22"/>
  <c r="BC47" i="7"/>
  <c r="BC53" i="22"/>
  <c r="BD52" i="8"/>
  <c r="BD47" i="7"/>
  <c r="BD53" i="22"/>
  <c r="AZ46" i="7"/>
  <c r="AZ52" i="22"/>
  <c r="BA46" i="7"/>
  <c r="BA52" i="22"/>
  <c r="BC46" i="7"/>
  <c r="BC52" i="22"/>
  <c r="BB46" i="7"/>
  <c r="BB52" i="22"/>
  <c r="BD51" i="8"/>
  <c r="BD46" i="7"/>
  <c r="BD52" i="22"/>
  <c r="BD34" i="8"/>
  <c r="BD38" i="8"/>
  <c r="AZ18" i="7"/>
  <c r="AZ24" i="22"/>
  <c r="BA18" i="7"/>
  <c r="BA24" i="22"/>
  <c r="BB18" i="7"/>
  <c r="BB24" i="22"/>
  <c r="BC18" i="7"/>
  <c r="BC24" i="22"/>
  <c r="BF201" i="8"/>
  <c r="BF173" i="8"/>
  <c r="BF157" i="8"/>
  <c r="BF140" i="8"/>
  <c r="BF122" i="8"/>
  <c r="BF116" i="8"/>
  <c r="BF84" i="8"/>
  <c r="BF56" i="8"/>
  <c r="BF35" i="8"/>
  <c r="BF20" i="8"/>
  <c r="BF195" i="7"/>
  <c r="BF201" i="22"/>
  <c r="BF167" i="7"/>
  <c r="BF173" i="22"/>
  <c r="BF151" i="7"/>
  <c r="BF157" i="22"/>
  <c r="BF134" i="7"/>
  <c r="BF140" i="22"/>
  <c r="BF117" i="7"/>
  <c r="BF122" i="22"/>
  <c r="BF111" i="7"/>
  <c r="BF116" i="22"/>
  <c r="BF79" i="7"/>
  <c r="BF85" i="22"/>
  <c r="BF51" i="7"/>
  <c r="BF57" i="22"/>
  <c r="BF30" i="7"/>
  <c r="BF36" i="22"/>
  <c r="BF24" i="7"/>
  <c r="BF30" i="22"/>
  <c r="BF45" i="8"/>
  <c r="BF222" i="8"/>
  <c r="BF97" i="8"/>
  <c r="BF127" i="8"/>
  <c r="BF216" i="7"/>
  <c r="BF222" i="22"/>
  <c r="BF183" i="7"/>
  <c r="BF189" i="22"/>
  <c r="BF154" i="7"/>
  <c r="BF160" i="22"/>
  <c r="BF122" i="7"/>
  <c r="BF127" i="22"/>
  <c r="BF92" i="7"/>
  <c r="BF97" i="22"/>
  <c r="BF40" i="7"/>
  <c r="BF46" i="22"/>
  <c r="BF160" i="8"/>
  <c r="BF189" i="8"/>
  <c r="BF217" i="7"/>
  <c r="BF223" i="22"/>
  <c r="BF223" i="8"/>
  <c r="BC219" i="8"/>
  <c r="AW219" i="8"/>
  <c r="AV219" i="8"/>
  <c r="AR219" i="8"/>
  <c r="AP219" i="8"/>
  <c r="AW214" i="8"/>
  <c r="AR214" i="8"/>
  <c r="BB204" i="8"/>
  <c r="AW204" i="8"/>
  <c r="AV204" i="8"/>
  <c r="AR204" i="8"/>
  <c r="BE201" i="8"/>
  <c r="BD201" i="8"/>
  <c r="BD222" i="8"/>
  <c r="BC201" i="8"/>
  <c r="BB201" i="8"/>
  <c r="BA201" i="8"/>
  <c r="BA222" i="8"/>
  <c r="AZ201" i="8"/>
  <c r="AZ222" i="8"/>
  <c r="AY201" i="8"/>
  <c r="AY222" i="8"/>
  <c r="AX201" i="8"/>
  <c r="AX222" i="8"/>
  <c r="AW201" i="8"/>
  <c r="AV201" i="8"/>
  <c r="AU201" i="8"/>
  <c r="AU222" i="8"/>
  <c r="AT201" i="8"/>
  <c r="AT222" i="8"/>
  <c r="AS201" i="8"/>
  <c r="AS222" i="8"/>
  <c r="AR201" i="8"/>
  <c r="AQ201" i="8"/>
  <c r="AQ222" i="8"/>
  <c r="AP201" i="8"/>
  <c r="AO201" i="8"/>
  <c r="AO222" i="8"/>
  <c r="AN201" i="8"/>
  <c r="AN222" i="8"/>
  <c r="AM201" i="8"/>
  <c r="AM222" i="8"/>
  <c r="AL201" i="8"/>
  <c r="AL222" i="8"/>
  <c r="AK201" i="8"/>
  <c r="AK222" i="8"/>
  <c r="AJ201" i="8"/>
  <c r="AJ222" i="8"/>
  <c r="AI201" i="8"/>
  <c r="AI222" i="8"/>
  <c r="AH201" i="8"/>
  <c r="AH222" i="8"/>
  <c r="AG201" i="8"/>
  <c r="AG222" i="8"/>
  <c r="AF201" i="8"/>
  <c r="AF222" i="8"/>
  <c r="AE201" i="8"/>
  <c r="AE222" i="8"/>
  <c r="AD201" i="8"/>
  <c r="AD222" i="8"/>
  <c r="AC201" i="8"/>
  <c r="AC222" i="8"/>
  <c r="AB201" i="8"/>
  <c r="AB222" i="8"/>
  <c r="AA201" i="8"/>
  <c r="AA222" i="8"/>
  <c r="Z201" i="8"/>
  <c r="Z222" i="8"/>
  <c r="Y201" i="8"/>
  <c r="Y222" i="8"/>
  <c r="X201" i="8"/>
  <c r="X222" i="8"/>
  <c r="W201" i="8"/>
  <c r="W222" i="8"/>
  <c r="V201" i="8"/>
  <c r="V222" i="8"/>
  <c r="U201" i="8"/>
  <c r="U222" i="8"/>
  <c r="T201" i="8"/>
  <c r="T222" i="8"/>
  <c r="S201" i="8"/>
  <c r="S222" i="8"/>
  <c r="R201" i="8"/>
  <c r="R222" i="8"/>
  <c r="Q201" i="8"/>
  <c r="Q222" i="8"/>
  <c r="P201" i="8"/>
  <c r="P222" i="8"/>
  <c r="O201" i="8"/>
  <c r="O222" i="8"/>
  <c r="N201" i="8"/>
  <c r="N222" i="8"/>
  <c r="M201" i="8"/>
  <c r="M222" i="8"/>
  <c r="L201" i="8"/>
  <c r="K201" i="8"/>
  <c r="K222" i="8"/>
  <c r="J201" i="8"/>
  <c r="J222" i="8"/>
  <c r="I201" i="8"/>
  <c r="I222" i="8"/>
  <c r="H201" i="8"/>
  <c r="H222" i="8"/>
  <c r="G201" i="8"/>
  <c r="G222" i="8"/>
  <c r="F201" i="8"/>
  <c r="F222" i="8"/>
  <c r="E201" i="8"/>
  <c r="E222" i="8"/>
  <c r="D201" i="8"/>
  <c r="D222" i="8"/>
  <c r="C201" i="8"/>
  <c r="C222" i="8"/>
  <c r="B201" i="8"/>
  <c r="AW182" i="8"/>
  <c r="AV182" i="8"/>
  <c r="AR182" i="8"/>
  <c r="AQ182" i="8"/>
  <c r="AP182" i="8"/>
  <c r="BC180" i="8"/>
  <c r="BC176" i="8"/>
  <c r="AN176" i="8"/>
  <c r="AM176" i="8"/>
  <c r="BE173" i="8"/>
  <c r="BD173" i="8"/>
  <c r="BC173" i="8"/>
  <c r="BB173" i="8"/>
  <c r="BB189" i="8"/>
  <c r="BA173" i="8"/>
  <c r="BA189" i="8"/>
  <c r="AZ173" i="8"/>
  <c r="AY173" i="8"/>
  <c r="AY189" i="8"/>
  <c r="AX173" i="8"/>
  <c r="AX189" i="8"/>
  <c r="AW173" i="8"/>
  <c r="AV173" i="8"/>
  <c r="AU173" i="8"/>
  <c r="AU189" i="8"/>
  <c r="AT173" i="8"/>
  <c r="AT189" i="8"/>
  <c r="AS173" i="8"/>
  <c r="AS189" i="8"/>
  <c r="AR173" i="8"/>
  <c r="AQ173" i="8"/>
  <c r="AP173" i="8"/>
  <c r="AO173" i="8"/>
  <c r="AO189" i="8"/>
  <c r="AN173" i="8"/>
  <c r="AM173" i="8"/>
  <c r="AL173" i="8"/>
  <c r="AK173" i="8"/>
  <c r="AJ173" i="8"/>
  <c r="AJ189" i="8"/>
  <c r="AI173" i="8"/>
  <c r="AI189" i="8"/>
  <c r="AH173" i="8"/>
  <c r="AH189" i="8"/>
  <c r="AG173" i="8"/>
  <c r="AG189" i="8"/>
  <c r="AF173" i="8"/>
  <c r="AE173" i="8"/>
  <c r="AE189" i="8"/>
  <c r="AD173" i="8"/>
  <c r="AD189" i="8"/>
  <c r="AC173" i="8"/>
  <c r="AC189" i="8"/>
  <c r="AB173" i="8"/>
  <c r="AB189" i="8"/>
  <c r="AA173" i="8"/>
  <c r="AA189" i="8"/>
  <c r="Z173" i="8"/>
  <c r="Z189" i="8"/>
  <c r="Y173" i="8"/>
  <c r="Y189" i="8"/>
  <c r="X173" i="8"/>
  <c r="X189" i="8"/>
  <c r="V173" i="8"/>
  <c r="U173" i="8"/>
  <c r="U189" i="8"/>
  <c r="T173" i="8"/>
  <c r="T189" i="8"/>
  <c r="S173" i="8"/>
  <c r="S189" i="8"/>
  <c r="R173" i="8"/>
  <c r="R189" i="8"/>
  <c r="Q173" i="8"/>
  <c r="Q189" i="8"/>
  <c r="P173" i="8"/>
  <c r="P189" i="8"/>
  <c r="O173" i="8"/>
  <c r="O189" i="8"/>
  <c r="N173" i="8"/>
  <c r="N189" i="8"/>
  <c r="M173" i="8"/>
  <c r="M189" i="8"/>
  <c r="L173" i="8"/>
  <c r="K173" i="8"/>
  <c r="K189" i="8"/>
  <c r="J173" i="8"/>
  <c r="J189" i="8"/>
  <c r="I173" i="8"/>
  <c r="I189" i="8"/>
  <c r="H173" i="8"/>
  <c r="H189" i="8"/>
  <c r="G173" i="8"/>
  <c r="G189" i="8"/>
  <c r="F173" i="8"/>
  <c r="F189" i="8"/>
  <c r="E173" i="8"/>
  <c r="E189" i="8"/>
  <c r="D173" i="8"/>
  <c r="D189" i="8"/>
  <c r="C173" i="8"/>
  <c r="C189" i="8"/>
  <c r="B173" i="8"/>
  <c r="W172" i="8"/>
  <c r="W173" i="8"/>
  <c r="W189" i="8"/>
  <c r="AW168" i="8"/>
  <c r="AV168" i="8"/>
  <c r="AL168" i="8"/>
  <c r="AK168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BC124" i="8"/>
  <c r="AW124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E122" i="8"/>
  <c r="AD122" i="8"/>
  <c r="AC122" i="8"/>
  <c r="AB122" i="8"/>
  <c r="AA122" i="8"/>
  <c r="Z122" i="8"/>
  <c r="Y122" i="8"/>
  <c r="X122" i="8"/>
  <c r="W122" i="8"/>
  <c r="V122" i="8"/>
  <c r="U122" i="8"/>
  <c r="AI119" i="8"/>
  <c r="AI122" i="8"/>
  <c r="AH119" i="8"/>
  <c r="AH122" i="8"/>
  <c r="AG119" i="8"/>
  <c r="AG122" i="8"/>
  <c r="AF119" i="8"/>
  <c r="BA116" i="8"/>
  <c r="AY116" i="8"/>
  <c r="AU116" i="8"/>
  <c r="AT116" i="8"/>
  <c r="AS116" i="8"/>
  <c r="AE116" i="8"/>
  <c r="X116" i="8"/>
  <c r="W116" i="8"/>
  <c r="V116" i="8"/>
  <c r="U116" i="8"/>
  <c r="T116" i="8"/>
  <c r="T127" i="8"/>
  <c r="S116" i="8"/>
  <c r="S127" i="8"/>
  <c r="R116" i="8"/>
  <c r="R127" i="8"/>
  <c r="Q116" i="8"/>
  <c r="Q127" i="8"/>
  <c r="P116" i="8"/>
  <c r="P127" i="8"/>
  <c r="O116" i="8"/>
  <c r="O127" i="8"/>
  <c r="N116" i="8"/>
  <c r="N127" i="8"/>
  <c r="M116" i="8"/>
  <c r="M127" i="8"/>
  <c r="L116" i="8"/>
  <c r="K116" i="8"/>
  <c r="K127" i="8"/>
  <c r="J116" i="8"/>
  <c r="J127" i="8"/>
  <c r="I116" i="8"/>
  <c r="I127" i="8"/>
  <c r="H116" i="8"/>
  <c r="H127" i="8"/>
  <c r="G116" i="8"/>
  <c r="G127" i="8"/>
  <c r="F116" i="8"/>
  <c r="F127" i="8"/>
  <c r="E116" i="8"/>
  <c r="E127" i="8"/>
  <c r="D116" i="8"/>
  <c r="D127" i="8"/>
  <c r="C116" i="8"/>
  <c r="C127" i="8"/>
  <c r="B116" i="8"/>
  <c r="AX114" i="8"/>
  <c r="AX116" i="8"/>
  <c r="AW114" i="8"/>
  <c r="AV114" i="8"/>
  <c r="BC112" i="8"/>
  <c r="BC116" i="8"/>
  <c r="BB112" i="8"/>
  <c r="BB111" i="8"/>
  <c r="AZ111" i="8"/>
  <c r="AZ116" i="8"/>
  <c r="AW111" i="8"/>
  <c r="AV111" i="8"/>
  <c r="AR111" i="8"/>
  <c r="AR116" i="8"/>
  <c r="AQ111" i="8"/>
  <c r="AQ116" i="8"/>
  <c r="AP111" i="8"/>
  <c r="AO111" i="8"/>
  <c r="AO116" i="8"/>
  <c r="AN111" i="8"/>
  <c r="AN116" i="8"/>
  <c r="AM111" i="8"/>
  <c r="AM116" i="8"/>
  <c r="AL111" i="8"/>
  <c r="AL116" i="8"/>
  <c r="AK111" i="8"/>
  <c r="AK116" i="8"/>
  <c r="AJ111" i="8"/>
  <c r="AJ116" i="8"/>
  <c r="AI111" i="8"/>
  <c r="AI116" i="8"/>
  <c r="AH111" i="8"/>
  <c r="AH116" i="8"/>
  <c r="AG111" i="8"/>
  <c r="AG116" i="8"/>
  <c r="AF111" i="8"/>
  <c r="AD111" i="8"/>
  <c r="AD116" i="8"/>
  <c r="AC111" i="8"/>
  <c r="AC116" i="8"/>
  <c r="AB111" i="8"/>
  <c r="AB116" i="8"/>
  <c r="AA111" i="8"/>
  <c r="AA116" i="8"/>
  <c r="Z111" i="8"/>
  <c r="Z116" i="8"/>
  <c r="Y111" i="8"/>
  <c r="Y116" i="8"/>
  <c r="BC107" i="8"/>
  <c r="BB107" i="8"/>
  <c r="BC104" i="8"/>
  <c r="BB104" i="8"/>
  <c r="AW104" i="8"/>
  <c r="AV104" i="8"/>
  <c r="AR104" i="8"/>
  <c r="BB84" i="8"/>
  <c r="BB97" i="8"/>
  <c r="BA84" i="8"/>
  <c r="BA97" i="8"/>
  <c r="AZ84" i="8"/>
  <c r="AY84" i="8"/>
  <c r="AY97" i="8"/>
  <c r="AX84" i="8"/>
  <c r="AX97" i="8"/>
  <c r="AV84" i="8"/>
  <c r="AV97" i="8"/>
  <c r="AU84" i="8"/>
  <c r="AU97" i="8"/>
  <c r="AT84" i="8"/>
  <c r="AT97" i="8"/>
  <c r="AS84" i="8"/>
  <c r="AS97" i="8"/>
  <c r="AR84" i="8"/>
  <c r="AR97" i="8"/>
  <c r="AO84" i="8"/>
  <c r="AO97" i="8"/>
  <c r="AN84" i="8"/>
  <c r="AN97" i="8"/>
  <c r="AM84" i="8"/>
  <c r="AM97" i="8"/>
  <c r="AL84" i="8"/>
  <c r="AL97" i="8"/>
  <c r="AK84" i="8"/>
  <c r="AK97" i="8"/>
  <c r="AJ84" i="8"/>
  <c r="AJ97" i="8"/>
  <c r="AI84" i="8"/>
  <c r="AI97" i="8"/>
  <c r="AH84" i="8"/>
  <c r="AH97" i="8"/>
  <c r="AG84" i="8"/>
  <c r="AG97" i="8"/>
  <c r="AF84" i="8"/>
  <c r="AE84" i="8"/>
  <c r="AE97" i="8"/>
  <c r="AD84" i="8"/>
  <c r="AD97" i="8"/>
  <c r="AC84" i="8"/>
  <c r="AC97" i="8"/>
  <c r="AB84" i="8"/>
  <c r="AB97" i="8"/>
  <c r="AA84" i="8"/>
  <c r="AA97" i="8"/>
  <c r="Z84" i="8"/>
  <c r="Z97" i="8"/>
  <c r="Y84" i="8"/>
  <c r="Y97" i="8"/>
  <c r="X84" i="8"/>
  <c r="X97" i="8"/>
  <c r="W84" i="8"/>
  <c r="W97" i="8"/>
  <c r="V84" i="8"/>
  <c r="U84" i="8"/>
  <c r="U97" i="8"/>
  <c r="T84" i="8"/>
  <c r="T97" i="8"/>
  <c r="S84" i="8"/>
  <c r="S97" i="8"/>
  <c r="R84" i="8"/>
  <c r="R97" i="8"/>
  <c r="Q84" i="8"/>
  <c r="Q97" i="8"/>
  <c r="P84" i="8"/>
  <c r="P97" i="8"/>
  <c r="O84" i="8"/>
  <c r="O97" i="8"/>
  <c r="N84" i="8"/>
  <c r="N97" i="8"/>
  <c r="M84" i="8"/>
  <c r="M97" i="8"/>
  <c r="L84" i="8"/>
  <c r="K84" i="8"/>
  <c r="K97" i="8"/>
  <c r="J84" i="8"/>
  <c r="J97" i="8"/>
  <c r="I84" i="8"/>
  <c r="I97" i="8"/>
  <c r="H84" i="8"/>
  <c r="H97" i="8"/>
  <c r="G84" i="8"/>
  <c r="G97" i="8"/>
  <c r="F84" i="8"/>
  <c r="F97" i="8"/>
  <c r="E84" i="8"/>
  <c r="E97" i="8"/>
  <c r="D84" i="8"/>
  <c r="D97" i="8"/>
  <c r="C84" i="8"/>
  <c r="C97" i="8"/>
  <c r="B84" i="8"/>
  <c r="BC83" i="8"/>
  <c r="AW83" i="8"/>
  <c r="AW84" i="8"/>
  <c r="AW97" i="8"/>
  <c r="AQ83" i="8"/>
  <c r="AQ84" i="8"/>
  <c r="AQ97" i="8"/>
  <c r="AP83" i="8"/>
  <c r="BC69" i="8"/>
  <c r="AQ69" i="8"/>
  <c r="AP69" i="8"/>
  <c r="AT65" i="8"/>
  <c r="AT67" i="8"/>
  <c r="BA56" i="8"/>
  <c r="AZ56" i="8"/>
  <c r="AY56" i="8"/>
  <c r="AX56" i="8"/>
  <c r="AV56" i="8"/>
  <c r="AU56" i="8"/>
  <c r="AT56" i="8"/>
  <c r="AS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O56" i="8"/>
  <c r="N56" i="8"/>
  <c r="K56" i="8"/>
  <c r="J56" i="8"/>
  <c r="I56" i="8"/>
  <c r="H56" i="8"/>
  <c r="G56" i="8"/>
  <c r="F56" i="8"/>
  <c r="E56" i="8"/>
  <c r="D56" i="8"/>
  <c r="C56" i="8"/>
  <c r="B56" i="8"/>
  <c r="AR55" i="8"/>
  <c r="BC52" i="8"/>
  <c r="BB52" i="8"/>
  <c r="AW52" i="8"/>
  <c r="AR52" i="8"/>
  <c r="BC51" i="8"/>
  <c r="BB51" i="8"/>
  <c r="AW51" i="8"/>
  <c r="AR51" i="8"/>
  <c r="AQ51" i="8"/>
  <c r="AQ56" i="8"/>
  <c r="AP51" i="8"/>
  <c r="AO51" i="8"/>
  <c r="AO56" i="8"/>
  <c r="AN51" i="8"/>
  <c r="AN56" i="8"/>
  <c r="AM51" i="8"/>
  <c r="AM56" i="8"/>
  <c r="AL51" i="8"/>
  <c r="AL56" i="8"/>
  <c r="AK51" i="8"/>
  <c r="AK56" i="8"/>
  <c r="AJ51" i="8"/>
  <c r="AJ56" i="8"/>
  <c r="AI51" i="8"/>
  <c r="AI56" i="8"/>
  <c r="AH51" i="8"/>
  <c r="AH56" i="8"/>
  <c r="P51" i="8"/>
  <c r="P56" i="8"/>
  <c r="M51" i="8"/>
  <c r="M56" i="8"/>
  <c r="L51" i="8"/>
  <c r="BC38" i="8"/>
  <c r="BB38" i="8"/>
  <c r="AS38" i="8"/>
  <c r="AR38" i="8"/>
  <c r="BE35" i="8"/>
  <c r="BD35" i="8"/>
  <c r="BC35" i="8"/>
  <c r="BB35" i="8"/>
  <c r="BA35" i="8"/>
  <c r="AZ35" i="8"/>
  <c r="AY35" i="8"/>
  <c r="AX35" i="8"/>
  <c r="AV35" i="8"/>
  <c r="AU35" i="8"/>
  <c r="AT35" i="8"/>
  <c r="AS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W35" i="8"/>
  <c r="AR34" i="8"/>
  <c r="AR35" i="8"/>
  <c r="AQ34" i="8"/>
  <c r="AQ35" i="8"/>
  <c r="AP34" i="8"/>
  <c r="AW23" i="8"/>
  <c r="AV23" i="8"/>
  <c r="BE20" i="8"/>
  <c r="BD20" i="8"/>
  <c r="BC20" i="8"/>
  <c r="BB20" i="8"/>
  <c r="BA20" i="8"/>
  <c r="AZ20" i="8"/>
  <c r="AY20" i="8"/>
  <c r="AX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8" i="8"/>
  <c r="AV18" i="8"/>
  <c r="AW17" i="8"/>
  <c r="AV17" i="8"/>
  <c r="AY221" i="22"/>
  <c r="AY219" i="22"/>
  <c r="AY216" i="22"/>
  <c r="AY214" i="22"/>
  <c r="AY212" i="22"/>
  <c r="AY210" i="22"/>
  <c r="AY207" i="22"/>
  <c r="AY204" i="22"/>
  <c r="AY200" i="22"/>
  <c r="AY199" i="22"/>
  <c r="AY198" i="22"/>
  <c r="AY184" i="22"/>
  <c r="AY182" i="22"/>
  <c r="AY180" i="22"/>
  <c r="AY176" i="22"/>
  <c r="AY171" i="22"/>
  <c r="AY168" i="22"/>
  <c r="AY165" i="22"/>
  <c r="AY159" i="22"/>
  <c r="AY156" i="22"/>
  <c r="AY155" i="22"/>
  <c r="AY152" i="22"/>
  <c r="AY150" i="22"/>
  <c r="AY146" i="22"/>
  <c r="AY144" i="22"/>
  <c r="AY139" i="22"/>
  <c r="AY138" i="22"/>
  <c r="AY137" i="22"/>
  <c r="AY126" i="22"/>
  <c r="AY124" i="22"/>
  <c r="AY121" i="22"/>
  <c r="AY120" i="22"/>
  <c r="AY119" i="22"/>
  <c r="AY115" i="22"/>
  <c r="AY114" i="22"/>
  <c r="AY113" i="22"/>
  <c r="AY111" i="22"/>
  <c r="AY110" i="22"/>
  <c r="AY107" i="22"/>
  <c r="AY104" i="22"/>
  <c r="AY101" i="22"/>
  <c r="AY96" i="22"/>
  <c r="AY94" i="22"/>
  <c r="AY92" i="22"/>
  <c r="AY90" i="22"/>
  <c r="AY88" i="22"/>
  <c r="AY84" i="22"/>
  <c r="AY83" i="22"/>
  <c r="AY82" i="22"/>
  <c r="AY78" i="22"/>
  <c r="AY72" i="22"/>
  <c r="AY56" i="22"/>
  <c r="AY55" i="22"/>
  <c r="AY54" i="22"/>
  <c r="AY53" i="22"/>
  <c r="AY52" i="22"/>
  <c r="AY45" i="22"/>
  <c r="AY43" i="22"/>
  <c r="AY41" i="22"/>
  <c r="AY39" i="22"/>
  <c r="AY35" i="22"/>
  <c r="AY34" i="22"/>
  <c r="AY33" i="22"/>
  <c r="AY28" i="22"/>
  <c r="AY27" i="22"/>
  <c r="AY24" i="22"/>
  <c r="AY20" i="22"/>
  <c r="AY19" i="22"/>
  <c r="AY18" i="22"/>
  <c r="AY17" i="22"/>
  <c r="AY13" i="22"/>
  <c r="BD195" i="7"/>
  <c r="BD201" i="22"/>
  <c r="BC195" i="7"/>
  <c r="BC201" i="22"/>
  <c r="BB195" i="7"/>
  <c r="BA195" i="7"/>
  <c r="BA201" i="22"/>
  <c r="AZ195" i="7"/>
  <c r="AY195" i="7"/>
  <c r="AX195" i="7"/>
  <c r="AX201" i="22"/>
  <c r="AW195" i="7"/>
  <c r="AW201" i="22"/>
  <c r="AV195" i="7"/>
  <c r="AV201" i="22"/>
  <c r="AU195" i="7"/>
  <c r="AU201" i="22"/>
  <c r="AT195" i="7"/>
  <c r="AT201" i="22"/>
  <c r="AS195" i="7"/>
  <c r="AS201" i="22"/>
  <c r="AR195" i="7"/>
  <c r="AR201" i="22"/>
  <c r="AQ195" i="7"/>
  <c r="AQ201" i="22"/>
  <c r="AP195" i="7"/>
  <c r="AP201" i="22"/>
  <c r="AO195" i="7"/>
  <c r="AO201" i="22"/>
  <c r="AN195" i="7"/>
  <c r="AN201" i="22"/>
  <c r="AM195" i="7"/>
  <c r="AM201" i="22"/>
  <c r="AL195" i="7"/>
  <c r="AL201" i="22"/>
  <c r="AK195" i="7"/>
  <c r="AK201" i="22"/>
  <c r="AJ195" i="7"/>
  <c r="AJ201" i="22"/>
  <c r="AI195" i="7"/>
  <c r="AI201" i="22"/>
  <c r="AH195" i="7"/>
  <c r="AH201" i="22"/>
  <c r="AG195" i="7"/>
  <c r="AG201" i="22"/>
  <c r="AF195" i="7"/>
  <c r="AE195" i="7"/>
  <c r="AE201" i="22"/>
  <c r="AD195" i="7"/>
  <c r="AD201" i="22"/>
  <c r="AC195" i="7"/>
  <c r="AC201" i="22"/>
  <c r="AB195" i="7"/>
  <c r="AB201" i="22"/>
  <c r="AA195" i="7"/>
  <c r="AA201" i="22"/>
  <c r="Z195" i="7"/>
  <c r="Z201" i="22"/>
  <c r="Y195" i="7"/>
  <c r="Y201" i="22"/>
  <c r="X195" i="7"/>
  <c r="X201" i="22"/>
  <c r="W195" i="7"/>
  <c r="W201" i="22"/>
  <c r="V195" i="7"/>
  <c r="U195" i="7"/>
  <c r="U201" i="22"/>
  <c r="T195" i="7"/>
  <c r="S195" i="7"/>
  <c r="S201" i="22"/>
  <c r="R195" i="7"/>
  <c r="Q195" i="7"/>
  <c r="Q201" i="22"/>
  <c r="P195" i="7"/>
  <c r="O195" i="7"/>
  <c r="O201" i="22"/>
  <c r="N195" i="7"/>
  <c r="N201" i="22"/>
  <c r="M195" i="7"/>
  <c r="M201" i="22"/>
  <c r="L195" i="7"/>
  <c r="K195" i="7"/>
  <c r="K201" i="22"/>
  <c r="J195" i="7"/>
  <c r="J201" i="22"/>
  <c r="I195" i="7"/>
  <c r="I201" i="22"/>
  <c r="H195" i="7"/>
  <c r="H201" i="22"/>
  <c r="G195" i="7"/>
  <c r="F195" i="7"/>
  <c r="F201" i="22"/>
  <c r="E195" i="7"/>
  <c r="E201" i="22"/>
  <c r="D195" i="7"/>
  <c r="D201" i="22"/>
  <c r="C195" i="7"/>
  <c r="C201" i="22"/>
  <c r="B195" i="7"/>
  <c r="B216" i="7"/>
  <c r="BC174" i="7"/>
  <c r="BC180" i="22"/>
  <c r="BC170" i="7"/>
  <c r="BC176" i="22"/>
  <c r="BD167" i="7"/>
  <c r="BD173" i="22"/>
  <c r="BC167" i="7"/>
  <c r="BC173" i="22"/>
  <c r="BB167" i="7"/>
  <c r="BB173" i="22"/>
  <c r="BA167" i="7"/>
  <c r="BA173" i="22"/>
  <c r="AZ167" i="7"/>
  <c r="AZ173" i="22"/>
  <c r="AY167" i="7"/>
  <c r="AY173" i="22"/>
  <c r="AX167" i="7"/>
  <c r="AX173" i="22"/>
  <c r="AW167" i="7"/>
  <c r="AW173" i="22"/>
  <c r="AV167" i="7"/>
  <c r="AV173" i="22"/>
  <c r="AU167" i="7"/>
  <c r="AU173" i="22"/>
  <c r="AT167" i="7"/>
  <c r="AT173" i="22"/>
  <c r="AS167" i="7"/>
  <c r="AS173" i="22"/>
  <c r="AR167" i="7"/>
  <c r="AR173" i="22"/>
  <c r="AQ167" i="7"/>
  <c r="AQ173" i="22"/>
  <c r="AP167" i="7"/>
  <c r="AP173" i="22"/>
  <c r="AO167" i="7"/>
  <c r="AN167" i="7"/>
  <c r="AN173" i="22"/>
  <c r="AM167" i="7"/>
  <c r="AM173" i="22"/>
  <c r="AL167" i="7"/>
  <c r="AL173" i="22"/>
  <c r="AK167" i="7"/>
  <c r="AK173" i="22"/>
  <c r="AJ167" i="7"/>
  <c r="AJ173" i="22"/>
  <c r="AI167" i="7"/>
  <c r="AI173" i="22"/>
  <c r="AH167" i="7"/>
  <c r="AH173" i="22"/>
  <c r="AG167" i="7"/>
  <c r="AG173" i="22"/>
  <c r="AF167" i="7"/>
  <c r="AF173" i="22"/>
  <c r="AE167" i="7"/>
  <c r="AE173" i="22"/>
  <c r="AD167" i="7"/>
  <c r="AD173" i="22"/>
  <c r="AC167" i="7"/>
  <c r="AC173" i="22"/>
  <c r="AB167" i="7"/>
  <c r="AB173" i="22"/>
  <c r="AA167" i="7"/>
  <c r="AA173" i="22"/>
  <c r="Z167" i="7"/>
  <c r="Z173" i="22"/>
  <c r="Y167" i="7"/>
  <c r="Y173" i="22"/>
  <c r="X167" i="7"/>
  <c r="X173" i="22"/>
  <c r="W167" i="7"/>
  <c r="W173" i="22"/>
  <c r="V167" i="7"/>
  <c r="U167" i="7"/>
  <c r="U173" i="22"/>
  <c r="T167" i="7"/>
  <c r="T173" i="22"/>
  <c r="S167" i="7"/>
  <c r="S173" i="22"/>
  <c r="R167" i="7"/>
  <c r="R173" i="22"/>
  <c r="Q167" i="7"/>
  <c r="Q173" i="22"/>
  <c r="P167" i="7"/>
  <c r="P173" i="22"/>
  <c r="O167" i="7"/>
  <c r="O173" i="22"/>
  <c r="N167" i="7"/>
  <c r="N173" i="22"/>
  <c r="M167" i="7"/>
  <c r="M173" i="22"/>
  <c r="L167" i="7"/>
  <c r="L173" i="22"/>
  <c r="K167" i="7"/>
  <c r="K173" i="22"/>
  <c r="J167" i="7"/>
  <c r="J173" i="22"/>
  <c r="I167" i="7"/>
  <c r="H167" i="7"/>
  <c r="H173" i="22"/>
  <c r="G167" i="7"/>
  <c r="G173" i="22"/>
  <c r="F167" i="7"/>
  <c r="F173" i="22"/>
  <c r="E167" i="7"/>
  <c r="E173" i="22"/>
  <c r="D167" i="7"/>
  <c r="D173" i="22"/>
  <c r="C167" i="7"/>
  <c r="C173" i="22"/>
  <c r="B167" i="7"/>
  <c r="BD151" i="7"/>
  <c r="BD157" i="22"/>
  <c r="BC151" i="7"/>
  <c r="BC157" i="22"/>
  <c r="BB151" i="7"/>
  <c r="BB157" i="22"/>
  <c r="BA151" i="7"/>
  <c r="BA157" i="22"/>
  <c r="AZ151" i="7"/>
  <c r="AY151" i="7"/>
  <c r="AY157" i="22"/>
  <c r="AX151" i="7"/>
  <c r="AX157" i="22"/>
  <c r="AW151" i="7"/>
  <c r="AW157" i="22"/>
  <c r="AV151" i="7"/>
  <c r="AV157" i="22"/>
  <c r="AU151" i="7"/>
  <c r="AU157" i="22"/>
  <c r="AT151" i="7"/>
  <c r="AT157" i="22"/>
  <c r="AS151" i="7"/>
  <c r="AS157" i="22"/>
  <c r="AR151" i="7"/>
  <c r="AR157" i="22"/>
  <c r="AQ151" i="7"/>
  <c r="AQ157" i="22"/>
  <c r="AP151" i="7"/>
  <c r="AP157" i="22"/>
  <c r="AO151" i="7"/>
  <c r="AO157" i="22"/>
  <c r="AN151" i="7"/>
  <c r="AN157" i="22"/>
  <c r="AM151" i="7"/>
  <c r="AM157" i="22"/>
  <c r="AL151" i="7"/>
  <c r="AL157" i="22"/>
  <c r="AK151" i="7"/>
  <c r="AK157" i="22"/>
  <c r="AJ151" i="7"/>
  <c r="AJ157" i="22"/>
  <c r="AI151" i="7"/>
  <c r="AI157" i="22"/>
  <c r="AH151" i="7"/>
  <c r="AH157" i="22"/>
  <c r="AG151" i="7"/>
  <c r="AG157" i="22"/>
  <c r="AF151" i="7"/>
  <c r="AF157" i="22"/>
  <c r="AE151" i="7"/>
  <c r="AE157" i="22"/>
  <c r="AD151" i="7"/>
  <c r="AD157" i="22"/>
  <c r="AC151" i="7"/>
  <c r="AC157" i="22"/>
  <c r="AB151" i="7"/>
  <c r="AB157" i="22"/>
  <c r="AA151" i="7"/>
  <c r="AA157" i="22"/>
  <c r="Z151" i="7"/>
  <c r="Z157" i="22"/>
  <c r="Y151" i="7"/>
  <c r="Y157" i="22"/>
  <c r="X151" i="7"/>
  <c r="X157" i="22"/>
  <c r="W151" i="7"/>
  <c r="W157" i="22"/>
  <c r="V151" i="7"/>
  <c r="V157" i="22"/>
  <c r="U151" i="7"/>
  <c r="U157" i="22"/>
  <c r="T151" i="7"/>
  <c r="T157" i="22"/>
  <c r="S151" i="7"/>
  <c r="S157" i="22"/>
  <c r="R151" i="7"/>
  <c r="R157" i="22"/>
  <c r="Q151" i="7"/>
  <c r="Q157" i="22"/>
  <c r="P151" i="7"/>
  <c r="P157" i="22"/>
  <c r="O151" i="7"/>
  <c r="O157" i="22"/>
  <c r="N151" i="7"/>
  <c r="N157" i="22"/>
  <c r="M151" i="7"/>
  <c r="M157" i="22"/>
  <c r="L151" i="7"/>
  <c r="K151" i="7"/>
  <c r="K157" i="22"/>
  <c r="J151" i="7"/>
  <c r="J157" i="22"/>
  <c r="I151" i="7"/>
  <c r="I157" i="22"/>
  <c r="H151" i="7"/>
  <c r="H157" i="22"/>
  <c r="G151" i="7"/>
  <c r="G157" i="22"/>
  <c r="F151" i="7"/>
  <c r="F157" i="22"/>
  <c r="E151" i="7"/>
  <c r="E157" i="22"/>
  <c r="D151" i="7"/>
  <c r="D157" i="22"/>
  <c r="C151" i="7"/>
  <c r="C157" i="22"/>
  <c r="B151" i="7"/>
  <c r="BC142" i="7"/>
  <c r="BC148" i="22"/>
  <c r="BA142" i="7"/>
  <c r="BA148" i="22"/>
  <c r="AZ142" i="7"/>
  <c r="AY142" i="7"/>
  <c r="AY148" i="22"/>
  <c r="AX142" i="7"/>
  <c r="AX148" i="22"/>
  <c r="BD134" i="7"/>
  <c r="BD140" i="22"/>
  <c r="BC134" i="7"/>
  <c r="BC140" i="22"/>
  <c r="BB134" i="7"/>
  <c r="BB140" i="22"/>
  <c r="BA134" i="7"/>
  <c r="BA140" i="22"/>
  <c r="AY134" i="7"/>
  <c r="AY140" i="22"/>
  <c r="AX134" i="7"/>
  <c r="AX140" i="22"/>
  <c r="AW134" i="7"/>
  <c r="AW140" i="22"/>
  <c r="AV134" i="7"/>
  <c r="AV140" i="22"/>
  <c r="AU134" i="7"/>
  <c r="AU140" i="22"/>
  <c r="AT134" i="7"/>
  <c r="AT140" i="22"/>
  <c r="AS134" i="7"/>
  <c r="AS140" i="22"/>
  <c r="AR134" i="7"/>
  <c r="AR140" i="22"/>
  <c r="AQ134" i="7"/>
  <c r="AQ140" i="22"/>
  <c r="AP134" i="7"/>
  <c r="AP140" i="22"/>
  <c r="AO134" i="7"/>
  <c r="AO140" i="22"/>
  <c r="AN134" i="7"/>
  <c r="AN140" i="22"/>
  <c r="AM134" i="7"/>
  <c r="AM140" i="22"/>
  <c r="AL134" i="7"/>
  <c r="AL140" i="22"/>
  <c r="AK134" i="7"/>
  <c r="AK140" i="22"/>
  <c r="AJ134" i="7"/>
  <c r="AJ140" i="22"/>
  <c r="AI134" i="7"/>
  <c r="AI140" i="22"/>
  <c r="AH134" i="7"/>
  <c r="AH140" i="22"/>
  <c r="AG134" i="7"/>
  <c r="AG140" i="22"/>
  <c r="AF134" i="7"/>
  <c r="AF140" i="22"/>
  <c r="AE134" i="7"/>
  <c r="AE140" i="22"/>
  <c r="AD134" i="7"/>
  <c r="AD140" i="22"/>
  <c r="AC134" i="7"/>
  <c r="AC140" i="22"/>
  <c r="AB134" i="7"/>
  <c r="AB140" i="22"/>
  <c r="AA134" i="7"/>
  <c r="AA140" i="22"/>
  <c r="Z134" i="7"/>
  <c r="Z140" i="22"/>
  <c r="Y134" i="7"/>
  <c r="Y140" i="22"/>
  <c r="X134" i="7"/>
  <c r="X140" i="22"/>
  <c r="W134" i="7"/>
  <c r="W140" i="22"/>
  <c r="V134" i="7"/>
  <c r="V140" i="22"/>
  <c r="U134" i="7"/>
  <c r="U140" i="22"/>
  <c r="T134" i="7"/>
  <c r="T140" i="22"/>
  <c r="S134" i="7"/>
  <c r="S140" i="22"/>
  <c r="R134" i="7"/>
  <c r="R140" i="22"/>
  <c r="Q134" i="7"/>
  <c r="Q140" i="22"/>
  <c r="P134" i="7"/>
  <c r="P140" i="22"/>
  <c r="O134" i="7"/>
  <c r="O140" i="22"/>
  <c r="N134" i="7"/>
  <c r="N140" i="22"/>
  <c r="M134" i="7"/>
  <c r="M140" i="22"/>
  <c r="L134" i="7"/>
  <c r="L140" i="22"/>
  <c r="K134" i="7"/>
  <c r="K140" i="22"/>
  <c r="J134" i="7"/>
  <c r="J140" i="22"/>
  <c r="I134" i="7"/>
  <c r="I140" i="22"/>
  <c r="H134" i="7"/>
  <c r="H140" i="22"/>
  <c r="G134" i="7"/>
  <c r="G140" i="22"/>
  <c r="F134" i="7"/>
  <c r="F140" i="22"/>
  <c r="E134" i="7"/>
  <c r="E140" i="22"/>
  <c r="D134" i="7"/>
  <c r="D140" i="22"/>
  <c r="C134" i="7"/>
  <c r="C140" i="22"/>
  <c r="B134" i="7"/>
  <c r="BD117" i="7"/>
  <c r="BD122" i="22"/>
  <c r="BC117" i="7"/>
  <c r="BC122" i="22"/>
  <c r="BB117" i="7"/>
  <c r="BB122" i="22"/>
  <c r="BA117" i="7"/>
  <c r="BA122" i="22"/>
  <c r="AZ117" i="7"/>
  <c r="AZ122" i="22"/>
  <c r="AY117" i="7"/>
  <c r="AY122" i="22"/>
  <c r="AX117" i="7"/>
  <c r="AX122" i="22"/>
  <c r="AW117" i="7"/>
  <c r="AW122" i="22"/>
  <c r="AV117" i="7"/>
  <c r="AV122" i="22"/>
  <c r="AU117" i="7"/>
  <c r="AU122" i="22"/>
  <c r="AT117" i="7"/>
  <c r="AT122" i="22"/>
  <c r="AS117" i="7"/>
  <c r="AS122" i="22"/>
  <c r="AR117" i="7"/>
  <c r="AR122" i="22"/>
  <c r="AQ117" i="7"/>
  <c r="AQ122" i="22"/>
  <c r="AP117" i="7"/>
  <c r="AP122" i="22"/>
  <c r="AO117" i="7"/>
  <c r="AO122" i="22"/>
  <c r="AN117" i="7"/>
  <c r="AN122" i="22"/>
  <c r="AM117" i="7"/>
  <c r="AM122" i="22"/>
  <c r="AL117" i="7"/>
  <c r="AL122" i="22"/>
  <c r="AK117" i="7"/>
  <c r="AK122" i="22"/>
  <c r="AJ117" i="7"/>
  <c r="AJ122" i="22"/>
  <c r="AI117" i="7"/>
  <c r="AI122" i="22"/>
  <c r="AH117" i="7"/>
  <c r="AH122" i="22"/>
  <c r="AG117" i="7"/>
  <c r="AG122" i="22"/>
  <c r="AF117" i="7"/>
  <c r="AF122" i="22"/>
  <c r="AE117" i="7"/>
  <c r="AE122" i="22"/>
  <c r="AD117" i="7"/>
  <c r="AD122" i="22"/>
  <c r="AC117" i="7"/>
  <c r="AC122" i="22"/>
  <c r="AB117" i="7"/>
  <c r="AB122" i="22"/>
  <c r="AA117" i="7"/>
  <c r="AA122" i="22"/>
  <c r="Z117" i="7"/>
  <c r="Z122" i="22"/>
  <c r="Y117" i="7"/>
  <c r="Y122" i="22"/>
  <c r="X117" i="7"/>
  <c r="X122" i="22"/>
  <c r="W117" i="7"/>
  <c r="W122" i="22"/>
  <c r="V117" i="7"/>
  <c r="U117" i="7"/>
  <c r="U122" i="22"/>
  <c r="T117" i="7"/>
  <c r="T122" i="22"/>
  <c r="BD111" i="7"/>
  <c r="BD116" i="22"/>
  <c r="BC111" i="7"/>
  <c r="BC116" i="22"/>
  <c r="BB111" i="7"/>
  <c r="BB116" i="22"/>
  <c r="BA111" i="7"/>
  <c r="BA116" i="22"/>
  <c r="AZ111" i="7"/>
  <c r="AY111" i="7"/>
  <c r="AY116" i="22"/>
  <c r="AX111" i="7"/>
  <c r="AX116" i="22"/>
  <c r="AU111" i="7"/>
  <c r="AU116" i="22"/>
  <c r="AT111" i="7"/>
  <c r="AT116" i="22"/>
  <c r="AS111" i="7"/>
  <c r="AS116" i="22"/>
  <c r="AR111" i="7"/>
  <c r="AR116" i="22"/>
  <c r="AQ111" i="7"/>
  <c r="AQ116" i="22"/>
  <c r="AP111" i="7"/>
  <c r="AP116" i="22"/>
  <c r="AO111" i="7"/>
  <c r="AO116" i="22"/>
  <c r="AN111" i="7"/>
  <c r="AN116" i="22"/>
  <c r="AM111" i="7"/>
  <c r="AM116" i="22"/>
  <c r="AL111" i="7"/>
  <c r="AL116" i="22"/>
  <c r="AK111" i="7"/>
  <c r="AK116" i="22"/>
  <c r="AJ111" i="7"/>
  <c r="AJ116" i="22"/>
  <c r="AI111" i="7"/>
  <c r="AI116" i="22"/>
  <c r="AH111" i="7"/>
  <c r="AH116" i="22"/>
  <c r="AG111" i="7"/>
  <c r="AG116" i="22"/>
  <c r="AF111" i="7"/>
  <c r="AE111" i="7"/>
  <c r="AE116" i="22"/>
  <c r="AD111" i="7"/>
  <c r="AD116" i="22"/>
  <c r="AC111" i="7"/>
  <c r="AC116" i="22"/>
  <c r="AB111" i="7"/>
  <c r="AB116" i="22"/>
  <c r="Z111" i="7"/>
  <c r="Z116" i="22"/>
  <c r="Y111" i="7"/>
  <c r="Y116" i="22"/>
  <c r="X111" i="7"/>
  <c r="X116" i="22"/>
  <c r="W111" i="7"/>
  <c r="W116" i="22"/>
  <c r="V111" i="7"/>
  <c r="V116" i="22"/>
  <c r="U111" i="7"/>
  <c r="U116" i="22"/>
  <c r="T111" i="7"/>
  <c r="T116" i="22"/>
  <c r="S111" i="7"/>
  <c r="S116" i="22"/>
  <c r="R111" i="7"/>
  <c r="R116" i="22"/>
  <c r="Q111" i="7"/>
  <c r="Q116" i="22"/>
  <c r="P111" i="7"/>
  <c r="O111" i="7"/>
  <c r="O116" i="22"/>
  <c r="N111" i="7"/>
  <c r="N116" i="22"/>
  <c r="M111" i="7"/>
  <c r="M116" i="22"/>
  <c r="L111" i="7"/>
  <c r="K111" i="7"/>
  <c r="K116" i="22"/>
  <c r="J111" i="7"/>
  <c r="J116" i="22"/>
  <c r="I111" i="7"/>
  <c r="I116" i="22"/>
  <c r="H111" i="7"/>
  <c r="H116" i="22"/>
  <c r="G111" i="7"/>
  <c r="G116" i="22"/>
  <c r="F111" i="7"/>
  <c r="F116" i="22"/>
  <c r="E111" i="7"/>
  <c r="E116" i="22"/>
  <c r="D111" i="7"/>
  <c r="C111" i="7"/>
  <c r="C116" i="22"/>
  <c r="B111" i="7"/>
  <c r="AW109" i="7"/>
  <c r="AW114" i="22"/>
  <c r="AV109" i="7"/>
  <c r="AV114" i="22"/>
  <c r="AA106" i="7"/>
  <c r="AA111" i="22"/>
  <c r="BD79" i="7"/>
  <c r="BD85" i="22"/>
  <c r="BC79" i="7"/>
  <c r="BC85" i="22"/>
  <c r="BB79" i="7"/>
  <c r="BB85" i="22"/>
  <c r="BA79" i="7"/>
  <c r="BA85" i="22"/>
  <c r="AZ79" i="7"/>
  <c r="AZ85" i="22"/>
  <c r="AY79" i="7"/>
  <c r="AY85" i="22"/>
  <c r="AX79" i="7"/>
  <c r="AW79" i="7"/>
  <c r="AW85" i="22"/>
  <c r="AV79" i="7"/>
  <c r="AV85" i="22"/>
  <c r="AU79" i="7"/>
  <c r="AU85" i="22"/>
  <c r="AT79" i="7"/>
  <c r="AS79" i="7"/>
  <c r="AS85" i="22"/>
  <c r="AR79" i="7"/>
  <c r="AR85" i="22"/>
  <c r="AQ79" i="7"/>
  <c r="AP79" i="7"/>
  <c r="AO79" i="7"/>
  <c r="AO85" i="22"/>
  <c r="AN79" i="7"/>
  <c r="AN85" i="22"/>
  <c r="AM79" i="7"/>
  <c r="AM85" i="22"/>
  <c r="AL79" i="7"/>
  <c r="AL85" i="22"/>
  <c r="AK79" i="7"/>
  <c r="AK85" i="22"/>
  <c r="AJ79" i="7"/>
  <c r="AJ85" i="22"/>
  <c r="AI79" i="7"/>
  <c r="AI85" i="22"/>
  <c r="AH79" i="7"/>
  <c r="AH85" i="22"/>
  <c r="AG79" i="7"/>
  <c r="AG85" i="22"/>
  <c r="AF79" i="7"/>
  <c r="AF85" i="22"/>
  <c r="AE79" i="7"/>
  <c r="AE85" i="22"/>
  <c r="AD79" i="7"/>
  <c r="AC79" i="7"/>
  <c r="AC85" i="22"/>
  <c r="AB79" i="7"/>
  <c r="AB85" i="22"/>
  <c r="AA79" i="7"/>
  <c r="AA85" i="22"/>
  <c r="Z79" i="7"/>
  <c r="Z85" i="22"/>
  <c r="Y79" i="7"/>
  <c r="Y85" i="22"/>
  <c r="X79" i="7"/>
  <c r="X85" i="22"/>
  <c r="W79" i="7"/>
  <c r="W85" i="22"/>
  <c r="V79" i="7"/>
  <c r="U79" i="7"/>
  <c r="U85" i="22"/>
  <c r="T79" i="7"/>
  <c r="S79" i="7"/>
  <c r="S85" i="22"/>
  <c r="R79" i="7"/>
  <c r="R85" i="22"/>
  <c r="Q79" i="7"/>
  <c r="Q85" i="22"/>
  <c r="P79" i="7"/>
  <c r="P85" i="22"/>
  <c r="O79" i="7"/>
  <c r="N79" i="7"/>
  <c r="N85" i="22"/>
  <c r="M79" i="7"/>
  <c r="M85" i="22"/>
  <c r="L79" i="7"/>
  <c r="L85" i="22"/>
  <c r="K79" i="7"/>
  <c r="K85" i="22"/>
  <c r="J79" i="7"/>
  <c r="I79" i="7"/>
  <c r="I85" i="22"/>
  <c r="H79" i="7"/>
  <c r="H85" i="22"/>
  <c r="G79" i="7"/>
  <c r="F79" i="7"/>
  <c r="F85" i="22"/>
  <c r="E79" i="7"/>
  <c r="E85" i="22"/>
  <c r="D79" i="7"/>
  <c r="D85" i="22"/>
  <c r="C79" i="7"/>
  <c r="C85" i="22"/>
  <c r="B79" i="7"/>
  <c r="AW59" i="7"/>
  <c r="AW65" i="22"/>
  <c r="AW58" i="7"/>
  <c r="BD51" i="7"/>
  <c r="BD57" i="22"/>
  <c r="BC51" i="7"/>
  <c r="BC57" i="22"/>
  <c r="BB51" i="7"/>
  <c r="BB57" i="22"/>
  <c r="BA51" i="7"/>
  <c r="BA57" i="22"/>
  <c r="AZ51" i="7"/>
  <c r="AZ57" i="22"/>
  <c r="AY51" i="7"/>
  <c r="AY57" i="22"/>
  <c r="AX51" i="7"/>
  <c r="AX57" i="22"/>
  <c r="AW51" i="7"/>
  <c r="AW57" i="22"/>
  <c r="AV51" i="7"/>
  <c r="AV57" i="22"/>
  <c r="AU51" i="7"/>
  <c r="AU57" i="22"/>
  <c r="AT51" i="7"/>
  <c r="AT57" i="22"/>
  <c r="AS51" i="7"/>
  <c r="AS57" i="22"/>
  <c r="AR51" i="7"/>
  <c r="AR57" i="22"/>
  <c r="AQ51" i="7"/>
  <c r="AQ57" i="22"/>
  <c r="AP51" i="7"/>
  <c r="AP57" i="22"/>
  <c r="AO51" i="7"/>
  <c r="AO57" i="22"/>
  <c r="AN51" i="7"/>
  <c r="AN57" i="22"/>
  <c r="AM51" i="7"/>
  <c r="AM57" i="22"/>
  <c r="AL51" i="7"/>
  <c r="AL57" i="22"/>
  <c r="AK51" i="7"/>
  <c r="AK57" i="22"/>
  <c r="AJ51" i="7"/>
  <c r="AJ57" i="22"/>
  <c r="AI51" i="7"/>
  <c r="AI57" i="22"/>
  <c r="AH51" i="7"/>
  <c r="AH57" i="22"/>
  <c r="AG51" i="7"/>
  <c r="AG57" i="22"/>
  <c r="AF51" i="7"/>
  <c r="AF57" i="22"/>
  <c r="AE51" i="7"/>
  <c r="AE57" i="22"/>
  <c r="AD51" i="7"/>
  <c r="AD57" i="22"/>
  <c r="AC51" i="7"/>
  <c r="AC57" i="22"/>
  <c r="AB51" i="7"/>
  <c r="AB57" i="22"/>
  <c r="AA51" i="7"/>
  <c r="AA57" i="22"/>
  <c r="Z51" i="7"/>
  <c r="Z57" i="22"/>
  <c r="Y51" i="7"/>
  <c r="Y57" i="22"/>
  <c r="X51" i="7"/>
  <c r="X57" i="22"/>
  <c r="W51" i="7"/>
  <c r="W57" i="22"/>
  <c r="V51" i="7"/>
  <c r="V57" i="22"/>
  <c r="U51" i="7"/>
  <c r="U57" i="22"/>
  <c r="T51" i="7"/>
  <c r="T57" i="22"/>
  <c r="S51" i="7"/>
  <c r="S57" i="22"/>
  <c r="R51" i="7"/>
  <c r="R57" i="22"/>
  <c r="Q51" i="7"/>
  <c r="Q57" i="22"/>
  <c r="P51" i="7"/>
  <c r="P57" i="22"/>
  <c r="O51" i="7"/>
  <c r="O57" i="22"/>
  <c r="N51" i="7"/>
  <c r="N57" i="22"/>
  <c r="M51" i="7"/>
  <c r="M57" i="22"/>
  <c r="L51" i="7"/>
  <c r="K51" i="7"/>
  <c r="K57" i="22"/>
  <c r="J51" i="7"/>
  <c r="J57" i="22"/>
  <c r="I51" i="7"/>
  <c r="I57" i="22"/>
  <c r="H51" i="7"/>
  <c r="H57" i="22"/>
  <c r="G51" i="7"/>
  <c r="G57" i="22"/>
  <c r="F51" i="7"/>
  <c r="F57" i="22"/>
  <c r="E51" i="7"/>
  <c r="E57" i="22"/>
  <c r="D51" i="7"/>
  <c r="D57" i="22"/>
  <c r="C51" i="7"/>
  <c r="C57" i="22"/>
  <c r="B51" i="7"/>
  <c r="BD30" i="7"/>
  <c r="BD36" i="22"/>
  <c r="BC30" i="7"/>
  <c r="BC36" i="22"/>
  <c r="BB30" i="7"/>
  <c r="BB36" i="22"/>
  <c r="BA30" i="7"/>
  <c r="BA36" i="22"/>
  <c r="AZ30" i="7"/>
  <c r="AZ36" i="22"/>
  <c r="AY30" i="7"/>
  <c r="AY36" i="22"/>
  <c r="AX30" i="7"/>
  <c r="AX36" i="22"/>
  <c r="AW30" i="7"/>
  <c r="AW36" i="22"/>
  <c r="AV30" i="7"/>
  <c r="AV36" i="22"/>
  <c r="AU30" i="7"/>
  <c r="AU36" i="22"/>
  <c r="AT30" i="7"/>
  <c r="AT36" i="22"/>
  <c r="AS30" i="7"/>
  <c r="AS36" i="22"/>
  <c r="AR30" i="7"/>
  <c r="AR36" i="22"/>
  <c r="AQ30" i="7"/>
  <c r="AQ36" i="22"/>
  <c r="AP30" i="7"/>
  <c r="AO30" i="7"/>
  <c r="AO36" i="22"/>
  <c r="AN30" i="7"/>
  <c r="AN36" i="22"/>
  <c r="AM30" i="7"/>
  <c r="AM36" i="22"/>
  <c r="AL30" i="7"/>
  <c r="AL36" i="22"/>
  <c r="AK30" i="7"/>
  <c r="AK36" i="22"/>
  <c r="AJ30" i="7"/>
  <c r="AJ36" i="22"/>
  <c r="AI30" i="7"/>
  <c r="AI36" i="22"/>
  <c r="AH30" i="7"/>
  <c r="AH36" i="22"/>
  <c r="AG30" i="7"/>
  <c r="AG36" i="22"/>
  <c r="AF30" i="7"/>
  <c r="AE30" i="7"/>
  <c r="AE36" i="22"/>
  <c r="AD30" i="7"/>
  <c r="AD36" i="22"/>
  <c r="AC30" i="7"/>
  <c r="AC36" i="22"/>
  <c r="AB30" i="7"/>
  <c r="AB36" i="22"/>
  <c r="AA30" i="7"/>
  <c r="AA36" i="22"/>
  <c r="Z30" i="7"/>
  <c r="Z36" i="22"/>
  <c r="Y30" i="7"/>
  <c r="Y36" i="22"/>
  <c r="X30" i="7"/>
  <c r="X36" i="22"/>
  <c r="W30" i="7"/>
  <c r="W36" i="22"/>
  <c r="V30" i="7"/>
  <c r="V36" i="22"/>
  <c r="U30" i="7"/>
  <c r="U36" i="22"/>
  <c r="T30" i="7"/>
  <c r="T36" i="22"/>
  <c r="S30" i="7"/>
  <c r="S36" i="22"/>
  <c r="R30" i="7"/>
  <c r="R36" i="22"/>
  <c r="Q30" i="7"/>
  <c r="Q36" i="22"/>
  <c r="P30" i="7"/>
  <c r="P36" i="22"/>
  <c r="O30" i="7"/>
  <c r="O36" i="22"/>
  <c r="N30" i="7"/>
  <c r="N36" i="22"/>
  <c r="M30" i="7"/>
  <c r="M36" i="22"/>
  <c r="L30" i="7"/>
  <c r="L36" i="22"/>
  <c r="K30" i="7"/>
  <c r="K36" i="22"/>
  <c r="J30" i="7"/>
  <c r="J36" i="22"/>
  <c r="I30" i="7"/>
  <c r="I36" i="22"/>
  <c r="H30" i="7"/>
  <c r="H36" i="22"/>
  <c r="G30" i="7"/>
  <c r="G36" i="22"/>
  <c r="F30" i="7"/>
  <c r="F36" i="22"/>
  <c r="E30" i="7"/>
  <c r="E36" i="22"/>
  <c r="D30" i="7"/>
  <c r="D36" i="22"/>
  <c r="C30" i="7"/>
  <c r="C36" i="22"/>
  <c r="B30" i="7"/>
  <c r="B36" i="22"/>
  <c r="BD24" i="7"/>
  <c r="BD30" i="22"/>
  <c r="BC24" i="7"/>
  <c r="BC30" i="22"/>
  <c r="BB24" i="7"/>
  <c r="BB30" i="22"/>
  <c r="BA24" i="7"/>
  <c r="BA30" i="22"/>
  <c r="AZ24" i="7"/>
  <c r="AZ30" i="22"/>
  <c r="AY24" i="7"/>
  <c r="AY30" i="22"/>
  <c r="AX24" i="7"/>
  <c r="AW24" i="7"/>
  <c r="AV24" i="7"/>
  <c r="AU24" i="7"/>
  <c r="AU30" i="22"/>
  <c r="AT24" i="7"/>
  <c r="AT30" i="22"/>
  <c r="AS24" i="7"/>
  <c r="AS30" i="22"/>
  <c r="AR24" i="7"/>
  <c r="AR30" i="22"/>
  <c r="AQ24" i="7"/>
  <c r="AQ30" i="22"/>
  <c r="AP24" i="7"/>
  <c r="AP30" i="22"/>
  <c r="AO24" i="7"/>
  <c r="AO30" i="22"/>
  <c r="AN24" i="7"/>
  <c r="AN30" i="22"/>
  <c r="AM24" i="7"/>
  <c r="AM30" i="22"/>
  <c r="AL24" i="7"/>
  <c r="AL30" i="22"/>
  <c r="AK24" i="7"/>
  <c r="AK30" i="22"/>
  <c r="AJ24" i="7"/>
  <c r="AJ30" i="22"/>
  <c r="AI24" i="7"/>
  <c r="AI30" i="22"/>
  <c r="AH24" i="7"/>
  <c r="AH30" i="22"/>
  <c r="AG24" i="7"/>
  <c r="AG30" i="22"/>
  <c r="AF24" i="7"/>
  <c r="AE24" i="7"/>
  <c r="AE30" i="22"/>
  <c r="AD24" i="7"/>
  <c r="AD30" i="22"/>
  <c r="AC24" i="7"/>
  <c r="AC30" i="22"/>
  <c r="AB24" i="7"/>
  <c r="AB30" i="22"/>
  <c r="AA24" i="7"/>
  <c r="AA30" i="22"/>
  <c r="Z24" i="7"/>
  <c r="Z30" i="22"/>
  <c r="Y24" i="7"/>
  <c r="Y30" i="22"/>
  <c r="X24" i="7"/>
  <c r="X30" i="22"/>
  <c r="W24" i="7"/>
  <c r="W30" i="22"/>
  <c r="V24" i="7"/>
  <c r="V30" i="22"/>
  <c r="Q24" i="7"/>
  <c r="Q30" i="22"/>
  <c r="P24" i="7"/>
  <c r="P30" i="22"/>
  <c r="O24" i="7"/>
  <c r="O30" i="22"/>
  <c r="AW18" i="7"/>
  <c r="AW24" i="22"/>
  <c r="BD15" i="7"/>
  <c r="BD21" i="22"/>
  <c r="BC15" i="7"/>
  <c r="BC21" i="22"/>
  <c r="BB15" i="7"/>
  <c r="BB21" i="22"/>
  <c r="BA15" i="7"/>
  <c r="BA21" i="22"/>
  <c r="AZ15" i="7"/>
  <c r="AZ21" i="22"/>
  <c r="AY15" i="7"/>
  <c r="AX15" i="7"/>
  <c r="AU15" i="7"/>
  <c r="AU21" i="22"/>
  <c r="AT15" i="7"/>
  <c r="AT21" i="22"/>
  <c r="AS15" i="7"/>
  <c r="AS21" i="22"/>
  <c r="AR15" i="7"/>
  <c r="AR21" i="22"/>
  <c r="AQ15" i="7"/>
  <c r="AQ21" i="22"/>
  <c r="AP15" i="7"/>
  <c r="AP21" i="22"/>
  <c r="AO15" i="7"/>
  <c r="AO21" i="22"/>
  <c r="AN15" i="7"/>
  <c r="AN21" i="22"/>
  <c r="AM15" i="7"/>
  <c r="AM21" i="22"/>
  <c r="AL15" i="7"/>
  <c r="AL21" i="22"/>
  <c r="AK15" i="7"/>
  <c r="AK21" i="22"/>
  <c r="AJ15" i="7"/>
  <c r="AJ21" i="22"/>
  <c r="AI15" i="7"/>
  <c r="AI21" i="22"/>
  <c r="AH15" i="7"/>
  <c r="AH21" i="22"/>
  <c r="AG15" i="7"/>
  <c r="AG21" i="22"/>
  <c r="AF15" i="7"/>
  <c r="AF21" i="22"/>
  <c r="AE15" i="7"/>
  <c r="AE21" i="22"/>
  <c r="AD15" i="7"/>
  <c r="AD21" i="22"/>
  <c r="AC15" i="7"/>
  <c r="AC21" i="22"/>
  <c r="AB15" i="7"/>
  <c r="AB21" i="22"/>
  <c r="AA15" i="7"/>
  <c r="AA21" i="22"/>
  <c r="Z15" i="7"/>
  <c r="Z21" i="22"/>
  <c r="Y15" i="7"/>
  <c r="Y21" i="22"/>
  <c r="X15" i="7"/>
  <c r="X21" i="22"/>
  <c r="W15" i="7"/>
  <c r="W21" i="22"/>
  <c r="V15" i="7"/>
  <c r="U15" i="7"/>
  <c r="U21" i="22"/>
  <c r="T15" i="7"/>
  <c r="T21" i="22"/>
  <c r="S15" i="7"/>
  <c r="S21" i="22"/>
  <c r="R15" i="7"/>
  <c r="R21" i="22"/>
  <c r="Q15" i="7"/>
  <c r="Q21" i="22"/>
  <c r="P15" i="7"/>
  <c r="P21" i="22"/>
  <c r="O15" i="7"/>
  <c r="O21" i="22"/>
  <c r="N15" i="7"/>
  <c r="N21" i="22"/>
  <c r="M15" i="7"/>
  <c r="M21" i="22"/>
  <c r="L15" i="7"/>
  <c r="K15" i="7"/>
  <c r="K21" i="22"/>
  <c r="J15" i="7"/>
  <c r="J21" i="22"/>
  <c r="I15" i="7"/>
  <c r="I21" i="22"/>
  <c r="H15" i="7"/>
  <c r="H21" i="22"/>
  <c r="G15" i="7"/>
  <c r="G21" i="22"/>
  <c r="F15" i="7"/>
  <c r="F21" i="22"/>
  <c r="E15" i="7"/>
  <c r="E21" i="22"/>
  <c r="D15" i="7"/>
  <c r="D21" i="22"/>
  <c r="C15" i="7"/>
  <c r="C21" i="22"/>
  <c r="B15" i="7"/>
  <c r="AW13" i="7"/>
  <c r="AW19" i="22"/>
  <c r="AV13" i="7"/>
  <c r="AV19" i="22"/>
  <c r="AW12" i="7"/>
  <c r="AW18" i="22"/>
  <c r="AV12" i="7"/>
  <c r="AV18" i="22"/>
  <c r="AG127" i="8"/>
  <c r="AV222" i="8"/>
  <c r="AT45" i="8"/>
  <c r="BB222" i="8"/>
  <c r="AV20" i="8"/>
  <c r="AW20" i="8"/>
  <c r="AW45" i="8"/>
  <c r="C45" i="8"/>
  <c r="G45" i="8"/>
  <c r="K45" i="8"/>
  <c r="O45" i="8"/>
  <c r="S45" i="8"/>
  <c r="W45" i="8"/>
  <c r="AA45" i="8"/>
  <c r="AE45" i="8"/>
  <c r="AI45" i="8"/>
  <c r="AM45" i="8"/>
  <c r="BC222" i="8"/>
  <c r="AY45" i="8"/>
  <c r="D45" i="8"/>
  <c r="H45" i="8"/>
  <c r="L45" i="8"/>
  <c r="P45" i="8"/>
  <c r="T45" i="8"/>
  <c r="X45" i="8"/>
  <c r="AB45" i="8"/>
  <c r="AF45" i="8"/>
  <c r="AJ45" i="8"/>
  <c r="AN45" i="8"/>
  <c r="AU45" i="8"/>
  <c r="AZ45" i="8"/>
  <c r="BD45" i="8"/>
  <c r="AR45" i="8"/>
  <c r="BC45" i="8"/>
  <c r="AQ45" i="8"/>
  <c r="E45" i="8"/>
  <c r="I45" i="8"/>
  <c r="M45" i="8"/>
  <c r="Q45" i="8"/>
  <c r="U45" i="8"/>
  <c r="Y45" i="8"/>
  <c r="AC45" i="8"/>
  <c r="AG45" i="8"/>
  <c r="AK45" i="8"/>
  <c r="AO45" i="8"/>
  <c r="AV45" i="8"/>
  <c r="BA45" i="8"/>
  <c r="BE45" i="8"/>
  <c r="AS45" i="8"/>
  <c r="B45" i="8"/>
  <c r="F45" i="8"/>
  <c r="J45" i="8"/>
  <c r="N45" i="8"/>
  <c r="R45" i="8"/>
  <c r="V45" i="8"/>
  <c r="Z45" i="8"/>
  <c r="AD45" i="8"/>
  <c r="AH45" i="8"/>
  <c r="AL45" i="8"/>
  <c r="AX45" i="8"/>
  <c r="BB45" i="8"/>
  <c r="AR222" i="8"/>
  <c r="AW222" i="8"/>
  <c r="BE222" i="8"/>
  <c r="AP222" i="8"/>
  <c r="AW64" i="22"/>
  <c r="AW62" i="7"/>
  <c r="AF36" i="22"/>
  <c r="L57" i="22"/>
  <c r="AQ92" i="7"/>
  <c r="AQ97" i="22"/>
  <c r="AQ85" i="22"/>
  <c r="P122" i="7"/>
  <c r="P127" i="22"/>
  <c r="P116" i="22"/>
  <c r="L157" i="22"/>
  <c r="B222" i="22"/>
  <c r="R216" i="7"/>
  <c r="R222" i="22"/>
  <c r="R201" i="22"/>
  <c r="BB216" i="7"/>
  <c r="BB222" i="22"/>
  <c r="BB201" i="22"/>
  <c r="L21" i="22"/>
  <c r="T92" i="7"/>
  <c r="T97" i="22"/>
  <c r="T85" i="22"/>
  <c r="BD92" i="7"/>
  <c r="BD97" i="22"/>
  <c r="BD122" i="7"/>
  <c r="BD127" i="22"/>
  <c r="V122" i="22"/>
  <c r="AO183" i="7"/>
  <c r="AO189" i="22"/>
  <c r="AO173" i="22"/>
  <c r="G216" i="7"/>
  <c r="G222" i="22"/>
  <c r="G201" i="22"/>
  <c r="AP36" i="22"/>
  <c r="B57" i="22"/>
  <c r="U92" i="7"/>
  <c r="U97" i="22"/>
  <c r="B173" i="22"/>
  <c r="V173" i="22"/>
  <c r="L216" i="7"/>
  <c r="L222" i="22"/>
  <c r="L201" i="22"/>
  <c r="P216" i="7"/>
  <c r="P222" i="22"/>
  <c r="P201" i="22"/>
  <c r="T216" i="7"/>
  <c r="T222" i="22"/>
  <c r="T201" i="22"/>
  <c r="AF216" i="7"/>
  <c r="AF222" i="22"/>
  <c r="AF201" i="22"/>
  <c r="AZ201" i="22"/>
  <c r="BD216" i="7"/>
  <c r="BD222" i="22"/>
  <c r="AF30" i="22"/>
  <c r="G92" i="7"/>
  <c r="G97" i="22"/>
  <c r="G85" i="22"/>
  <c r="O92" i="7"/>
  <c r="O97" i="22"/>
  <c r="O85" i="22"/>
  <c r="D122" i="7"/>
  <c r="D127" i="22"/>
  <c r="D116" i="22"/>
  <c r="L116" i="22"/>
  <c r="AZ157" i="22"/>
  <c r="V216" i="7"/>
  <c r="V222" i="22"/>
  <c r="V201" i="22"/>
  <c r="AZ116" i="22"/>
  <c r="B140" i="22"/>
  <c r="I183" i="7"/>
  <c r="I189" i="22"/>
  <c r="I173" i="22"/>
  <c r="B21" i="22"/>
  <c r="V21" i="22"/>
  <c r="J92" i="7"/>
  <c r="J97" i="22"/>
  <c r="J85" i="22"/>
  <c r="V92" i="7"/>
  <c r="V97" i="22"/>
  <c r="V85" i="22"/>
  <c r="AD92" i="7"/>
  <c r="AD97" i="22"/>
  <c r="AD85" i="22"/>
  <c r="AP92" i="7"/>
  <c r="AP97" i="22"/>
  <c r="AP85" i="22"/>
  <c r="AT92" i="7"/>
  <c r="AT97" i="22"/>
  <c r="AT85" i="22"/>
  <c r="AX92" i="7"/>
  <c r="AX97" i="22"/>
  <c r="AX85" i="22"/>
  <c r="AF116" i="22"/>
  <c r="AZ140" i="22"/>
  <c r="AZ148" i="22"/>
  <c r="U216" i="7"/>
  <c r="U222" i="22"/>
  <c r="AV116" i="8"/>
  <c r="AV127" i="8"/>
  <c r="B116" i="22"/>
  <c r="B85" i="22"/>
  <c r="U127" i="8"/>
  <c r="F160" i="8"/>
  <c r="F223" i="8"/>
  <c r="R160" i="8"/>
  <c r="R223" i="8"/>
  <c r="Z160" i="8"/>
  <c r="Z223" i="8"/>
  <c r="AX160" i="8"/>
  <c r="AX223" i="8"/>
  <c r="AK127" i="8"/>
  <c r="AO127" i="8"/>
  <c r="AS127" i="8"/>
  <c r="N160" i="8"/>
  <c r="N223" i="8"/>
  <c r="AH160" i="8"/>
  <c r="AH223" i="8"/>
  <c r="AT160" i="8"/>
  <c r="AT223" i="8"/>
  <c r="Y127" i="8"/>
  <c r="AC127" i="8"/>
  <c r="AW116" i="8"/>
  <c r="AW127" i="8"/>
  <c r="AX40" i="7"/>
  <c r="AX46" i="22"/>
  <c r="B40" i="7"/>
  <c r="B46" i="22"/>
  <c r="AW15" i="7"/>
  <c r="AW40" i="7"/>
  <c r="AW46" i="22"/>
  <c r="AN122" i="7"/>
  <c r="AN127" i="22"/>
  <c r="D154" i="7"/>
  <c r="D160" i="22"/>
  <c r="T154" i="7"/>
  <c r="T160" i="22"/>
  <c r="AB154" i="7"/>
  <c r="AB160" i="22"/>
  <c r="AJ154" i="7"/>
  <c r="AJ160" i="22"/>
  <c r="AR154" i="7"/>
  <c r="AR160" i="22"/>
  <c r="X122" i="7"/>
  <c r="X127" i="22"/>
  <c r="AA111" i="7"/>
  <c r="AA116" i="22"/>
  <c r="U40" i="7"/>
  <c r="U46" i="22"/>
  <c r="V122" i="7"/>
  <c r="AZ40" i="7"/>
  <c r="O40" i="7"/>
  <c r="O46" i="22"/>
  <c r="H40" i="7"/>
  <c r="H46" i="22"/>
  <c r="X40" i="7"/>
  <c r="X46" i="22"/>
  <c r="AF40" i="7"/>
  <c r="AF46" i="22"/>
  <c r="AW154" i="7"/>
  <c r="AW160" i="22"/>
  <c r="T40" i="7"/>
  <c r="T46" i="22"/>
  <c r="AH40" i="7"/>
  <c r="AH46" i="22"/>
  <c r="AV15" i="7"/>
  <c r="AV40" i="7"/>
  <c r="AV46" i="22"/>
  <c r="P40" i="7"/>
  <c r="P46" i="22"/>
  <c r="Z40" i="7"/>
  <c r="Z46" i="22"/>
  <c r="AT40" i="7"/>
  <c r="AT46" i="22"/>
  <c r="R40" i="7"/>
  <c r="R46" i="22"/>
  <c r="BC40" i="7"/>
  <c r="BC46" i="22"/>
  <c r="E92" i="7"/>
  <c r="E97" i="22"/>
  <c r="K92" i="7"/>
  <c r="K97" i="22"/>
  <c r="R92" i="7"/>
  <c r="R97" i="22"/>
  <c r="W92" i="7"/>
  <c r="W97" i="22"/>
  <c r="AE92" i="7"/>
  <c r="AE97" i="22"/>
  <c r="AM92" i="7"/>
  <c r="AM97" i="22"/>
  <c r="AU92" i="7"/>
  <c r="AU97" i="22"/>
  <c r="AY92" i="7"/>
  <c r="AY97" i="22"/>
  <c r="AV111" i="7"/>
  <c r="AV116" i="22"/>
  <c r="H122" i="7"/>
  <c r="H127" i="22"/>
  <c r="R122" i="7"/>
  <c r="R127" i="22"/>
  <c r="AF122" i="7"/>
  <c r="AU122" i="7"/>
  <c r="AU127" i="22"/>
  <c r="O154" i="7"/>
  <c r="O160" i="22"/>
  <c r="AE154" i="7"/>
  <c r="AE160" i="22"/>
  <c r="AU154" i="7"/>
  <c r="AU160" i="22"/>
  <c r="BB154" i="7"/>
  <c r="BB160" i="22"/>
  <c r="K183" i="7"/>
  <c r="K189" i="22"/>
  <c r="AA183" i="7"/>
  <c r="AA189" i="22"/>
  <c r="AQ183" i="7"/>
  <c r="AQ189" i="22"/>
  <c r="Z216" i="7"/>
  <c r="Z222" i="22"/>
  <c r="AD216" i="7"/>
  <c r="AD222" i="22"/>
  <c r="AH216" i="7"/>
  <c r="AH222" i="22"/>
  <c r="AL216" i="7"/>
  <c r="AL222" i="22"/>
  <c r="AP216" i="7"/>
  <c r="AT216" i="7"/>
  <c r="AT222" i="22"/>
  <c r="AX216" i="7"/>
  <c r="AX222" i="22"/>
  <c r="J216" i="7"/>
  <c r="J222" i="22"/>
  <c r="S216" i="7"/>
  <c r="S222" i="22"/>
  <c r="AW21" i="22"/>
  <c r="B92" i="7"/>
  <c r="B97" i="22"/>
  <c r="F92" i="7"/>
  <c r="F97" i="22"/>
  <c r="N92" i="7"/>
  <c r="N97" i="22"/>
  <c r="S92" i="7"/>
  <c r="S97" i="22"/>
  <c r="Z92" i="7"/>
  <c r="Z97" i="22"/>
  <c r="AH92" i="7"/>
  <c r="AH97" i="22"/>
  <c r="AV92" i="7"/>
  <c r="AV97" i="22"/>
  <c r="BB92" i="7"/>
  <c r="BB97" i="22"/>
  <c r="AW111" i="7"/>
  <c r="AW116" i="22"/>
  <c r="K122" i="7"/>
  <c r="K127" i="22"/>
  <c r="S122" i="7"/>
  <c r="S127" i="22"/>
  <c r="AI122" i="7"/>
  <c r="AI127" i="22"/>
  <c r="C154" i="7"/>
  <c r="C160" i="22"/>
  <c r="S154" i="7"/>
  <c r="S160" i="22"/>
  <c r="AI154" i="7"/>
  <c r="AI160" i="22"/>
  <c r="AV154" i="7"/>
  <c r="AV160" i="22"/>
  <c r="B183" i="7"/>
  <c r="O183" i="7"/>
  <c r="O189" i="22"/>
  <c r="AE183" i="7"/>
  <c r="AE189" i="22"/>
  <c r="AU183" i="7"/>
  <c r="AU189" i="22"/>
  <c r="W216" i="7"/>
  <c r="W222" i="22"/>
  <c r="AA216" i="7"/>
  <c r="AA222" i="22"/>
  <c r="AE216" i="7"/>
  <c r="AE222" i="22"/>
  <c r="AI216" i="7"/>
  <c r="AI222" i="22"/>
  <c r="AM216" i="7"/>
  <c r="AM222" i="22"/>
  <c r="AQ216" i="7"/>
  <c r="AQ222" i="22"/>
  <c r="AU216" i="7"/>
  <c r="AU222" i="22"/>
  <c r="AY201" i="22"/>
  <c r="AY216" i="7"/>
  <c r="AY222" i="22"/>
  <c r="BC216" i="7"/>
  <c r="BC222" i="22"/>
  <c r="K216" i="7"/>
  <c r="K222" i="22"/>
  <c r="C92" i="7"/>
  <c r="C97" i="22"/>
  <c r="AA92" i="7"/>
  <c r="AA97" i="22"/>
  <c r="AI92" i="7"/>
  <c r="AI97" i="22"/>
  <c r="AW92" i="7"/>
  <c r="AW97" i="22"/>
  <c r="BC92" i="7"/>
  <c r="BC97" i="22"/>
  <c r="C122" i="7"/>
  <c r="C127" i="22"/>
  <c r="L122" i="7"/>
  <c r="AY122" i="7"/>
  <c r="AY127" i="22"/>
  <c r="G154" i="7"/>
  <c r="G160" i="22"/>
  <c r="W154" i="7"/>
  <c r="W160" i="22"/>
  <c r="AM154" i="7"/>
  <c r="AM160" i="22"/>
  <c r="C183" i="7"/>
  <c r="C189" i="22"/>
  <c r="S183" i="7"/>
  <c r="S189" i="22"/>
  <c r="AI183" i="7"/>
  <c r="AI189" i="22"/>
  <c r="AY183" i="7"/>
  <c r="AY189" i="22"/>
  <c r="X216" i="7"/>
  <c r="X222" i="22"/>
  <c r="AB216" i="7"/>
  <c r="AB222" i="22"/>
  <c r="AJ216" i="7"/>
  <c r="AJ222" i="22"/>
  <c r="AN216" i="7"/>
  <c r="AN222" i="22"/>
  <c r="AR216" i="7"/>
  <c r="AR222" i="22"/>
  <c r="AV216" i="7"/>
  <c r="AV222" i="22"/>
  <c r="AZ216" i="7"/>
  <c r="AZ222" i="22"/>
  <c r="N216" i="7"/>
  <c r="N222" i="22"/>
  <c r="D40" i="7"/>
  <c r="D46" i="22"/>
  <c r="AJ40" i="7"/>
  <c r="AJ46" i="22"/>
  <c r="AN40" i="7"/>
  <c r="AN46" i="22"/>
  <c r="BB40" i="7"/>
  <c r="BB46" i="22"/>
  <c r="D92" i="7"/>
  <c r="D97" i="22"/>
  <c r="H92" i="7"/>
  <c r="H97" i="22"/>
  <c r="P92" i="7"/>
  <c r="P97" i="22"/>
  <c r="AB92" i="7"/>
  <c r="AB97" i="22"/>
  <c r="AJ92" i="7"/>
  <c r="AJ97" i="22"/>
  <c r="AR92" i="7"/>
  <c r="AR97" i="22"/>
  <c r="AQ122" i="7"/>
  <c r="AQ127" i="22"/>
  <c r="BB122" i="7"/>
  <c r="BB127" i="22"/>
  <c r="K154" i="7"/>
  <c r="K160" i="22"/>
  <c r="AA154" i="7"/>
  <c r="AA160" i="22"/>
  <c r="AQ154" i="7"/>
  <c r="AQ160" i="22"/>
  <c r="AZ154" i="7"/>
  <c r="AZ160" i="22"/>
  <c r="G183" i="7"/>
  <c r="G189" i="22"/>
  <c r="W183" i="7"/>
  <c r="W189" i="22"/>
  <c r="AM183" i="7"/>
  <c r="AM189" i="22"/>
  <c r="BC183" i="7"/>
  <c r="BC189" i="22"/>
  <c r="Y216" i="7"/>
  <c r="Y222" i="22"/>
  <c r="AC216" i="7"/>
  <c r="AC222" i="22"/>
  <c r="AG216" i="7"/>
  <c r="AG222" i="22"/>
  <c r="AK216" i="7"/>
  <c r="AK222" i="22"/>
  <c r="AO216" i="7"/>
  <c r="AO222" i="22"/>
  <c r="AS216" i="7"/>
  <c r="AS222" i="22"/>
  <c r="AW216" i="7"/>
  <c r="AW222" i="22"/>
  <c r="BA216" i="7"/>
  <c r="BA222" i="22"/>
  <c r="F216" i="7"/>
  <c r="F222" i="22"/>
  <c r="AX30" i="22"/>
  <c r="BC154" i="7"/>
  <c r="BC160" i="22"/>
  <c r="BD154" i="7"/>
  <c r="BD160" i="22"/>
  <c r="BA127" i="8"/>
  <c r="BC122" i="7"/>
  <c r="BC127" i="22"/>
  <c r="BD40" i="7"/>
  <c r="BD46" i="22"/>
  <c r="AM127" i="8"/>
  <c r="BB56" i="8"/>
  <c r="AB127" i="8"/>
  <c r="AW56" i="8"/>
  <c r="BE56" i="8"/>
  <c r="Z127" i="8"/>
  <c r="AD127" i="8"/>
  <c r="AT127" i="8"/>
  <c r="BE116" i="8"/>
  <c r="AR189" i="8"/>
  <c r="B189" i="8"/>
  <c r="AL127" i="8"/>
  <c r="AQ189" i="8"/>
  <c r="AA127" i="8"/>
  <c r="X127" i="8"/>
  <c r="AH127" i="8"/>
  <c r="BC127" i="8"/>
  <c r="AX127" i="8"/>
  <c r="BE160" i="8"/>
  <c r="E160" i="8"/>
  <c r="E223" i="8"/>
  <c r="I160" i="8"/>
  <c r="I223" i="8"/>
  <c r="M160" i="8"/>
  <c r="M223" i="8"/>
  <c r="Q160" i="8"/>
  <c r="Q223" i="8"/>
  <c r="U160" i="8"/>
  <c r="U223" i="8"/>
  <c r="Y160" i="8"/>
  <c r="Y223" i="8"/>
  <c r="AC160" i="8"/>
  <c r="AC223" i="8"/>
  <c r="AG160" i="8"/>
  <c r="AG223" i="8"/>
  <c r="AK160" i="8"/>
  <c r="AO160" i="8"/>
  <c r="AO223" i="8"/>
  <c r="AS160" i="8"/>
  <c r="AS223" i="8"/>
  <c r="AW160" i="8"/>
  <c r="BA160" i="8"/>
  <c r="BA223" i="8"/>
  <c r="BD56" i="8"/>
  <c r="AP116" i="8"/>
  <c r="L97" i="8"/>
  <c r="AZ189" i="8"/>
  <c r="BE84" i="8"/>
  <c r="AF122" i="8"/>
  <c r="D160" i="8"/>
  <c r="D223" i="8"/>
  <c r="H160" i="8"/>
  <c r="H223" i="8"/>
  <c r="P160" i="8"/>
  <c r="P223" i="8"/>
  <c r="T160" i="8"/>
  <c r="T223" i="8"/>
  <c r="X160" i="8"/>
  <c r="X223" i="8"/>
  <c r="AB160" i="8"/>
  <c r="AB223" i="8"/>
  <c r="AJ160" i="8"/>
  <c r="AJ223" i="8"/>
  <c r="AN160" i="8"/>
  <c r="AR160" i="8"/>
  <c r="AV160" i="8"/>
  <c r="AF97" i="8"/>
  <c r="AY127" i="8"/>
  <c r="AM189" i="8"/>
  <c r="AR56" i="8"/>
  <c r="AJ127" i="8"/>
  <c r="AN127" i="8"/>
  <c r="BB116" i="8"/>
  <c r="BB127" i="8"/>
  <c r="AE127" i="8"/>
  <c r="O160" i="8"/>
  <c r="O223" i="8"/>
  <c r="W160" i="8"/>
  <c r="W223" i="8"/>
  <c r="AE160" i="8"/>
  <c r="AE223" i="8"/>
  <c r="AM160" i="8"/>
  <c r="AU160" i="8"/>
  <c r="AU223" i="8"/>
  <c r="J160" i="8"/>
  <c r="J223" i="8"/>
  <c r="V160" i="8"/>
  <c r="AD160" i="8"/>
  <c r="AD223" i="8"/>
  <c r="AL160" i="8"/>
  <c r="BB160" i="8"/>
  <c r="BB223" i="8"/>
  <c r="AL189" i="8"/>
  <c r="L56" i="8"/>
  <c r="AK189" i="8"/>
  <c r="AW189" i="8"/>
  <c r="AN189" i="8"/>
  <c r="BC84" i="8"/>
  <c r="AF116" i="8"/>
  <c r="AP84" i="8"/>
  <c r="BD84" i="8"/>
  <c r="AR127" i="8"/>
  <c r="AZ97" i="8"/>
  <c r="AI127" i="8"/>
  <c r="AQ127" i="8"/>
  <c r="AZ127" i="8"/>
  <c r="BD116" i="8"/>
  <c r="BC160" i="8"/>
  <c r="AP35" i="8"/>
  <c r="L222" i="8"/>
  <c r="AP56" i="8"/>
  <c r="W127" i="8"/>
  <c r="AU127" i="8"/>
  <c r="L160" i="8"/>
  <c r="B160" i="8"/>
  <c r="BD160" i="8"/>
  <c r="BC56" i="8"/>
  <c r="L127" i="8"/>
  <c r="C160" i="8"/>
  <c r="C223" i="8"/>
  <c r="G160" i="8"/>
  <c r="G223" i="8"/>
  <c r="K160" i="8"/>
  <c r="K223" i="8"/>
  <c r="S160" i="8"/>
  <c r="S223" i="8"/>
  <c r="AA160" i="8"/>
  <c r="AA223" i="8"/>
  <c r="AI160" i="8"/>
  <c r="AI223" i="8"/>
  <c r="AQ160" i="8"/>
  <c r="AY160" i="8"/>
  <c r="AY223" i="8"/>
  <c r="AP160" i="8"/>
  <c r="AV189" i="8"/>
  <c r="BD189" i="8"/>
  <c r="L189" i="8"/>
  <c r="AF189" i="8"/>
  <c r="BC189" i="8"/>
  <c r="AF160" i="8"/>
  <c r="V97" i="8"/>
  <c r="AZ160" i="8"/>
  <c r="B97" i="8"/>
  <c r="B127" i="8"/>
  <c r="V127" i="8"/>
  <c r="V189" i="8"/>
  <c r="AP189" i="8"/>
  <c r="BE189" i="8"/>
  <c r="B222" i="8"/>
  <c r="AW30" i="22"/>
  <c r="AV30" i="22"/>
  <c r="AC40" i="7"/>
  <c r="AC46" i="22"/>
  <c r="AS40" i="7"/>
  <c r="AS46" i="22"/>
  <c r="M92" i="7"/>
  <c r="M97" i="22"/>
  <c r="AC92" i="7"/>
  <c r="AC97" i="22"/>
  <c r="U122" i="7"/>
  <c r="U127" i="22"/>
  <c r="N122" i="7"/>
  <c r="N127" i="22"/>
  <c r="AD122" i="7"/>
  <c r="AD127" i="22"/>
  <c r="AT122" i="7"/>
  <c r="AT127" i="22"/>
  <c r="F154" i="7"/>
  <c r="F160" i="22"/>
  <c r="R154" i="7"/>
  <c r="R160" i="22"/>
  <c r="AD154" i="7"/>
  <c r="AD160" i="22"/>
  <c r="AH154" i="7"/>
  <c r="AH160" i="22"/>
  <c r="AT154" i="7"/>
  <c r="AT160" i="22"/>
  <c r="E40" i="7"/>
  <c r="E46" i="22"/>
  <c r="J40" i="7"/>
  <c r="J46" i="22"/>
  <c r="F122" i="7"/>
  <c r="F127" i="22"/>
  <c r="AL122" i="7"/>
  <c r="AL127" i="22"/>
  <c r="H154" i="7"/>
  <c r="H160" i="22"/>
  <c r="L154" i="7"/>
  <c r="L160" i="22"/>
  <c r="X154" i="7"/>
  <c r="X160" i="22"/>
  <c r="AF154" i="7"/>
  <c r="AF160" i="22"/>
  <c r="AN154" i="7"/>
  <c r="AN160" i="22"/>
  <c r="B154" i="7"/>
  <c r="C40" i="7"/>
  <c r="C46" i="22"/>
  <c r="G40" i="7"/>
  <c r="G46" i="22"/>
  <c r="K40" i="7"/>
  <c r="K46" i="22"/>
  <c r="S40" i="7"/>
  <c r="S46" i="22"/>
  <c r="W40" i="7"/>
  <c r="W46" i="22"/>
  <c r="AA40" i="7"/>
  <c r="AA46" i="22"/>
  <c r="AE40" i="7"/>
  <c r="AE46" i="22"/>
  <c r="AI40" i="7"/>
  <c r="AI46" i="22"/>
  <c r="AM40" i="7"/>
  <c r="AM46" i="22"/>
  <c r="AQ40" i="7"/>
  <c r="AQ46" i="22"/>
  <c r="AU40" i="7"/>
  <c r="AU46" i="22"/>
  <c r="AY40" i="7"/>
  <c r="F40" i="7"/>
  <c r="F46" i="22"/>
  <c r="L40" i="7"/>
  <c r="L46" i="22"/>
  <c r="Q40" i="7"/>
  <c r="Q46" i="22"/>
  <c r="V40" i="7"/>
  <c r="V46" i="22"/>
  <c r="AB40" i="7"/>
  <c r="AB46" i="22"/>
  <c r="AG40" i="7"/>
  <c r="AG46" i="22"/>
  <c r="AL40" i="7"/>
  <c r="AL46" i="22"/>
  <c r="AR40" i="7"/>
  <c r="AR46" i="22"/>
  <c r="L92" i="7"/>
  <c r="L97" i="22"/>
  <c r="AF92" i="7"/>
  <c r="AF97" i="22"/>
  <c r="AL92" i="7"/>
  <c r="AL97" i="22"/>
  <c r="AZ92" i="7"/>
  <c r="E122" i="7"/>
  <c r="E127" i="22"/>
  <c r="I122" i="7"/>
  <c r="I127" i="22"/>
  <c r="M122" i="7"/>
  <c r="M127" i="22"/>
  <c r="Q122" i="7"/>
  <c r="Q127" i="22"/>
  <c r="Y122" i="7"/>
  <c r="Y127" i="22"/>
  <c r="AC122" i="7"/>
  <c r="AC127" i="22"/>
  <c r="AK122" i="7"/>
  <c r="AK127" i="22"/>
  <c r="AO122" i="7"/>
  <c r="AO127" i="22"/>
  <c r="AS122" i="7"/>
  <c r="AS127" i="22"/>
  <c r="BA122" i="7"/>
  <c r="BA127" i="22"/>
  <c r="B122" i="7"/>
  <c r="B127" i="22"/>
  <c r="G122" i="7"/>
  <c r="G127" i="22"/>
  <c r="W122" i="7"/>
  <c r="W127" i="22"/>
  <c r="AB122" i="7"/>
  <c r="AB127" i="22"/>
  <c r="AH122" i="7"/>
  <c r="AH127" i="22"/>
  <c r="AM122" i="7"/>
  <c r="AM127" i="22"/>
  <c r="AR122" i="7"/>
  <c r="AR127" i="22"/>
  <c r="AX122" i="7"/>
  <c r="AX127" i="22"/>
  <c r="I154" i="7"/>
  <c r="I160" i="22"/>
  <c r="Q154" i="7"/>
  <c r="Q160" i="22"/>
  <c r="Y154" i="7"/>
  <c r="Y160" i="22"/>
  <c r="AG154" i="7"/>
  <c r="AG160" i="22"/>
  <c r="AO154" i="7"/>
  <c r="AO160" i="22"/>
  <c r="BA154" i="7"/>
  <c r="BA160" i="22"/>
  <c r="Q183" i="7"/>
  <c r="Q189" i="22"/>
  <c r="Y183" i="7"/>
  <c r="Y189" i="22"/>
  <c r="AG183" i="7"/>
  <c r="AG189" i="22"/>
  <c r="AW183" i="7"/>
  <c r="AW189" i="22"/>
  <c r="E216" i="7"/>
  <c r="E222" i="22"/>
  <c r="O216" i="7"/>
  <c r="O222" i="22"/>
  <c r="AX21" i="22"/>
  <c r="Q92" i="7"/>
  <c r="Q97" i="22"/>
  <c r="Y92" i="7"/>
  <c r="Y97" i="22"/>
  <c r="AK92" i="7"/>
  <c r="AK97" i="22"/>
  <c r="AS92" i="7"/>
  <c r="AS97" i="22"/>
  <c r="AG122" i="7"/>
  <c r="AG127" i="22"/>
  <c r="N154" i="7"/>
  <c r="N160" i="22"/>
  <c r="Z154" i="7"/>
  <c r="Z160" i="22"/>
  <c r="AP154" i="7"/>
  <c r="AP160" i="22"/>
  <c r="I40" i="7"/>
  <c r="I46" i="22"/>
  <c r="N40" i="7"/>
  <c r="N46" i="22"/>
  <c r="Y40" i="7"/>
  <c r="Y46" i="22"/>
  <c r="AD40" i="7"/>
  <c r="AD46" i="22"/>
  <c r="AO40" i="7"/>
  <c r="AO46" i="22"/>
  <c r="X92" i="7"/>
  <c r="X97" i="22"/>
  <c r="AN92" i="7"/>
  <c r="AN97" i="22"/>
  <c r="J122" i="7"/>
  <c r="J127" i="22"/>
  <c r="O122" i="7"/>
  <c r="O127" i="22"/>
  <c r="T122" i="7"/>
  <c r="T127" i="22"/>
  <c r="Z122" i="7"/>
  <c r="Z127" i="22"/>
  <c r="AE122" i="7"/>
  <c r="AE127" i="22"/>
  <c r="AJ122" i="7"/>
  <c r="AJ127" i="22"/>
  <c r="AP122" i="7"/>
  <c r="AP127" i="22"/>
  <c r="AZ122" i="7"/>
  <c r="AZ127" i="22"/>
  <c r="E154" i="7"/>
  <c r="E160" i="22"/>
  <c r="M154" i="7"/>
  <c r="M160" i="22"/>
  <c r="U154" i="7"/>
  <c r="U160" i="22"/>
  <c r="AC154" i="7"/>
  <c r="AC160" i="22"/>
  <c r="AK154" i="7"/>
  <c r="AK160" i="22"/>
  <c r="AS154" i="7"/>
  <c r="AS160" i="22"/>
  <c r="AY154" i="7"/>
  <c r="E183" i="7"/>
  <c r="E189" i="22"/>
  <c r="M183" i="7"/>
  <c r="M189" i="22"/>
  <c r="U183" i="7"/>
  <c r="U189" i="22"/>
  <c r="AC183" i="7"/>
  <c r="AC189" i="22"/>
  <c r="AK183" i="7"/>
  <c r="AK189" i="22"/>
  <c r="AS183" i="7"/>
  <c r="AS189" i="22"/>
  <c r="BA183" i="7"/>
  <c r="BA189" i="22"/>
  <c r="M216" i="7"/>
  <c r="M222" i="22"/>
  <c r="M40" i="7"/>
  <c r="M46" i="22"/>
  <c r="I92" i="7"/>
  <c r="I97" i="22"/>
  <c r="AG92" i="7"/>
  <c r="AG97" i="22"/>
  <c r="AO92" i="7"/>
  <c r="AO97" i="22"/>
  <c r="BA92" i="7"/>
  <c r="BA97" i="22"/>
  <c r="V154" i="7"/>
  <c r="V160" i="22"/>
  <c r="AL154" i="7"/>
  <c r="AL160" i="22"/>
  <c r="Q216" i="7"/>
  <c r="Q222" i="22"/>
  <c r="AK40" i="7"/>
  <c r="AK46" i="22"/>
  <c r="AP40" i="7"/>
  <c r="AP46" i="22"/>
  <c r="BA40" i="7"/>
  <c r="BA46" i="22"/>
  <c r="P154" i="7"/>
  <c r="P160" i="22"/>
  <c r="J154" i="7"/>
  <c r="J160" i="22"/>
  <c r="AX154" i="7"/>
  <c r="AX160" i="22"/>
  <c r="C216" i="7"/>
  <c r="C222" i="22"/>
  <c r="I216" i="7"/>
  <c r="I222" i="22"/>
  <c r="AY21" i="22"/>
  <c r="D183" i="7"/>
  <c r="D189" i="22"/>
  <c r="H183" i="7"/>
  <c r="H189" i="22"/>
  <c r="L183" i="7"/>
  <c r="L189" i="22"/>
  <c r="P183" i="7"/>
  <c r="P189" i="22"/>
  <c r="T183" i="7"/>
  <c r="T189" i="22"/>
  <c r="X183" i="7"/>
  <c r="X189" i="22"/>
  <c r="AB183" i="7"/>
  <c r="AB189" i="22"/>
  <c r="AF183" i="7"/>
  <c r="AF189" i="22"/>
  <c r="AJ183" i="7"/>
  <c r="AJ189" i="22"/>
  <c r="AN183" i="7"/>
  <c r="AN189" i="22"/>
  <c r="AR183" i="7"/>
  <c r="AR189" i="22"/>
  <c r="AV183" i="7"/>
  <c r="AV189" i="22"/>
  <c r="AZ183" i="7"/>
  <c r="AZ189" i="22"/>
  <c r="BD183" i="7"/>
  <c r="BD189" i="22"/>
  <c r="D216" i="7"/>
  <c r="D222" i="22"/>
  <c r="H216" i="7"/>
  <c r="H222" i="22"/>
  <c r="F183" i="7"/>
  <c r="F189" i="22"/>
  <c r="J183" i="7"/>
  <c r="J189" i="22"/>
  <c r="N183" i="7"/>
  <c r="N189" i="22"/>
  <c r="R183" i="7"/>
  <c r="R189" i="22"/>
  <c r="V183" i="7"/>
  <c r="V189" i="22"/>
  <c r="Z183" i="7"/>
  <c r="Z189" i="22"/>
  <c r="AD183" i="7"/>
  <c r="AD189" i="22"/>
  <c r="AH183" i="7"/>
  <c r="AH189" i="22"/>
  <c r="AL183" i="7"/>
  <c r="AL189" i="22"/>
  <c r="AP183" i="7"/>
  <c r="AP189" i="22"/>
  <c r="AT183" i="7"/>
  <c r="AT189" i="22"/>
  <c r="AX183" i="7"/>
  <c r="AX189" i="22"/>
  <c r="BB183" i="7"/>
  <c r="BB189" i="22"/>
  <c r="AV21" i="22"/>
  <c r="AP45" i="8"/>
  <c r="AZ97" i="22"/>
  <c r="AW122" i="7"/>
  <c r="AW127" i="22"/>
  <c r="AA122" i="7"/>
  <c r="AA127" i="22"/>
  <c r="L127" i="22"/>
  <c r="AF127" i="22"/>
  <c r="AP222" i="22"/>
  <c r="V127" i="22"/>
  <c r="AZ46" i="22"/>
  <c r="B157" i="22"/>
  <c r="B201" i="22"/>
  <c r="AQ223" i="8"/>
  <c r="BE127" i="8"/>
  <c r="L223" i="8"/>
  <c r="AP127" i="8"/>
  <c r="AW223" i="8"/>
  <c r="K217" i="7"/>
  <c r="K223" i="22"/>
  <c r="AU217" i="7"/>
  <c r="AU223" i="22"/>
  <c r="B217" i="7"/>
  <c r="S217" i="7"/>
  <c r="AV217" i="7"/>
  <c r="AV223" i="22"/>
  <c r="AE217" i="7"/>
  <c r="G217" i="7"/>
  <c r="L217" i="7"/>
  <c r="BC217" i="7"/>
  <c r="BC223" i="22"/>
  <c r="O217" i="7"/>
  <c r="O223" i="22"/>
  <c r="AV122" i="7"/>
  <c r="AV127" i="22"/>
  <c r="AB217" i="7"/>
  <c r="BE97" i="8"/>
  <c r="BD223" i="8"/>
  <c r="AK223" i="8"/>
  <c r="AV223" i="8"/>
  <c r="AL223" i="8"/>
  <c r="AN223" i="8"/>
  <c r="AM223" i="8"/>
  <c r="AR223" i="8"/>
  <c r="BC223" i="8"/>
  <c r="AP223" i="8"/>
  <c r="B223" i="8"/>
  <c r="BD97" i="8"/>
  <c r="AP97" i="8"/>
  <c r="BC97" i="8"/>
  <c r="AF127" i="8"/>
  <c r="BD127" i="8"/>
  <c r="AZ223" i="8"/>
  <c r="AF223" i="8"/>
  <c r="V223" i="8"/>
  <c r="BE223" i="8"/>
  <c r="D217" i="7"/>
  <c r="D223" i="22"/>
  <c r="AL217" i="7"/>
  <c r="AL223" i="22"/>
  <c r="U217" i="7"/>
  <c r="U223" i="22"/>
  <c r="Q217" i="7"/>
  <c r="Q223" i="22"/>
  <c r="F217" i="7"/>
  <c r="F223" i="22"/>
  <c r="H217" i="7"/>
  <c r="H223" i="22"/>
  <c r="BD217" i="7"/>
  <c r="BD223" i="22"/>
  <c r="C217" i="7"/>
  <c r="C223" i="22"/>
  <c r="P217" i="7"/>
  <c r="P223" i="22"/>
  <c r="AM217" i="7"/>
  <c r="AM223" i="22"/>
  <c r="M217" i="7"/>
  <c r="M223" i="22"/>
  <c r="AC217" i="7"/>
  <c r="AC223" i="22"/>
  <c r="Z217" i="7"/>
  <c r="Z223" i="22"/>
  <c r="E217" i="7"/>
  <c r="E223" i="22"/>
  <c r="Y217" i="7"/>
  <c r="Y223" i="22"/>
  <c r="AN217" i="7"/>
  <c r="AN223" i="22"/>
  <c r="T217" i="7"/>
  <c r="T223" i="22"/>
  <c r="AX217" i="7"/>
  <c r="AX223" i="22"/>
  <c r="AY160" i="22"/>
  <c r="AY217" i="7"/>
  <c r="AP217" i="7"/>
  <c r="AP223" i="22"/>
  <c r="BA217" i="7"/>
  <c r="BA223" i="22"/>
  <c r="AF217" i="7"/>
  <c r="AF223" i="22"/>
  <c r="AH217" i="7"/>
  <c r="AH223" i="22"/>
  <c r="AZ217" i="7"/>
  <c r="AZ223" i="22"/>
  <c r="AW217" i="7"/>
  <c r="AW223" i="22"/>
  <c r="W217" i="7"/>
  <c r="W223" i="22"/>
  <c r="AS217" i="7"/>
  <c r="AS223" i="22"/>
  <c r="N217" i="7"/>
  <c r="N223" i="22"/>
  <c r="AQ217" i="7"/>
  <c r="AQ223" i="22"/>
  <c r="AO217" i="7"/>
  <c r="AO223" i="22"/>
  <c r="AY46" i="22"/>
  <c r="AI217" i="7"/>
  <c r="AI223" i="22"/>
  <c r="AJ217" i="7"/>
  <c r="AJ223" i="22"/>
  <c r="R217" i="7"/>
  <c r="R223" i="22"/>
  <c r="BB217" i="7"/>
  <c r="BB223" i="22"/>
  <c r="I217" i="7"/>
  <c r="I223" i="22"/>
  <c r="AR217" i="7"/>
  <c r="AR223" i="22"/>
  <c r="V217" i="7"/>
  <c r="V223" i="22"/>
  <c r="AK217" i="7"/>
  <c r="AK223" i="22"/>
  <c r="AA217" i="7"/>
  <c r="AA223" i="22"/>
  <c r="J217" i="7"/>
  <c r="J223" i="22"/>
  <c r="AG217" i="7"/>
  <c r="AG223" i="22"/>
  <c r="X217" i="7"/>
  <c r="X223" i="22"/>
  <c r="AT217" i="7"/>
  <c r="AT223" i="22"/>
  <c r="AD217" i="7"/>
  <c r="AD223" i="22"/>
  <c r="B223" i="22"/>
  <c r="G223" i="22"/>
  <c r="AB223" i="22"/>
  <c r="L223" i="22"/>
  <c r="AE223" i="22"/>
  <c r="S223" i="22"/>
  <c r="B189" i="22"/>
  <c r="B160" i="22"/>
  <c r="AY223" i="22"/>
  <c r="BG67" i="7"/>
  <c r="BL67" i="7"/>
  <c r="BF67" i="7"/>
  <c r="BF73" i="22"/>
  <c r="BG73" i="22"/>
  <c r="BJ67" i="7"/>
  <c r="BF124" i="7"/>
  <c r="BF129" i="22"/>
  <c r="BG124" i="7"/>
  <c r="BL124" i="7"/>
  <c r="BJ73" i="22"/>
  <c r="BL73" i="22"/>
  <c r="BJ124" i="7"/>
  <c r="BG129" i="22"/>
  <c r="BG218" i="7"/>
  <c r="BL218" i="7"/>
  <c r="BF218" i="7"/>
  <c r="BF224" i="22"/>
  <c r="BF225" i="22"/>
  <c r="BJ129" i="22"/>
  <c r="BL129" i="22"/>
  <c r="BH219" i="7"/>
  <c r="BG224" i="22"/>
  <c r="BJ218" i="7"/>
  <c r="BF219" i="7"/>
  <c r="BG219" i="7"/>
  <c r="BG225" i="22"/>
  <c r="BH225" i="22"/>
  <c r="BJ224" i="22"/>
  <c r="BL224" i="22"/>
  <c r="AK68" i="22"/>
  <c r="AN68" i="22"/>
  <c r="F68" i="22"/>
  <c r="C68" i="22"/>
  <c r="M68" i="22"/>
  <c r="K68" i="22"/>
  <c r="AT68" i="22"/>
  <c r="AY68" i="22"/>
  <c r="AU68" i="22"/>
  <c r="AJ68" i="22"/>
  <c r="W68" i="22"/>
  <c r="AE68" i="22"/>
  <c r="AA68" i="22"/>
  <c r="AZ68" i="22"/>
  <c r="Y68" i="22"/>
  <c r="G68" i="22"/>
  <c r="AS68" i="22"/>
  <c r="AW68" i="22"/>
  <c r="J68" i="22"/>
  <c r="AV68" i="22"/>
  <c r="AQ68" i="22"/>
  <c r="BB68" i="22"/>
  <c r="AO68" i="22"/>
  <c r="AC68" i="22"/>
  <c r="S68" i="22"/>
  <c r="E68" i="22"/>
  <c r="AI68" i="22"/>
  <c r="AX68" i="22"/>
  <c r="AL68" i="22"/>
  <c r="R68" i="22"/>
  <c r="BA68" i="22"/>
  <c r="I68" i="22"/>
  <c r="AG68" i="22"/>
  <c r="AP68" i="22"/>
  <c r="L68" i="22"/>
  <c r="P68" i="22"/>
  <c r="AF68" i="22"/>
  <c r="AR68" i="22"/>
  <c r="AM68" i="22"/>
  <c r="T68" i="22"/>
  <c r="AD68" i="22"/>
  <c r="D68" i="22"/>
  <c r="Z68" i="22"/>
  <c r="X68" i="22"/>
  <c r="Q68" i="22"/>
  <c r="O68" i="22"/>
  <c r="AR67" i="7"/>
  <c r="H68" i="22"/>
  <c r="N68" i="22"/>
  <c r="AD67" i="7"/>
  <c r="AD124" i="7"/>
  <c r="AH68" i="22"/>
  <c r="E67" i="7"/>
  <c r="E124" i="7"/>
  <c r="BA67" i="7"/>
  <c r="BA124" i="7"/>
  <c r="M67" i="7"/>
  <c r="AC67" i="7"/>
  <c r="AB68" i="22"/>
  <c r="AM67" i="7"/>
  <c r="AM124" i="7"/>
  <c r="AM218" i="7"/>
  <c r="AX67" i="7"/>
  <c r="AX73" i="22"/>
  <c r="V68" i="22"/>
  <c r="AU67" i="7"/>
  <c r="AV67" i="7"/>
  <c r="Q67" i="7"/>
  <c r="J67" i="7"/>
  <c r="AH67" i="7"/>
  <c r="AH73" i="22"/>
  <c r="BB67" i="7"/>
  <c r="BB124" i="7"/>
  <c r="BB218" i="7"/>
  <c r="AA67" i="7"/>
  <c r="AA124" i="7"/>
  <c r="D67" i="7"/>
  <c r="AI67" i="7"/>
  <c r="AI124" i="7"/>
  <c r="X67" i="7"/>
  <c r="X73" i="22"/>
  <c r="B68" i="22"/>
  <c r="P67" i="7"/>
  <c r="S67" i="7"/>
  <c r="S73" i="22"/>
  <c r="AY67" i="7"/>
  <c r="AS67" i="7"/>
  <c r="AS73" i="22"/>
  <c r="F67" i="7"/>
  <c r="U67" i="7"/>
  <c r="U73" i="22"/>
  <c r="Y67" i="7"/>
  <c r="Y124" i="7"/>
  <c r="Y129" i="22"/>
  <c r="K67" i="7"/>
  <c r="K73" i="22"/>
  <c r="L67" i="7"/>
  <c r="I67" i="7"/>
  <c r="I73" i="22"/>
  <c r="BC67" i="7"/>
  <c r="BC73" i="22"/>
  <c r="N67" i="7"/>
  <c r="N73" i="22"/>
  <c r="AN67" i="7"/>
  <c r="AN124" i="7"/>
  <c r="AT67" i="7"/>
  <c r="AT73" i="22"/>
  <c r="W67" i="7"/>
  <c r="W124" i="7"/>
  <c r="T67" i="7"/>
  <c r="T73" i="22"/>
  <c r="AE67" i="7"/>
  <c r="AE73" i="22"/>
  <c r="Z67" i="7"/>
  <c r="Z73" i="22"/>
  <c r="AK67" i="7"/>
  <c r="AK73" i="22"/>
  <c r="H67" i="7"/>
  <c r="H73" i="22"/>
  <c r="G67" i="7"/>
  <c r="G73" i="22"/>
  <c r="R67" i="7"/>
  <c r="AG67" i="7"/>
  <c r="AB67" i="7"/>
  <c r="AW67" i="7"/>
  <c r="AW73" i="22"/>
  <c r="C67" i="7"/>
  <c r="AQ67" i="7"/>
  <c r="AQ73" i="22"/>
  <c r="B67" i="7"/>
  <c r="B73" i="22"/>
  <c r="AP67" i="7"/>
  <c r="AP73" i="22"/>
  <c r="AL67" i="7"/>
  <c r="AL73" i="22"/>
  <c r="AJ67" i="7"/>
  <c r="AJ73" i="22"/>
  <c r="AF67" i="7"/>
  <c r="O67" i="7"/>
  <c r="O73" i="22"/>
  <c r="AO67" i="7"/>
  <c r="BD67" i="7"/>
  <c r="BD73" i="22"/>
  <c r="V67" i="7"/>
  <c r="V73" i="22"/>
  <c r="BD124" i="7"/>
  <c r="BD129" i="22"/>
  <c r="AD129" i="22"/>
  <c r="BB224" i="22"/>
  <c r="V124" i="7"/>
  <c r="AP124" i="7"/>
  <c r="AW124" i="7"/>
  <c r="W129" i="22"/>
  <c r="AN129" i="22"/>
  <c r="BC124" i="7"/>
  <c r="X124" i="7"/>
  <c r="X129" i="22"/>
  <c r="AI73" i="22"/>
  <c r="Y73" i="22"/>
  <c r="T124" i="7"/>
  <c r="T129" i="22"/>
  <c r="AT124" i="7"/>
  <c r="AT218" i="7"/>
  <c r="N124" i="7"/>
  <c r="N129" i="22"/>
  <c r="I124" i="7"/>
  <c r="I218" i="7"/>
  <c r="AS124" i="7"/>
  <c r="AS129" i="22"/>
  <c r="AN73" i="22"/>
  <c r="G124" i="7"/>
  <c r="G218" i="7"/>
  <c r="AK124" i="7"/>
  <c r="AK129" i="22"/>
  <c r="S124" i="7"/>
  <c r="S218" i="7"/>
  <c r="BB129" i="22"/>
  <c r="AM129" i="22"/>
  <c r="BB73" i="22"/>
  <c r="E73" i="22"/>
  <c r="O124" i="7"/>
  <c r="AJ124" i="7"/>
  <c r="AQ124" i="7"/>
  <c r="AQ129" i="22"/>
  <c r="H124" i="7"/>
  <c r="H129" i="22"/>
  <c r="Z124" i="7"/>
  <c r="AH124" i="7"/>
  <c r="AH218" i="7"/>
  <c r="AX124" i="7"/>
  <c r="AX129" i="22"/>
  <c r="AG73" i="22"/>
  <c r="AG124" i="7"/>
  <c r="R73" i="22"/>
  <c r="R124" i="7"/>
  <c r="AO73" i="22"/>
  <c r="AO124" i="7"/>
  <c r="AZ124" i="7"/>
  <c r="AZ73" i="22"/>
  <c r="AB73" i="22"/>
  <c r="AB124" i="7"/>
  <c r="BD218" i="7"/>
  <c r="BD224" i="22"/>
  <c r="U124" i="7"/>
  <c r="U129" i="22"/>
  <c r="L73" i="22"/>
  <c r="AI129" i="22"/>
  <c r="Q73" i="22"/>
  <c r="Q124" i="7"/>
  <c r="BA218" i="7"/>
  <c r="AA218" i="7"/>
  <c r="AD218" i="7"/>
  <c r="AI218" i="7"/>
  <c r="C73" i="22"/>
  <c r="C124" i="7"/>
  <c r="AY73" i="22"/>
  <c r="AY124" i="7"/>
  <c r="AA129" i="22"/>
  <c r="AM224" i="22"/>
  <c r="AC73" i="22"/>
  <c r="AC124" i="7"/>
  <c r="AN218" i="7"/>
  <c r="AN219" i="7"/>
  <c r="AR73" i="22"/>
  <c r="AR124" i="7"/>
  <c r="AA73" i="22"/>
  <c r="BA73" i="22"/>
  <c r="Y218" i="7"/>
  <c r="F73" i="22"/>
  <c r="F124" i="7"/>
  <c r="P73" i="22"/>
  <c r="P124" i="7"/>
  <c r="D73" i="22"/>
  <c r="D124" i="7"/>
  <c r="J73" i="22"/>
  <c r="J124" i="7"/>
  <c r="AV73" i="22"/>
  <c r="AV124" i="7"/>
  <c r="AU73" i="22"/>
  <c r="AU124" i="7"/>
  <c r="AF124" i="7"/>
  <c r="AF73" i="22"/>
  <c r="AL124" i="7"/>
  <c r="B124" i="7"/>
  <c r="AE124" i="7"/>
  <c r="L124" i="7"/>
  <c r="K124" i="7"/>
  <c r="W218" i="7"/>
  <c r="M73" i="22"/>
  <c r="M124" i="7"/>
  <c r="BA129" i="22"/>
  <c r="E218" i="7"/>
  <c r="E129" i="22"/>
  <c r="W73" i="22"/>
  <c r="AD73" i="22"/>
  <c r="AM73" i="22"/>
  <c r="BE225" i="22"/>
  <c r="AW129" i="22"/>
  <c r="BC129" i="22"/>
  <c r="AI219" i="7"/>
  <c r="BE219" i="7"/>
  <c r="I129" i="22"/>
  <c r="AP218" i="7"/>
  <c r="AP129" i="22"/>
  <c r="BB219" i="7"/>
  <c r="N218" i="7"/>
  <c r="N224" i="22"/>
  <c r="V129" i="22"/>
  <c r="BC218" i="7"/>
  <c r="V218" i="7"/>
  <c r="V224" i="22"/>
  <c r="O129" i="22"/>
  <c r="G129" i="22"/>
  <c r="O218" i="7"/>
  <c r="O224" i="22"/>
  <c r="O225" i="22"/>
  <c r="S129" i="22"/>
  <c r="H218" i="7"/>
  <c r="AT129" i="22"/>
  <c r="X218" i="7"/>
  <c r="AH129" i="22"/>
  <c r="AQ218" i="7"/>
  <c r="S224" i="22"/>
  <c r="AH224" i="22"/>
  <c r="AS218" i="7"/>
  <c r="AT219" i="7"/>
  <c r="AW218" i="7"/>
  <c r="T218" i="7"/>
  <c r="AX218" i="7"/>
  <c r="AK218" i="7"/>
  <c r="AJ218" i="7"/>
  <c r="Z129" i="22"/>
  <c r="AJ129" i="22"/>
  <c r="Z218" i="7"/>
  <c r="AA219" i="7"/>
  <c r="M218" i="7"/>
  <c r="M129" i="22"/>
  <c r="AE218" i="7"/>
  <c r="AE219" i="7"/>
  <c r="AE129" i="22"/>
  <c r="AL129" i="22"/>
  <c r="AL218" i="7"/>
  <c r="AV218" i="7"/>
  <c r="AV129" i="22"/>
  <c r="D218" i="7"/>
  <c r="E219" i="7"/>
  <c r="D129" i="22"/>
  <c r="AN224" i="22"/>
  <c r="AN225" i="22"/>
  <c r="AD224" i="22"/>
  <c r="AY129" i="22"/>
  <c r="AY218" i="7"/>
  <c r="AY219" i="7"/>
  <c r="AA224" i="22"/>
  <c r="I224" i="22"/>
  <c r="E224" i="22"/>
  <c r="W224" i="22"/>
  <c r="G224" i="22"/>
  <c r="AP224" i="22"/>
  <c r="AI224" i="22"/>
  <c r="AI225" i="22"/>
  <c r="AT224" i="22"/>
  <c r="AB218" i="7"/>
  <c r="AB219" i="7"/>
  <c r="AB129" i="22"/>
  <c r="AZ218" i="7"/>
  <c r="AZ129" i="22"/>
  <c r="K129" i="22"/>
  <c r="K218" i="7"/>
  <c r="F129" i="22"/>
  <c r="F218" i="7"/>
  <c r="F219" i="7"/>
  <c r="BA224" i="22"/>
  <c r="BB225" i="22"/>
  <c r="AO218" i="7"/>
  <c r="AO219" i="7"/>
  <c r="AO129" i="22"/>
  <c r="L129" i="22"/>
  <c r="L218" i="7"/>
  <c r="C129" i="22"/>
  <c r="C218" i="7"/>
  <c r="U218" i="7"/>
  <c r="B129" i="22"/>
  <c r="B218" i="7"/>
  <c r="AF129" i="22"/>
  <c r="AF218" i="7"/>
  <c r="AU218" i="7"/>
  <c r="AU219" i="7"/>
  <c r="AU129" i="22"/>
  <c r="J218" i="7"/>
  <c r="J219" i="7"/>
  <c r="J129" i="22"/>
  <c r="P218" i="7"/>
  <c r="P129" i="22"/>
  <c r="Y224" i="22"/>
  <c r="AR129" i="22"/>
  <c r="AR218" i="7"/>
  <c r="AR219" i="7"/>
  <c r="AC129" i="22"/>
  <c r="AC218" i="7"/>
  <c r="Q218" i="7"/>
  <c r="Q129" i="22"/>
  <c r="R129" i="22"/>
  <c r="R218" i="7"/>
  <c r="AG129" i="22"/>
  <c r="AG218" i="7"/>
  <c r="W225" i="22"/>
  <c r="AO224" i="22"/>
  <c r="AP225" i="22"/>
  <c r="AG219" i="7"/>
  <c r="Q219" i="7"/>
  <c r="AC219" i="7"/>
  <c r="U219" i="7"/>
  <c r="U224" i="22"/>
  <c r="AZ219" i="7"/>
  <c r="BD219" i="7"/>
  <c r="BC224" i="22"/>
  <c r="R219" i="7"/>
  <c r="AQ219" i="7"/>
  <c r="P219" i="7"/>
  <c r="AF219" i="7"/>
  <c r="L219" i="7"/>
  <c r="X219" i="7"/>
  <c r="H224" i="22"/>
  <c r="H225" i="22"/>
  <c r="H219" i="7"/>
  <c r="O219" i="7"/>
  <c r="G219" i="7"/>
  <c r="C219" i="7"/>
  <c r="Z219" i="7"/>
  <c r="AJ219" i="7"/>
  <c r="T219" i="7"/>
  <c r="BA219" i="7"/>
  <c r="Y219" i="7"/>
  <c r="AD219" i="7"/>
  <c r="K219" i="7"/>
  <c r="D219" i="7"/>
  <c r="AV219" i="7"/>
  <c r="AK219" i="7"/>
  <c r="AX219" i="7"/>
  <c r="AW219" i="7"/>
  <c r="V219" i="7"/>
  <c r="N219" i="7"/>
  <c r="AH219" i="7"/>
  <c r="AP219" i="7"/>
  <c r="AL219" i="7"/>
  <c r="AM219" i="7"/>
  <c r="M219" i="7"/>
  <c r="AS224" i="22"/>
  <c r="AT225" i="22"/>
  <c r="AS219" i="7"/>
  <c r="BC219" i="7"/>
  <c r="I219" i="7"/>
  <c r="S219" i="7"/>
  <c r="W219" i="7"/>
  <c r="X224" i="22"/>
  <c r="X225" i="22"/>
  <c r="T224" i="22"/>
  <c r="T225" i="22"/>
  <c r="Z224" i="22"/>
  <c r="Z225" i="22"/>
  <c r="AW224" i="22"/>
  <c r="AQ224" i="22"/>
  <c r="AQ225" i="22"/>
  <c r="AK224" i="22"/>
  <c r="AJ224" i="22"/>
  <c r="AK225" i="22"/>
  <c r="AX224" i="22"/>
  <c r="AJ225" i="22"/>
  <c r="AC224" i="22"/>
  <c r="AU224" i="22"/>
  <c r="AU225" i="22"/>
  <c r="AE224" i="22"/>
  <c r="AE225" i="22"/>
  <c r="P224" i="22"/>
  <c r="P225" i="22"/>
  <c r="AF224" i="22"/>
  <c r="AF225" i="22"/>
  <c r="L224" i="22"/>
  <c r="K224" i="22"/>
  <c r="L225" i="22"/>
  <c r="AO225" i="22"/>
  <c r="AG224" i="22"/>
  <c r="AR224" i="22"/>
  <c r="AR225" i="22"/>
  <c r="F224" i="22"/>
  <c r="F225" i="22"/>
  <c r="AL224" i="22"/>
  <c r="M224" i="22"/>
  <c r="J224" i="22"/>
  <c r="J225" i="22"/>
  <c r="C224" i="22"/>
  <c r="B224" i="22"/>
  <c r="C225" i="22"/>
  <c r="AZ224" i="22"/>
  <c r="R224" i="22"/>
  <c r="Q224" i="22"/>
  <c r="Q225" i="22"/>
  <c r="AB224" i="22"/>
  <c r="AB225" i="22"/>
  <c r="AY224" i="22"/>
  <c r="AY225" i="22"/>
  <c r="D224" i="22"/>
  <c r="D225" i="22"/>
  <c r="AV224" i="22"/>
  <c r="AC225" i="22"/>
  <c r="U225" i="22"/>
  <c r="AA225" i="22"/>
  <c r="Y225" i="22"/>
  <c r="AD225" i="22"/>
  <c r="AF226" i="22"/>
  <c r="E225" i="22"/>
  <c r="R225" i="22"/>
  <c r="AZ225" i="22"/>
  <c r="M225" i="22"/>
  <c r="AG225" i="22"/>
  <c r="AW225" i="22"/>
  <c r="BC225" i="22"/>
  <c r="BD225" i="22"/>
  <c r="N225" i="22"/>
  <c r="BA225" i="22"/>
  <c r="G225" i="22"/>
  <c r="AV225" i="22"/>
  <c r="K225" i="22"/>
  <c r="AL225" i="22"/>
  <c r="AM225" i="22"/>
  <c r="AX225" i="22"/>
  <c r="AS225" i="22"/>
  <c r="AZ226" i="22"/>
  <c r="I225" i="22"/>
  <c r="L226" i="22"/>
  <c r="S225" i="22"/>
  <c r="AH225" i="22"/>
  <c r="V225" i="22"/>
  <c r="AP220" i="7"/>
  <c r="V220" i="7"/>
  <c r="AF220" i="7"/>
  <c r="AZ220" i="7"/>
  <c r="L220" i="7"/>
  <c r="BE72" i="8"/>
  <c r="AP226" i="22"/>
  <c r="V226" i="22"/>
  <c r="BE129" i="8"/>
  <c r="BE224" i="8"/>
  <c r="BF72" i="8"/>
  <c r="BF129" i="8"/>
  <c r="BF224" i="8"/>
  <c r="BF225" i="8"/>
  <c r="BG72" i="8"/>
  <c r="BL72" i="8"/>
  <c r="BJ72" i="8"/>
  <c r="BG129" i="8"/>
  <c r="BJ129" i="8"/>
  <c r="BL129" i="8"/>
  <c r="BG224" i="8"/>
  <c r="BL224" i="8"/>
  <c r="BH225" i="8"/>
  <c r="BJ224" i="8"/>
  <c r="BG225" i="8"/>
  <c r="E72" i="8"/>
  <c r="E129" i="8"/>
  <c r="E224" i="8"/>
  <c r="T72" i="8"/>
  <c r="T129" i="8"/>
  <c r="AZ72" i="8"/>
  <c r="G72" i="8"/>
  <c r="G129" i="8"/>
  <c r="BA72" i="8"/>
  <c r="BA129" i="8"/>
  <c r="B72" i="8"/>
  <c r="U72" i="8"/>
  <c r="U129" i="8"/>
  <c r="AW72" i="8"/>
  <c r="AW129" i="8"/>
  <c r="L72" i="8"/>
  <c r="W72" i="8"/>
  <c r="W129" i="8"/>
  <c r="S72" i="8"/>
  <c r="S129" i="8"/>
  <c r="BD72" i="8"/>
  <c r="AF72" i="8"/>
  <c r="AF129" i="8"/>
  <c r="AK72" i="8"/>
  <c r="AK129" i="8"/>
  <c r="BB72" i="8"/>
  <c r="BB129" i="8"/>
  <c r="K72" i="8"/>
  <c r="K129" i="8"/>
  <c r="K224" i="8"/>
  <c r="Z72" i="8"/>
  <c r="Z129" i="8"/>
  <c r="AR72" i="8"/>
  <c r="AR129" i="8"/>
  <c r="R72" i="8"/>
  <c r="R129" i="8"/>
  <c r="AH72" i="8"/>
  <c r="AH129" i="8"/>
  <c r="AH224" i="8"/>
  <c r="AY72" i="8"/>
  <c r="AY129" i="8"/>
  <c r="P72" i="8"/>
  <c r="P129" i="8"/>
  <c r="N72" i="8"/>
  <c r="N129" i="8"/>
  <c r="O72" i="8"/>
  <c r="O129" i="8"/>
  <c r="F72" i="8"/>
  <c r="F129" i="8"/>
  <c r="AT72" i="8"/>
  <c r="AT129" i="8"/>
  <c r="AC72" i="8"/>
  <c r="AC129" i="8"/>
  <c r="AO72" i="8"/>
  <c r="AO129" i="8"/>
  <c r="AB72" i="8"/>
  <c r="AB129" i="8"/>
  <c r="C72" i="8"/>
  <c r="C129" i="8"/>
  <c r="AN72" i="8"/>
  <c r="AN129" i="8"/>
  <c r="J72" i="8"/>
  <c r="J129" i="8"/>
  <c r="AE72" i="8"/>
  <c r="AE129" i="8"/>
  <c r="AL72" i="8"/>
  <c r="AL129" i="8"/>
  <c r="AU72" i="8"/>
  <c r="AU129" i="8"/>
  <c r="AU224" i="8"/>
  <c r="AG72" i="8"/>
  <c r="AG129" i="8"/>
  <c r="D72" i="8"/>
  <c r="D129" i="8"/>
  <c r="AX72" i="8"/>
  <c r="AX129" i="8"/>
  <c r="V72" i="8"/>
  <c r="Y72" i="8"/>
  <c r="Y129" i="8"/>
  <c r="M72" i="8"/>
  <c r="M129" i="8"/>
  <c r="BC72" i="8"/>
  <c r="BC129" i="8"/>
  <c r="AQ72" i="8"/>
  <c r="AQ129" i="8"/>
  <c r="AQ224" i="8"/>
  <c r="AS72" i="8"/>
  <c r="AS129" i="8"/>
  <c r="H72" i="8"/>
  <c r="H129" i="8"/>
  <c r="X72" i="8"/>
  <c r="X129" i="8"/>
  <c r="X224" i="8"/>
  <c r="AI72" i="8"/>
  <c r="AI129" i="8"/>
  <c r="AI224" i="8"/>
  <c r="Q72" i="8"/>
  <c r="Q129" i="8"/>
  <c r="Q224" i="8"/>
  <c r="AA72" i="8"/>
  <c r="AA129" i="8"/>
  <c r="AD72" i="8"/>
  <c r="AD129" i="8"/>
  <c r="AP72" i="8"/>
  <c r="AP129" i="8"/>
  <c r="AM72" i="8"/>
  <c r="AM129" i="8"/>
  <c r="AV72" i="8"/>
  <c r="AV129" i="8"/>
  <c r="AJ72" i="8"/>
  <c r="AJ129" i="8"/>
  <c r="I72" i="8"/>
  <c r="I129" i="8"/>
  <c r="B129" i="8"/>
  <c r="I224" i="8"/>
  <c r="W224" i="8"/>
  <c r="BD129" i="8"/>
  <c r="AR224" i="8"/>
  <c r="AW224" i="8"/>
  <c r="AJ224" i="8"/>
  <c r="AJ225" i="8"/>
  <c r="AZ129" i="8"/>
  <c r="H224" i="8"/>
  <c r="AI225" i="8"/>
  <c r="X225" i="8"/>
  <c r="AM224" i="8"/>
  <c r="AV224" i="8"/>
  <c r="AV225" i="8"/>
  <c r="G224" i="8"/>
  <c r="AD224" i="8"/>
  <c r="BC224" i="8"/>
  <c r="AX224" i="8"/>
  <c r="AX225" i="8"/>
  <c r="AE224" i="8"/>
  <c r="C224" i="8"/>
  <c r="AT224" i="8"/>
  <c r="AU225" i="8"/>
  <c r="BB224" i="8"/>
  <c r="L129" i="8"/>
  <c r="AP224" i="8"/>
  <c r="V129" i="8"/>
  <c r="AN224" i="8"/>
  <c r="AO224" i="8"/>
  <c r="O224" i="8"/>
  <c r="AY224" i="8"/>
  <c r="AR225" i="8"/>
  <c r="Z224" i="8"/>
  <c r="BA224" i="8"/>
  <c r="AA224" i="8"/>
  <c r="AS224" i="8"/>
  <c r="Y224" i="8"/>
  <c r="Y225" i="8"/>
  <c r="AG224" i="8"/>
  <c r="AH225" i="8"/>
  <c r="AL224" i="8"/>
  <c r="J224" i="8"/>
  <c r="F224" i="8"/>
  <c r="F225" i="8"/>
  <c r="P224" i="8"/>
  <c r="M224" i="8"/>
  <c r="D224" i="8"/>
  <c r="D225" i="8"/>
  <c r="AC224" i="8"/>
  <c r="N224" i="8"/>
  <c r="R224" i="8"/>
  <c r="R225" i="8"/>
  <c r="S224" i="8"/>
  <c r="AB224" i="8"/>
  <c r="AK224" i="8"/>
  <c r="T224" i="8"/>
  <c r="AF224" i="8"/>
  <c r="U224" i="8"/>
  <c r="B224" i="8"/>
  <c r="AZ224" i="8"/>
  <c r="J225" i="8"/>
  <c r="I225" i="8"/>
  <c r="AS225" i="8"/>
  <c r="S225" i="8"/>
  <c r="BD224" i="8"/>
  <c r="BD225" i="8"/>
  <c r="AB225" i="8"/>
  <c r="H225" i="8"/>
  <c r="AQ225" i="8"/>
  <c r="AL225" i="8"/>
  <c r="AN225" i="8"/>
  <c r="Z225" i="8"/>
  <c r="AE225" i="8"/>
  <c r="AC225" i="8"/>
  <c r="U225" i="8"/>
  <c r="BA225" i="8"/>
  <c r="C225" i="8"/>
  <c r="BC225" i="8"/>
  <c r="G225" i="8"/>
  <c r="AF225" i="8"/>
  <c r="T225" i="8"/>
  <c r="AK225" i="8"/>
  <c r="P225" i="8"/>
  <c r="Q225" i="8"/>
  <c r="AA225" i="8"/>
  <c r="AY225" i="8"/>
  <c r="AO225" i="8"/>
  <c r="V224" i="8"/>
  <c r="AP225" i="8"/>
  <c r="AD225" i="8"/>
  <c r="AM225" i="8"/>
  <c r="AT225" i="8"/>
  <c r="E225" i="8"/>
  <c r="N225" i="8"/>
  <c r="AW225" i="8"/>
  <c r="K225" i="8"/>
  <c r="AG225" i="8"/>
  <c r="O225" i="8"/>
  <c r="L224" i="8"/>
  <c r="BB225" i="8"/>
  <c r="AP226" i="8"/>
  <c r="AZ225" i="8"/>
  <c r="AZ226" i="8"/>
  <c r="BE225" i="8"/>
  <c r="L225" i="8"/>
  <c r="L226" i="8"/>
  <c r="M225" i="8"/>
  <c r="V225" i="8"/>
  <c r="W225" i="8"/>
  <c r="AF226" i="8"/>
  <c r="V226" i="8"/>
</calcChain>
</file>

<file path=xl/sharedStrings.xml><?xml version="1.0" encoding="utf-8"?>
<sst xmlns="http://schemas.openxmlformats.org/spreadsheetml/2006/main" count="6119" uniqueCount="169">
  <si>
    <t>(Fiscal Years, Full-time Equivalent Employment)</t>
  </si>
  <si>
    <t>% Change</t>
  </si>
  <si>
    <t>Agency</t>
  </si>
  <si>
    <t>n/o</t>
  </si>
  <si>
    <t xml:space="preserve">  Patent and Trademark Office</t>
  </si>
  <si>
    <t xml:space="preserve">Federal Deposit Insurance Corporation </t>
  </si>
  <si>
    <t>Table A-3</t>
  </si>
  <si>
    <t>STAFFING OF FEDERAL REGULATORY AGENCIES</t>
  </si>
  <si>
    <t>Social Regulation</t>
  </si>
  <si>
    <t>Consumer Safety and Health</t>
  </si>
  <si>
    <t>-</t>
  </si>
  <si>
    <t>L</t>
  </si>
  <si>
    <t xml:space="preserve">  Antitrust Division</t>
  </si>
  <si>
    <t>National Labor Relations Board</t>
  </si>
  <si>
    <t xml:space="preserve">  Federal Railroad Administration</t>
  </si>
  <si>
    <t>Federal Trade Commission</t>
  </si>
  <si>
    <t>Equal Employment Opportunity Commission</t>
  </si>
  <si>
    <t xml:space="preserve">  Occupational Safety and Health Admin.</t>
  </si>
  <si>
    <t>Council on Environmental Quality</t>
  </si>
  <si>
    <t>Federal Election Commission</t>
  </si>
  <si>
    <t>Securities and Exchange Commission</t>
  </si>
  <si>
    <t>Consumer Product Safety Commission</t>
  </si>
  <si>
    <t>National Transportation Safety Board</t>
  </si>
  <si>
    <t>Farm Credit Administration</t>
  </si>
  <si>
    <t xml:space="preserve">  Federal Reserve System Board of Governors</t>
  </si>
  <si>
    <t>Federal Communications Commission</t>
  </si>
  <si>
    <t>Federal Maritime Commission</t>
  </si>
  <si>
    <t xml:space="preserve">  Copyright Office</t>
  </si>
  <si>
    <t>Federal Mine Safety and Health Review Commission</t>
  </si>
  <si>
    <t>Department of Agriculture:</t>
  </si>
  <si>
    <t xml:space="preserve">  Animal and Plant Health</t>
  </si>
  <si>
    <t xml:space="preserve">    Subtotal</t>
  </si>
  <si>
    <t>Department of Health and Human Services:</t>
  </si>
  <si>
    <t>Department of Housing and Urban Development:</t>
  </si>
  <si>
    <t>Department of Justice:</t>
  </si>
  <si>
    <t>Department of Transportation:</t>
  </si>
  <si>
    <t xml:space="preserve">      Subtotal</t>
  </si>
  <si>
    <t xml:space="preserve">    TOTAL--Consumer Safety and Health</t>
  </si>
  <si>
    <t>Department of Labor:</t>
  </si>
  <si>
    <t>Department of Defense:</t>
  </si>
  <si>
    <t>Department of Interior:</t>
  </si>
  <si>
    <t>Department of Energy:</t>
  </si>
  <si>
    <t>TOTAL SOCIAL REGULATION</t>
  </si>
  <si>
    <t>Economic Regulation</t>
  </si>
  <si>
    <t>Department of the Treasury:</t>
  </si>
  <si>
    <t xml:space="preserve">  TOTAL--Finance and Banking</t>
  </si>
  <si>
    <t>Industry-Specific Regulation</t>
  </si>
  <si>
    <t xml:space="preserve">  TOTAL--Industry-Specific Regulation</t>
  </si>
  <si>
    <t>General Business</t>
  </si>
  <si>
    <t>Department of Commerce:</t>
  </si>
  <si>
    <t>Library of Congress:</t>
  </si>
  <si>
    <t xml:space="preserve">  TOTAL--General Business</t>
  </si>
  <si>
    <t>TOTAL ECONOMIC REGULATION</t>
  </si>
  <si>
    <t>GRAND TOTAL</t>
  </si>
  <si>
    <t>Notes:</t>
  </si>
  <si>
    <t xml:space="preserve">   n/o = agency not operational</t>
  </si>
  <si>
    <t>Table A-2</t>
  </si>
  <si>
    <t>Regulatory Agency Costs</t>
  </si>
  <si>
    <t xml:space="preserve">   L = less than $500,000</t>
  </si>
  <si>
    <t xml:space="preserve">     n/o</t>
  </si>
  <si>
    <t xml:space="preserve">    TOTAL--Transportation</t>
  </si>
  <si>
    <t xml:space="preserve">  National Highway Traffic Safety Administration</t>
  </si>
  <si>
    <t>Occupational Safety and Health Review Commission</t>
  </si>
  <si>
    <r>
      <t xml:space="preserve">              </t>
    </r>
    <r>
      <rPr>
        <i/>
        <sz val="9"/>
        <color indexed="8"/>
        <rFont val="Times New Roman"/>
        <family val="1"/>
      </rPr>
      <t>Government</t>
    </r>
    <r>
      <rPr>
        <sz val="9"/>
        <color indexed="8"/>
        <rFont val="Times New Roman"/>
        <family val="1"/>
      </rPr>
      <t xml:space="preserve"> and related documents, various fiscal years.</t>
    </r>
  </si>
  <si>
    <t xml:space="preserve">    Inspection Service (1)</t>
  </si>
  <si>
    <t xml:space="preserve">  Food Safety and Inspection Service (2)</t>
  </si>
  <si>
    <t xml:space="preserve">  Grain Inspection, Packers and Stockyards (3)</t>
  </si>
  <si>
    <r>
      <t>Finance and Banking</t>
    </r>
    <r>
      <rPr>
        <sz val="9"/>
        <color indexed="8"/>
        <rFont val="CG Times"/>
        <family val="1"/>
      </rPr>
      <t xml:space="preserve"> </t>
    </r>
  </si>
  <si>
    <t>*</t>
  </si>
  <si>
    <t>annualized percentage change</t>
  </si>
  <si>
    <t>* = agency no longer has regulatory functions</t>
  </si>
  <si>
    <t>Homeland Security</t>
  </si>
  <si>
    <t>TOTAL--Homeland Security</t>
  </si>
  <si>
    <t>Department of Treasury:</t>
  </si>
  <si>
    <t>(1) through (46):  see notes at the end of the Appendix</t>
  </si>
  <si>
    <t xml:space="preserve">  National Telecommunications and Information Administration</t>
  </si>
  <si>
    <t>Department of the Interior:</t>
  </si>
  <si>
    <t xml:space="preserve">  National Indian Gaming Commission</t>
  </si>
  <si>
    <t xml:space="preserve">  Financial Crimes Enforcement Network</t>
  </si>
  <si>
    <t xml:space="preserve"> </t>
  </si>
  <si>
    <t xml:space="preserve">  Food and Drug Administration (4)</t>
  </si>
  <si>
    <t xml:space="preserve">  Consumer Protection Programs (5)</t>
  </si>
  <si>
    <t xml:space="preserve">    TOTAL--Workplace</t>
  </si>
  <si>
    <t>Workplace</t>
  </si>
  <si>
    <t xml:space="preserve">  Risk Management Agency</t>
  </si>
  <si>
    <t xml:space="preserve">  Office of Lead Hazard Control and Healthy Homes (5)</t>
  </si>
  <si>
    <t>$ Change</t>
  </si>
  <si>
    <t xml:space="preserve">  Office of Federal Enterprise Oversight (6)</t>
  </si>
  <si>
    <t xml:space="preserve">  Drug Enforcement Administration (7)</t>
  </si>
  <si>
    <t xml:space="preserve">    and Explosives (8)</t>
  </si>
  <si>
    <t xml:space="preserve">  Alcohol and Tobacco Tax and Trade Bureau (8)</t>
  </si>
  <si>
    <t>Chemical Safety and Hazard Investigation Board (9)</t>
  </si>
  <si>
    <r>
      <t>Department of Homeland Security:</t>
    </r>
    <r>
      <rPr>
        <sz val="9"/>
        <color indexed="8"/>
        <rFont val="Times New Roman"/>
        <family val="1"/>
      </rPr>
      <t xml:space="preserve"> (10)</t>
    </r>
  </si>
  <si>
    <t xml:space="preserve">  Area Maritime Security (11)</t>
  </si>
  <si>
    <t xml:space="preserve">  Customs and Border Protection (12)</t>
  </si>
  <si>
    <t xml:space="preserve">  Immigration and Customs Enforcement (13)</t>
  </si>
  <si>
    <t xml:space="preserve">  Coast Guard (14)</t>
  </si>
  <si>
    <t xml:space="preserve">  Science and Technology (15)</t>
  </si>
  <si>
    <t xml:space="preserve">  Transportation Security Administration (16)</t>
  </si>
  <si>
    <t>Transportation (17)</t>
  </si>
  <si>
    <t xml:space="preserve">  Federal Aviation Administration (18)</t>
  </si>
  <si>
    <t xml:space="preserve">  Federal Highway Administration (19)</t>
  </si>
  <si>
    <t xml:space="preserve">  Federal Motor Carrier Safety Administration (20)</t>
  </si>
  <si>
    <r>
      <rPr>
        <i/>
        <sz val="9"/>
        <color indexed="8"/>
        <rFont val="Times New Roman"/>
        <family val="1"/>
      </rPr>
      <t>Department of Transportation</t>
    </r>
    <r>
      <rPr>
        <sz val="9"/>
        <color indexed="8"/>
        <rFont val="Times New Roman"/>
        <family val="1"/>
      </rPr>
      <t>:</t>
    </r>
  </si>
  <si>
    <t xml:space="preserve">  Office of Civil Rights</t>
  </si>
  <si>
    <t>Defense Nuclear Facilities Safety Board</t>
  </si>
  <si>
    <t xml:space="preserve">  Office of the American Workplace (25)</t>
  </si>
  <si>
    <t xml:space="preserve">  Office of Federal Contract Compliance Programs (24)</t>
  </si>
  <si>
    <t xml:space="preserve">  Office of Workers Compensation Programs, Wage and Hour Div (24)</t>
  </si>
  <si>
    <t xml:space="preserve">  Employee Benefits Security Administration (26)</t>
  </si>
  <si>
    <t xml:space="preserve">  Mine Safety and Health Administration (27)</t>
  </si>
  <si>
    <t xml:space="preserve">Consumer Financial Protection Bureau </t>
  </si>
  <si>
    <t xml:space="preserve">  Bureau of Safety and Environmental Enforcement</t>
  </si>
  <si>
    <t xml:space="preserve">  Water and Science, Oil Spill Research</t>
  </si>
  <si>
    <t>Federal Financial Institutions Examination Council</t>
  </si>
  <si>
    <t>Environment &amp; Energy</t>
  </si>
  <si>
    <t xml:space="preserve">  TOTAL -- Environment &amp; Energy</t>
  </si>
  <si>
    <t xml:space="preserve">  Bureau of Alcohol. Tobacco, Firearms, </t>
  </si>
  <si>
    <t xml:space="preserve">         (Estimated)</t>
  </si>
  <si>
    <t xml:space="preserve">  Pipeline and Hazardous Materials Safety Administration (21)</t>
  </si>
  <si>
    <t xml:space="preserve">  Employment Standards Administration (23)</t>
  </si>
  <si>
    <t>Source:  Weidenbaum Center, Washington University and the Regulatory Studies Center, the George Washington University.  Derived from the Budget of the United States</t>
  </si>
  <si>
    <t>Title changed on all tables</t>
  </si>
  <si>
    <t>Small Business Administration</t>
  </si>
  <si>
    <t>Office of Management and Budget</t>
  </si>
  <si>
    <t>Access Board (28)</t>
  </si>
  <si>
    <t xml:space="preserve">  Forest and Rangeland Research (29)</t>
  </si>
  <si>
    <t xml:space="preserve">  Army Corps of Engineers (30)</t>
  </si>
  <si>
    <t xml:space="preserve">  Fish and Wildlife and Parks (31)</t>
  </si>
  <si>
    <t xml:space="preserve">  Bureau of Ocean Energy Management (32)</t>
  </si>
  <si>
    <t xml:space="preserve">  Office of Surface Mining Reclamation and Enforcement (33)</t>
  </si>
  <si>
    <t xml:space="preserve">  U.S. Geological Survey (34)</t>
  </si>
  <si>
    <t xml:space="preserve">  Petroleum Regulation (35)</t>
  </si>
  <si>
    <t xml:space="preserve">  Energy Efficiency and Renewable Energy (37)</t>
  </si>
  <si>
    <t xml:space="preserve">  Federal Coordinator for Alaska Natural Gas Transportation (36)</t>
  </si>
  <si>
    <t>Nuclear Regulatory Commission (38)</t>
  </si>
  <si>
    <t>Environmental Protection Agency (39)</t>
  </si>
  <si>
    <t xml:space="preserve">  Comptroller of the Currency (40)</t>
  </si>
  <si>
    <t xml:space="preserve">  Office of Thrift Supervision (41)</t>
  </si>
  <si>
    <t>Federal Housing Finance Board (42)</t>
  </si>
  <si>
    <t>Federal Housing Finance Agency (43)</t>
  </si>
  <si>
    <r>
      <t>Federal Reserve System</t>
    </r>
    <r>
      <rPr>
        <sz val="9"/>
        <color indexed="8"/>
        <rFont val="Times New Roman"/>
        <family val="1"/>
      </rPr>
      <t xml:space="preserve"> (44)</t>
    </r>
  </si>
  <si>
    <t xml:space="preserve">  Federal Reserve Banks (45)</t>
  </si>
  <si>
    <t>National Credit Union Administration (46)</t>
  </si>
  <si>
    <t xml:space="preserve">  Agriculture Marketing Service (47)</t>
  </si>
  <si>
    <t xml:space="preserve">  Federal Energy Regulatory Commission (48)</t>
  </si>
  <si>
    <t xml:space="preserve">  Economic Regulatory Administration (49)</t>
  </si>
  <si>
    <t>Civil Aeronautics Board (50)</t>
  </si>
  <si>
    <t>Commodity Futures Trading Commission (51)</t>
  </si>
  <si>
    <t>Interstate Commerce Commission (52)</t>
  </si>
  <si>
    <t>Renegotiation Board (53)</t>
  </si>
  <si>
    <t>Cost Accounting Standards Board (54)</t>
  </si>
  <si>
    <t>Council on Wage and Price Stability (55)</t>
  </si>
  <si>
    <t xml:space="preserve">  International Trade Administration (56)</t>
  </si>
  <si>
    <t xml:space="preserve">  Bureau of Industry and Security (57)</t>
  </si>
  <si>
    <t xml:space="preserve">  Office of Information and Regulatory Affairs (58)</t>
  </si>
  <si>
    <t xml:space="preserve">  Office of Advocacy (59)</t>
  </si>
  <si>
    <t>International Trade Commission (60)</t>
  </si>
  <si>
    <t>(1) through  (60):  see notes at the end of the Appendix</t>
  </si>
  <si>
    <t xml:space="preserve">   Office of Information and Regulatory Affairs (58)</t>
  </si>
  <si>
    <t>`</t>
  </si>
  <si>
    <t>Change</t>
  </si>
  <si>
    <t>Surface Transportation Board (22)</t>
  </si>
  <si>
    <t>Executive Office of the President:</t>
  </si>
  <si>
    <t>2017-2018</t>
  </si>
  <si>
    <t>2018-2019</t>
  </si>
  <si>
    <t>(In billions of constant 2009 dollars)</t>
  </si>
  <si>
    <t># Change</t>
  </si>
  <si>
    <t>(1) through (60): see notes at the end of the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</si>
</sst>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\ ;\(&quot;$&quot;#,##0\)"/>
    <numFmt numFmtId="165" formatCode="&quot;$&quot;#,##0.00\ ;\(&quot;$&quot;#,##0.00\)"/>
    <numFmt numFmtId="166" formatCode="0.0%"/>
    <numFmt numFmtId="167" formatCode="&quot;$&quot;#,##0"/>
    <numFmt numFmtId="168" formatCode="_(* #,##0_);_(* \(#,##0\);_(* &quot;-&quot;??_);_(@_)"/>
    <numFmt numFmtId="169" formatCode="0.0"/>
    <numFmt numFmtId="170" formatCode="&quot;$&quot;#,##0.0\ ;\(&quot;$&quot;#,##0.0\)"/>
    <numFmt numFmtId="171" formatCode="0.000000000000"/>
    <numFmt numFmtId="172" formatCode="0.00000"/>
  </numFmts>
  <fonts count="74" x14ac:knownFonts="1">
    <font>
      <sz val="12"/>
      <color indexed="24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sz val="8"/>
      <color indexed="24"/>
      <name val="Times New Roman"/>
      <family val="1"/>
    </font>
    <font>
      <b/>
      <sz val="12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Times New Roman"/>
      <family val="1"/>
    </font>
    <font>
      <sz val="12"/>
      <color indexed="24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Arial"/>
      <family val="2"/>
    </font>
    <font>
      <sz val="8"/>
      <name val="Times New Roman"/>
      <family val="1"/>
    </font>
    <font>
      <sz val="10"/>
      <color indexed="24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24"/>
      <name val="Times New Roman"/>
      <family val="1"/>
    </font>
    <font>
      <sz val="9"/>
      <name val="Times New Roman"/>
      <family val="1"/>
    </font>
    <font>
      <i/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CG Times"/>
      <family val="1"/>
    </font>
    <font>
      <i/>
      <sz val="9"/>
      <color indexed="8"/>
      <name val="Times New Roman"/>
      <family val="1"/>
    </font>
    <font>
      <sz val="10"/>
      <name val="Times New Roman"/>
      <family val="1"/>
    </font>
    <font>
      <i/>
      <sz val="12"/>
      <color indexed="8"/>
      <name val="Times New Roman"/>
      <family val="1"/>
    </font>
    <font>
      <sz val="12"/>
      <color indexed="24"/>
      <name val="Times New Roman"/>
      <family val="1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Times New Roman"/>
      <family val="1"/>
    </font>
    <font>
      <sz val="12"/>
      <color indexed="10"/>
      <name val="Times New Roman"/>
      <family val="1"/>
    </font>
    <font>
      <sz val="8"/>
      <color indexed="10"/>
      <name val="Times New Roman"/>
      <family val="1"/>
    </font>
    <font>
      <sz val="12"/>
      <name val="Times New Roman"/>
      <family val="1"/>
    </font>
    <font>
      <sz val="8"/>
      <color indexed="13"/>
      <name val="Times New Roman"/>
      <family val="1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sz val="18"/>
      <color indexed="24"/>
      <name val="Times New Roman"/>
      <family val="1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sz val="10"/>
      <color rgb="FFC00000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8"/>
      <color theme="1" tint="4.9989318521683403E-2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rgb="FFC00000"/>
      <name val="Times New Roman"/>
      <family val="1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name val="Times New Roman"/>
      <family val="1"/>
    </font>
    <font>
      <i/>
      <sz val="8"/>
      <color indexed="8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i/>
      <sz val="12"/>
      <color indexed="24"/>
      <name val="Times New Roman"/>
      <family val="1"/>
    </font>
    <font>
      <i/>
      <sz val="12"/>
      <color rgb="FFFF0000"/>
      <name val="Times New Roman"/>
      <family val="1"/>
    </font>
    <font>
      <sz val="9"/>
      <color theme="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4">
    <xf numFmtId="0" fontId="0" fillId="0" borderId="0"/>
    <xf numFmtId="4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39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39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39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39" fillId="0" borderId="0" applyFont="0" applyFill="0" applyBorder="0" applyAlignment="0" applyProtection="0"/>
    <xf numFmtId="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39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39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39" fillId="0" borderId="0" applyFont="0" applyFill="0" applyBorder="0" applyAlignment="0" applyProtection="0"/>
    <xf numFmtId="2" fontId="22" fillId="0" borderId="0" applyFont="0" applyFill="0" applyBorder="0" applyAlignment="0" applyProtection="0"/>
    <xf numFmtId="2" fontId="39" fillId="0" borderId="0" applyFont="0" applyFill="0" applyBorder="0" applyAlignment="0" applyProtection="0"/>
    <xf numFmtId="2" fontId="2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2" fillId="0" borderId="1" applyNumberFormat="0" applyFont="0" applyFill="0" applyAlignment="0" applyProtection="0"/>
    <xf numFmtId="0" fontId="39" fillId="0" borderId="1" applyNumberFormat="0" applyFont="0" applyFill="0" applyAlignment="0" applyProtection="0"/>
    <xf numFmtId="0" fontId="22" fillId="0" borderId="1" applyNumberFormat="0" applyFont="0" applyFill="0" applyAlignment="0" applyProtection="0"/>
    <xf numFmtId="0" fontId="39" fillId="0" borderId="1" applyNumberFormat="0" applyFont="0" applyFill="0" applyAlignment="0" applyProtection="0"/>
    <xf numFmtId="0" fontId="22" fillId="0" borderId="1" applyNumberFormat="0" applyFont="0" applyFill="0" applyAlignment="0" applyProtection="0"/>
    <xf numFmtId="0" fontId="39" fillId="0" borderId="1" applyNumberFormat="0" applyFont="0" applyFill="0" applyAlignment="0" applyProtection="0"/>
    <xf numFmtId="0" fontId="22" fillId="0" borderId="1" applyNumberFormat="0" applyFont="0" applyFill="0" applyAlignment="0" applyProtection="0"/>
    <xf numFmtId="0" fontId="39" fillId="0" borderId="1" applyNumberFormat="0" applyFont="0" applyFill="0" applyAlignment="0" applyProtection="0"/>
    <xf numFmtId="0" fontId="22" fillId="0" borderId="1" applyNumberFormat="0" applyFont="0" applyFill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2">
    <xf numFmtId="1" fontId="0" fillId="0" borderId="0" xfId="0" applyNumberFormat="1"/>
    <xf numFmtId="164" fontId="0" fillId="0" borderId="0" xfId="0" applyNumberFormat="1"/>
    <xf numFmtId="1" fontId="6" fillId="0" borderId="0" xfId="0" applyNumberFormat="1" applyFont="1" applyAlignment="1">
      <alignment horizontal="centerContinuous"/>
    </xf>
    <xf numFmtId="1" fontId="7" fillId="0" borderId="0" xfId="0" applyNumberFormat="1" applyFont="1"/>
    <xf numFmtId="1" fontId="8" fillId="0" borderId="0" xfId="0" applyNumberFormat="1" applyFont="1" applyAlignment="1">
      <alignment horizontal="centerContinuous"/>
    </xf>
    <xf numFmtId="1" fontId="7" fillId="0" borderId="0" xfId="0" applyNumberFormat="1" applyFont="1" applyAlignment="1">
      <alignment horizontal="centerContinuous"/>
    </xf>
    <xf numFmtId="1" fontId="8" fillId="0" borderId="0" xfId="0" applyNumberFormat="1" applyFont="1"/>
    <xf numFmtId="1" fontId="10" fillId="0" borderId="0" xfId="0" applyNumberFormat="1" applyFont="1" applyAlignment="1">
      <alignment horizontal="centerContinuous"/>
    </xf>
    <xf numFmtId="164" fontId="8" fillId="0" borderId="0" xfId="0" applyNumberFormat="1" applyFont="1"/>
    <xf numFmtId="164" fontId="8" fillId="0" borderId="0" xfId="12" applyFont="1"/>
    <xf numFmtId="1" fontId="11" fillId="0" borderId="0" xfId="0" applyNumberFormat="1" applyFont="1"/>
    <xf numFmtId="3" fontId="8" fillId="0" borderId="0" xfId="0" applyNumberFormat="1" applyFont="1"/>
    <xf numFmtId="3" fontId="8" fillId="0" borderId="0" xfId="2" applyFont="1"/>
    <xf numFmtId="3" fontId="8" fillId="0" borderId="2" xfId="0" applyNumberFormat="1" applyFont="1" applyBorder="1"/>
    <xf numFmtId="3" fontId="8" fillId="0" borderId="2" xfId="2" applyFont="1" applyBorder="1"/>
    <xf numFmtId="3" fontId="8" fillId="0" borderId="0" xfId="2" applyFont="1" applyAlignment="1">
      <alignment horizontal="right"/>
    </xf>
    <xf numFmtId="3" fontId="8" fillId="0" borderId="2" xfId="2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centerContinuous"/>
    </xf>
    <xf numFmtId="164" fontId="8" fillId="0" borderId="0" xfId="0" applyNumberFormat="1" applyFont="1" applyAlignment="1">
      <alignment horizontal="centerContinuous"/>
    </xf>
    <xf numFmtId="1" fontId="10" fillId="0" borderId="3" xfId="0" applyNumberFormat="1" applyFont="1" applyBorder="1" applyAlignment="1">
      <alignment horizontal="centerContinuous"/>
    </xf>
    <xf numFmtId="1" fontId="7" fillId="0" borderId="3" xfId="0" applyNumberFormat="1" applyFont="1" applyBorder="1"/>
    <xf numFmtId="1" fontId="13" fillId="0" borderId="0" xfId="0" applyNumberFormat="1" applyFont="1"/>
    <xf numFmtId="3" fontId="8" fillId="0" borderId="0" xfId="2" applyFont="1" applyBorder="1"/>
    <xf numFmtId="3" fontId="14" fillId="0" borderId="0" xfId="0" applyNumberFormat="1" applyFont="1"/>
    <xf numFmtId="167" fontId="14" fillId="0" borderId="0" xfId="0" applyNumberFormat="1" applyFont="1"/>
    <xf numFmtId="3" fontId="14" fillId="0" borderId="0" xfId="0" applyNumberFormat="1" applyFont="1" applyAlignment="1">
      <alignment horizontal="right"/>
    </xf>
    <xf numFmtId="164" fontId="8" fillId="0" borderId="4" xfId="0" applyNumberFormat="1" applyFont="1" applyBorder="1"/>
    <xf numFmtId="3" fontId="14" fillId="0" borderId="2" xfId="0" applyNumberFormat="1" applyFont="1" applyBorder="1"/>
    <xf numFmtId="3" fontId="14" fillId="0" borderId="0" xfId="1" applyNumberFormat="1" applyFont="1"/>
    <xf numFmtId="3" fontId="8" fillId="0" borderId="2" xfId="1" applyNumberFormat="1" applyFont="1" applyBorder="1"/>
    <xf numFmtId="164" fontId="13" fillId="0" borderId="0" xfId="11" quotePrefix="1" applyNumberFormat="1" applyFont="1" applyAlignment="1">
      <alignment horizontal="right"/>
    </xf>
    <xf numFmtId="164" fontId="13" fillId="0" borderId="0" xfId="11" applyNumberFormat="1" applyFont="1"/>
    <xf numFmtId="164" fontId="7" fillId="0" borderId="0" xfId="11" applyNumberFormat="1" applyFont="1"/>
    <xf numFmtId="3" fontId="8" fillId="0" borderId="0" xfId="1" applyNumberFormat="1" applyFont="1"/>
    <xf numFmtId="1" fontId="13" fillId="0" borderId="2" xfId="0" applyNumberFormat="1" applyFont="1" applyBorder="1"/>
    <xf numFmtId="3" fontId="14" fillId="0" borderId="0" xfId="0" quotePrefix="1" applyNumberFormat="1" applyFont="1" applyAlignment="1">
      <alignment horizontal="right"/>
    </xf>
    <xf numFmtId="3" fontId="13" fillId="0" borderId="2" xfId="1" applyNumberFormat="1" applyFont="1" applyBorder="1"/>
    <xf numFmtId="1" fontId="7" fillId="0" borderId="0" xfId="0" applyNumberFormat="1" applyFont="1" applyBorder="1"/>
    <xf numFmtId="3" fontId="8" fillId="0" borderId="0" xfId="2" applyFont="1" applyBorder="1" applyAlignment="1">
      <alignment horizontal="right"/>
    </xf>
    <xf numFmtId="3" fontId="14" fillId="0" borderId="2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1" fontId="8" fillId="0" borderId="2" xfId="0" applyNumberFormat="1" applyFont="1" applyBorder="1" applyAlignment="1">
      <alignment horizontal="right"/>
    </xf>
    <xf numFmtId="1" fontId="16" fillId="0" borderId="0" xfId="0" applyNumberFormat="1" applyFont="1" applyAlignment="1">
      <alignment horizontal="left"/>
    </xf>
    <xf numFmtId="164" fontId="13" fillId="0" borderId="0" xfId="11" applyNumberFormat="1" applyFont="1" applyAlignment="1">
      <alignment horizontal="right"/>
    </xf>
    <xf numFmtId="164" fontId="8" fillId="0" borderId="0" xfId="0" applyNumberFormat="1" applyFont="1" applyBorder="1"/>
    <xf numFmtId="164" fontId="14" fillId="0" borderId="0" xfId="11" applyNumberFormat="1" applyFont="1"/>
    <xf numFmtId="3" fontId="13" fillId="0" borderId="0" xfId="1" quotePrefix="1" applyNumberFormat="1" applyFont="1" applyAlignment="1">
      <alignment horizontal="right"/>
    </xf>
    <xf numFmtId="3" fontId="13" fillId="0" borderId="0" xfId="1" applyNumberFormat="1" applyFont="1"/>
    <xf numFmtId="3" fontId="13" fillId="0" borderId="0" xfId="1" applyNumberFormat="1" applyFont="1" applyAlignment="1">
      <alignment horizontal="right"/>
    </xf>
    <xf numFmtId="3" fontId="0" fillId="0" borderId="0" xfId="1" applyNumberFormat="1" applyFont="1"/>
    <xf numFmtId="164" fontId="13" fillId="0" borderId="0" xfId="11" quotePrefix="1" applyNumberFormat="1" applyFont="1" applyBorder="1" applyAlignment="1">
      <alignment horizontal="right"/>
    </xf>
    <xf numFmtId="164" fontId="13" fillId="0" borderId="0" xfId="11" applyNumberFormat="1" applyFont="1" applyBorder="1"/>
    <xf numFmtId="3" fontId="13" fillId="0" borderId="0" xfId="1" applyNumberFormat="1" applyFont="1" applyBorder="1" applyAlignment="1">
      <alignment horizontal="right"/>
    </xf>
    <xf numFmtId="0" fontId="8" fillId="0" borderId="0" xfId="0" applyFont="1"/>
    <xf numFmtId="0" fontId="13" fillId="0" borderId="0" xfId="0" applyFont="1"/>
    <xf numFmtId="3" fontId="13" fillId="0" borderId="0" xfId="1" applyNumberFormat="1" applyFont="1" applyBorder="1"/>
    <xf numFmtId="1" fontId="7" fillId="0" borderId="0" xfId="0" applyNumberFormat="1" applyFont="1" applyAlignment="1"/>
    <xf numFmtId="1" fontId="20" fillId="0" borderId="0" xfId="0" applyNumberFormat="1" applyFont="1" applyAlignment="1">
      <alignment horizontal="left"/>
    </xf>
    <xf numFmtId="3" fontId="14" fillId="0" borderId="0" xfId="1" applyNumberFormat="1" applyFont="1" applyAlignment="1">
      <alignment horizontal="right"/>
    </xf>
    <xf numFmtId="3" fontId="14" fillId="0" borderId="2" xfId="1" applyNumberFormat="1" applyFont="1" applyBorder="1" applyAlignment="1">
      <alignment horizontal="right"/>
    </xf>
    <xf numFmtId="0" fontId="14" fillId="0" borderId="0" xfId="0" applyFont="1"/>
    <xf numFmtId="3" fontId="13" fillId="0" borderId="0" xfId="0" applyNumberFormat="1" applyFont="1"/>
    <xf numFmtId="1" fontId="8" fillId="0" borderId="0" xfId="0" applyNumberFormat="1" applyFont="1" applyBorder="1" applyAlignment="1">
      <alignment horizontal="right"/>
    </xf>
    <xf numFmtId="1" fontId="13" fillId="0" borderId="0" xfId="1" applyNumberFormat="1" applyFont="1" applyBorder="1"/>
    <xf numFmtId="3" fontId="13" fillId="0" borderId="0" xfId="0" applyNumberFormat="1" applyFont="1" applyBorder="1"/>
    <xf numFmtId="3" fontId="13" fillId="0" borderId="2" xfId="0" applyNumberFormat="1" applyFont="1" applyBorder="1"/>
    <xf numFmtId="1" fontId="22" fillId="0" borderId="0" xfId="0" applyNumberFormat="1" applyFont="1"/>
    <xf numFmtId="1" fontId="23" fillId="0" borderId="0" xfId="0" applyNumberFormat="1" applyFont="1"/>
    <xf numFmtId="1" fontId="18" fillId="0" borderId="0" xfId="0" applyNumberFormat="1" applyFont="1" applyAlignment="1"/>
    <xf numFmtId="1" fontId="19" fillId="0" borderId="0" xfId="0" quotePrefix="1" applyNumberFormat="1" applyFont="1" applyAlignment="1">
      <alignment horizontal="left"/>
    </xf>
    <xf numFmtId="3" fontId="5" fillId="0" borderId="0" xfId="0" applyNumberFormat="1" applyFont="1"/>
    <xf numFmtId="1" fontId="12" fillId="0" borderId="0" xfId="0" applyNumberFormat="1" applyFont="1" applyAlignment="1">
      <alignment horizontal="centerContinuous"/>
    </xf>
    <xf numFmtId="168" fontId="14" fillId="0" borderId="0" xfId="1" applyNumberFormat="1" applyFont="1" applyBorder="1"/>
    <xf numFmtId="3" fontId="8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166" fontId="8" fillId="0" borderId="0" xfId="0" applyNumberFormat="1" applyFont="1" applyAlignment="1">
      <alignment horizontal="right"/>
    </xf>
    <xf numFmtId="3" fontId="8" fillId="0" borderId="2" xfId="0" applyNumberFormat="1" applyFont="1" applyBorder="1" applyAlignment="1">
      <alignment horizontal="right"/>
    </xf>
    <xf numFmtId="166" fontId="8" fillId="0" borderId="0" xfId="61" applyNumberFormat="1" applyFont="1" applyBorder="1"/>
    <xf numFmtId="164" fontId="5" fillId="0" borderId="0" xfId="0" applyNumberFormat="1" applyFont="1"/>
    <xf numFmtId="3" fontId="8" fillId="0" borderId="0" xfId="0" applyNumberFormat="1" applyFont="1" applyAlignment="1">
      <alignment horizontal="centerContinuous"/>
    </xf>
    <xf numFmtId="3" fontId="8" fillId="0" borderId="0" xfId="1" applyNumberFormat="1" applyFont="1" applyBorder="1" applyAlignment="1">
      <alignment horizontal="right"/>
    </xf>
    <xf numFmtId="1" fontId="14" fillId="0" borderId="2" xfId="0" applyNumberFormat="1" applyFont="1" applyBorder="1"/>
    <xf numFmtId="168" fontId="14" fillId="0" borderId="0" xfId="0" applyNumberFormat="1" applyFont="1" applyBorder="1"/>
    <xf numFmtId="168" fontId="13" fillId="0" borderId="0" xfId="1" applyNumberFormat="1" applyFont="1"/>
    <xf numFmtId="3" fontId="8" fillId="0" borderId="4" xfId="0" applyNumberFormat="1" applyFont="1" applyBorder="1"/>
    <xf numFmtId="1" fontId="13" fillId="0" borderId="0" xfId="0" applyNumberFormat="1" applyFont="1" applyBorder="1"/>
    <xf numFmtId="168" fontId="14" fillId="0" borderId="0" xfId="1" applyNumberFormat="1" applyFont="1" applyAlignment="1"/>
    <xf numFmtId="164" fontId="14" fillId="0" borderId="0" xfId="11" applyNumberFormat="1" applyFont="1" applyAlignment="1"/>
    <xf numFmtId="168" fontId="14" fillId="0" borderId="0" xfId="1" applyNumberFormat="1" applyFont="1"/>
    <xf numFmtId="0" fontId="14" fillId="0" borderId="0" xfId="0" applyFont="1" applyBorder="1"/>
    <xf numFmtId="164" fontId="8" fillId="0" borderId="0" xfId="12" applyFont="1" applyBorder="1"/>
    <xf numFmtId="3" fontId="14" fillId="0" borderId="0" xfId="0" applyNumberFormat="1" applyFont="1" applyBorder="1" applyAlignment="1">
      <alignment horizontal="right"/>
    </xf>
    <xf numFmtId="3" fontId="14" fillId="0" borderId="0" xfId="0" applyNumberFormat="1" applyFont="1" applyBorder="1"/>
    <xf numFmtId="3" fontId="14" fillId="0" borderId="0" xfId="1" applyNumberFormat="1" applyFont="1" applyBorder="1"/>
    <xf numFmtId="3" fontId="0" fillId="0" borderId="0" xfId="0" applyNumberFormat="1" applyBorder="1"/>
    <xf numFmtId="164" fontId="7" fillId="0" borderId="0" xfId="12" applyFont="1" applyBorder="1"/>
    <xf numFmtId="1" fontId="8" fillId="0" borderId="0" xfId="0" applyNumberFormat="1" applyFont="1" applyBorder="1"/>
    <xf numFmtId="168" fontId="13" fillId="0" borderId="0" xfId="1" applyNumberFormat="1" applyFont="1" applyBorder="1"/>
    <xf numFmtId="1" fontId="0" fillId="0" borderId="0" xfId="0" applyNumberFormat="1" applyBorder="1"/>
    <xf numFmtId="1" fontId="8" fillId="0" borderId="0" xfId="0" applyNumberFormat="1" applyFont="1" applyBorder="1" applyAlignment="1"/>
    <xf numFmtId="3" fontId="15" fillId="0" borderId="0" xfId="1" applyNumberFormat="1" applyFont="1"/>
    <xf numFmtId="3" fontId="8" fillId="0" borderId="0" xfId="1" applyNumberFormat="1" applyFont="1" applyBorder="1"/>
    <xf numFmtId="1" fontId="8" fillId="0" borderId="0" xfId="0" applyNumberFormat="1" applyFont="1" applyBorder="1" applyAlignment="1">
      <alignment horizontal="centerContinuous"/>
    </xf>
    <xf numFmtId="1" fontId="13" fillId="0" borderId="0" xfId="0" applyNumberFormat="1" applyFont="1" applyBorder="1" applyAlignment="1">
      <alignment horizontal="center"/>
    </xf>
    <xf numFmtId="166" fontId="23" fillId="0" borderId="0" xfId="58" applyFont="1"/>
    <xf numFmtId="164" fontId="13" fillId="0" borderId="4" xfId="11" applyNumberFormat="1" applyFont="1" applyBorder="1"/>
    <xf numFmtId="164" fontId="13" fillId="0" borderId="4" xfId="11" quotePrefix="1" applyNumberFormat="1" applyFont="1" applyBorder="1" applyAlignment="1">
      <alignment horizontal="right"/>
    </xf>
    <xf numFmtId="164" fontId="13" fillId="0" borderId="0" xfId="11" applyNumberFormat="1" applyFont="1" applyBorder="1" applyAlignment="1">
      <alignment horizontal="right"/>
    </xf>
    <xf numFmtId="1" fontId="27" fillId="0" borderId="0" xfId="0" applyNumberFormat="1" applyFont="1"/>
    <xf numFmtId="1" fontId="28" fillId="0" borderId="0" xfId="0" applyNumberFormat="1" applyFont="1"/>
    <xf numFmtId="1" fontId="29" fillId="0" borderId="0" xfId="0" applyNumberFormat="1" applyFont="1"/>
    <xf numFmtId="3" fontId="30" fillId="0" borderId="0" xfId="1" applyNumberFormat="1" applyFont="1"/>
    <xf numFmtId="3" fontId="28" fillId="0" borderId="0" xfId="0" applyNumberFormat="1" applyFont="1"/>
    <xf numFmtId="0" fontId="28" fillId="0" borderId="0" xfId="0" applyFont="1"/>
    <xf numFmtId="0" fontId="31" fillId="0" borderId="0" xfId="0" applyFont="1"/>
    <xf numFmtId="0" fontId="28" fillId="0" borderId="0" xfId="0" applyFont="1" applyAlignment="1">
      <alignment horizontal="left"/>
    </xf>
    <xf numFmtId="0" fontId="32" fillId="0" borderId="0" xfId="0" applyFont="1"/>
    <xf numFmtId="0" fontId="27" fillId="0" borderId="0" xfId="0" applyFont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/>
    <xf numFmtId="3" fontId="14" fillId="0" borderId="4" xfId="1" applyNumberFormat="1" applyFont="1" applyBorder="1" applyAlignment="1"/>
    <xf numFmtId="164" fontId="14" fillId="0" borderId="2" xfId="11" applyNumberFormat="1" applyFont="1" applyBorder="1" applyAlignment="1"/>
    <xf numFmtId="1" fontId="37" fillId="0" borderId="0" xfId="0" applyNumberFormat="1" applyFont="1"/>
    <xf numFmtId="3" fontId="14" fillId="0" borderId="0" xfId="0" quotePrefix="1" applyNumberFormat="1" applyFont="1" applyBorder="1" applyAlignment="1">
      <alignment horizontal="right"/>
    </xf>
    <xf numFmtId="164" fontId="8" fillId="0" borderId="4" xfId="12" applyFont="1" applyBorder="1"/>
    <xf numFmtId="164" fontId="14" fillId="0" borderId="4" xfId="11" applyNumberFormat="1" applyFont="1" applyBorder="1" applyAlignment="1"/>
    <xf numFmtId="3" fontId="8" fillId="0" borderId="0" xfId="1" applyNumberFormat="1" applyFont="1" applyAlignment="1">
      <alignment horizontal="right"/>
    </xf>
    <xf numFmtId="3" fontId="27" fillId="0" borderId="0" xfId="1" applyNumberFormat="1" applyFont="1"/>
    <xf numFmtId="164" fontId="8" fillId="0" borderId="8" xfId="0" applyNumberFormat="1" applyFont="1" applyBorder="1"/>
    <xf numFmtId="164" fontId="13" fillId="0" borderId="4" xfId="11" applyNumberFormat="1" applyFont="1" applyBorder="1" applyAlignment="1">
      <alignment horizontal="right"/>
    </xf>
    <xf numFmtId="164" fontId="8" fillId="0" borderId="7" xfId="0" applyNumberFormat="1" applyFont="1" applyBorder="1"/>
    <xf numFmtId="3" fontId="14" fillId="0" borderId="0" xfId="1" applyNumberFormat="1" applyFont="1" applyBorder="1" applyAlignment="1"/>
    <xf numFmtId="164" fontId="13" fillId="0" borderId="8" xfId="11" quotePrefix="1" applyNumberFormat="1" applyFont="1" applyBorder="1" applyAlignment="1">
      <alignment horizontal="right"/>
    </xf>
    <xf numFmtId="164" fontId="13" fillId="0" borderId="8" xfId="11" applyNumberFormat="1" applyFont="1" applyBorder="1"/>
    <xf numFmtId="164" fontId="14" fillId="0" borderId="8" xfId="11" applyNumberFormat="1" applyFont="1" applyBorder="1" applyAlignment="1"/>
    <xf numFmtId="3" fontId="13" fillId="0" borderId="4" xfId="1" applyNumberFormat="1" applyFont="1" applyBorder="1"/>
    <xf numFmtId="3" fontId="8" fillId="0" borderId="8" xfId="0" applyNumberFormat="1" applyFont="1" applyBorder="1"/>
    <xf numFmtId="3" fontId="8" fillId="0" borderId="4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1" fontId="13" fillId="0" borderId="0" xfId="0" applyNumberFormat="1" applyFont="1" applyBorder="1" applyAlignment="1">
      <alignment horizontal="right"/>
    </xf>
    <xf numFmtId="3" fontId="27" fillId="0" borderId="0" xfId="1" applyNumberFormat="1" applyFont="1" applyBorder="1"/>
    <xf numFmtId="1" fontId="13" fillId="0" borderId="4" xfId="0" applyNumberFormat="1" applyFont="1" applyBorder="1"/>
    <xf numFmtId="166" fontId="37" fillId="0" borderId="0" xfId="58" applyFont="1"/>
    <xf numFmtId="3" fontId="13" fillId="0" borderId="0" xfId="2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/>
    <xf numFmtId="166" fontId="13" fillId="0" borderId="0" xfId="58" applyFont="1"/>
    <xf numFmtId="0" fontId="37" fillId="0" borderId="0" xfId="0" applyFont="1"/>
    <xf numFmtId="0" fontId="38" fillId="0" borderId="0" xfId="0" applyFont="1"/>
    <xf numFmtId="1" fontId="14" fillId="0" borderId="0" xfId="0" applyNumberFormat="1" applyFont="1"/>
    <xf numFmtId="1" fontId="14" fillId="0" borderId="0" xfId="0" applyNumberFormat="1" applyFont="1" applyAlignment="1">
      <alignment horizontal="right"/>
    </xf>
    <xf numFmtId="0" fontId="32" fillId="0" borderId="0" xfId="0" applyFont="1" applyBorder="1"/>
    <xf numFmtId="3" fontId="13" fillId="0" borderId="0" xfId="1" applyNumberFormat="1" applyFont="1" applyAlignment="1"/>
    <xf numFmtId="0" fontId="40" fillId="0" borderId="0" xfId="0" applyFont="1" applyAlignment="1">
      <alignment horizontal="left"/>
    </xf>
    <xf numFmtId="166" fontId="28" fillId="0" borderId="0" xfId="58" applyFont="1"/>
    <xf numFmtId="1" fontId="30" fillId="0" borderId="0" xfId="0" applyNumberFormat="1" applyFont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left"/>
    </xf>
    <xf numFmtId="0" fontId="41" fillId="0" borderId="0" xfId="0" applyFont="1"/>
    <xf numFmtId="166" fontId="27" fillId="0" borderId="0" xfId="58" applyFont="1"/>
    <xf numFmtId="3" fontId="14" fillId="0" borderId="0" xfId="1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164" fontId="14" fillId="0" borderId="0" xfId="11" applyNumberFormat="1" applyFont="1" applyBorder="1" applyAlignment="1"/>
    <xf numFmtId="168" fontId="14" fillId="0" borderId="0" xfId="1" applyNumberFormat="1" applyFont="1" applyBorder="1" applyAlignment="1"/>
    <xf numFmtId="168" fontId="13" fillId="0" borderId="0" xfId="1" applyNumberFormat="1" applyFont="1" applyBorder="1" applyAlignment="1"/>
    <xf numFmtId="3" fontId="14" fillId="0" borderId="4" xfId="0" applyNumberFormat="1" applyFont="1" applyBorder="1"/>
    <xf numFmtId="3" fontId="14" fillId="0" borderId="0" xfId="1" applyNumberFormat="1" applyFont="1" applyAlignment="1">
      <alignment horizontal="center"/>
    </xf>
    <xf numFmtId="3" fontId="8" fillId="0" borderId="0" xfId="12" applyNumberFormat="1" applyFont="1"/>
    <xf numFmtId="3" fontId="13" fillId="0" borderId="0" xfId="11" applyNumberFormat="1" applyFont="1"/>
    <xf numFmtId="1" fontId="14" fillId="0" borderId="0" xfId="0" applyNumberFormat="1" applyFont="1" applyBorder="1"/>
    <xf numFmtId="3" fontId="37" fillId="0" borderId="0" xfId="1" applyNumberFormat="1" applyFont="1"/>
    <xf numFmtId="3" fontId="27" fillId="0" borderId="0" xfId="0" applyNumberFormat="1" applyFont="1"/>
    <xf numFmtId="1" fontId="30" fillId="0" borderId="0" xfId="0" applyNumberFormat="1" applyFont="1" applyBorder="1" applyAlignment="1">
      <alignment horizontal="right"/>
    </xf>
    <xf numFmtId="3" fontId="27" fillId="0" borderId="0" xfId="0" applyNumberFormat="1" applyFont="1" applyBorder="1"/>
    <xf numFmtId="1" fontId="0" fillId="0" borderId="0" xfId="0" applyNumberFormat="1" applyFill="1"/>
    <xf numFmtId="1" fontId="7" fillId="0" borderId="0" xfId="0" applyNumberFormat="1" applyFont="1" applyFill="1"/>
    <xf numFmtId="1" fontId="8" fillId="0" borderId="0" xfId="0" applyNumberFormat="1" applyFont="1" applyFill="1"/>
    <xf numFmtId="1" fontId="13" fillId="0" borderId="0" xfId="0" applyNumberFormat="1" applyFont="1" applyFill="1"/>
    <xf numFmtId="0" fontId="28" fillId="0" borderId="0" xfId="0" applyFont="1" applyFill="1"/>
    <xf numFmtId="1" fontId="7" fillId="0" borderId="0" xfId="0" applyNumberFormat="1" applyFont="1" applyFill="1" applyAlignment="1">
      <alignment horizontal="right"/>
    </xf>
    <xf numFmtId="1" fontId="27" fillId="0" borderId="0" xfId="0" applyNumberFormat="1" applyFont="1" applyBorder="1"/>
    <xf numFmtId="3" fontId="27" fillId="0" borderId="0" xfId="0" applyNumberFormat="1" applyFont="1" applyFill="1"/>
    <xf numFmtId="1" fontId="23" fillId="0" borderId="0" xfId="0" applyNumberFormat="1" applyFont="1" applyBorder="1"/>
    <xf numFmtId="1" fontId="30" fillId="0" borderId="0" xfId="0" applyNumberFormat="1" applyFont="1"/>
    <xf numFmtId="1" fontId="30" fillId="0" borderId="0" xfId="0" applyNumberFormat="1" applyFont="1" applyBorder="1"/>
    <xf numFmtId="3" fontId="7" fillId="0" borderId="0" xfId="1" applyNumberFormat="1" applyFont="1"/>
    <xf numFmtId="3" fontId="7" fillId="0" borderId="0" xfId="1" applyNumberFormat="1" applyFont="1" applyAlignment="1">
      <alignment horizontal="centerContinuous"/>
    </xf>
    <xf numFmtId="3" fontId="14" fillId="0" borderId="2" xfId="1" applyNumberFormat="1" applyFont="1" applyBorder="1" applyAlignment="1"/>
    <xf numFmtId="3" fontId="14" fillId="0" borderId="4" xfId="1" applyNumberFormat="1" applyFont="1" applyBorder="1" applyAlignment="1">
      <alignment horizontal="right"/>
    </xf>
    <xf numFmtId="166" fontId="14" fillId="2" borderId="0" xfId="58" applyFont="1" applyFill="1" applyBorder="1" applyAlignment="1"/>
    <xf numFmtId="3" fontId="13" fillId="0" borderId="0" xfId="0" applyNumberFormat="1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1" fontId="43" fillId="0" borderId="0" xfId="0" applyNumberFormat="1" applyFont="1"/>
    <xf numFmtId="1" fontId="43" fillId="0" borderId="0" xfId="0" applyNumberFormat="1" applyFont="1" applyBorder="1"/>
    <xf numFmtId="1" fontId="44" fillId="0" borderId="0" xfId="0" applyNumberFormat="1" applyFont="1"/>
    <xf numFmtId="166" fontId="44" fillId="0" borderId="0" xfId="58" applyFont="1"/>
    <xf numFmtId="1" fontId="44" fillId="0" borderId="0" xfId="0" applyNumberFormat="1" applyFont="1" applyBorder="1"/>
    <xf numFmtId="3" fontId="44" fillId="2" borderId="0" xfId="0" applyNumberFormat="1" applyFont="1" applyFill="1" applyBorder="1" applyAlignment="1">
      <alignment horizontal="right"/>
    </xf>
    <xf numFmtId="3" fontId="44" fillId="0" borderId="0" xfId="0" applyNumberFormat="1" applyFont="1" applyBorder="1" applyAlignment="1">
      <alignment horizontal="right"/>
    </xf>
    <xf numFmtId="1" fontId="44" fillId="0" borderId="0" xfId="0" applyNumberFormat="1" applyFont="1" applyAlignment="1">
      <alignment horizontal="right"/>
    </xf>
    <xf numFmtId="164" fontId="44" fillId="0" borderId="0" xfId="0" applyNumberFormat="1" applyFont="1" applyAlignment="1">
      <alignment horizontal="right"/>
    </xf>
    <xf numFmtId="3" fontId="43" fillId="0" borderId="0" xfId="1" applyNumberFormat="1" applyFont="1"/>
    <xf numFmtId="164" fontId="14" fillId="0" borderId="4" xfId="12" applyFont="1" applyBorder="1"/>
    <xf numFmtId="1" fontId="45" fillId="0" borderId="0" xfId="0" applyNumberFormat="1" applyFont="1"/>
    <xf numFmtId="0" fontId="14" fillId="0" borderId="0" xfId="0" applyFont="1" applyAlignment="1">
      <alignment horizontal="right"/>
    </xf>
    <xf numFmtId="167" fontId="14" fillId="0" borderId="4" xfId="0" applyNumberFormat="1" applyFont="1" applyBorder="1"/>
    <xf numFmtId="3" fontId="14" fillId="0" borderId="0" xfId="2" applyFont="1" applyBorder="1" applyAlignment="1">
      <alignment horizontal="right"/>
    </xf>
    <xf numFmtId="3" fontId="14" fillId="0" borderId="2" xfId="1" applyNumberFormat="1" applyFont="1" applyBorder="1"/>
    <xf numFmtId="164" fontId="14" fillId="0" borderId="0" xfId="11" applyNumberFormat="1" applyFont="1" applyBorder="1"/>
    <xf numFmtId="166" fontId="14" fillId="0" borderId="0" xfId="0" applyNumberFormat="1" applyFont="1" applyAlignment="1">
      <alignment horizontal="right"/>
    </xf>
    <xf numFmtId="3" fontId="14" fillId="0" borderId="0" xfId="1" applyNumberFormat="1" applyFont="1" applyFill="1" applyBorder="1" applyAlignment="1">
      <alignment horizontal="right"/>
    </xf>
    <xf numFmtId="164" fontId="14" fillId="0" borderId="8" xfId="0" applyNumberFormat="1" applyFont="1" applyBorder="1"/>
    <xf numFmtId="1" fontId="45" fillId="0" borderId="0" xfId="0" applyNumberFormat="1" applyFont="1" applyBorder="1"/>
    <xf numFmtId="3" fontId="13" fillId="0" borderId="0" xfId="2" applyFont="1" applyFill="1" applyBorder="1" applyAlignment="1">
      <alignment horizontal="right"/>
    </xf>
    <xf numFmtId="1" fontId="14" fillId="0" borderId="0" xfId="0" applyNumberFormat="1" applyFont="1" applyFill="1"/>
    <xf numFmtId="164" fontId="14" fillId="0" borderId="4" xfId="11" applyNumberFormat="1" applyFont="1" applyBorder="1" applyAlignment="1">
      <alignment horizontal="right"/>
    </xf>
    <xf numFmtId="164" fontId="14" fillId="0" borderId="0" xfId="0" applyNumberFormat="1" applyFont="1" applyAlignment="1">
      <alignment horizontal="right"/>
    </xf>
    <xf numFmtId="164" fontId="14" fillId="0" borderId="0" xfId="11" applyNumberFormat="1" applyFont="1" applyAlignment="1">
      <alignment horizontal="right"/>
    </xf>
    <xf numFmtId="1" fontId="14" fillId="0" borderId="2" xfId="0" applyNumberFormat="1" applyFont="1" applyBorder="1" applyAlignment="1">
      <alignment horizontal="right"/>
    </xf>
    <xf numFmtId="164" fontId="14" fillId="0" borderId="7" xfId="0" applyNumberFormat="1" applyFont="1" applyBorder="1"/>
    <xf numFmtId="3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/>
    <xf numFmtId="3" fontId="14" fillId="0" borderId="0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right"/>
    </xf>
    <xf numFmtId="3" fontId="14" fillId="0" borderId="0" xfId="0" applyNumberFormat="1" applyFont="1" applyFill="1" applyAlignment="1">
      <alignment horizontal="right"/>
    </xf>
    <xf numFmtId="3" fontId="14" fillId="0" borderId="0" xfId="1" applyNumberFormat="1" applyFont="1" applyFill="1" applyAlignment="1">
      <alignment horizontal="right"/>
    </xf>
    <xf numFmtId="168" fontId="14" fillId="0" borderId="0" xfId="1" applyNumberFormat="1" applyFont="1" applyBorder="1" applyAlignment="1">
      <alignment horizontal="right"/>
    </xf>
    <xf numFmtId="168" fontId="14" fillId="0" borderId="0" xfId="1" applyNumberFormat="1" applyFont="1" applyFill="1" applyBorder="1" applyAlignment="1">
      <alignment horizontal="right"/>
    </xf>
    <xf numFmtId="1" fontId="14" fillId="0" borderId="0" xfId="11" applyNumberFormat="1" applyFont="1" applyBorder="1" applyAlignment="1"/>
    <xf numFmtId="3" fontId="44" fillId="0" borderId="0" xfId="1" applyNumberFormat="1" applyFont="1" applyAlignment="1">
      <alignment horizontal="right"/>
    </xf>
    <xf numFmtId="3" fontId="14" fillId="0" borderId="8" xfId="1" applyNumberFormat="1" applyFont="1" applyBorder="1" applyAlignment="1">
      <alignment horizontal="right"/>
    </xf>
    <xf numFmtId="1" fontId="14" fillId="0" borderId="2" xfId="11" applyNumberFormat="1" applyFont="1" applyBorder="1" applyAlignment="1"/>
    <xf numFmtId="1" fontId="14" fillId="0" borderId="0" xfId="11" applyNumberFormat="1" applyFont="1" applyBorder="1"/>
    <xf numFmtId="1" fontId="14" fillId="0" borderId="0" xfId="11" applyNumberFormat="1" applyFont="1"/>
    <xf numFmtId="164" fontId="14" fillId="0" borderId="2" xfId="11" applyNumberFormat="1" applyFont="1" applyBorder="1" applyAlignment="1">
      <alignment horizontal="right"/>
    </xf>
    <xf numFmtId="1" fontId="14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right"/>
    </xf>
    <xf numFmtId="1" fontId="46" fillId="0" borderId="0" xfId="0" applyNumberFormat="1" applyFont="1" applyFill="1" applyAlignment="1">
      <alignment horizontal="right"/>
    </xf>
    <xf numFmtId="3" fontId="46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3" fontId="13" fillId="0" borderId="4" xfId="0" applyNumberFormat="1" applyFont="1" applyBorder="1" applyAlignment="1">
      <alignment horizontal="right"/>
    </xf>
    <xf numFmtId="3" fontId="13" fillId="0" borderId="0" xfId="1" applyNumberFormat="1" applyFont="1" applyFill="1" applyAlignment="1">
      <alignment horizontal="right"/>
    </xf>
    <xf numFmtId="1" fontId="44" fillId="0" borderId="0" xfId="0" applyNumberFormat="1" applyFont="1" applyFill="1" applyAlignment="1">
      <alignment horizontal="right"/>
    </xf>
    <xf numFmtId="3" fontId="44" fillId="0" borderId="0" xfId="1" applyNumberFormat="1" applyFont="1" applyFill="1" applyAlignment="1">
      <alignment horizontal="right"/>
    </xf>
    <xf numFmtId="3" fontId="13" fillId="0" borderId="8" xfId="0" applyNumberFormat="1" applyFont="1" applyBorder="1" applyAlignment="1">
      <alignment horizontal="right"/>
    </xf>
    <xf numFmtId="1" fontId="43" fillId="0" borderId="0" xfId="0" applyNumberFormat="1" applyFont="1" applyAlignment="1">
      <alignment horizontal="right"/>
    </xf>
    <xf numFmtId="1" fontId="45" fillId="0" borderId="0" xfId="0" applyNumberFormat="1" applyFont="1" applyAlignment="1">
      <alignment horizontal="right"/>
    </xf>
    <xf numFmtId="168" fontId="14" fillId="0" borderId="0" xfId="0" applyNumberFormat="1" applyFont="1" applyBorder="1" applyAlignment="1">
      <alignment horizontal="right"/>
    </xf>
    <xf numFmtId="168" fontId="14" fillId="0" borderId="0" xfId="0" applyNumberFormat="1" applyFont="1" applyFill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NumberFormat="1" applyFont="1" applyAlignment="1">
      <alignment horizontal="right"/>
    </xf>
    <xf numFmtId="1" fontId="47" fillId="0" borderId="0" xfId="0" applyNumberFormat="1" applyFont="1" applyBorder="1"/>
    <xf numFmtId="1" fontId="48" fillId="0" borderId="0" xfId="0" applyNumberFormat="1" applyFont="1" applyBorder="1"/>
    <xf numFmtId="1" fontId="42" fillId="0" borderId="0" xfId="0" applyNumberFormat="1" applyFont="1" applyBorder="1"/>
    <xf numFmtId="1" fontId="8" fillId="0" borderId="5" xfId="0" applyNumberFormat="1" applyFont="1" applyBorder="1"/>
    <xf numFmtId="1" fontId="7" fillId="0" borderId="5" xfId="0" applyNumberFormat="1" applyFont="1" applyBorder="1"/>
    <xf numFmtId="1" fontId="23" fillId="0" borderId="5" xfId="0" applyNumberFormat="1" applyFont="1" applyBorder="1"/>
    <xf numFmtId="1" fontId="43" fillId="0" borderId="5" xfId="0" applyNumberFormat="1" applyFont="1" applyBorder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1" fontId="14" fillId="0" borderId="0" xfId="11" applyNumberFormat="1" applyFont="1" applyFill="1"/>
    <xf numFmtId="3" fontId="14" fillId="0" borderId="0" xfId="1" applyNumberFormat="1" applyFont="1" applyFill="1" applyBorder="1"/>
    <xf numFmtId="3" fontId="14" fillId="0" borderId="0" xfId="1" applyNumberFormat="1" applyFont="1" applyFill="1"/>
    <xf numFmtId="1" fontId="14" fillId="0" borderId="0" xfId="0" applyNumberFormat="1" applyFont="1" applyFill="1" applyBorder="1"/>
    <xf numFmtId="3" fontId="49" fillId="0" borderId="0" xfId="0" applyNumberFormat="1" applyFont="1" applyFill="1" applyAlignment="1">
      <alignment horizontal="right"/>
    </xf>
    <xf numFmtId="3" fontId="49" fillId="0" borderId="0" xfId="1" applyNumberFormat="1" applyFont="1" applyFill="1" applyAlignment="1">
      <alignment horizontal="right"/>
    </xf>
    <xf numFmtId="3" fontId="49" fillId="0" borderId="0" xfId="0" applyNumberFormat="1" applyFont="1" applyFill="1" applyBorder="1" applyAlignment="1">
      <alignment horizontal="right"/>
    </xf>
    <xf numFmtId="3" fontId="49" fillId="0" borderId="0" xfId="0" applyNumberFormat="1" applyFont="1" applyFill="1" applyBorder="1"/>
    <xf numFmtId="3" fontId="8" fillId="0" borderId="0" xfId="2" applyFont="1" applyFill="1" applyBorder="1" applyAlignment="1">
      <alignment horizontal="right"/>
    </xf>
    <xf numFmtId="3" fontId="8" fillId="0" borderId="0" xfId="2" applyFont="1" applyFill="1" applyBorder="1"/>
    <xf numFmtId="3" fontId="14" fillId="0" borderId="0" xfId="2" applyFont="1" applyFill="1" applyBorder="1" applyAlignment="1">
      <alignment horizontal="right"/>
    </xf>
    <xf numFmtId="1" fontId="49" fillId="0" borderId="0" xfId="0" applyNumberFormat="1" applyFont="1" applyFill="1"/>
    <xf numFmtId="164" fontId="14" fillId="0" borderId="4" xfId="11" applyNumberFormat="1" applyFont="1" applyFill="1" applyBorder="1" applyAlignment="1">
      <alignment horizontal="right"/>
    </xf>
    <xf numFmtId="164" fontId="14" fillId="0" borderId="0" xfId="11" applyNumberFormat="1" applyFont="1" applyFill="1"/>
    <xf numFmtId="3" fontId="49" fillId="0" borderId="0" xfId="1" applyNumberFormat="1" applyFont="1" applyFill="1"/>
    <xf numFmtId="1" fontId="52" fillId="0" borderId="0" xfId="0" applyNumberFormat="1" applyFont="1" applyAlignment="1">
      <alignment horizontal="right"/>
    </xf>
    <xf numFmtId="3" fontId="52" fillId="0" borderId="0" xfId="1" applyNumberFormat="1" applyFont="1" applyAlignment="1">
      <alignment horizontal="right"/>
    </xf>
    <xf numFmtId="0" fontId="27" fillId="0" borderId="0" xfId="0" quotePrefix="1" applyFont="1" applyAlignment="1">
      <alignment horizontal="left"/>
    </xf>
    <xf numFmtId="0" fontId="27" fillId="0" borderId="0" xfId="0" applyFont="1" applyFill="1"/>
    <xf numFmtId="4" fontId="27" fillId="0" borderId="0" xfId="1" applyFont="1"/>
    <xf numFmtId="0" fontId="27" fillId="0" borderId="0" xfId="0" applyFont="1" applyBorder="1"/>
    <xf numFmtId="1" fontId="31" fillId="0" borderId="0" xfId="0" applyNumberFormat="1" applyFont="1"/>
    <xf numFmtId="166" fontId="54" fillId="0" borderId="0" xfId="58" applyFont="1"/>
    <xf numFmtId="1" fontId="55" fillId="0" borderId="0" xfId="0" applyNumberFormat="1" applyFont="1"/>
    <xf numFmtId="1" fontId="56" fillId="0" borderId="0" xfId="0" applyNumberFormat="1" applyFont="1"/>
    <xf numFmtId="1" fontId="56" fillId="0" borderId="0" xfId="0" applyNumberFormat="1" applyFont="1" applyBorder="1"/>
    <xf numFmtId="1" fontId="54" fillId="0" borderId="0" xfId="0" applyNumberFormat="1" applyFont="1" applyBorder="1"/>
    <xf numFmtId="3" fontId="54" fillId="0" borderId="0" xfId="1" applyNumberFormat="1" applyFont="1"/>
    <xf numFmtId="1" fontId="54" fillId="0" borderId="0" xfId="0" applyNumberFormat="1" applyFont="1"/>
    <xf numFmtId="3" fontId="54" fillId="2" borderId="0" xfId="0" applyNumberFormat="1" applyFont="1" applyFill="1" applyBorder="1" applyAlignment="1">
      <alignment horizontal="right"/>
    </xf>
    <xf numFmtId="3" fontId="54" fillId="0" borderId="0" xfId="0" applyNumberFormat="1" applyFont="1" applyBorder="1" applyAlignment="1">
      <alignment horizontal="right"/>
    </xf>
    <xf numFmtId="3" fontId="54" fillId="0" borderId="0" xfId="1" applyNumberFormat="1" applyFont="1" applyAlignment="1">
      <alignment horizontal="right"/>
    </xf>
    <xf numFmtId="3" fontId="54" fillId="0" borderId="0" xfId="1" applyNumberFormat="1" applyFont="1" applyFill="1" applyAlignment="1">
      <alignment horizontal="right"/>
    </xf>
    <xf numFmtId="1" fontId="54" fillId="0" borderId="0" xfId="0" applyNumberFormat="1" applyFont="1" applyAlignment="1">
      <alignment horizontal="right"/>
    </xf>
    <xf numFmtId="1" fontId="54" fillId="0" borderId="0" xfId="0" applyNumberFormat="1" applyFont="1" applyFill="1" applyAlignment="1">
      <alignment horizontal="right"/>
    </xf>
    <xf numFmtId="164" fontId="5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centerContinuous"/>
    </xf>
    <xf numFmtId="3" fontId="52" fillId="0" borderId="0" xfId="1" applyNumberFormat="1" applyFont="1" applyFill="1" applyAlignment="1">
      <alignment horizontal="right"/>
    </xf>
    <xf numFmtId="3" fontId="52" fillId="0" borderId="0" xfId="0" applyNumberFormat="1" applyFont="1" applyFill="1" applyBorder="1" applyAlignment="1">
      <alignment horizontal="right"/>
    </xf>
    <xf numFmtId="1" fontId="52" fillId="0" borderId="0" xfId="0" applyNumberFormat="1" applyFont="1" applyFill="1" applyBorder="1"/>
    <xf numFmtId="1" fontId="52" fillId="0" borderId="0" xfId="0" applyNumberFormat="1" applyFont="1" applyBorder="1"/>
    <xf numFmtId="1" fontId="52" fillId="0" borderId="0" xfId="0" applyNumberFormat="1" applyFont="1"/>
    <xf numFmtId="1" fontId="59" fillId="0" borderId="0" xfId="0" applyNumberFormat="1" applyFont="1"/>
    <xf numFmtId="1" fontId="61" fillId="0" borderId="0" xfId="0" applyNumberFormat="1" applyFont="1" applyAlignment="1">
      <alignment horizontal="right"/>
    </xf>
    <xf numFmtId="3" fontId="62" fillId="0" borderId="0" xfId="1" applyNumberFormat="1" applyFont="1" applyBorder="1"/>
    <xf numFmtId="3" fontId="62" fillId="0" borderId="0" xfId="1" applyNumberFormat="1" applyFont="1"/>
    <xf numFmtId="1" fontId="62" fillId="0" borderId="0" xfId="0" applyNumberFormat="1" applyFont="1" applyBorder="1"/>
    <xf numFmtId="3" fontId="62" fillId="0" borderId="0" xfId="0" applyNumberFormat="1" applyFont="1" applyBorder="1" applyAlignment="1">
      <alignment horizontal="right"/>
    </xf>
    <xf numFmtId="1" fontId="62" fillId="0" borderId="0" xfId="0" applyNumberFormat="1" applyFont="1"/>
    <xf numFmtId="164" fontId="62" fillId="0" borderId="0" xfId="0" applyNumberFormat="1" applyFont="1" applyAlignment="1">
      <alignment horizontal="right"/>
    </xf>
    <xf numFmtId="166" fontId="62" fillId="0" borderId="0" xfId="58" applyFont="1"/>
    <xf numFmtId="1" fontId="64" fillId="0" borderId="0" xfId="0" applyNumberFormat="1" applyFont="1"/>
    <xf numFmtId="1" fontId="57" fillId="0" borderId="0" xfId="0" applyNumberFormat="1" applyFont="1"/>
    <xf numFmtId="3" fontId="14" fillId="0" borderId="0" xfId="1" applyNumberFormat="1" applyFont="1" applyBorder="1" applyAlignment="1"/>
    <xf numFmtId="3" fontId="8" fillId="0" borderId="0" xfId="2" applyFont="1"/>
    <xf numFmtId="3" fontId="14" fillId="0" borderId="0" xfId="1" applyNumberFormat="1" applyFont="1" applyBorder="1"/>
    <xf numFmtId="3" fontId="54" fillId="0" borderId="0" xfId="1" applyNumberFormat="1" applyFont="1" applyBorder="1"/>
    <xf numFmtId="3" fontId="8" fillId="0" borderId="0" xfId="2" applyFont="1"/>
    <xf numFmtId="3" fontId="8" fillId="0" borderId="0" xfId="1" applyNumberFormat="1" applyFont="1" applyBorder="1" applyAlignment="1">
      <alignment horizontal="right"/>
    </xf>
    <xf numFmtId="3" fontId="14" fillId="0" borderId="0" xfId="1" applyNumberFormat="1" applyFont="1" applyAlignment="1">
      <alignment horizontal="right"/>
    </xf>
    <xf numFmtId="3" fontId="14" fillId="0" borderId="0" xfId="1" applyNumberFormat="1" applyFont="1" applyAlignment="1"/>
    <xf numFmtId="3" fontId="14" fillId="0" borderId="0" xfId="1" applyNumberFormat="1" applyFont="1" applyFill="1" applyAlignment="1">
      <alignment horizontal="right"/>
    </xf>
    <xf numFmtId="1" fontId="14" fillId="0" borderId="0" xfId="11" applyNumberFormat="1" applyFont="1" applyAlignment="1"/>
    <xf numFmtId="3" fontId="14" fillId="0" borderId="0" xfId="1" applyNumberFormat="1" applyFont="1" applyAlignment="1">
      <alignment horizontal="right"/>
    </xf>
    <xf numFmtId="168" fontId="14" fillId="0" borderId="0" xfId="1" applyNumberFormat="1" applyFont="1" applyBorder="1"/>
    <xf numFmtId="3" fontId="14" fillId="0" borderId="0" xfId="1" applyNumberFormat="1" applyFont="1" applyBorder="1"/>
    <xf numFmtId="166" fontId="37" fillId="0" borderId="0" xfId="58" applyFont="1"/>
    <xf numFmtId="3" fontId="14" fillId="0" borderId="0" xfId="1" applyNumberFormat="1" applyFont="1" applyFill="1" applyAlignment="1">
      <alignment horizontal="right"/>
    </xf>
    <xf numFmtId="168" fontId="14" fillId="0" borderId="0" xfId="1" applyNumberFormat="1" applyFont="1" applyFill="1" applyBorder="1" applyAlignment="1">
      <alignment horizontal="right"/>
    </xf>
    <xf numFmtId="3" fontId="46" fillId="0" borderId="0" xfId="1" applyNumberFormat="1" applyFont="1" applyFill="1" applyAlignment="1">
      <alignment horizontal="right"/>
    </xf>
    <xf numFmtId="3" fontId="14" fillId="0" borderId="8" xfId="1" applyNumberFormat="1" applyFont="1" applyFill="1" applyBorder="1" applyAlignment="1">
      <alignment horizontal="right"/>
    </xf>
    <xf numFmtId="166" fontId="30" fillId="0" borderId="0" xfId="58" applyFont="1"/>
    <xf numFmtId="164" fontId="14" fillId="0" borderId="0" xfId="11" applyNumberFormat="1" applyFont="1" applyBorder="1" applyAlignment="1">
      <alignment horizontal="right"/>
    </xf>
    <xf numFmtId="9" fontId="27" fillId="0" borderId="0" xfId="58" applyNumberFormat="1" applyFont="1"/>
    <xf numFmtId="3" fontId="64" fillId="0" borderId="0" xfId="0" applyNumberFormat="1" applyFont="1"/>
    <xf numFmtId="1" fontId="65" fillId="0" borderId="0" xfId="0" applyNumberFormat="1" applyFont="1"/>
    <xf numFmtId="1" fontId="65" fillId="0" borderId="0" xfId="0" applyNumberFormat="1" applyFont="1" applyBorder="1"/>
    <xf numFmtId="1" fontId="61" fillId="0" borderId="0" xfId="0" applyNumberFormat="1" applyFont="1" applyBorder="1"/>
    <xf numFmtId="1" fontId="65" fillId="0" borderId="5" xfId="0" applyNumberFormat="1" applyFont="1" applyBorder="1"/>
    <xf numFmtId="164" fontId="52" fillId="0" borderId="0" xfId="11" applyNumberFormat="1" applyFont="1" applyBorder="1"/>
    <xf numFmtId="3" fontId="52" fillId="0" borderId="0" xfId="1" applyNumberFormat="1" applyFont="1"/>
    <xf numFmtId="3" fontId="52" fillId="0" borderId="0" xfId="1" applyNumberFormat="1" applyFont="1" applyBorder="1"/>
    <xf numFmtId="164" fontId="52" fillId="0" borderId="4" xfId="12" applyFont="1" applyBorder="1"/>
    <xf numFmtId="0" fontId="52" fillId="0" borderId="0" xfId="0" applyFont="1" applyBorder="1"/>
    <xf numFmtId="0" fontId="52" fillId="2" borderId="2" xfId="0" applyFont="1" applyFill="1" applyBorder="1" applyAlignment="1">
      <alignment horizontal="right"/>
    </xf>
    <xf numFmtId="167" fontId="52" fillId="0" borderId="4" xfId="0" applyNumberFormat="1" applyFont="1" applyBorder="1"/>
    <xf numFmtId="3" fontId="52" fillId="0" borderId="0" xfId="2" applyFont="1" applyBorder="1" applyAlignment="1">
      <alignment horizontal="right"/>
    </xf>
    <xf numFmtId="3" fontId="52" fillId="2" borderId="0" xfId="0" applyNumberFormat="1" applyFont="1" applyFill="1" applyBorder="1" applyAlignment="1">
      <alignment horizontal="right"/>
    </xf>
    <xf numFmtId="3" fontId="52" fillId="0" borderId="0" xfId="0" applyNumberFormat="1" applyFont="1" applyBorder="1" applyAlignment="1">
      <alignment horizontal="right"/>
    </xf>
    <xf numFmtId="3" fontId="52" fillId="0" borderId="0" xfId="1" applyNumberFormat="1" applyFont="1" applyBorder="1" applyAlignment="1"/>
    <xf numFmtId="3" fontId="52" fillId="0" borderId="0" xfId="1" applyNumberFormat="1" applyFont="1" applyFill="1"/>
    <xf numFmtId="3" fontId="52" fillId="0" borderId="0" xfId="0" applyNumberFormat="1" applyFont="1"/>
    <xf numFmtId="3" fontId="52" fillId="0" borderId="0" xfId="0" applyNumberFormat="1" applyFont="1" applyAlignment="1">
      <alignment horizontal="right"/>
    </xf>
    <xf numFmtId="3" fontId="52" fillId="0" borderId="0" xfId="1" applyNumberFormat="1" applyFont="1" applyFill="1" applyBorder="1"/>
    <xf numFmtId="164" fontId="52" fillId="0" borderId="8" xfId="0" applyNumberFormat="1" applyFont="1" applyBorder="1"/>
    <xf numFmtId="1" fontId="60" fillId="0" borderId="0" xfId="0" applyNumberFormat="1" applyFont="1" applyAlignment="1">
      <alignment horizontal="right"/>
    </xf>
    <xf numFmtId="1" fontId="60" fillId="0" borderId="0" xfId="0" applyNumberFormat="1" applyFont="1"/>
    <xf numFmtId="1" fontId="52" fillId="0" borderId="0" xfId="0" applyNumberFormat="1" applyFont="1" applyFill="1"/>
    <xf numFmtId="3" fontId="52" fillId="0" borderId="0" xfId="2" applyFont="1" applyFill="1" applyBorder="1" applyAlignment="1">
      <alignment horizontal="right"/>
    </xf>
    <xf numFmtId="164" fontId="52" fillId="0" borderId="4" xfId="11" applyNumberFormat="1" applyFont="1" applyFill="1" applyBorder="1" applyAlignment="1">
      <alignment horizontal="right"/>
    </xf>
    <xf numFmtId="164" fontId="52" fillId="0" borderId="4" xfId="11" applyNumberFormat="1" applyFont="1" applyBorder="1" applyAlignment="1">
      <alignment horizontal="right"/>
    </xf>
    <xf numFmtId="0" fontId="52" fillId="0" borderId="0" xfId="0" applyFont="1"/>
    <xf numFmtId="1" fontId="52" fillId="0" borderId="0" xfId="0" applyNumberFormat="1" applyFont="1" applyFill="1" applyAlignment="1">
      <alignment horizontal="right"/>
    </xf>
    <xf numFmtId="164" fontId="52" fillId="0" borderId="0" xfId="0" applyNumberFormat="1" applyFont="1" applyAlignment="1">
      <alignment horizontal="right"/>
    </xf>
    <xf numFmtId="164" fontId="52" fillId="0" borderId="0" xfId="11" applyNumberFormat="1" applyFont="1" applyFill="1"/>
    <xf numFmtId="164" fontId="52" fillId="0" borderId="0" xfId="11" applyNumberFormat="1" applyFont="1" applyAlignment="1">
      <alignment horizontal="right"/>
    </xf>
    <xf numFmtId="3" fontId="65" fillId="0" borderId="0" xfId="1" applyNumberFormat="1" applyFont="1"/>
    <xf numFmtId="1" fontId="52" fillId="0" borderId="0" xfId="0" applyNumberFormat="1" applyFont="1" applyBorder="1" applyAlignment="1">
      <alignment horizontal="right"/>
    </xf>
    <xf numFmtId="164" fontId="52" fillId="0" borderId="7" xfId="0" applyNumberFormat="1" applyFont="1" applyBorder="1"/>
    <xf numFmtId="166" fontId="52" fillId="0" borderId="0" xfId="58" applyFont="1"/>
    <xf numFmtId="9" fontId="60" fillId="0" borderId="0" xfId="58" applyNumberFormat="1" applyFont="1"/>
    <xf numFmtId="1" fontId="56" fillId="0" borderId="5" xfId="0" applyNumberFormat="1" applyFont="1" applyBorder="1"/>
    <xf numFmtId="3" fontId="62" fillId="2" borderId="0" xfId="0" applyNumberFormat="1" applyFont="1" applyFill="1" applyBorder="1" applyAlignment="1">
      <alignment horizontal="right"/>
    </xf>
    <xf numFmtId="164" fontId="62" fillId="0" borderId="0" xfId="0" applyNumberFormat="1" applyFont="1"/>
    <xf numFmtId="9" fontId="63" fillId="0" borderId="0" xfId="58" applyNumberFormat="1" applyFont="1"/>
    <xf numFmtId="3" fontId="52" fillId="0" borderId="4" xfId="0" applyNumberFormat="1" applyFont="1" applyBorder="1" applyAlignment="1">
      <alignment horizontal="right"/>
    </xf>
    <xf numFmtId="3" fontId="52" fillId="0" borderId="4" xfId="0" applyNumberFormat="1" applyFont="1" applyFill="1" applyBorder="1" applyAlignment="1">
      <alignment horizontal="right"/>
    </xf>
    <xf numFmtId="166" fontId="52" fillId="0" borderId="0" xfId="0" applyNumberFormat="1" applyFont="1" applyAlignment="1">
      <alignment horizontal="right"/>
    </xf>
    <xf numFmtId="3" fontId="52" fillId="0" borderId="8" xfId="0" applyNumberFormat="1" applyFont="1" applyBorder="1" applyAlignment="1">
      <alignment horizontal="right"/>
    </xf>
    <xf numFmtId="3" fontId="52" fillId="0" borderId="4" xfId="1" applyNumberFormat="1" applyFont="1" applyBorder="1" applyAlignment="1">
      <alignment horizontal="right"/>
    </xf>
    <xf numFmtId="3" fontId="52" fillId="0" borderId="8" xfId="1" applyNumberFormat="1" applyFont="1" applyBorder="1" applyAlignment="1">
      <alignment horizontal="right"/>
    </xf>
    <xf numFmtId="3" fontId="52" fillId="0" borderId="8" xfId="0" applyNumberFormat="1" applyFont="1" applyBorder="1"/>
    <xf numFmtId="3" fontId="52" fillId="0" borderId="0" xfId="1" applyNumberFormat="1" applyFont="1" applyFill="1" applyBorder="1" applyAlignment="1">
      <alignment horizontal="right"/>
    </xf>
    <xf numFmtId="1" fontId="57" fillId="0" borderId="0" xfId="0" applyNumberFormat="1" applyFont="1" applyFill="1"/>
    <xf numFmtId="164" fontId="0" fillId="0" borderId="0" xfId="0" applyNumberFormat="1" applyFill="1"/>
    <xf numFmtId="0" fontId="32" fillId="0" borderId="0" xfId="0" applyFont="1" applyFill="1"/>
    <xf numFmtId="164" fontId="8" fillId="0" borderId="4" xfId="12" applyFont="1" applyFill="1" applyBorder="1"/>
    <xf numFmtId="164" fontId="14" fillId="0" borderId="4" xfId="12" applyFont="1" applyFill="1" applyBorder="1"/>
    <xf numFmtId="164" fontId="52" fillId="0" borderId="4" xfId="12" applyFont="1" applyFill="1" applyBorder="1"/>
    <xf numFmtId="164" fontId="8" fillId="0" borderId="8" xfId="0" applyNumberFormat="1" applyFont="1" applyFill="1" applyBorder="1"/>
    <xf numFmtId="164" fontId="52" fillId="0" borderId="8" xfId="0" applyNumberFormat="1" applyFont="1" applyFill="1" applyBorder="1"/>
    <xf numFmtId="0" fontId="33" fillId="0" borderId="0" xfId="0" applyFont="1" applyFill="1"/>
    <xf numFmtId="164" fontId="14" fillId="0" borderId="8" xfId="0" applyNumberFormat="1" applyFont="1" applyFill="1" applyBorder="1"/>
    <xf numFmtId="164" fontId="14" fillId="0" borderId="8" xfId="11" applyNumberFormat="1" applyFont="1" applyFill="1" applyBorder="1"/>
    <xf numFmtId="164" fontId="52" fillId="0" borderId="8" xfId="11" applyNumberFormat="1" applyFont="1" applyFill="1" applyBorder="1"/>
    <xf numFmtId="164" fontId="14" fillId="0" borderId="8" xfId="0" applyNumberFormat="1" applyFont="1" applyFill="1" applyBorder="1" applyAlignment="1">
      <alignment horizontal="right"/>
    </xf>
    <xf numFmtId="164" fontId="52" fillId="0" borderId="0" xfId="11" applyNumberFormat="1" applyFont="1" applyAlignment="1"/>
    <xf numFmtId="3" fontId="52" fillId="0" borderId="0" xfId="1" applyNumberFormat="1" applyFont="1" applyAlignment="1"/>
    <xf numFmtId="164" fontId="52" fillId="0" borderId="4" xfId="11" applyNumberFormat="1" applyFont="1" applyBorder="1" applyAlignment="1"/>
    <xf numFmtId="166" fontId="52" fillId="0" borderId="0" xfId="58" applyFont="1" applyAlignment="1">
      <alignment horizontal="right"/>
    </xf>
    <xf numFmtId="1" fontId="52" fillId="0" borderId="0" xfId="11" applyNumberFormat="1" applyFont="1" applyAlignment="1"/>
    <xf numFmtId="0" fontId="52" fillId="2" borderId="0" xfId="0" applyFont="1" applyFill="1" applyAlignment="1">
      <alignment horizontal="right"/>
    </xf>
    <xf numFmtId="166" fontId="52" fillId="0" borderId="0" xfId="58" applyFont="1" applyFill="1"/>
    <xf numFmtId="166" fontId="52" fillId="0" borderId="0" xfId="58" applyFont="1" applyAlignment="1">
      <alignment horizontal="center"/>
    </xf>
    <xf numFmtId="0" fontId="52" fillId="0" borderId="0" xfId="11" applyNumberFormat="1" applyFont="1" applyAlignment="1">
      <alignment horizontal="right"/>
    </xf>
    <xf numFmtId="0" fontId="60" fillId="0" borderId="0" xfId="0" applyFont="1"/>
    <xf numFmtId="3" fontId="52" fillId="0" borderId="0" xfId="2" applyFont="1"/>
    <xf numFmtId="3" fontId="65" fillId="0" borderId="0" xfId="0" applyNumberFormat="1" applyFont="1"/>
    <xf numFmtId="1" fontId="65" fillId="0" borderId="0" xfId="0" applyNumberFormat="1" applyFont="1" applyAlignment="1">
      <alignment horizontal="right"/>
    </xf>
    <xf numFmtId="3" fontId="52" fillId="0" borderId="0" xfId="0" applyNumberFormat="1" applyFont="1" applyFill="1" applyAlignment="1">
      <alignment horizontal="right"/>
    </xf>
    <xf numFmtId="1" fontId="60" fillId="0" borderId="0" xfId="0" applyNumberFormat="1" applyFont="1" applyBorder="1" applyAlignment="1"/>
    <xf numFmtId="1" fontId="65" fillId="0" borderId="3" xfId="0" applyNumberFormat="1" applyFont="1" applyBorder="1"/>
    <xf numFmtId="164" fontId="52" fillId="0" borderId="8" xfId="11" applyNumberFormat="1" applyFont="1" applyBorder="1" applyAlignment="1"/>
    <xf numFmtId="164" fontId="52" fillId="0" borderId="0" xfId="11" quotePrefix="1" applyNumberFormat="1" applyFont="1" applyAlignment="1">
      <alignment horizontal="right"/>
    </xf>
    <xf numFmtId="164" fontId="52" fillId="0" borderId="8" xfId="11" applyNumberFormat="1" applyFont="1" applyBorder="1" applyAlignment="1">
      <alignment horizontal="right"/>
    </xf>
    <xf numFmtId="164" fontId="52" fillId="0" borderId="0" xfId="0" applyNumberFormat="1" applyFont="1"/>
    <xf numFmtId="164" fontId="52" fillId="0" borderId="2" xfId="11" applyNumberFormat="1" applyFont="1" applyBorder="1" applyAlignment="1">
      <alignment horizontal="right"/>
    </xf>
    <xf numFmtId="164" fontId="52" fillId="0" borderId="5" xfId="11" applyNumberFormat="1" applyFont="1" applyBorder="1" applyAlignment="1"/>
    <xf numFmtId="164" fontId="52" fillId="0" borderId="6" xfId="11" applyNumberFormat="1" applyFont="1" applyBorder="1" applyAlignment="1"/>
    <xf numFmtId="166" fontId="60" fillId="0" borderId="0" xfId="58" applyFont="1"/>
    <xf numFmtId="1" fontId="65" fillId="0" borderId="0" xfId="0" applyNumberFormat="1" applyFont="1" applyFill="1"/>
    <xf numFmtId="1" fontId="60" fillId="0" borderId="0" xfId="0" applyNumberFormat="1" applyFont="1" applyFill="1"/>
    <xf numFmtId="166" fontId="60" fillId="0" borderId="0" xfId="58" applyFont="1" applyFill="1"/>
    <xf numFmtId="1" fontId="66" fillId="0" borderId="0" xfId="0" applyNumberFormat="1" applyFont="1"/>
    <xf numFmtId="1" fontId="8" fillId="0" borderId="4" xfId="0" applyNumberFormat="1" applyFont="1" applyBorder="1" applyAlignment="1">
      <alignment horizontal="right"/>
    </xf>
    <xf numFmtId="164" fontId="8" fillId="0" borderId="4" xfId="11" applyNumberFormat="1" applyFont="1" applyBorder="1" applyAlignment="1">
      <alignment horizontal="right"/>
    </xf>
    <xf numFmtId="164" fontId="52" fillId="0" borderId="0" xfId="11" applyNumberFormat="1" applyFont="1"/>
    <xf numFmtId="3" fontId="8" fillId="0" borderId="4" xfId="1" quotePrefix="1" applyNumberFormat="1" applyFont="1" applyBorder="1" applyAlignment="1">
      <alignment horizontal="right"/>
    </xf>
    <xf numFmtId="1" fontId="0" fillId="0" borderId="5" xfId="0" applyNumberFormat="1" applyBorder="1"/>
    <xf numFmtId="164" fontId="52" fillId="0" borderId="0" xfId="11" applyNumberFormat="1" applyFont="1" applyBorder="1" applyAlignment="1"/>
    <xf numFmtId="7" fontId="13" fillId="0" borderId="0" xfId="11" quotePrefix="1" applyNumberFormat="1" applyFont="1" applyAlignment="1">
      <alignment horizontal="right"/>
    </xf>
    <xf numFmtId="1" fontId="27" fillId="0" borderId="0" xfId="0" applyNumberFormat="1" applyFont="1" applyBorder="1" applyAlignment="1">
      <alignment horizontal="center"/>
    </xf>
    <xf numFmtId="3" fontId="52" fillId="0" borderId="0" xfId="1" quotePrefix="1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52" fillId="2" borderId="0" xfId="1" applyNumberFormat="1" applyFont="1" applyFill="1" applyAlignment="1">
      <alignment horizontal="right"/>
    </xf>
    <xf numFmtId="1" fontId="5" fillId="0" borderId="0" xfId="0" applyNumberFormat="1" applyFont="1"/>
    <xf numFmtId="3" fontId="8" fillId="0" borderId="0" xfId="0" applyNumberFormat="1" applyFont="1" applyFill="1" applyBorder="1" applyAlignment="1">
      <alignment horizontal="right"/>
    </xf>
    <xf numFmtId="3" fontId="52" fillId="0" borderId="0" xfId="1" applyNumberFormat="1" applyFont="1" applyBorder="1" applyAlignment="1">
      <alignment horizontal="right"/>
    </xf>
    <xf numFmtId="3" fontId="44" fillId="0" borderId="5" xfId="1" applyNumberFormat="1" applyFont="1" applyBorder="1"/>
    <xf numFmtId="164" fontId="13" fillId="0" borderId="4" xfId="1" applyNumberFormat="1" applyFont="1" applyBorder="1"/>
    <xf numFmtId="164" fontId="14" fillId="0" borderId="4" xfId="1" applyNumberFormat="1" applyFont="1" applyBorder="1" applyAlignment="1"/>
    <xf numFmtId="164" fontId="14" fillId="0" borderId="4" xfId="11" applyNumberFormat="1" applyFont="1" applyBorder="1"/>
    <xf numFmtId="164" fontId="52" fillId="0" borderId="4" xfId="11" applyNumberFormat="1" applyFont="1" applyBorder="1"/>
    <xf numFmtId="3" fontId="53" fillId="0" borderId="0" xfId="1" applyNumberFormat="1" applyFont="1"/>
    <xf numFmtId="3" fontId="64" fillId="0" borderId="0" xfId="1" applyNumberFormat="1" applyFont="1"/>
    <xf numFmtId="1" fontId="53" fillId="0" borderId="0" xfId="0" applyNumberFormat="1" applyFont="1"/>
    <xf numFmtId="166" fontId="64" fillId="0" borderId="0" xfId="58" applyFont="1"/>
    <xf numFmtId="4" fontId="14" fillId="0" borderId="0" xfId="1" applyFont="1"/>
    <xf numFmtId="1" fontId="57" fillId="0" borderId="5" xfId="0" applyNumberFormat="1" applyFont="1" applyBorder="1"/>
    <xf numFmtId="1" fontId="57" fillId="0" borderId="0" xfId="0" applyNumberFormat="1" applyFont="1" applyBorder="1"/>
    <xf numFmtId="9" fontId="64" fillId="0" borderId="0" xfId="58" applyNumberFormat="1" applyFont="1"/>
    <xf numFmtId="1" fontId="14" fillId="0" borderId="4" xfId="11" applyNumberFormat="1" applyFont="1" applyBorder="1" applyAlignment="1"/>
    <xf numFmtId="1" fontId="52" fillId="0" borderId="4" xfId="11" applyNumberFormat="1" applyFont="1" applyBorder="1" applyAlignment="1"/>
    <xf numFmtId="3" fontId="62" fillId="0" borderId="0" xfId="1" applyNumberFormat="1" applyFont="1" applyAlignment="1">
      <alignment horizontal="right"/>
    </xf>
    <xf numFmtId="1" fontId="62" fillId="0" borderId="0" xfId="0" applyNumberFormat="1" applyFont="1" applyFill="1" applyAlignment="1">
      <alignment horizontal="right"/>
    </xf>
    <xf numFmtId="3" fontId="62" fillId="0" borderId="0" xfId="1" applyNumberFormat="1" applyFont="1" applyFill="1" applyAlignment="1">
      <alignment horizontal="right"/>
    </xf>
    <xf numFmtId="1" fontId="62" fillId="0" borderId="0" xfId="0" applyNumberFormat="1" applyFont="1" applyAlignment="1">
      <alignment horizontal="right"/>
    </xf>
    <xf numFmtId="3" fontId="62" fillId="0" borderId="0" xfId="1" applyNumberFormat="1" applyFont="1" applyBorder="1" applyAlignment="1">
      <alignment horizontal="right"/>
    </xf>
    <xf numFmtId="3" fontId="55" fillId="0" borderId="0" xfId="1" applyNumberFormat="1" applyFont="1"/>
    <xf numFmtId="3" fontId="56" fillId="0" borderId="0" xfId="1" applyNumberFormat="1" applyFont="1"/>
    <xf numFmtId="3" fontId="52" fillId="0" borderId="8" xfId="1" applyNumberFormat="1" applyFont="1" applyFill="1" applyBorder="1" applyAlignment="1">
      <alignment horizontal="right"/>
    </xf>
    <xf numFmtId="1" fontId="6" fillId="0" borderId="0" xfId="0" applyNumberFormat="1" applyFont="1" applyAlignment="1">
      <alignment horizontal="left"/>
    </xf>
    <xf numFmtId="1" fontId="45" fillId="0" borderId="3" xfId="0" applyNumberFormat="1" applyFont="1" applyBorder="1"/>
    <xf numFmtId="1" fontId="45" fillId="0" borderId="5" xfId="0" applyNumberFormat="1" applyFont="1" applyBorder="1"/>
    <xf numFmtId="164" fontId="45" fillId="0" borderId="0" xfId="11" applyNumberFormat="1" applyFont="1"/>
    <xf numFmtId="3" fontId="14" fillId="0" borderId="4" xfId="1" quotePrefix="1" applyNumberFormat="1" applyFont="1" applyBorder="1" applyAlignment="1">
      <alignment horizontal="right"/>
    </xf>
    <xf numFmtId="3" fontId="14" fillId="0" borderId="4" xfId="1" applyNumberFormat="1" applyFont="1" applyBorder="1"/>
    <xf numFmtId="164" fontId="14" fillId="0" borderId="8" xfId="11" applyNumberFormat="1" applyFont="1" applyBorder="1"/>
    <xf numFmtId="164" fontId="14" fillId="0" borderId="0" xfId="11" quotePrefix="1" applyNumberFormat="1" applyFont="1" applyAlignment="1">
      <alignment horizontal="right"/>
    </xf>
    <xf numFmtId="164" fontId="14" fillId="0" borderId="4" xfId="1" applyNumberFormat="1" applyFont="1" applyBorder="1"/>
    <xf numFmtId="3" fontId="14" fillId="0" borderId="0" xfId="1" quotePrefix="1" applyNumberFormat="1" applyFont="1" applyAlignment="1">
      <alignment horizontal="right"/>
    </xf>
    <xf numFmtId="164" fontId="14" fillId="0" borderId="0" xfId="11" quotePrefix="1" applyNumberFormat="1" applyFont="1" applyBorder="1" applyAlignment="1">
      <alignment horizontal="right"/>
    </xf>
    <xf numFmtId="1" fontId="14" fillId="0" borderId="0" xfId="0" applyNumberFormat="1" applyFont="1" applyAlignment="1">
      <alignment horizontal="centerContinuous"/>
    </xf>
    <xf numFmtId="1" fontId="14" fillId="0" borderId="3" xfId="0" applyNumberFormat="1" applyFont="1" applyBorder="1" applyAlignment="1">
      <alignment horizontal="centerContinuous"/>
    </xf>
    <xf numFmtId="1" fontId="14" fillId="0" borderId="5" xfId="0" applyNumberFormat="1" applyFont="1" applyBorder="1"/>
    <xf numFmtId="1" fontId="51" fillId="0" borderId="0" xfId="0" applyNumberFormat="1" applyFont="1" applyAlignment="1">
      <alignment horizontal="centerContinuous"/>
    </xf>
    <xf numFmtId="166" fontId="45" fillId="0" borderId="0" xfId="58" applyFont="1"/>
    <xf numFmtId="164" fontId="14" fillId="0" borderId="8" xfId="1" applyNumberFormat="1" applyFont="1" applyBorder="1"/>
    <xf numFmtId="1" fontId="14" fillId="0" borderId="3" xfId="0" applyNumberFormat="1" applyFont="1" applyBorder="1"/>
    <xf numFmtId="0" fontId="30" fillId="0" borderId="0" xfId="0" applyFont="1"/>
    <xf numFmtId="164" fontId="14" fillId="0" borderId="0" xfId="0" applyNumberFormat="1" applyFont="1"/>
    <xf numFmtId="1" fontId="45" fillId="0" borderId="2" xfId="0" applyNumberFormat="1" applyFont="1" applyBorder="1"/>
    <xf numFmtId="1" fontId="14" fillId="0" borderId="0" xfId="0" applyNumberFormat="1" applyFont="1" applyBorder="1" applyAlignment="1"/>
    <xf numFmtId="3" fontId="14" fillId="2" borderId="0" xfId="1" applyNumberFormat="1" applyFont="1" applyFill="1" applyBorder="1" applyAlignment="1"/>
    <xf numFmtId="1" fontId="14" fillId="0" borderId="0" xfId="0" applyNumberFormat="1" applyFont="1" applyBorder="1" applyAlignment="1">
      <alignment horizontal="center"/>
    </xf>
    <xf numFmtId="1" fontId="67" fillId="0" borderId="0" xfId="0" applyNumberFormat="1" applyFont="1" applyBorder="1"/>
    <xf numFmtId="3" fontId="14" fillId="2" borderId="0" xfId="1" applyNumberFormat="1" applyFont="1" applyFill="1" applyBorder="1" applyAlignment="1">
      <alignment horizontal="right"/>
    </xf>
    <xf numFmtId="164" fontId="52" fillId="0" borderId="0" xfId="11" quotePrefix="1" applyNumberFormat="1" applyFont="1" applyBorder="1" applyAlignment="1">
      <alignment horizontal="right"/>
    </xf>
    <xf numFmtId="164" fontId="52" fillId="0" borderId="4" xfId="1" applyNumberFormat="1" applyFont="1" applyBorder="1" applyAlignment="1"/>
    <xf numFmtId="3" fontId="52" fillId="2" borderId="0" xfId="1" applyNumberFormat="1" applyFont="1" applyFill="1" applyBorder="1" applyAlignment="1"/>
    <xf numFmtId="164" fontId="52" fillId="0" borderId="8" xfId="1" applyNumberFormat="1" applyFont="1" applyBorder="1" applyAlignment="1"/>
    <xf numFmtId="164" fontId="38" fillId="0" borderId="0" xfId="11" applyNumberFormat="1" applyFont="1"/>
    <xf numFmtId="164" fontId="68" fillId="0" borderId="0" xfId="0" applyNumberFormat="1" applyFont="1"/>
    <xf numFmtId="3" fontId="68" fillId="0" borderId="0" xfId="0" applyNumberFormat="1" applyFont="1"/>
    <xf numFmtId="1" fontId="68" fillId="0" borderId="0" xfId="0" applyNumberFormat="1" applyFont="1"/>
    <xf numFmtId="164" fontId="68" fillId="0" borderId="0" xfId="0" applyNumberFormat="1" applyFont="1" applyAlignment="1">
      <alignment horizontal="right"/>
    </xf>
    <xf numFmtId="164" fontId="69" fillId="0" borderId="0" xfId="0" applyNumberFormat="1" applyFont="1" applyAlignment="1">
      <alignment horizontal="right"/>
    </xf>
    <xf numFmtId="164" fontId="70" fillId="0" borderId="0" xfId="0" applyNumberFormat="1" applyFont="1" applyAlignment="1">
      <alignment horizontal="right"/>
    </xf>
    <xf numFmtId="1" fontId="71" fillId="0" borderId="0" xfId="0" applyNumberFormat="1" applyFont="1"/>
    <xf numFmtId="1" fontId="72" fillId="0" borderId="0" xfId="0" applyNumberFormat="1" applyFont="1"/>
    <xf numFmtId="1" fontId="70" fillId="0" borderId="0" xfId="0" applyNumberFormat="1" applyFont="1"/>
    <xf numFmtId="3" fontId="52" fillId="0" borderId="0" xfId="0" applyNumberFormat="1" applyFont="1" applyFill="1"/>
    <xf numFmtId="164" fontId="54" fillId="0" borderId="0" xfId="0" applyNumberFormat="1" applyFont="1"/>
    <xf numFmtId="3" fontId="54" fillId="0" borderId="0" xfId="0" applyNumberFormat="1" applyFont="1"/>
    <xf numFmtId="166" fontId="29" fillId="0" borderId="0" xfId="58" applyFont="1"/>
    <xf numFmtId="3" fontId="29" fillId="0" borderId="0" xfId="1" applyNumberFormat="1" applyFont="1"/>
    <xf numFmtId="166" fontId="5" fillId="0" borderId="0" xfId="58" applyFont="1"/>
    <xf numFmtId="0" fontId="5" fillId="0" borderId="0" xfId="0" applyNumberFormat="1" applyFont="1"/>
    <xf numFmtId="3" fontId="60" fillId="0" borderId="0" xfId="1" applyNumberFormat="1" applyFont="1" applyFill="1" applyBorder="1"/>
    <xf numFmtId="166" fontId="65" fillId="0" borderId="0" xfId="58" applyFont="1" applyFill="1"/>
    <xf numFmtId="3" fontId="52" fillId="0" borderId="2" xfId="1" applyNumberFormat="1" applyFont="1" applyBorder="1"/>
    <xf numFmtId="1" fontId="57" fillId="0" borderId="5" xfId="0" applyNumberFormat="1" applyFont="1" applyFill="1" applyBorder="1"/>
    <xf numFmtId="166" fontId="52" fillId="0" borderId="0" xfId="0" applyNumberFormat="1" applyFont="1" applyFill="1" applyAlignment="1">
      <alignment horizontal="right"/>
    </xf>
    <xf numFmtId="3" fontId="52" fillId="0" borderId="8" xfId="0" applyNumberFormat="1" applyFont="1" applyFill="1" applyBorder="1" applyAlignment="1">
      <alignment horizontal="right"/>
    </xf>
    <xf numFmtId="3" fontId="52" fillId="0" borderId="4" xfId="1" applyNumberFormat="1" applyFont="1" applyFill="1" applyBorder="1" applyAlignment="1">
      <alignment horizontal="right"/>
    </xf>
    <xf numFmtId="3" fontId="54" fillId="0" borderId="0" xfId="0" applyNumberFormat="1" applyFont="1" applyFill="1" applyBorder="1" applyAlignment="1">
      <alignment horizontal="right"/>
    </xf>
    <xf numFmtId="3" fontId="54" fillId="0" borderId="0" xfId="1" applyNumberFormat="1" applyFont="1" applyFill="1" applyBorder="1" applyAlignment="1">
      <alignment horizontal="right"/>
    </xf>
    <xf numFmtId="3" fontId="52" fillId="0" borderId="8" xfId="0" applyNumberFormat="1" applyFont="1" applyFill="1" applyBorder="1"/>
    <xf numFmtId="3" fontId="63" fillId="0" borderId="0" xfId="1" applyNumberFormat="1" applyFont="1" applyFill="1"/>
    <xf numFmtId="166" fontId="63" fillId="0" borderId="0" xfId="58" applyFont="1" applyFill="1"/>
    <xf numFmtId="3" fontId="63" fillId="0" borderId="0" xfId="0" applyNumberFormat="1" applyFont="1" applyFill="1"/>
    <xf numFmtId="1" fontId="63" fillId="0" borderId="0" xfId="0" applyNumberFormat="1" applyFont="1" applyFill="1"/>
    <xf numFmtId="3" fontId="56" fillId="0" borderId="0" xfId="1" applyNumberFormat="1" applyFont="1" applyFill="1"/>
    <xf numFmtId="1" fontId="56" fillId="0" borderId="0" xfId="0" applyNumberFormat="1" applyFont="1" applyFill="1"/>
    <xf numFmtId="1" fontId="61" fillId="0" borderId="0" xfId="0" applyNumberFormat="1" applyFont="1" applyFill="1" applyBorder="1"/>
    <xf numFmtId="1" fontId="57" fillId="0" borderId="0" xfId="0" applyNumberFormat="1" applyFont="1" applyFill="1" applyBorder="1"/>
    <xf numFmtId="164" fontId="52" fillId="0" borderId="0" xfId="11" applyNumberFormat="1" applyFont="1" applyFill="1" applyBorder="1"/>
    <xf numFmtId="1" fontId="54" fillId="0" borderId="0" xfId="0" applyNumberFormat="1" applyFont="1" applyFill="1"/>
    <xf numFmtId="3" fontId="52" fillId="0" borderId="0" xfId="1" applyNumberFormat="1" applyFont="1" applyFill="1" applyAlignment="1"/>
    <xf numFmtId="3" fontId="54" fillId="0" borderId="0" xfId="1" applyNumberFormat="1" applyFont="1" applyFill="1"/>
    <xf numFmtId="0" fontId="52" fillId="0" borderId="0" xfId="0" applyFont="1" applyFill="1" applyAlignment="1">
      <alignment horizontal="right"/>
    </xf>
    <xf numFmtId="0" fontId="52" fillId="0" borderId="0" xfId="0" applyFont="1" applyFill="1" applyBorder="1"/>
    <xf numFmtId="0" fontId="52" fillId="0" borderId="2" xfId="0" applyFont="1" applyFill="1" applyBorder="1" applyAlignment="1">
      <alignment horizontal="right"/>
    </xf>
    <xf numFmtId="167" fontId="52" fillId="0" borderId="4" xfId="0" applyNumberFormat="1" applyFont="1" applyFill="1" applyBorder="1"/>
    <xf numFmtId="3" fontId="54" fillId="0" borderId="0" xfId="1" applyNumberFormat="1" applyFont="1" applyFill="1" applyBorder="1"/>
    <xf numFmtId="164" fontId="52" fillId="0" borderId="4" xfId="11" applyNumberFormat="1" applyFont="1" applyFill="1" applyBorder="1"/>
    <xf numFmtId="1" fontId="54" fillId="0" borderId="0" xfId="0" applyNumberFormat="1" applyFont="1" applyFill="1" applyBorder="1"/>
    <xf numFmtId="164" fontId="52" fillId="0" borderId="8" xfId="0" applyNumberFormat="1" applyFont="1" applyFill="1" applyBorder="1" applyAlignment="1">
      <alignment horizontal="right"/>
    </xf>
    <xf numFmtId="3" fontId="52" fillId="0" borderId="0" xfId="1" applyNumberFormat="1" applyFont="1" applyFill="1" applyBorder="1" applyAlignment="1"/>
    <xf numFmtId="0" fontId="52" fillId="0" borderId="0" xfId="11" applyNumberFormat="1" applyFont="1" applyFill="1" applyAlignment="1">
      <alignment horizontal="right"/>
    </xf>
    <xf numFmtId="0" fontId="52" fillId="0" borderId="0" xfId="0" applyFont="1" applyFill="1"/>
    <xf numFmtId="164" fontId="54" fillId="0" borderId="0" xfId="0" applyNumberFormat="1" applyFont="1" applyFill="1" applyAlignment="1">
      <alignment horizontal="right"/>
    </xf>
    <xf numFmtId="1" fontId="52" fillId="0" borderId="0" xfId="0" applyNumberFormat="1" applyFont="1" applyFill="1" applyBorder="1" applyAlignment="1">
      <alignment horizontal="right"/>
    </xf>
    <xf numFmtId="164" fontId="52" fillId="0" borderId="0" xfId="0" applyNumberFormat="1" applyFont="1" applyFill="1" applyAlignment="1">
      <alignment horizontal="right"/>
    </xf>
    <xf numFmtId="1" fontId="72" fillId="0" borderId="0" xfId="0" applyNumberFormat="1" applyFont="1" applyFill="1"/>
    <xf numFmtId="164" fontId="52" fillId="0" borderId="4" xfId="0" applyNumberFormat="1" applyFont="1" applyFill="1" applyBorder="1"/>
    <xf numFmtId="164" fontId="52" fillId="0" borderId="7" xfId="0" applyNumberFormat="1" applyFont="1" applyFill="1" applyBorder="1"/>
    <xf numFmtId="166" fontId="54" fillId="0" borderId="0" xfId="58" applyFont="1" applyFill="1"/>
    <xf numFmtId="9" fontId="64" fillId="0" borderId="0" xfId="58" applyNumberFormat="1" applyFont="1" applyFill="1"/>
    <xf numFmtId="1" fontId="59" fillId="0" borderId="0" xfId="0" applyNumberFormat="1" applyFont="1" applyFill="1"/>
    <xf numFmtId="7" fontId="52" fillId="0" borderId="0" xfId="11" applyNumberFormat="1" applyFont="1" applyAlignment="1"/>
    <xf numFmtId="1" fontId="56" fillId="4" borderId="0" xfId="0" applyNumberFormat="1" applyFont="1" applyFill="1"/>
    <xf numFmtId="1" fontId="55" fillId="4" borderId="0" xfId="0" applyNumberFormat="1" applyFont="1" applyFill="1"/>
    <xf numFmtId="1" fontId="56" fillId="4" borderId="2" xfId="0" applyNumberFormat="1" applyFont="1" applyFill="1" applyBorder="1"/>
    <xf numFmtId="1" fontId="56" fillId="4" borderId="3" xfId="0" applyNumberFormat="1" applyFont="1" applyFill="1" applyBorder="1"/>
    <xf numFmtId="1" fontId="56" fillId="4" borderId="5" xfId="0" applyNumberFormat="1" applyFont="1" applyFill="1" applyBorder="1"/>
    <xf numFmtId="3" fontId="52" fillId="4" borderId="0" xfId="1" applyNumberFormat="1" applyFont="1" applyFill="1"/>
    <xf numFmtId="1" fontId="62" fillId="4" borderId="0" xfId="0" applyNumberFormat="1" applyFont="1" applyFill="1"/>
    <xf numFmtId="1" fontId="52" fillId="4" borderId="0" xfId="0" applyNumberFormat="1" applyFont="1" applyFill="1"/>
    <xf numFmtId="3" fontId="52" fillId="4" borderId="4" xfId="1" applyNumberFormat="1" applyFont="1" applyFill="1" applyBorder="1"/>
    <xf numFmtId="166" fontId="52" fillId="4" borderId="0" xfId="58" applyFont="1" applyFill="1" applyAlignment="1">
      <alignment horizontal="right"/>
    </xf>
    <xf numFmtId="3" fontId="52" fillId="4" borderId="8" xfId="1" applyNumberFormat="1" applyFont="1" applyFill="1" applyBorder="1"/>
    <xf numFmtId="164" fontId="62" fillId="4" borderId="0" xfId="0" applyNumberFormat="1" applyFont="1" applyFill="1"/>
    <xf numFmtId="3" fontId="62" fillId="4" borderId="0" xfId="1" applyNumberFormat="1" applyFont="1" applyFill="1" applyBorder="1"/>
    <xf numFmtId="1" fontId="62" fillId="4" borderId="0" xfId="0" applyNumberFormat="1" applyFont="1" applyFill="1" applyBorder="1"/>
    <xf numFmtId="1" fontId="70" fillId="4" borderId="0" xfId="0" applyNumberFormat="1" applyFont="1" applyFill="1"/>
    <xf numFmtId="166" fontId="59" fillId="4" borderId="0" xfId="58" applyFont="1" applyFill="1"/>
    <xf numFmtId="1" fontId="59" fillId="4" borderId="0" xfId="0" applyNumberFormat="1" applyFont="1" applyFill="1"/>
    <xf numFmtId="0" fontId="34" fillId="0" borderId="0" xfId="0" applyFont="1"/>
    <xf numFmtId="3" fontId="60" fillId="0" borderId="0" xfId="1" applyNumberFormat="1" applyFont="1"/>
    <xf numFmtId="1" fontId="63" fillId="0" borderId="0" xfId="0" applyNumberFormat="1" applyFont="1"/>
    <xf numFmtId="3" fontId="63" fillId="0" borderId="0" xfId="1" applyNumberFormat="1" applyFont="1"/>
    <xf numFmtId="1" fontId="63" fillId="4" borderId="0" xfId="0" applyNumberFormat="1" applyFont="1" applyFill="1"/>
    <xf numFmtId="166" fontId="63" fillId="4" borderId="0" xfId="58" applyFont="1" applyFill="1"/>
    <xf numFmtId="4" fontId="30" fillId="0" borderId="0" xfId="1" applyFont="1"/>
    <xf numFmtId="3" fontId="30" fillId="0" borderId="0" xfId="0" applyNumberFormat="1" applyFont="1"/>
    <xf numFmtId="3" fontId="30" fillId="0" borderId="0" xfId="1" applyNumberFormat="1" applyFont="1" applyFill="1"/>
    <xf numFmtId="1" fontId="73" fillId="0" borderId="0" xfId="0" applyNumberFormat="1" applyFont="1"/>
    <xf numFmtId="3" fontId="73" fillId="0" borderId="0" xfId="0" applyNumberFormat="1" applyFont="1"/>
    <xf numFmtId="166" fontId="73" fillId="0" borderId="0" xfId="58" applyFont="1"/>
    <xf numFmtId="3" fontId="73" fillId="0" borderId="0" xfId="1" applyNumberFormat="1" applyFont="1"/>
    <xf numFmtId="3" fontId="73" fillId="0" borderId="0" xfId="1" applyNumberFormat="1" applyFont="1" applyFill="1"/>
    <xf numFmtId="166" fontId="30" fillId="0" borderId="0" xfId="58" applyNumberFormat="1" applyFont="1"/>
    <xf numFmtId="1" fontId="30" fillId="4" borderId="0" xfId="0" applyNumberFormat="1" applyFont="1" applyFill="1"/>
    <xf numFmtId="0" fontId="61" fillId="0" borderId="0" xfId="0" applyFont="1" applyFill="1"/>
    <xf numFmtId="3" fontId="14" fillId="0" borderId="0" xfId="0" applyNumberFormat="1" applyFont="1" applyFill="1"/>
    <xf numFmtId="3" fontId="8" fillId="0" borderId="0" xfId="2" applyFont="1" applyFill="1"/>
    <xf numFmtId="1" fontId="29" fillId="0" borderId="0" xfId="0" applyNumberFormat="1" applyFont="1" applyFill="1"/>
    <xf numFmtId="3" fontId="8" fillId="0" borderId="0" xfId="0" applyNumberFormat="1" applyFont="1" applyFill="1"/>
    <xf numFmtId="3" fontId="8" fillId="0" borderId="0" xfId="1" applyNumberFormat="1" applyFont="1" applyFill="1" applyBorder="1" applyAlignment="1">
      <alignment horizontal="right"/>
    </xf>
    <xf numFmtId="1" fontId="5" fillId="0" borderId="0" xfId="0" applyNumberFormat="1" applyFont="1" applyFill="1"/>
    <xf numFmtId="0" fontId="5" fillId="0" borderId="0" xfId="0" applyNumberFormat="1" applyFont="1" applyFill="1"/>
    <xf numFmtId="164" fontId="52" fillId="0" borderId="4" xfId="0" applyNumberFormat="1" applyFont="1" applyBorder="1"/>
    <xf numFmtId="164" fontId="14" fillId="0" borderId="8" xfId="0" quotePrefix="1" applyNumberFormat="1" applyFont="1" applyFill="1" applyBorder="1" applyAlignment="1">
      <alignment horizontal="right"/>
    </xf>
    <xf numFmtId="164" fontId="52" fillId="0" borderId="8" xfId="0" quotePrefix="1" applyNumberFormat="1" applyFont="1" applyFill="1" applyBorder="1" applyAlignment="1">
      <alignment horizontal="right"/>
    </xf>
    <xf numFmtId="164" fontId="27" fillId="0" borderId="0" xfId="11" applyNumberFormat="1" applyFont="1"/>
    <xf numFmtId="164" fontId="13" fillId="0" borderId="6" xfId="11" applyNumberFormat="1" applyFont="1" applyBorder="1"/>
    <xf numFmtId="164" fontId="14" fillId="0" borderId="6" xfId="11" applyNumberFormat="1" applyFont="1" applyBorder="1"/>
    <xf numFmtId="164" fontId="14" fillId="0" borderId="6" xfId="11" applyNumberFormat="1" applyFont="1" applyBorder="1" applyAlignment="1"/>
    <xf numFmtId="3" fontId="52" fillId="4" borderId="6" xfId="1" applyNumberFormat="1" applyFont="1" applyFill="1" applyBorder="1"/>
    <xf numFmtId="166" fontId="11" fillId="0" borderId="0" xfId="58" applyFont="1"/>
    <xf numFmtId="3" fontId="59" fillId="0" borderId="0" xfId="1" applyNumberFormat="1" applyFont="1" applyAlignment="1">
      <alignment horizontal="right"/>
    </xf>
    <xf numFmtId="3" fontId="8" fillId="0" borderId="6" xfId="0" applyNumberFormat="1" applyFont="1" applyBorder="1"/>
    <xf numFmtId="3" fontId="8" fillId="0" borderId="6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52" fillId="0" borderId="6" xfId="0" applyNumberFormat="1" applyFont="1" applyBorder="1" applyAlignment="1">
      <alignment horizontal="right"/>
    </xf>
    <xf numFmtId="3" fontId="52" fillId="0" borderId="6" xfId="0" applyNumberFormat="1" applyFont="1" applyFill="1" applyBorder="1" applyAlignment="1">
      <alignment horizontal="right"/>
    </xf>
    <xf numFmtId="3" fontId="8" fillId="0" borderId="5" xfId="0" applyNumberFormat="1" applyFont="1" applyBorder="1"/>
    <xf numFmtId="3" fontId="8" fillId="0" borderId="5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52" fillId="0" borderId="5" xfId="0" applyNumberFormat="1" applyFont="1" applyBorder="1" applyAlignment="1">
      <alignment horizontal="right"/>
    </xf>
    <xf numFmtId="3" fontId="52" fillId="0" borderId="5" xfId="0" applyNumberFormat="1" applyFont="1" applyFill="1" applyBorder="1" applyAlignment="1">
      <alignment horizontal="right"/>
    </xf>
    <xf numFmtId="166" fontId="14" fillId="0" borderId="0" xfId="58" applyFont="1"/>
    <xf numFmtId="166" fontId="57" fillId="0" borderId="0" xfId="58" applyFont="1"/>
    <xf numFmtId="1" fontId="19" fillId="0" borderId="2" xfId="0" quotePrefix="1" applyNumberFormat="1" applyFont="1" applyBorder="1" applyAlignment="1">
      <alignment horizontal="left"/>
    </xf>
    <xf numFmtId="1" fontId="0" fillId="0" borderId="2" xfId="0" applyNumberFormat="1" applyBorder="1"/>
    <xf numFmtId="1" fontId="8" fillId="0" borderId="2" xfId="0" applyNumberFormat="1" applyFont="1" applyBorder="1" applyAlignment="1">
      <alignment horizontal="centerContinuous"/>
    </xf>
    <xf numFmtId="1" fontId="7" fillId="0" borderId="2" xfId="0" applyNumberFormat="1" applyFont="1" applyBorder="1"/>
    <xf numFmtId="1" fontId="7" fillId="0" borderId="2" xfId="0" applyNumberFormat="1" applyFont="1" applyBorder="1" applyAlignment="1">
      <alignment horizontal="centerContinuous"/>
    </xf>
    <xf numFmtId="3" fontId="7" fillId="0" borderId="2" xfId="1" applyNumberFormat="1" applyFont="1" applyBorder="1" applyAlignment="1">
      <alignment horizontal="centerContinuous"/>
    </xf>
    <xf numFmtId="1" fontId="65" fillId="0" borderId="2" xfId="0" applyNumberFormat="1" applyFont="1" applyBorder="1"/>
    <xf numFmtId="1" fontId="56" fillId="0" borderId="2" xfId="0" applyNumberFormat="1" applyFont="1" applyBorder="1"/>
    <xf numFmtId="1" fontId="57" fillId="0" borderId="2" xfId="0" applyNumberFormat="1" applyFont="1" applyFill="1" applyBorder="1"/>
    <xf numFmtId="1" fontId="7" fillId="0" borderId="0" xfId="0" applyNumberFormat="1" applyFont="1" applyFill="1" applyBorder="1"/>
    <xf numFmtId="1" fontId="65" fillId="0" borderId="3" xfId="0" applyNumberFormat="1" applyFont="1" applyFill="1" applyBorder="1"/>
    <xf numFmtId="1" fontId="65" fillId="0" borderId="5" xfId="0" applyNumberFormat="1" applyFont="1" applyFill="1" applyBorder="1"/>
    <xf numFmtId="164" fontId="52" fillId="0" borderId="0" xfId="11" applyNumberFormat="1" applyFont="1" applyFill="1" applyAlignment="1"/>
    <xf numFmtId="164" fontId="52" fillId="0" borderId="4" xfId="11" applyNumberFormat="1" applyFont="1" applyFill="1" applyBorder="1" applyAlignment="1"/>
    <xf numFmtId="164" fontId="13" fillId="0" borderId="0" xfId="11" quotePrefix="1" applyNumberFormat="1" applyFont="1" applyFill="1" applyAlignment="1">
      <alignment horizontal="right"/>
    </xf>
    <xf numFmtId="1" fontId="52" fillId="0" borderId="0" xfId="11" applyNumberFormat="1" applyFont="1" applyFill="1" applyAlignment="1"/>
    <xf numFmtId="164" fontId="14" fillId="0" borderId="0" xfId="0" applyNumberFormat="1" applyFont="1" applyFill="1" applyBorder="1" applyAlignment="1">
      <alignment horizontal="right"/>
    </xf>
    <xf numFmtId="3" fontId="52" fillId="3" borderId="0" xfId="1" applyNumberFormat="1" applyFont="1" applyFill="1"/>
    <xf numFmtId="164" fontId="52" fillId="3" borderId="4" xfId="12" applyFont="1" applyFill="1" applyBorder="1"/>
    <xf numFmtId="164" fontId="27" fillId="0" borderId="0" xfId="11" applyNumberFormat="1" applyFont="1" applyFill="1"/>
    <xf numFmtId="1" fontId="11" fillId="0" borderId="0" xfId="0" applyNumberFormat="1" applyFont="1" applyFill="1"/>
    <xf numFmtId="1" fontId="27" fillId="0" borderId="0" xfId="0" applyNumberFormat="1" applyFont="1" applyFill="1"/>
    <xf numFmtId="1" fontId="27" fillId="0" borderId="0" xfId="0" applyNumberFormat="1" applyFont="1" applyFill="1" applyBorder="1"/>
    <xf numFmtId="164" fontId="13" fillId="0" borderId="0" xfId="11" applyNumberFormat="1" applyFont="1" applyFill="1" applyBorder="1" applyAlignment="1">
      <alignment horizontal="right"/>
    </xf>
    <xf numFmtId="164" fontId="8" fillId="0" borderId="0" xfId="12" applyFont="1" applyFill="1"/>
    <xf numFmtId="166" fontId="11" fillId="0" borderId="0" xfId="58" applyFont="1" applyFill="1"/>
    <xf numFmtId="3" fontId="8" fillId="0" borderId="0" xfId="0" applyNumberFormat="1" applyFont="1" applyFill="1" applyBorder="1"/>
    <xf numFmtId="3" fontId="59" fillId="0" borderId="0" xfId="1" applyNumberFormat="1" applyFont="1" applyFill="1" applyAlignment="1">
      <alignment horizontal="right"/>
    </xf>
    <xf numFmtId="3" fontId="8" fillId="0" borderId="8" xfId="0" applyNumberFormat="1" applyFont="1" applyFill="1" applyBorder="1"/>
    <xf numFmtId="166" fontId="27" fillId="0" borderId="0" xfId="58" applyFont="1" applyFill="1"/>
    <xf numFmtId="166" fontId="30" fillId="0" borderId="0" xfId="58" applyFont="1" applyFill="1"/>
    <xf numFmtId="166" fontId="73" fillId="0" borderId="0" xfId="58" applyFont="1" applyFill="1"/>
    <xf numFmtId="164" fontId="52" fillId="0" borderId="8" xfId="11" applyNumberFormat="1" applyFont="1" applyFill="1" applyBorder="1" applyAlignment="1"/>
    <xf numFmtId="7" fontId="52" fillId="0" borderId="0" xfId="11" applyNumberFormat="1" applyFont="1" applyFill="1" applyAlignment="1"/>
    <xf numFmtId="164" fontId="52" fillId="0" borderId="8" xfId="11" applyNumberFormat="1" applyFont="1" applyFill="1" applyBorder="1" applyAlignment="1">
      <alignment horizontal="right"/>
    </xf>
    <xf numFmtId="164" fontId="52" fillId="0" borderId="0" xfId="11" quotePrefix="1" applyNumberFormat="1" applyFont="1" applyFill="1" applyAlignment="1">
      <alignment horizontal="right"/>
    </xf>
    <xf numFmtId="164" fontId="52" fillId="0" borderId="0" xfId="11" applyNumberFormat="1" applyFont="1" applyFill="1" applyAlignment="1">
      <alignment horizontal="right"/>
    </xf>
    <xf numFmtId="164" fontId="52" fillId="0" borderId="0" xfId="0" applyNumberFormat="1" applyFont="1" applyFill="1"/>
    <xf numFmtId="7" fontId="13" fillId="0" borderId="0" xfId="11" quotePrefix="1" applyNumberFormat="1" applyFont="1" applyFill="1" applyAlignment="1">
      <alignment horizontal="right"/>
    </xf>
    <xf numFmtId="164" fontId="52" fillId="0" borderId="0" xfId="11" applyNumberFormat="1" applyFont="1" applyFill="1" applyBorder="1" applyAlignment="1"/>
    <xf numFmtId="3" fontId="52" fillId="0" borderId="0" xfId="1" quotePrefix="1" applyNumberFormat="1" applyFont="1" applyFill="1" applyAlignment="1">
      <alignment horizontal="right"/>
    </xf>
    <xf numFmtId="1" fontId="52" fillId="0" borderId="4" xfId="11" applyNumberFormat="1" applyFont="1" applyFill="1" applyBorder="1" applyAlignment="1"/>
    <xf numFmtId="1" fontId="45" fillId="0" borderId="0" xfId="0" applyNumberFormat="1" applyFont="1" applyFill="1"/>
    <xf numFmtId="164" fontId="52" fillId="0" borderId="2" xfId="11" applyNumberFormat="1" applyFont="1" applyFill="1" applyBorder="1" applyAlignment="1">
      <alignment horizontal="right"/>
    </xf>
    <xf numFmtId="164" fontId="52" fillId="0" borderId="5" xfId="11" applyNumberFormat="1" applyFont="1" applyFill="1" applyBorder="1" applyAlignment="1"/>
    <xf numFmtId="3" fontId="13" fillId="0" borderId="0" xfId="1" quotePrefix="1" applyNumberFormat="1" applyFont="1" applyFill="1" applyAlignment="1">
      <alignment horizontal="right"/>
    </xf>
    <xf numFmtId="164" fontId="52" fillId="0" borderId="6" xfId="11" applyNumberFormat="1" applyFont="1" applyFill="1" applyBorder="1" applyAlignment="1"/>
    <xf numFmtId="164" fontId="13" fillId="0" borderId="0" xfId="11" quotePrefix="1" applyNumberFormat="1" applyFont="1" applyFill="1" applyBorder="1" applyAlignment="1">
      <alignment horizontal="right"/>
    </xf>
    <xf numFmtId="164" fontId="52" fillId="0" borderId="0" xfId="11" quotePrefix="1" applyNumberFormat="1" applyFont="1" applyFill="1" applyBorder="1" applyAlignment="1">
      <alignment horizontal="right"/>
    </xf>
    <xf numFmtId="166" fontId="59" fillId="0" borderId="0" xfId="58" applyFont="1" applyFill="1"/>
    <xf numFmtId="166" fontId="52" fillId="0" borderId="0" xfId="58" applyFont="1" applyFill="1" applyAlignment="1"/>
    <xf numFmtId="170" fontId="30" fillId="0" borderId="0" xfId="11" applyNumberFormat="1" applyFont="1" applyFill="1"/>
    <xf numFmtId="1" fontId="14" fillId="4" borderId="0" xfId="0" applyNumberFormat="1" applyFont="1" applyFill="1"/>
    <xf numFmtId="1" fontId="8" fillId="0" borderId="0" xfId="0" applyNumberFormat="1" applyFont="1" applyFill="1" applyBorder="1"/>
    <xf numFmtId="166" fontId="52" fillId="0" borderId="0" xfId="58" applyFont="1" applyFill="1" applyBorder="1"/>
    <xf numFmtId="3" fontId="14" fillId="0" borderId="8" xfId="0" applyNumberFormat="1" applyFont="1" applyFill="1" applyBorder="1" applyAlignment="1">
      <alignment horizontal="right"/>
    </xf>
    <xf numFmtId="5" fontId="14" fillId="0" borderId="0" xfId="11" applyNumberFormat="1" applyFont="1" applyAlignment="1"/>
    <xf numFmtId="3" fontId="14" fillId="0" borderId="0" xfId="1" quotePrefix="1" applyNumberFormat="1" applyFont="1" applyBorder="1" applyAlignment="1">
      <alignment horizontal="right"/>
    </xf>
    <xf numFmtId="3" fontId="8" fillId="0" borderId="2" xfId="2" applyFont="1" applyFill="1" applyBorder="1"/>
    <xf numFmtId="3" fontId="13" fillId="0" borderId="2" xfId="1" applyNumberFormat="1" applyFont="1" applyFill="1" applyBorder="1"/>
    <xf numFmtId="3" fontId="14" fillId="0" borderId="2" xfId="1" applyNumberFormat="1" applyFont="1" applyFill="1" applyBorder="1"/>
    <xf numFmtId="3" fontId="14" fillId="0" borderId="5" xfId="0" applyNumberFormat="1" applyFont="1" applyBorder="1"/>
    <xf numFmtId="0" fontId="27" fillId="0" borderId="2" xfId="0" applyFont="1" applyFill="1" applyBorder="1"/>
    <xf numFmtId="3" fontId="14" fillId="0" borderId="2" xfId="0" applyNumberFormat="1" applyFont="1" applyFill="1" applyBorder="1"/>
    <xf numFmtId="3" fontId="8" fillId="0" borderId="2" xfId="0" applyNumberFormat="1" applyFont="1" applyFill="1" applyBorder="1"/>
    <xf numFmtId="1" fontId="14" fillId="0" borderId="2" xfId="0" applyNumberFormat="1" applyFont="1" applyFill="1" applyBorder="1"/>
    <xf numFmtId="1" fontId="14" fillId="0" borderId="2" xfId="0" applyNumberFormat="1" applyFont="1" applyFill="1" applyBorder="1" applyAlignment="1">
      <alignment horizontal="right"/>
    </xf>
    <xf numFmtId="3" fontId="14" fillId="0" borderId="2" xfId="1" applyNumberFormat="1" applyFont="1" applyFill="1" applyBorder="1" applyAlignment="1">
      <alignment horizontal="right"/>
    </xf>
    <xf numFmtId="3" fontId="52" fillId="0" borderId="2" xfId="1" applyNumberFormat="1" applyFont="1" applyFill="1" applyBorder="1" applyAlignment="1">
      <alignment horizontal="right"/>
    </xf>
    <xf numFmtId="1" fontId="5" fillId="0" borderId="2" xfId="0" applyNumberFormat="1" applyFont="1" applyFill="1" applyBorder="1"/>
    <xf numFmtId="0" fontId="5" fillId="0" borderId="2" xfId="0" applyNumberFormat="1" applyFont="1" applyFill="1" applyBorder="1"/>
    <xf numFmtId="1" fontId="0" fillId="0" borderId="2" xfId="0" applyNumberFormat="1" applyFill="1" applyBorder="1"/>
    <xf numFmtId="0" fontId="28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right"/>
    </xf>
    <xf numFmtId="3" fontId="13" fillId="0" borderId="0" xfId="0" applyNumberFormat="1" applyFont="1" applyFill="1"/>
    <xf numFmtId="3" fontId="13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3" fontId="8" fillId="0" borderId="0" xfId="1" applyNumberFormat="1" applyFont="1" applyFill="1" applyBorder="1"/>
    <xf numFmtId="168" fontId="14" fillId="0" borderId="0" xfId="1" applyNumberFormat="1" applyFont="1" applyFill="1" applyBorder="1" applyAlignment="1"/>
    <xf numFmtId="1" fontId="29" fillId="0" borderId="0" xfId="0" applyNumberFormat="1" applyFont="1" applyFill="1" applyBorder="1"/>
    <xf numFmtId="1" fontId="53" fillId="0" borderId="0" xfId="0" applyNumberFormat="1" applyFont="1" applyFill="1" applyBorder="1"/>
    <xf numFmtId="1" fontId="0" fillId="0" borderId="0" xfId="0" applyNumberFormat="1" applyFill="1" applyBorder="1"/>
    <xf numFmtId="0" fontId="27" fillId="3" borderId="0" xfId="0" applyFont="1" applyFill="1"/>
    <xf numFmtId="1" fontId="29" fillId="3" borderId="0" xfId="0" applyNumberFormat="1" applyFont="1" applyFill="1"/>
    <xf numFmtId="1" fontId="14" fillId="3" borderId="0" xfId="0" applyNumberFormat="1" applyFont="1" applyFill="1"/>
    <xf numFmtId="1" fontId="57" fillId="3" borderId="0" xfId="0" applyNumberFormat="1" applyFont="1" applyFill="1"/>
    <xf numFmtId="1" fontId="0" fillId="3" borderId="0" xfId="0" applyNumberFormat="1" applyFill="1"/>
    <xf numFmtId="167" fontId="14" fillId="0" borderId="0" xfId="0" applyNumberFormat="1" applyFont="1" applyFill="1"/>
    <xf numFmtId="164" fontId="8" fillId="0" borderId="0" xfId="11" applyNumberFormat="1" applyFont="1" applyFill="1"/>
    <xf numFmtId="164" fontId="14" fillId="0" borderId="0" xfId="11" applyNumberFormat="1" applyFont="1" applyFill="1" applyAlignment="1"/>
    <xf numFmtId="164" fontId="13" fillId="0" borderId="0" xfId="11" applyNumberFormat="1" applyFont="1" applyFill="1"/>
    <xf numFmtId="3" fontId="14" fillId="3" borderId="0" xfId="0" applyNumberFormat="1" applyFont="1" applyFill="1"/>
    <xf numFmtId="3" fontId="8" fillId="3" borderId="0" xfId="0" applyNumberFormat="1" applyFont="1" applyFill="1"/>
    <xf numFmtId="3" fontId="13" fillId="3" borderId="0" xfId="0" applyNumberFormat="1" applyFont="1" applyFill="1"/>
    <xf numFmtId="3" fontId="14" fillId="3" borderId="0" xfId="1" applyNumberFormat="1" applyFont="1" applyFill="1" applyBorder="1"/>
    <xf numFmtId="3" fontId="14" fillId="3" borderId="0" xfId="1" applyNumberFormat="1" applyFont="1" applyFill="1" applyBorder="1" applyAlignment="1">
      <alignment horizontal="right"/>
    </xf>
    <xf numFmtId="3" fontId="52" fillId="3" borderId="0" xfId="1" applyNumberFormat="1" applyFont="1" applyFill="1" applyBorder="1" applyAlignment="1">
      <alignment horizontal="right"/>
    </xf>
    <xf numFmtId="1" fontId="5" fillId="3" borderId="0" xfId="0" applyNumberFormat="1" applyFont="1" applyFill="1"/>
    <xf numFmtId="0" fontId="5" fillId="3" borderId="0" xfId="0" applyNumberFormat="1" applyFont="1" applyFill="1"/>
    <xf numFmtId="3" fontId="8" fillId="3" borderId="0" xfId="2" applyFont="1" applyFill="1"/>
    <xf numFmtId="1" fontId="13" fillId="3" borderId="0" xfId="0" applyNumberFormat="1" applyFont="1" applyFill="1"/>
    <xf numFmtId="3" fontId="13" fillId="3" borderId="0" xfId="1" applyNumberFormat="1" applyFont="1" applyFill="1"/>
    <xf numFmtId="3" fontId="14" fillId="3" borderId="0" xfId="1" applyNumberFormat="1" applyFont="1" applyFill="1"/>
    <xf numFmtId="0" fontId="27" fillId="3" borderId="0" xfId="0" quotePrefix="1" applyFont="1" applyFill="1" applyAlignment="1">
      <alignment horizontal="left"/>
    </xf>
    <xf numFmtId="3" fontId="8" fillId="3" borderId="2" xfId="0" applyNumberFormat="1" applyFont="1" applyFill="1" applyBorder="1" applyAlignment="1">
      <alignment horizontal="right"/>
    </xf>
    <xf numFmtId="166" fontId="8" fillId="3" borderId="2" xfId="0" applyNumberFormat="1" applyFont="1" applyFill="1" applyBorder="1" applyAlignment="1">
      <alignment horizontal="right"/>
    </xf>
    <xf numFmtId="3" fontId="8" fillId="3" borderId="0" xfId="0" applyNumberFormat="1" applyFont="1" applyFill="1" applyBorder="1"/>
    <xf numFmtId="3" fontId="13" fillId="3" borderId="2" xfId="0" applyNumberFormat="1" applyFont="1" applyFill="1" applyBorder="1"/>
    <xf numFmtId="3" fontId="13" fillId="3" borderId="2" xfId="0" applyNumberFormat="1" applyFont="1" applyFill="1" applyBorder="1" applyAlignment="1">
      <alignment horizontal="right"/>
    </xf>
    <xf numFmtId="3" fontId="14" fillId="3" borderId="0" xfId="0" applyNumberFormat="1" applyFont="1" applyFill="1" applyBorder="1" applyAlignment="1">
      <alignment horizontal="right"/>
    </xf>
    <xf numFmtId="3" fontId="14" fillId="3" borderId="0" xfId="1" applyNumberFormat="1" applyFont="1" applyFill="1" applyAlignment="1">
      <alignment horizontal="right"/>
    </xf>
    <xf numFmtId="3" fontId="52" fillId="3" borderId="0" xfId="1" applyNumberFormat="1" applyFont="1" applyFill="1" applyAlignment="1">
      <alignment horizontal="right"/>
    </xf>
    <xf numFmtId="168" fontId="52" fillId="3" borderId="0" xfId="78" applyNumberFormat="1" applyFont="1" applyFill="1" applyBorder="1"/>
    <xf numFmtId="3" fontId="13" fillId="3" borderId="0" xfId="0" applyNumberFormat="1" applyFont="1" applyFill="1" applyAlignment="1">
      <alignment horizontal="right"/>
    </xf>
    <xf numFmtId="3" fontId="14" fillId="3" borderId="0" xfId="0" applyNumberFormat="1" applyFont="1" applyFill="1" applyAlignment="1">
      <alignment horizontal="right"/>
    </xf>
    <xf numFmtId="1" fontId="13" fillId="3" borderId="0" xfId="0" applyNumberFormat="1" applyFont="1" applyFill="1" applyBorder="1"/>
    <xf numFmtId="1" fontId="14" fillId="3" borderId="0" xfId="0" applyNumberFormat="1" applyFont="1" applyFill="1" applyBorder="1"/>
    <xf numFmtId="1" fontId="52" fillId="3" borderId="0" xfId="0" applyNumberFormat="1" applyFont="1" applyFill="1" applyBorder="1"/>
    <xf numFmtId="0" fontId="28" fillId="3" borderId="0" xfId="0" applyFont="1" applyFill="1"/>
    <xf numFmtId="3" fontId="14" fillId="3" borderId="0" xfId="0" applyNumberFormat="1" applyFont="1" applyFill="1" applyBorder="1"/>
    <xf numFmtId="3" fontId="8" fillId="3" borderId="0" xfId="2" applyFont="1" applyFill="1" applyBorder="1"/>
    <xf numFmtId="3" fontId="13" fillId="3" borderId="0" xfId="0" applyNumberFormat="1" applyFont="1" applyFill="1" applyBorder="1"/>
    <xf numFmtId="3" fontId="52" fillId="3" borderId="0" xfId="1" applyNumberFormat="1" applyFont="1" applyFill="1" applyBorder="1"/>
    <xf numFmtId="3" fontId="52" fillId="3" borderId="0" xfId="0" applyNumberFormat="1" applyFont="1" applyFill="1"/>
    <xf numFmtId="1" fontId="22" fillId="3" borderId="0" xfId="0" applyNumberFormat="1" applyFont="1" applyFill="1"/>
    <xf numFmtId="3" fontId="8" fillId="3" borderId="0" xfId="0" applyNumberFormat="1" applyFont="1" applyFill="1" applyAlignment="1">
      <alignment horizontal="right"/>
    </xf>
    <xf numFmtId="1" fontId="14" fillId="3" borderId="0" xfId="0" applyNumberFormat="1" applyFont="1" applyFill="1" applyAlignment="1">
      <alignment horizontal="right"/>
    </xf>
    <xf numFmtId="1" fontId="52" fillId="3" borderId="0" xfId="0" applyNumberFormat="1" applyFont="1" applyFill="1" applyAlignment="1">
      <alignment horizontal="right"/>
    </xf>
    <xf numFmtId="168" fontId="14" fillId="3" borderId="0" xfId="1" applyNumberFormat="1" applyFont="1" applyFill="1"/>
    <xf numFmtId="168" fontId="25" fillId="3" borderId="0" xfId="1" applyNumberFormat="1" applyFont="1" applyFill="1"/>
    <xf numFmtId="0" fontId="60" fillId="3" borderId="0" xfId="0" applyFont="1" applyFill="1"/>
    <xf numFmtId="1" fontId="64" fillId="3" borderId="0" xfId="0" applyNumberFormat="1" applyFont="1" applyFill="1"/>
    <xf numFmtId="1" fontId="66" fillId="3" borderId="0" xfId="0" applyNumberFormat="1" applyFont="1" applyFill="1"/>
    <xf numFmtId="3" fontId="52" fillId="3" borderId="0" xfId="2" applyFont="1" applyFill="1"/>
    <xf numFmtId="3" fontId="52" fillId="3" borderId="0" xfId="0" applyNumberFormat="1" applyFont="1" applyFill="1" applyAlignment="1">
      <alignment horizontal="right"/>
    </xf>
    <xf numFmtId="3" fontId="52" fillId="3" borderId="0" xfId="0" applyNumberFormat="1" applyFont="1" applyFill="1" applyBorder="1" applyAlignment="1">
      <alignment horizontal="right"/>
    </xf>
    <xf numFmtId="1" fontId="65" fillId="3" borderId="0" xfId="0" applyNumberFormat="1" applyFont="1" applyFill="1"/>
    <xf numFmtId="1" fontId="60" fillId="3" borderId="0" xfId="0" applyNumberFormat="1" applyFont="1" applyFill="1"/>
    <xf numFmtId="3" fontId="58" fillId="3" borderId="0" xfId="1" applyNumberFormat="1" applyFont="1" applyFill="1" applyAlignment="1">
      <alignment horizontal="right"/>
    </xf>
    <xf numFmtId="1" fontId="27" fillId="3" borderId="0" xfId="0" applyNumberFormat="1" applyFont="1" applyFill="1" applyBorder="1"/>
    <xf numFmtId="3" fontId="13" fillId="3" borderId="0" xfId="1" applyNumberFormat="1" applyFont="1" applyFill="1" applyBorder="1"/>
    <xf numFmtId="3" fontId="13" fillId="3" borderId="0" xfId="1" applyNumberFormat="1" applyFont="1" applyFill="1" applyBorder="1" applyAlignment="1">
      <alignment horizontal="right"/>
    </xf>
    <xf numFmtId="1" fontId="5" fillId="3" borderId="0" xfId="0" applyNumberFormat="1" applyFont="1" applyFill="1" applyBorder="1"/>
    <xf numFmtId="0" fontId="5" fillId="3" borderId="0" xfId="0" applyNumberFormat="1" applyFont="1" applyFill="1" applyBorder="1"/>
    <xf numFmtId="1" fontId="57" fillId="3" borderId="0" xfId="0" applyNumberFormat="1" applyFont="1" applyFill="1" applyBorder="1"/>
    <xf numFmtId="1" fontId="0" fillId="3" borderId="0" xfId="0" applyNumberFormat="1" applyFill="1" applyBorder="1"/>
    <xf numFmtId="164" fontId="5" fillId="3" borderId="0" xfId="0" applyNumberFormat="1" applyFont="1" applyFill="1"/>
    <xf numFmtId="1" fontId="13" fillId="0" borderId="2" xfId="0" applyNumberFormat="1" applyFont="1" applyFill="1" applyBorder="1"/>
    <xf numFmtId="3" fontId="17" fillId="0" borderId="0" xfId="1" applyNumberFormat="1" applyFont="1" applyFill="1" applyBorder="1"/>
    <xf numFmtId="3" fontId="13" fillId="0" borderId="2" xfId="0" applyNumberFormat="1" applyFont="1" applyFill="1" applyBorder="1"/>
    <xf numFmtId="1" fontId="13" fillId="0" borderId="0" xfId="0" applyNumberFormat="1" applyFont="1" applyFill="1" applyAlignment="1">
      <alignment horizontal="right"/>
    </xf>
    <xf numFmtId="3" fontId="13" fillId="0" borderId="0" xfId="1" applyNumberFormat="1" applyFont="1" applyFill="1"/>
    <xf numFmtId="3" fontId="8" fillId="0" borderId="0" xfId="2" applyFont="1" applyFill="1" applyAlignment="1">
      <alignment horizontal="right"/>
    </xf>
    <xf numFmtId="0" fontId="14" fillId="0" borderId="0" xfId="0" applyFont="1" applyFill="1"/>
    <xf numFmtId="0" fontId="60" fillId="0" borderId="0" xfId="0" applyFont="1" applyFill="1"/>
    <xf numFmtId="5" fontId="14" fillId="0" borderId="4" xfId="1" applyNumberFormat="1" applyFont="1" applyBorder="1" applyAlignment="1"/>
    <xf numFmtId="5" fontId="14" fillId="0" borderId="4" xfId="11" applyNumberFormat="1" applyFont="1" applyBorder="1" applyAlignment="1"/>
    <xf numFmtId="5" fontId="14" fillId="0" borderId="8" xfId="11" applyNumberFormat="1" applyFont="1" applyBorder="1" applyAlignment="1"/>
    <xf numFmtId="5" fontId="14" fillId="0" borderId="8" xfId="11" applyNumberFormat="1" applyFont="1" applyBorder="1" applyAlignment="1">
      <alignment horizontal="right"/>
    </xf>
    <xf numFmtId="5" fontId="14" fillId="0" borderId="4" xfId="11" applyNumberFormat="1" applyFont="1" applyBorder="1" applyAlignment="1">
      <alignment horizontal="right"/>
    </xf>
    <xf numFmtId="5" fontId="14" fillId="0" borderId="6" xfId="11" applyNumberFormat="1" applyFont="1" applyBorder="1" applyAlignment="1"/>
    <xf numFmtId="3" fontId="14" fillId="2" borderId="4" xfId="0" applyNumberFormat="1" applyFont="1" applyFill="1" applyBorder="1" applyAlignment="1">
      <alignment horizontal="right"/>
    </xf>
    <xf numFmtId="3" fontId="52" fillId="0" borderId="4" xfId="0" applyNumberFormat="1" applyFont="1" applyBorder="1"/>
    <xf numFmtId="3" fontId="52" fillId="0" borderId="4" xfId="0" applyNumberFormat="1" applyFont="1" applyFill="1" applyBorder="1"/>
    <xf numFmtId="1" fontId="5" fillId="0" borderId="4" xfId="0" applyNumberFormat="1" applyFont="1" applyBorder="1"/>
    <xf numFmtId="0" fontId="5" fillId="0" borderId="4" xfId="0" applyNumberFormat="1" applyFont="1" applyBorder="1"/>
    <xf numFmtId="1" fontId="57" fillId="0" borderId="4" xfId="0" applyNumberFormat="1" applyFont="1" applyBorder="1"/>
    <xf numFmtId="1" fontId="0" fillId="0" borderId="4" xfId="0" applyNumberFormat="1" applyBorder="1"/>
    <xf numFmtId="1" fontId="7" fillId="0" borderId="3" xfId="0" applyNumberFormat="1" applyFont="1" applyFill="1" applyBorder="1"/>
    <xf numFmtId="1" fontId="47" fillId="0" borderId="0" xfId="0" applyNumberFormat="1" applyFont="1" applyFill="1" applyBorder="1"/>
    <xf numFmtId="1" fontId="7" fillId="0" borderId="5" xfId="0" applyNumberFormat="1" applyFont="1" applyFill="1" applyBorder="1"/>
    <xf numFmtId="3" fontId="0" fillId="0" borderId="0" xfId="0" applyNumberFormat="1" applyFill="1" applyBorder="1"/>
    <xf numFmtId="1" fontId="8" fillId="0" borderId="4" xfId="0" applyNumberFormat="1" applyFont="1" applyFill="1" applyBorder="1" applyAlignment="1">
      <alignment horizontal="right"/>
    </xf>
    <xf numFmtId="164" fontId="13" fillId="0" borderId="4" xfId="11" applyNumberFormat="1" applyFont="1" applyFill="1" applyBorder="1"/>
    <xf numFmtId="3" fontId="14" fillId="0" borderId="0" xfId="1" applyNumberFormat="1" applyFont="1" applyFill="1" applyBorder="1" applyAlignment="1"/>
    <xf numFmtId="3" fontId="14" fillId="0" borderId="0" xfId="0" quotePrefix="1" applyNumberFormat="1" applyFont="1" applyFill="1" applyBorder="1" applyAlignment="1">
      <alignment horizontal="right"/>
    </xf>
    <xf numFmtId="3" fontId="14" fillId="0" borderId="0" xfId="0" quotePrefix="1" applyNumberFormat="1" applyFont="1" applyFill="1" applyAlignment="1">
      <alignment horizontal="right"/>
    </xf>
    <xf numFmtId="3" fontId="14" fillId="0" borderId="2" xfId="0" applyNumberFormat="1" applyFont="1" applyFill="1" applyBorder="1" applyAlignment="1">
      <alignment horizontal="right"/>
    </xf>
    <xf numFmtId="1" fontId="60" fillId="0" borderId="0" xfId="0" applyNumberFormat="1" applyFont="1" applyFill="1" applyAlignment="1">
      <alignment horizontal="right"/>
    </xf>
    <xf numFmtId="164" fontId="8" fillId="0" borderId="4" xfId="11" applyNumberFormat="1" applyFont="1" applyFill="1" applyBorder="1" applyAlignment="1">
      <alignment horizontal="right"/>
    </xf>
    <xf numFmtId="3" fontId="14" fillId="0" borderId="0" xfId="0" applyNumberFormat="1" applyFont="1" applyFill="1" applyBorder="1"/>
    <xf numFmtId="1" fontId="13" fillId="0" borderId="0" xfId="0" applyNumberFormat="1" applyFont="1" applyFill="1" applyBorder="1" applyAlignment="1">
      <alignment horizontal="right"/>
    </xf>
    <xf numFmtId="164" fontId="13" fillId="0" borderId="4" xfId="11" applyNumberFormat="1" applyFont="1" applyFill="1" applyBorder="1" applyAlignment="1">
      <alignment horizontal="right"/>
    </xf>
    <xf numFmtId="164" fontId="7" fillId="0" borderId="0" xfId="11" applyNumberFormat="1" applyFont="1" applyFill="1"/>
    <xf numFmtId="3" fontId="14" fillId="0" borderId="4" xfId="0" applyNumberFormat="1" applyFont="1" applyFill="1" applyBorder="1" applyAlignment="1">
      <alignment horizontal="right"/>
    </xf>
    <xf numFmtId="164" fontId="13" fillId="0" borderId="0" xfId="11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38" fillId="0" borderId="0" xfId="11" applyNumberFormat="1" applyFont="1" applyFill="1"/>
    <xf numFmtId="3" fontId="7" fillId="0" borderId="0" xfId="1" applyNumberFormat="1" applyFont="1" applyFill="1" applyBorder="1"/>
    <xf numFmtId="164" fontId="8" fillId="0" borderId="4" xfId="0" applyNumberFormat="1" applyFont="1" applyFill="1" applyBorder="1"/>
    <xf numFmtId="164" fontId="8" fillId="0" borderId="7" xfId="0" applyNumberFormat="1" applyFont="1" applyFill="1" applyBorder="1"/>
    <xf numFmtId="1" fontId="28" fillId="0" borderId="0" xfId="0" applyNumberFormat="1" applyFont="1" applyFill="1"/>
    <xf numFmtId="9" fontId="27" fillId="0" borderId="0" xfId="58" applyNumberFormat="1" applyFont="1" applyFill="1"/>
    <xf numFmtId="1" fontId="8" fillId="0" borderId="0" xfId="0" applyNumberFormat="1" applyFont="1" applyFill="1" applyAlignment="1">
      <alignment horizontal="centerContinuous"/>
    </xf>
    <xf numFmtId="1" fontId="7" fillId="0" borderId="0" xfId="0" applyNumberFormat="1" applyFont="1" applyFill="1" applyAlignment="1">
      <alignment horizontal="centerContinuous"/>
    </xf>
    <xf numFmtId="1" fontId="8" fillId="0" borderId="0" xfId="0" applyNumberFormat="1" applyFont="1" applyFill="1" applyBorder="1" applyAlignment="1">
      <alignment horizontal="centerContinuous"/>
    </xf>
    <xf numFmtId="1" fontId="8" fillId="0" borderId="5" xfId="0" applyNumberFormat="1" applyFont="1" applyFill="1" applyBorder="1"/>
    <xf numFmtId="164" fontId="8" fillId="0" borderId="0" xfId="0" applyNumberFormat="1" applyFont="1" applyFill="1" applyBorder="1"/>
    <xf numFmtId="164" fontId="8" fillId="0" borderId="0" xfId="12" applyFont="1" applyFill="1" applyBorder="1"/>
    <xf numFmtId="3" fontId="8" fillId="0" borderId="0" xfId="1" applyNumberFormat="1" applyFont="1" applyFill="1"/>
    <xf numFmtId="3" fontId="8" fillId="0" borderId="2" xfId="1" applyNumberFormat="1" applyFont="1" applyFill="1" applyBorder="1"/>
    <xf numFmtId="164" fontId="8" fillId="0" borderId="0" xfId="0" applyNumberFormat="1" applyFont="1" applyFill="1"/>
    <xf numFmtId="3" fontId="52" fillId="0" borderId="2" xfId="1" applyNumberFormat="1" applyFont="1" applyFill="1" applyBorder="1"/>
    <xf numFmtId="164" fontId="9" fillId="0" borderId="0" xfId="0" applyNumberFormat="1" applyFont="1" applyFill="1" applyAlignment="1">
      <alignment horizontal="centerContinuous"/>
    </xf>
    <xf numFmtId="3" fontId="13" fillId="0" borderId="0" xfId="2" applyFont="1" applyFill="1" applyAlignment="1">
      <alignment horizontal="right"/>
    </xf>
    <xf numFmtId="164" fontId="68" fillId="0" borderId="0" xfId="11" applyNumberFormat="1" applyFont="1" applyFill="1"/>
    <xf numFmtId="166" fontId="23" fillId="0" borderId="0" xfId="58" applyFont="1" applyFill="1"/>
    <xf numFmtId="1" fontId="6" fillId="0" borderId="0" xfId="0" applyNumberFormat="1" applyFont="1" applyFill="1" applyAlignment="1">
      <alignment horizontal="centerContinuous"/>
    </xf>
    <xf numFmtId="1" fontId="13" fillId="0" borderId="4" xfId="0" applyNumberFormat="1" applyFont="1" applyFill="1" applyBorder="1"/>
    <xf numFmtId="164" fontId="8" fillId="0" borderId="0" xfId="0" applyNumberFormat="1" applyFont="1" applyFill="1" applyAlignment="1">
      <alignment horizontal="centerContinuous"/>
    </xf>
    <xf numFmtId="3" fontId="13" fillId="0" borderId="0" xfId="1" applyNumberFormat="1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164" fontId="68" fillId="0" borderId="0" xfId="0" applyNumberFormat="1" applyFont="1" applyFill="1"/>
    <xf numFmtId="164" fontId="54" fillId="0" borderId="0" xfId="0" applyNumberFormat="1" applyFont="1" applyFill="1"/>
    <xf numFmtId="3" fontId="8" fillId="0" borderId="2" xfId="2" applyFont="1" applyFill="1" applyBorder="1" applyAlignment="1">
      <alignment horizontal="right"/>
    </xf>
    <xf numFmtId="3" fontId="52" fillId="0" borderId="0" xfId="2" applyFont="1" applyFill="1"/>
    <xf numFmtId="168" fontId="13" fillId="0" borderId="0" xfId="1" applyNumberFormat="1" applyFont="1" applyFill="1"/>
    <xf numFmtId="168" fontId="25" fillId="0" borderId="0" xfId="1" applyNumberFormat="1" applyFont="1" applyFill="1"/>
    <xf numFmtId="168" fontId="13" fillId="0" borderId="0" xfId="1" applyNumberFormat="1" applyFont="1" applyFill="1" applyBorder="1"/>
    <xf numFmtId="164" fontId="13" fillId="0" borderId="0" xfId="11" applyNumberFormat="1" applyFont="1" applyFill="1" applyBorder="1"/>
    <xf numFmtId="3" fontId="13" fillId="0" borderId="0" xfId="1" applyNumberFormat="1" applyFont="1" applyFill="1" applyBorder="1"/>
    <xf numFmtId="3" fontId="13" fillId="0" borderId="0" xfId="11" applyNumberFormat="1" applyFont="1" applyFill="1"/>
    <xf numFmtId="3" fontId="8" fillId="0" borderId="0" xfId="1" applyNumberFormat="1" applyFont="1" applyFill="1" applyAlignment="1">
      <alignment horizontal="right"/>
    </xf>
    <xf numFmtId="164" fontId="68" fillId="0" borderId="0" xfId="0" applyNumberFormat="1" applyFont="1" applyFill="1" applyAlignment="1">
      <alignment horizontal="right"/>
    </xf>
    <xf numFmtId="1" fontId="43" fillId="0" borderId="0" xfId="0" applyNumberFormat="1" applyFont="1" applyFill="1"/>
    <xf numFmtId="1" fontId="42" fillId="0" borderId="0" xfId="0" applyNumberFormat="1" applyFont="1" applyFill="1" applyBorder="1"/>
    <xf numFmtId="1" fontId="43" fillId="0" borderId="5" xfId="0" applyNumberFormat="1" applyFont="1" applyFill="1" applyBorder="1"/>
    <xf numFmtId="1" fontId="43" fillId="0" borderId="0" xfId="0" applyNumberFormat="1" applyFont="1" applyFill="1" applyBorder="1"/>
    <xf numFmtId="164" fontId="14" fillId="0" borderId="0" xfId="11" applyNumberFormat="1" applyFont="1" applyFill="1" applyBorder="1"/>
    <xf numFmtId="167" fontId="14" fillId="0" borderId="4" xfId="0" applyNumberFormat="1" applyFont="1" applyFill="1" applyBorder="1"/>
    <xf numFmtId="164" fontId="14" fillId="0" borderId="4" xfId="11" applyNumberFormat="1" applyFont="1" applyFill="1" applyBorder="1"/>
    <xf numFmtId="168" fontId="58" fillId="0" borderId="0" xfId="1" applyNumberFormat="1" applyFont="1" applyFill="1"/>
    <xf numFmtId="3" fontId="14" fillId="0" borderId="0" xfId="1" applyNumberFormat="1" applyFont="1" applyFill="1" applyAlignment="1"/>
    <xf numFmtId="164" fontId="14" fillId="0" borderId="0" xfId="11" applyNumberFormat="1" applyFont="1" applyFill="1" applyAlignment="1">
      <alignment horizontal="right"/>
    </xf>
    <xf numFmtId="164" fontId="14" fillId="0" borderId="0" xfId="0" applyNumberFormat="1" applyFont="1" applyFill="1" applyAlignment="1">
      <alignment horizontal="right"/>
    </xf>
    <xf numFmtId="164" fontId="70" fillId="0" borderId="0" xfId="0" applyNumberFormat="1" applyFont="1" applyFill="1" applyAlignment="1">
      <alignment horizontal="right"/>
    </xf>
    <xf numFmtId="164" fontId="14" fillId="0" borderId="7" xfId="0" applyNumberFormat="1" applyFont="1" applyFill="1" applyBorder="1"/>
    <xf numFmtId="1" fontId="44" fillId="0" borderId="0" xfId="0" applyNumberFormat="1" applyFont="1" applyFill="1"/>
    <xf numFmtId="166" fontId="44" fillId="0" borderId="0" xfId="58" applyFont="1" applyFill="1"/>
    <xf numFmtId="1" fontId="56" fillId="0" borderId="0" xfId="0" applyNumberFormat="1" applyFont="1" applyFill="1" applyAlignment="1">
      <alignment horizontal="centerContinuous"/>
    </xf>
    <xf numFmtId="1" fontId="56" fillId="0" borderId="3" xfId="0" applyNumberFormat="1" applyFont="1" applyFill="1" applyBorder="1"/>
    <xf numFmtId="1" fontId="60" fillId="0" borderId="0" xfId="0" applyNumberFormat="1" applyFont="1" applyFill="1" applyBorder="1" applyAlignment="1"/>
    <xf numFmtId="1" fontId="61" fillId="0" borderId="0" xfId="0" applyNumberFormat="1" applyFont="1" applyFill="1" applyAlignment="1">
      <alignment horizontal="right"/>
    </xf>
    <xf numFmtId="1" fontId="62" fillId="0" borderId="5" xfId="0" applyNumberFormat="1" applyFont="1" applyFill="1" applyBorder="1"/>
    <xf numFmtId="1" fontId="62" fillId="0" borderId="0" xfId="0" applyNumberFormat="1" applyFont="1" applyFill="1" applyBorder="1"/>
    <xf numFmtId="1" fontId="62" fillId="0" borderId="0" xfId="0" applyNumberFormat="1" applyFont="1" applyFill="1"/>
    <xf numFmtId="166" fontId="62" fillId="0" borderId="0" xfId="58" applyFont="1" applyFill="1"/>
    <xf numFmtId="166" fontId="52" fillId="0" borderId="4" xfId="58" applyFont="1" applyFill="1" applyBorder="1"/>
    <xf numFmtId="0" fontId="52" fillId="0" borderId="0" xfId="0" applyFont="1" applyFill="1" applyBorder="1" applyAlignment="1">
      <alignment horizontal="right"/>
    </xf>
    <xf numFmtId="166" fontId="52" fillId="0" borderId="0" xfId="58" applyFont="1" applyFill="1" applyAlignment="1">
      <alignment horizontal="right"/>
    </xf>
    <xf numFmtId="166" fontId="52" fillId="0" borderId="8" xfId="58" applyFont="1" applyFill="1" applyBorder="1"/>
    <xf numFmtId="164" fontId="52" fillId="0" borderId="8" xfId="12" applyFont="1" applyFill="1" applyBorder="1"/>
    <xf numFmtId="166" fontId="62" fillId="0" borderId="0" xfId="58" applyFont="1" applyFill="1" applyBorder="1"/>
    <xf numFmtId="166" fontId="62" fillId="0" borderId="0" xfId="58" applyFont="1" applyFill="1" applyAlignment="1">
      <alignment horizontal="right"/>
    </xf>
    <xf numFmtId="1" fontId="71" fillId="0" borderId="0" xfId="0" applyNumberFormat="1" applyFont="1" applyFill="1"/>
    <xf numFmtId="166" fontId="52" fillId="0" borderId="7" xfId="58" applyFont="1" applyFill="1" applyBorder="1"/>
    <xf numFmtId="166" fontId="55" fillId="0" borderId="0" xfId="58" applyFont="1" applyFill="1"/>
    <xf numFmtId="1" fontId="61" fillId="4" borderId="0" xfId="0" applyNumberFormat="1" applyFont="1" applyFill="1" applyAlignment="1">
      <alignment horizontal="right"/>
    </xf>
    <xf numFmtId="3" fontId="52" fillId="4" borderId="0" xfId="1" applyNumberFormat="1" applyFont="1" applyFill="1" applyBorder="1"/>
    <xf numFmtId="1" fontId="11" fillId="4" borderId="0" xfId="0" applyNumberFormat="1" applyFont="1" applyFill="1"/>
    <xf numFmtId="3" fontId="52" fillId="4" borderId="7" xfId="1" applyNumberFormat="1" applyFont="1" applyFill="1" applyBorder="1"/>
    <xf numFmtId="1" fontId="52" fillId="4" borderId="0" xfId="0" applyNumberFormat="1" applyFont="1" applyFill="1" applyAlignment="1">
      <alignment horizontal="right"/>
    </xf>
    <xf numFmtId="166" fontId="14" fillId="0" borderId="0" xfId="58" applyFont="1" applyFill="1" applyAlignment="1">
      <alignment horizontal="right"/>
    </xf>
    <xf numFmtId="1" fontId="14" fillId="4" borderId="0" xfId="0" applyNumberFormat="1" applyFont="1" applyFill="1" applyAlignment="1">
      <alignment horizontal="right"/>
    </xf>
    <xf numFmtId="172" fontId="45" fillId="0" borderId="0" xfId="0" applyNumberFormat="1" applyFont="1"/>
    <xf numFmtId="166" fontId="52" fillId="0" borderId="6" xfId="58" applyFont="1" applyFill="1" applyBorder="1"/>
    <xf numFmtId="166" fontId="14" fillId="0" borderId="0" xfId="58" applyFont="1" applyFill="1"/>
    <xf numFmtId="164" fontId="7" fillId="0" borderId="0" xfId="11" applyNumberFormat="1" applyFont="1" applyFill="1" applyAlignment="1">
      <alignment horizontal="right"/>
    </xf>
    <xf numFmtId="164" fontId="13" fillId="0" borderId="4" xfId="11" quotePrefix="1" applyNumberFormat="1" applyFont="1" applyFill="1" applyBorder="1" applyAlignment="1">
      <alignment horizontal="right"/>
    </xf>
    <xf numFmtId="3" fontId="8" fillId="0" borderId="4" xfId="1" quotePrefix="1" applyNumberFormat="1" applyFont="1" applyFill="1" applyBorder="1" applyAlignment="1">
      <alignment horizontal="right"/>
    </xf>
    <xf numFmtId="3" fontId="13" fillId="0" borderId="4" xfId="1" quotePrefix="1" applyNumberFormat="1" applyFont="1" applyFill="1" applyBorder="1" applyAlignment="1">
      <alignment horizontal="right"/>
    </xf>
    <xf numFmtId="164" fontId="13" fillId="0" borderId="8" xfId="11" quotePrefix="1" applyNumberFormat="1" applyFont="1" applyFill="1" applyBorder="1" applyAlignment="1">
      <alignment horizontal="right"/>
    </xf>
    <xf numFmtId="164" fontId="13" fillId="0" borderId="4" xfId="1" quotePrefix="1" applyNumberFormat="1" applyFont="1" applyFill="1" applyBorder="1" applyAlignment="1">
      <alignment horizontal="right"/>
    </xf>
    <xf numFmtId="3" fontId="13" fillId="0" borderId="0" xfId="1" quotePrefix="1" applyNumberFormat="1" applyFont="1" applyFill="1" applyBorder="1" applyAlignment="1">
      <alignment horizontal="right"/>
    </xf>
    <xf numFmtId="164" fontId="13" fillId="0" borderId="6" xfId="11" quotePrefix="1" applyNumberFormat="1" applyFont="1" applyFill="1" applyBorder="1" applyAlignment="1">
      <alignment horizontal="right"/>
    </xf>
    <xf numFmtId="1" fontId="37" fillId="0" borderId="0" xfId="0" applyNumberFormat="1" applyFont="1" applyFill="1"/>
    <xf numFmtId="1" fontId="21" fillId="0" borderId="0" xfId="0" applyNumberFormat="1" applyFont="1" applyFill="1" applyAlignment="1">
      <alignment horizontal="right"/>
    </xf>
    <xf numFmtId="1" fontId="27" fillId="0" borderId="0" xfId="0" applyNumberFormat="1" applyFont="1" applyFill="1" applyAlignment="1">
      <alignment horizontal="right"/>
    </xf>
    <xf numFmtId="166" fontId="27" fillId="0" borderId="0" xfId="58" applyFont="1" applyFill="1" applyAlignment="1">
      <alignment horizontal="right"/>
    </xf>
    <xf numFmtId="1" fontId="14" fillId="0" borderId="0" xfId="0" applyNumberFormat="1" applyFont="1" applyFill="1" applyAlignment="1">
      <alignment horizontal="centerContinuous"/>
    </xf>
    <xf numFmtId="1" fontId="14" fillId="0" borderId="3" xfId="0" applyNumberFormat="1" applyFont="1" applyFill="1" applyBorder="1" applyAlignment="1">
      <alignment horizontal="centerContinuous"/>
    </xf>
    <xf numFmtId="1" fontId="14" fillId="0" borderId="0" xfId="0" applyNumberFormat="1" applyFont="1" applyFill="1" applyBorder="1" applyAlignment="1">
      <alignment horizontal="centerContinuous"/>
    </xf>
    <xf numFmtId="1" fontId="48" fillId="0" borderId="0" xfId="0" applyNumberFormat="1" applyFont="1" applyFill="1" applyBorder="1"/>
    <xf numFmtId="1" fontId="14" fillId="0" borderId="5" xfId="0" applyNumberFormat="1" applyFont="1" applyFill="1" applyBorder="1"/>
    <xf numFmtId="1" fontId="51" fillId="0" borderId="0" xfId="0" applyNumberFormat="1" applyFont="1" applyFill="1" applyAlignment="1">
      <alignment horizontal="centerContinuous"/>
    </xf>
    <xf numFmtId="3" fontId="14" fillId="0" borderId="4" xfId="1" quotePrefix="1" applyNumberFormat="1" applyFont="1" applyFill="1" applyBorder="1" applyAlignment="1">
      <alignment horizontal="right"/>
    </xf>
    <xf numFmtId="3" fontId="14" fillId="0" borderId="4" xfId="1" applyNumberFormat="1" applyFont="1" applyFill="1" applyBorder="1"/>
    <xf numFmtId="164" fontId="14" fillId="0" borderId="0" xfId="11" quotePrefix="1" applyNumberFormat="1" applyFont="1" applyFill="1" applyAlignment="1">
      <alignment horizontal="right"/>
    </xf>
    <xf numFmtId="164" fontId="14" fillId="0" borderId="0" xfId="11" applyNumberFormat="1" applyFont="1" applyFill="1" applyBorder="1" applyAlignment="1">
      <alignment horizontal="right"/>
    </xf>
    <xf numFmtId="1" fontId="30" fillId="0" borderId="0" xfId="0" applyNumberFormat="1" applyFont="1" applyFill="1" applyAlignment="1">
      <alignment horizontal="right"/>
    </xf>
    <xf numFmtId="164" fontId="14" fillId="0" borderId="4" xfId="1" applyNumberFormat="1" applyFont="1" applyFill="1" applyBorder="1"/>
    <xf numFmtId="3" fontId="14" fillId="0" borderId="0" xfId="1" quotePrefix="1" applyNumberFormat="1" applyFont="1" applyFill="1" applyAlignment="1">
      <alignment horizontal="right"/>
    </xf>
    <xf numFmtId="164" fontId="14" fillId="0" borderId="6" xfId="11" applyNumberFormat="1" applyFont="1" applyFill="1" applyBorder="1"/>
    <xf numFmtId="166" fontId="37" fillId="0" borderId="0" xfId="58" applyFont="1" applyFill="1"/>
    <xf numFmtId="10" fontId="37" fillId="0" borderId="0" xfId="58" applyNumberFormat="1" applyFont="1" applyFill="1"/>
    <xf numFmtId="166" fontId="37" fillId="0" borderId="0" xfId="58" applyNumberFormat="1" applyFont="1" applyFill="1"/>
    <xf numFmtId="166" fontId="45" fillId="0" borderId="0" xfId="58" applyFont="1" applyFill="1"/>
    <xf numFmtId="1" fontId="30" fillId="0" borderId="0" xfId="0" applyNumberFormat="1" applyFont="1" applyFill="1"/>
    <xf numFmtId="164" fontId="14" fillId="0" borderId="8" xfId="1" applyNumberFormat="1" applyFont="1" applyFill="1" applyBorder="1"/>
    <xf numFmtId="169" fontId="14" fillId="0" borderId="0" xfId="0" applyNumberFormat="1" applyFont="1" applyFill="1"/>
    <xf numFmtId="1" fontId="14" fillId="0" borderId="3" xfId="0" applyNumberFormat="1" applyFont="1" applyFill="1" applyBorder="1"/>
    <xf numFmtId="1" fontId="45" fillId="0" borderId="0" xfId="0" applyNumberFormat="1" applyFont="1" applyFill="1" applyBorder="1"/>
    <xf numFmtId="1" fontId="45" fillId="0" borderId="5" xfId="0" applyNumberFormat="1" applyFont="1" applyFill="1" applyBorder="1"/>
    <xf numFmtId="164" fontId="14" fillId="0" borderId="4" xfId="11" applyNumberFormat="1" applyFont="1" applyFill="1" applyBorder="1" applyAlignment="1"/>
    <xf numFmtId="164" fontId="14" fillId="0" borderId="4" xfId="1" applyNumberFormat="1" applyFont="1" applyFill="1" applyBorder="1" applyAlignment="1"/>
    <xf numFmtId="3" fontId="14" fillId="0" borderId="4" xfId="1" applyNumberFormat="1" applyFont="1" applyFill="1" applyBorder="1" applyAlignment="1"/>
    <xf numFmtId="164" fontId="14" fillId="0" borderId="8" xfId="11" applyNumberFormat="1" applyFont="1" applyFill="1" applyBorder="1" applyAlignment="1"/>
    <xf numFmtId="164" fontId="14" fillId="0" borderId="0" xfId="11" applyNumberFormat="1" applyFont="1" applyFill="1" applyBorder="1" applyAlignment="1"/>
    <xf numFmtId="164" fontId="14" fillId="0" borderId="0" xfId="0" applyNumberFormat="1" applyFont="1" applyFill="1"/>
    <xf numFmtId="164" fontId="14" fillId="0" borderId="6" xfId="11" applyNumberFormat="1" applyFont="1" applyFill="1" applyBorder="1" applyAlignment="1"/>
    <xf numFmtId="1" fontId="60" fillId="0" borderId="0" xfId="0" applyNumberFormat="1" applyFont="1" applyFill="1" applyBorder="1" applyAlignment="1">
      <alignment horizontal="center"/>
    </xf>
    <xf numFmtId="171" fontId="52" fillId="0" borderId="0" xfId="11" applyNumberFormat="1" applyFont="1" applyFill="1" applyAlignment="1"/>
    <xf numFmtId="170" fontId="60" fillId="0" borderId="0" xfId="11" applyNumberFormat="1" applyFont="1" applyFill="1"/>
    <xf numFmtId="4" fontId="52" fillId="4" borderId="0" xfId="1" applyNumberFormat="1" applyFont="1" applyFill="1"/>
    <xf numFmtId="166" fontId="11" fillId="0" borderId="0" xfId="58" quotePrefix="1" applyFont="1" applyBorder="1" applyAlignment="1">
      <alignment horizontal="right"/>
    </xf>
    <xf numFmtId="1" fontId="21" fillId="0" borderId="0" xfId="0" applyNumberFormat="1" applyFont="1" applyFill="1"/>
    <xf numFmtId="1" fontId="53" fillId="0" borderId="0" xfId="0" applyNumberFormat="1" applyFont="1" applyFill="1"/>
    <xf numFmtId="1" fontId="26" fillId="0" borderId="0" xfId="0" applyNumberFormat="1" applyFont="1" applyFill="1"/>
    <xf numFmtId="3" fontId="27" fillId="0" borderId="0" xfId="1" applyNumberFormat="1" applyFont="1" applyFill="1"/>
    <xf numFmtId="3" fontId="60" fillId="0" borderId="0" xfId="1" applyNumberFormat="1" applyFont="1" applyFill="1"/>
    <xf numFmtId="166" fontId="29" fillId="0" borderId="0" xfId="58" applyFont="1" applyFill="1"/>
    <xf numFmtId="3" fontId="29" fillId="0" borderId="0" xfId="1" applyNumberFormat="1" applyFont="1" applyFill="1"/>
    <xf numFmtId="1" fontId="65" fillId="4" borderId="0" xfId="0" applyNumberFormat="1" applyFont="1" applyFill="1"/>
    <xf numFmtId="1" fontId="65" fillId="4" borderId="2" xfId="0" applyNumberFormat="1" applyFont="1" applyFill="1" applyBorder="1"/>
    <xf numFmtId="1" fontId="65" fillId="4" borderId="5" xfId="0" applyNumberFormat="1" applyFont="1" applyFill="1" applyBorder="1"/>
    <xf numFmtId="3" fontId="52" fillId="4" borderId="0" xfId="0" applyNumberFormat="1" applyFont="1" applyFill="1"/>
    <xf numFmtId="166" fontId="52" fillId="4" borderId="0" xfId="59" applyFont="1" applyFill="1" applyAlignment="1">
      <alignment horizontal="right"/>
    </xf>
    <xf numFmtId="166" fontId="52" fillId="4" borderId="4" xfId="59" applyFont="1" applyFill="1" applyBorder="1" applyAlignment="1">
      <alignment horizontal="right"/>
    </xf>
    <xf numFmtId="1" fontId="0" fillId="4" borderId="0" xfId="0" applyNumberFormat="1" applyFill="1"/>
    <xf numFmtId="3" fontId="52" fillId="4" borderId="2" xfId="1" applyNumberFormat="1" applyFont="1" applyFill="1" applyBorder="1"/>
    <xf numFmtId="3" fontId="52" fillId="4" borderId="5" xfId="1" applyNumberFormat="1" applyFont="1" applyFill="1" applyBorder="1"/>
    <xf numFmtId="1" fontId="60" fillId="4" borderId="0" xfId="0" applyNumberFormat="1" applyFont="1" applyFill="1"/>
    <xf numFmtId="1" fontId="73" fillId="4" borderId="0" xfId="0" applyNumberFormat="1" applyFont="1" applyFill="1"/>
    <xf numFmtId="166" fontId="65" fillId="0" borderId="2" xfId="58" applyFont="1" applyFill="1" applyBorder="1"/>
    <xf numFmtId="166" fontId="65" fillId="0" borderId="5" xfId="58" applyFont="1" applyFill="1" applyBorder="1"/>
    <xf numFmtId="166" fontId="52" fillId="0" borderId="0" xfId="59" applyFont="1" applyFill="1" applyAlignment="1">
      <alignment horizontal="right"/>
    </xf>
    <xf numFmtId="166" fontId="52" fillId="0" borderId="4" xfId="59" applyFont="1" applyFill="1" applyBorder="1" applyAlignment="1">
      <alignment horizontal="right"/>
    </xf>
    <xf numFmtId="168" fontId="52" fillId="0" borderId="0" xfId="78" applyNumberFormat="1" applyFont="1" applyFill="1" applyBorder="1"/>
    <xf numFmtId="166" fontId="59" fillId="0" borderId="0" xfId="58" applyFont="1" applyFill="1" applyAlignment="1">
      <alignment horizontal="right"/>
    </xf>
    <xf numFmtId="166" fontId="52" fillId="0" borderId="2" xfId="58" applyFont="1" applyFill="1" applyBorder="1"/>
    <xf numFmtId="166" fontId="52" fillId="0" borderId="5" xfId="58" applyFont="1" applyFill="1" applyBorder="1"/>
    <xf numFmtId="166" fontId="11" fillId="0" borderId="0" xfId="58" applyFont="1" applyAlignment="1">
      <alignment horizontal="right"/>
    </xf>
    <xf numFmtId="166" fontId="59" fillId="0" borderId="0" xfId="58" applyFont="1" applyAlignment="1">
      <alignment horizontal="right"/>
    </xf>
    <xf numFmtId="1" fontId="22" fillId="0" borderId="0" xfId="0" applyNumberFormat="1" applyFont="1" applyFill="1"/>
    <xf numFmtId="1" fontId="0" fillId="0" borderId="5" xfId="0" applyNumberFormat="1" applyFill="1" applyBorder="1"/>
    <xf numFmtId="3" fontId="8" fillId="0" borderId="4" xfId="0" applyNumberFormat="1" applyFont="1" applyFill="1" applyBorder="1"/>
    <xf numFmtId="166" fontId="8" fillId="0" borderId="0" xfId="0" applyNumberFormat="1" applyFont="1" applyFill="1" applyAlignment="1">
      <alignment horizontal="right"/>
    </xf>
    <xf numFmtId="3" fontId="0" fillId="0" borderId="0" xfId="0" applyNumberFormat="1" applyFill="1"/>
    <xf numFmtId="3" fontId="8" fillId="0" borderId="2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right"/>
    </xf>
    <xf numFmtId="3" fontId="65" fillId="0" borderId="0" xfId="0" applyNumberFormat="1" applyFont="1" applyFill="1"/>
    <xf numFmtId="3" fontId="14" fillId="0" borderId="4" xfId="0" applyNumberFormat="1" applyFont="1" applyFill="1" applyBorder="1"/>
    <xf numFmtId="3" fontId="14" fillId="0" borderId="5" xfId="0" applyNumberFormat="1" applyFont="1" applyFill="1" applyBorder="1"/>
    <xf numFmtId="3" fontId="8" fillId="0" borderId="5" xfId="0" applyNumberFormat="1" applyFont="1" applyFill="1" applyBorder="1"/>
    <xf numFmtId="3" fontId="8" fillId="0" borderId="6" xfId="0" applyNumberFormat="1" applyFont="1" applyFill="1" applyBorder="1"/>
    <xf numFmtId="1" fontId="73" fillId="0" borderId="0" xfId="0" applyNumberFormat="1" applyFont="1" applyFill="1"/>
    <xf numFmtId="1" fontId="7" fillId="0" borderId="0" xfId="0" applyNumberFormat="1" applyFont="1" applyFill="1" applyAlignment="1"/>
    <xf numFmtId="1" fontId="8" fillId="0" borderId="2" xfId="0" applyNumberFormat="1" applyFont="1" applyFill="1" applyBorder="1" applyAlignment="1">
      <alignment horizontal="centerContinuous"/>
    </xf>
    <xf numFmtId="165" fontId="24" fillId="0" borderId="0" xfId="0" applyNumberFormat="1" applyFont="1" applyFill="1" applyAlignment="1">
      <alignment horizontal="right"/>
    </xf>
    <xf numFmtId="166" fontId="8" fillId="0" borderId="0" xfId="0" applyNumberFormat="1" applyFont="1" applyFill="1"/>
    <xf numFmtId="166" fontId="8" fillId="0" borderId="2" xfId="0" applyNumberFormat="1" applyFont="1" applyFill="1" applyBorder="1" applyAlignment="1">
      <alignment horizontal="right"/>
    </xf>
    <xf numFmtId="3" fontId="64" fillId="0" borderId="0" xfId="1" applyNumberFormat="1" applyFont="1" applyFill="1"/>
    <xf numFmtId="166" fontId="64" fillId="0" borderId="0" xfId="58" applyFont="1" applyFill="1"/>
    <xf numFmtId="3" fontId="64" fillId="0" borderId="0" xfId="0" applyNumberFormat="1" applyFont="1" applyFill="1"/>
    <xf numFmtId="1" fontId="64" fillId="0" borderId="0" xfId="0" applyNumberFormat="1" applyFont="1" applyFill="1"/>
    <xf numFmtId="3" fontId="30" fillId="0" borderId="0" xfId="0" applyNumberFormat="1" applyFont="1" applyFill="1"/>
    <xf numFmtId="3" fontId="73" fillId="0" borderId="0" xfId="0" applyNumberFormat="1" applyFont="1" applyFill="1"/>
    <xf numFmtId="3" fontId="8" fillId="0" borderId="0" xfId="0" applyNumberFormat="1" applyFont="1" applyFill="1" applyAlignment="1">
      <alignment horizontal="centerContinuous"/>
    </xf>
    <xf numFmtId="166" fontId="27" fillId="0" borderId="0" xfId="58" applyNumberFormat="1" applyFont="1" applyFill="1"/>
    <xf numFmtId="166" fontId="30" fillId="0" borderId="0" xfId="58" applyNumberFormat="1" applyFont="1" applyFill="1"/>
    <xf numFmtId="1" fontId="7" fillId="0" borderId="2" xfId="0" applyNumberFormat="1" applyFont="1" applyFill="1" applyBorder="1"/>
    <xf numFmtId="168" fontId="14" fillId="0" borderId="0" xfId="1" applyNumberFormat="1" applyFont="1" applyFill="1" applyBorder="1"/>
    <xf numFmtId="0" fontId="13" fillId="0" borderId="0" xfId="0" applyFont="1" applyFill="1"/>
    <xf numFmtId="168" fontId="14" fillId="0" borderId="0" xfId="1" applyNumberFormat="1" applyFont="1" applyFill="1"/>
    <xf numFmtId="1" fontId="60" fillId="0" borderId="0" xfId="0" applyNumberFormat="1" applyFont="1" applyFill="1" applyBorder="1" applyAlignment="1">
      <alignment horizontal="center"/>
    </xf>
    <xf numFmtId="1" fontId="60" fillId="4" borderId="0" xfId="0" applyNumberFormat="1" applyFont="1" applyFill="1" applyBorder="1" applyAlignment="1">
      <alignment horizontal="center"/>
    </xf>
    <xf numFmtId="1" fontId="60" fillId="0" borderId="0" xfId="0" applyNumberFormat="1" applyFont="1" applyBorder="1" applyAlignment="1">
      <alignment horizontal="center"/>
    </xf>
  </cellXfs>
  <cellStyles count="84">
    <cellStyle name="Comma" xfId="1" builtinId="3"/>
    <cellStyle name="Comma 2" xfId="72"/>
    <cellStyle name="Comma 3" xfId="75"/>
    <cellStyle name="Comma 4" xfId="78"/>
    <cellStyle name="Comma0" xfId="2"/>
    <cellStyle name="Comma0 2" xfId="3"/>
    <cellStyle name="Comma0 2 2" xfId="4"/>
    <cellStyle name="Comma0 3" xfId="5"/>
    <cellStyle name="Comma0 3 2" xfId="6"/>
    <cellStyle name="Comma0 4" xfId="7"/>
    <cellStyle name="Comma0 4 2" xfId="8"/>
    <cellStyle name="Comma0 5" xfId="9"/>
    <cellStyle name="Comma0 5 2" xfId="10"/>
    <cellStyle name="Currency" xfId="11" builtinId="4"/>
    <cellStyle name="Currency 2" xfId="79"/>
    <cellStyle name="Currency 3" xfId="82"/>
    <cellStyle name="Currency0" xfId="12"/>
    <cellStyle name="Currency0 2" xfId="13"/>
    <cellStyle name="Currency0 2 2" xfId="14"/>
    <cellStyle name="Currency0 3" xfId="15"/>
    <cellStyle name="Currency0 3 2" xfId="16"/>
    <cellStyle name="Currency0 4" xfId="17"/>
    <cellStyle name="Currency0 4 2" xfId="18"/>
    <cellStyle name="Currency0 5" xfId="19"/>
    <cellStyle name="Currency0 5 2" xfId="20"/>
    <cellStyle name="Date" xfId="21"/>
    <cellStyle name="Date 2" xfId="22"/>
    <cellStyle name="Date 2 2" xfId="23"/>
    <cellStyle name="Date 3" xfId="24"/>
    <cellStyle name="Date 3 2" xfId="25"/>
    <cellStyle name="Date 4" xfId="26"/>
    <cellStyle name="Date 4 2" xfId="27"/>
    <cellStyle name="Date 5" xfId="28"/>
    <cellStyle name="Date 5 2" xfId="29"/>
    <cellStyle name="Fixed" xfId="30"/>
    <cellStyle name="Fixed 2" xfId="31"/>
    <cellStyle name="Fixed 2 2" xfId="32"/>
    <cellStyle name="Fixed 3" xfId="33"/>
    <cellStyle name="Fixed 3 2" xfId="34"/>
    <cellStyle name="Fixed 4" xfId="35"/>
    <cellStyle name="Fixed 4 2" xfId="36"/>
    <cellStyle name="Fixed 5" xfId="37"/>
    <cellStyle name="Fixed 5 2" xfId="38"/>
    <cellStyle name="Heading 1" xfId="39" builtinId="16" customBuiltin="1"/>
    <cellStyle name="Heading 1 2" xfId="40"/>
    <cellStyle name="Heading 1 2 2" xfId="41"/>
    <cellStyle name="Heading 1 3" xfId="42"/>
    <cellStyle name="Heading 1 3 2" xfId="43"/>
    <cellStyle name="Heading 1 4" xfId="44"/>
    <cellStyle name="Heading 1 4 2" xfId="45"/>
    <cellStyle name="Heading 1 5" xfId="46"/>
    <cellStyle name="Heading 1 5 2" xfId="47"/>
    <cellStyle name="Heading 2" xfId="48" builtinId="17" customBuiltin="1"/>
    <cellStyle name="Heading 2 2" xfId="49"/>
    <cellStyle name="Heading 2 2 2" xfId="50"/>
    <cellStyle name="Heading 2 3" xfId="51"/>
    <cellStyle name="Heading 2 3 2" xfId="52"/>
    <cellStyle name="Heading 2 4" xfId="53"/>
    <cellStyle name="Heading 2 4 2" xfId="54"/>
    <cellStyle name="Heading 2 5" xfId="55"/>
    <cellStyle name="Heading 2 5 2" xfId="56"/>
    <cellStyle name="Normal" xfId="0" builtinId="0"/>
    <cellStyle name="Normal 2" xfId="57"/>
    <cellStyle name="Normal 3" xfId="71"/>
    <cellStyle name="Normal 4" xfId="74"/>
    <cellStyle name="Normal 5" xfId="77"/>
    <cellStyle name="Normal 6" xfId="81"/>
    <cellStyle name="Percent" xfId="58" builtinId="5"/>
    <cellStyle name="Percent 2" xfId="73"/>
    <cellStyle name="Percent 3" xfId="59"/>
    <cellStyle name="Percent 3 2" xfId="60"/>
    <cellStyle name="Percent 4" xfId="76"/>
    <cellStyle name="Percent 5" xfId="80"/>
    <cellStyle name="Percent 6" xfId="83"/>
    <cellStyle name="Percent_TA3LONG" xfId="61"/>
    <cellStyle name="Total" xfId="62" builtinId="25" customBuiltin="1"/>
    <cellStyle name="Total 2" xfId="63"/>
    <cellStyle name="Total 2 2" xfId="64"/>
    <cellStyle name="Total 3" xfId="65"/>
    <cellStyle name="Total 3 2" xfId="66"/>
    <cellStyle name="Total 4" xfId="67"/>
    <cellStyle name="Total 4 2" xfId="68"/>
    <cellStyle name="Total 5" xfId="69"/>
    <cellStyle name="Total 5 2" xfId="70"/>
  </cellStyles>
  <dxfs count="0"/>
  <tableStyles count="1" defaultTableStyle="TableStyleMedium9" defaultPivotStyle="PivotStyleLight16">
    <tableStyle name="PivotTable Style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Regulatory Spending, 1992 $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5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90-429C-A510-D39EF14338D7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90-429C-A510-D39EF14338D7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Depth val="100"/>
        <c:axId val="-2136110568"/>
        <c:axId val="2134958472"/>
        <c:axId val="0"/>
      </c:area3DChart>
      <c:catAx>
        <c:axId val="-21361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58472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2134958472"/>
        <c:scaling>
          <c:orientation val="minMax"/>
        </c:scaling>
        <c:delete val="0"/>
        <c:axPos val="l"/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10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0000000000004" r="0.750000000000004" t="1.0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Regulatory Spending, 1992 $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6"/>
      <c:rotY val="20"/>
      <c:depthPercent val="5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CA-4E97-A68E-04224F6C015D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CA-4E97-A68E-04224F6C015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Depth val="100"/>
        <c:axId val="-2134292632"/>
        <c:axId val="2097800056"/>
        <c:axId val="0"/>
      </c:area3DChart>
      <c:catAx>
        <c:axId val="-213429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800056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2097800056"/>
        <c:scaling>
          <c:orientation val="minMax"/>
        </c:scaling>
        <c:delete val="0"/>
        <c:axPos val="l"/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92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0000000000004" r="0.750000000000004" t="1.0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249</xdr:row>
      <xdr:rowOff>0</xdr:rowOff>
    </xdr:from>
    <xdr:to>
      <xdr:col>4</xdr:col>
      <xdr:colOff>571500</xdr:colOff>
      <xdr:row>249</xdr:row>
      <xdr:rowOff>0</xdr:rowOff>
    </xdr:to>
    <xdr:graphicFrame macro="">
      <xdr:nvGraphicFramePr>
        <xdr:cNvPr id="12580" name="Chart 5">
          <a:extLst>
            <a:ext uri="{FF2B5EF4-FFF2-40B4-BE49-F238E27FC236}">
              <a16:creationId xmlns:a16="http://schemas.microsoft.com/office/drawing/2014/main" xmlns="" id="{00000000-0008-0000-0000-0000243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223</xdr:row>
      <xdr:rowOff>0</xdr:rowOff>
    </xdr:from>
    <xdr:to>
      <xdr:col>4</xdr:col>
      <xdr:colOff>571500</xdr:colOff>
      <xdr:row>223</xdr:row>
      <xdr:rowOff>0</xdr:rowOff>
    </xdr:to>
    <xdr:graphicFrame macro="">
      <xdr:nvGraphicFramePr>
        <xdr:cNvPr id="14628" name="Chart 1">
          <a:extLst>
            <a:ext uri="{FF2B5EF4-FFF2-40B4-BE49-F238E27FC236}">
              <a16:creationId xmlns:a16="http://schemas.microsoft.com/office/drawing/2014/main" xmlns="" id="{00000000-0008-0000-0100-0000243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361"/>
  <sheetViews>
    <sheetView tabSelected="1" zoomScaleSheetLayoutView="100" workbookViewId="0">
      <pane xSplit="1" ySplit="2" topLeftCell="AX3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baseColWidth="10" defaultColWidth="8.83203125" defaultRowHeight="15" x14ac:dyDescent="0"/>
  <cols>
    <col min="1" max="1" width="46" style="3" customWidth="1"/>
    <col min="2" max="2" width="6.5" style="178" customWidth="1"/>
    <col min="3" max="11" width="6.5" style="3" customWidth="1"/>
    <col min="12" max="12" width="6.5" style="178" customWidth="1"/>
    <col min="13" max="21" width="6.5" style="3" customWidth="1"/>
    <col min="22" max="22" width="6.5" style="178" customWidth="1"/>
    <col min="23" max="31" width="6.5" style="3" customWidth="1"/>
    <col min="32" max="32" width="6.5" style="178" customWidth="1"/>
    <col min="33" max="34" width="6.5" style="3" customWidth="1"/>
    <col min="35" max="35" width="7" style="3" customWidth="1"/>
    <col min="36" max="41" width="6.5" style="3" customWidth="1"/>
    <col min="42" max="42" width="6.5" style="178" customWidth="1"/>
    <col min="43" max="47" width="6.5" style="3" customWidth="1"/>
    <col min="48" max="48" width="6.5" style="69" customWidth="1"/>
    <col min="49" max="51" width="6.5" style="195" customWidth="1"/>
    <col min="52" max="52" width="6.5" style="849" customWidth="1"/>
    <col min="53" max="53" width="6" style="343" customWidth="1"/>
    <col min="54" max="54" width="6" style="292" customWidth="1"/>
    <col min="55" max="55" width="6" style="320" customWidth="1"/>
    <col min="56" max="61" width="6" style="391" customWidth="1"/>
    <col min="62" max="63" width="8.5" style="531" customWidth="1"/>
    <col min="64" max="64" width="8" style="559" customWidth="1"/>
    <col min="65" max="65" width="9" style="560" customWidth="1"/>
    <col min="66" max="66" width="5" style="291" customWidth="1"/>
    <col min="67" max="67" width="5.33203125" style="112" customWidth="1"/>
    <col min="68" max="68" width="6" style="112" customWidth="1"/>
    <col min="69" max="69" width="7.33203125" customWidth="1"/>
    <col min="70" max="70" width="28" customWidth="1"/>
    <col min="71" max="163" width="10" customWidth="1"/>
    <col min="164" max="164" width="1.5" customWidth="1"/>
  </cols>
  <sheetData>
    <row r="1" spans="1:77" ht="11.25" customHeight="1">
      <c r="A1" s="185" t="s">
        <v>2</v>
      </c>
      <c r="B1" s="794">
        <v>1960</v>
      </c>
      <c r="C1" s="259">
        <v>1961</v>
      </c>
      <c r="D1" s="259">
        <v>1962</v>
      </c>
      <c r="E1" s="259">
        <v>1963</v>
      </c>
      <c r="F1" s="259">
        <v>1964</v>
      </c>
      <c r="G1" s="259">
        <v>1965</v>
      </c>
      <c r="H1" s="259">
        <v>1966</v>
      </c>
      <c r="I1" s="259">
        <v>1967</v>
      </c>
      <c r="J1" s="259">
        <v>1968</v>
      </c>
      <c r="K1" s="259">
        <v>1969</v>
      </c>
      <c r="L1" s="794">
        <v>1970</v>
      </c>
      <c r="M1" s="259">
        <v>1971</v>
      </c>
      <c r="N1" s="259">
        <v>1972</v>
      </c>
      <c r="O1" s="259">
        <v>1973</v>
      </c>
      <c r="P1" s="259">
        <v>1974</v>
      </c>
      <c r="Q1" s="259">
        <v>1975</v>
      </c>
      <c r="R1" s="259">
        <v>1976</v>
      </c>
      <c r="S1" s="259">
        <v>1977</v>
      </c>
      <c r="T1" s="259">
        <v>1978</v>
      </c>
      <c r="U1" s="259">
        <v>1979</v>
      </c>
      <c r="V1" s="794">
        <v>1980</v>
      </c>
      <c r="W1" s="259">
        <v>1981</v>
      </c>
      <c r="X1" s="259">
        <v>1982</v>
      </c>
      <c r="Y1" s="259">
        <v>1983</v>
      </c>
      <c r="Z1" s="259">
        <v>1984</v>
      </c>
      <c r="AA1" s="259">
        <v>1985</v>
      </c>
      <c r="AB1" s="259">
        <v>1986</v>
      </c>
      <c r="AC1" s="259">
        <v>1987</v>
      </c>
      <c r="AD1" s="259">
        <v>1988</v>
      </c>
      <c r="AE1" s="259">
        <v>1989</v>
      </c>
      <c r="AF1" s="794">
        <v>1990</v>
      </c>
      <c r="AG1" s="259">
        <v>1991</v>
      </c>
      <c r="AH1" s="259">
        <v>1992</v>
      </c>
      <c r="AI1" s="259">
        <v>1993</v>
      </c>
      <c r="AJ1" s="259">
        <v>1994</v>
      </c>
      <c r="AK1" s="259">
        <v>1995</v>
      </c>
      <c r="AL1" s="259">
        <v>1996</v>
      </c>
      <c r="AM1" s="259">
        <v>1997</v>
      </c>
      <c r="AN1" s="259">
        <v>1998</v>
      </c>
      <c r="AO1" s="259">
        <v>1999</v>
      </c>
      <c r="AP1" s="794">
        <v>2000</v>
      </c>
      <c r="AQ1" s="259">
        <v>2001</v>
      </c>
      <c r="AR1" s="259">
        <v>2002</v>
      </c>
      <c r="AS1" s="259">
        <v>2003</v>
      </c>
      <c r="AT1" s="259">
        <v>2004</v>
      </c>
      <c r="AU1" s="259">
        <v>2005</v>
      </c>
      <c r="AV1" s="259">
        <v>2006</v>
      </c>
      <c r="AW1" s="260">
        <v>2007</v>
      </c>
      <c r="AX1" s="261">
        <v>2008</v>
      </c>
      <c r="AY1" s="261">
        <v>2009</v>
      </c>
      <c r="AZ1" s="850">
        <v>2010</v>
      </c>
      <c r="BA1" s="345">
        <v>2011</v>
      </c>
      <c r="BB1" s="345">
        <v>2012</v>
      </c>
      <c r="BC1" s="345">
        <v>2013</v>
      </c>
      <c r="BD1" s="532">
        <v>2014</v>
      </c>
      <c r="BE1" s="532">
        <v>2015</v>
      </c>
      <c r="BF1" s="532">
        <v>2016</v>
      </c>
      <c r="BG1" s="532">
        <v>2017</v>
      </c>
      <c r="BH1" s="532">
        <v>2018</v>
      </c>
      <c r="BI1" s="532">
        <v>2019</v>
      </c>
      <c r="BJ1" s="867" t="s">
        <v>164</v>
      </c>
      <c r="BK1" s="867" t="s">
        <v>165</v>
      </c>
      <c r="BL1" s="882" t="s">
        <v>164</v>
      </c>
      <c r="BM1" s="882" t="s">
        <v>165</v>
      </c>
      <c r="BN1" s="311"/>
      <c r="BO1" s="364"/>
    </row>
    <row r="2" spans="1:77" ht="15.75" customHeight="1" thickBot="1">
      <c r="A2" s="262"/>
      <c r="B2" s="795"/>
      <c r="C2" s="263"/>
      <c r="D2" s="263"/>
      <c r="E2" s="263"/>
      <c r="F2" s="263"/>
      <c r="G2" s="263"/>
      <c r="H2" s="263"/>
      <c r="I2" s="263"/>
      <c r="J2" s="263"/>
      <c r="K2" s="263"/>
      <c r="L2" s="821"/>
      <c r="M2" s="262"/>
      <c r="N2" s="262"/>
      <c r="O2" s="262"/>
      <c r="P2" s="262"/>
      <c r="Q2" s="262"/>
      <c r="R2" s="262"/>
      <c r="S2" s="262"/>
      <c r="T2" s="262"/>
      <c r="U2" s="262"/>
      <c r="V2" s="821"/>
      <c r="W2" s="262"/>
      <c r="X2" s="262"/>
      <c r="Y2" s="262"/>
      <c r="Z2" s="262"/>
      <c r="AA2" s="262"/>
      <c r="AB2" s="262"/>
      <c r="AC2" s="262"/>
      <c r="AD2" s="262"/>
      <c r="AE2" s="262"/>
      <c r="AF2" s="821"/>
      <c r="AG2" s="262"/>
      <c r="AH2" s="262"/>
      <c r="AI2" s="262"/>
      <c r="AJ2" s="262"/>
      <c r="AK2" s="263"/>
      <c r="AL2" s="263"/>
      <c r="AM2" s="263"/>
      <c r="AN2" s="263"/>
      <c r="AO2" s="263"/>
      <c r="AP2" s="795"/>
      <c r="AQ2" s="263"/>
      <c r="AR2" s="263"/>
      <c r="AS2" s="263"/>
      <c r="AT2" s="263"/>
      <c r="AU2" s="263"/>
      <c r="AV2" s="264"/>
      <c r="AW2" s="265"/>
      <c r="AX2" s="265"/>
      <c r="AY2" s="265"/>
      <c r="AZ2" s="851"/>
      <c r="BA2" s="346"/>
      <c r="BB2" s="379"/>
      <c r="BC2" s="456"/>
      <c r="BD2" s="519"/>
      <c r="BE2" s="519"/>
      <c r="BF2" s="519"/>
      <c r="BG2" s="519"/>
      <c r="BH2" s="519"/>
      <c r="BI2" s="519"/>
      <c r="BJ2" s="868"/>
      <c r="BK2" s="868"/>
      <c r="BL2" s="563"/>
      <c r="BM2" s="563"/>
      <c r="BN2" s="293"/>
    </row>
    <row r="3" spans="1:77" ht="15.75" customHeight="1">
      <c r="A3" s="121" t="s">
        <v>8</v>
      </c>
      <c r="L3" s="177"/>
      <c r="M3" s="2"/>
      <c r="N3" s="2"/>
      <c r="O3" s="2"/>
      <c r="P3" s="2"/>
      <c r="Q3" s="2"/>
      <c r="R3" s="2"/>
      <c r="S3" s="2"/>
      <c r="T3" s="2"/>
      <c r="U3" s="2"/>
      <c r="V3" s="832"/>
      <c r="W3" s="2"/>
      <c r="X3" s="2"/>
      <c r="Y3" s="6"/>
      <c r="Z3" s="6"/>
      <c r="AA3" s="6"/>
      <c r="AB3" s="6"/>
      <c r="AC3" s="6"/>
      <c r="AD3" s="6"/>
      <c r="AE3" s="6"/>
      <c r="AF3" s="179"/>
      <c r="AG3" s="6"/>
      <c r="AH3" s="6"/>
      <c r="AI3" s="6"/>
      <c r="AJ3" s="6"/>
      <c r="AO3" s="39"/>
      <c r="AP3" s="631"/>
      <c r="AQ3" s="39"/>
      <c r="AR3" s="39"/>
      <c r="AS3" s="39"/>
      <c r="AT3" s="39"/>
      <c r="AU3" s="39"/>
      <c r="AV3" s="185"/>
      <c r="AW3" s="196"/>
      <c r="AX3" s="196"/>
      <c r="AY3" s="196"/>
      <c r="AZ3" s="852"/>
      <c r="BA3" s="344"/>
      <c r="BB3" s="293"/>
      <c r="BC3" s="457"/>
      <c r="BD3" s="533"/>
      <c r="BE3" s="533"/>
      <c r="BF3" s="533"/>
      <c r="BG3" s="533"/>
      <c r="BH3" s="533"/>
      <c r="BI3" s="533"/>
      <c r="BJ3" s="869"/>
      <c r="BK3" s="869"/>
    </row>
    <row r="4" spans="1:77" ht="11.25" customHeight="1">
      <c r="A4" s="156"/>
      <c r="L4" s="177"/>
      <c r="M4" s="2"/>
      <c r="N4" s="2"/>
      <c r="O4" s="2"/>
      <c r="P4" s="2"/>
      <c r="Q4" s="2"/>
      <c r="R4" s="2"/>
      <c r="S4" s="2"/>
      <c r="T4" s="2"/>
      <c r="U4" s="2"/>
      <c r="V4" s="832"/>
      <c r="W4" s="2"/>
      <c r="X4" s="2"/>
      <c r="Y4" s="6"/>
      <c r="Z4" s="6"/>
      <c r="AA4" s="6"/>
      <c r="AB4" s="6"/>
      <c r="AC4" s="6"/>
      <c r="AD4" s="6"/>
      <c r="AE4" s="6"/>
      <c r="AF4" s="179"/>
      <c r="AG4" s="6"/>
      <c r="AH4" s="6"/>
      <c r="AI4" s="6"/>
      <c r="AJ4" s="6"/>
      <c r="AO4" s="39"/>
      <c r="AP4" s="631"/>
      <c r="AQ4" s="39"/>
      <c r="AR4" s="39"/>
      <c r="AS4" s="39"/>
      <c r="AT4" s="39"/>
      <c r="AU4" s="39"/>
      <c r="AV4" s="185"/>
      <c r="AW4" s="196"/>
      <c r="AX4" s="196"/>
      <c r="AY4" s="196"/>
      <c r="AZ4" s="852"/>
      <c r="BA4" s="344"/>
      <c r="BB4" s="293"/>
      <c r="BC4" s="457"/>
      <c r="BD4" s="533"/>
      <c r="BE4" s="533"/>
      <c r="BF4" s="533"/>
      <c r="BG4" s="533"/>
      <c r="BH4" s="533"/>
      <c r="BI4" s="533"/>
      <c r="BJ4" s="869"/>
      <c r="BK4" s="869"/>
    </row>
    <row r="5" spans="1:77" ht="15.75" customHeight="1">
      <c r="A5" s="120" t="s">
        <v>9</v>
      </c>
      <c r="L5" s="179"/>
      <c r="M5" s="6"/>
      <c r="N5" s="6"/>
      <c r="O5" s="6"/>
      <c r="P5" s="6"/>
      <c r="Q5" s="6"/>
      <c r="R5" s="6"/>
      <c r="S5" s="6"/>
      <c r="T5" s="6"/>
      <c r="U5" s="6"/>
      <c r="V5" s="179"/>
      <c r="W5" s="6"/>
      <c r="X5" s="6"/>
      <c r="Y5" s="6"/>
      <c r="Z5" s="6"/>
      <c r="AA5" s="6"/>
      <c r="AB5" s="6"/>
      <c r="AC5" s="6"/>
      <c r="AD5" s="6"/>
      <c r="AE5" s="6"/>
      <c r="AF5" s="179"/>
      <c r="AG5" s="6"/>
      <c r="AH5" s="6"/>
      <c r="AI5" s="6"/>
      <c r="AJ5" s="6"/>
      <c r="AV5" s="206"/>
      <c r="AW5" s="206"/>
      <c r="AX5" s="206"/>
      <c r="AY5" s="206"/>
      <c r="AZ5" s="664"/>
      <c r="BJ5" s="869"/>
      <c r="BK5" s="869"/>
    </row>
    <row r="6" spans="1:77" ht="6" customHeight="1">
      <c r="A6" s="115"/>
      <c r="L6" s="179"/>
      <c r="M6" s="6"/>
      <c r="N6" s="6"/>
      <c r="O6" s="6"/>
      <c r="P6" s="6"/>
      <c r="Q6" s="6"/>
      <c r="R6" s="6"/>
      <c r="S6" s="6"/>
      <c r="T6" s="6"/>
      <c r="U6" s="6"/>
      <c r="V6" s="179"/>
      <c r="W6" s="6"/>
      <c r="X6" s="6"/>
      <c r="Y6" s="6"/>
      <c r="Z6" s="6"/>
      <c r="AA6" s="6"/>
      <c r="AB6" s="6"/>
      <c r="AC6" s="6"/>
      <c r="AD6" s="6"/>
      <c r="AE6" s="6"/>
      <c r="AF6" s="179"/>
      <c r="AG6" s="6"/>
      <c r="AH6" s="6"/>
      <c r="AI6" s="6"/>
      <c r="AJ6" s="6"/>
      <c r="AU6" s="206"/>
      <c r="AV6" s="206"/>
      <c r="AW6" s="206"/>
      <c r="AX6" s="206"/>
      <c r="AY6" s="206"/>
      <c r="AZ6" s="664"/>
      <c r="BJ6" s="870"/>
      <c r="BK6" s="870"/>
      <c r="BM6" s="559"/>
      <c r="BN6" s="292"/>
    </row>
    <row r="7" spans="1:77" ht="11.25" customHeight="1">
      <c r="A7" s="115" t="s">
        <v>21</v>
      </c>
      <c r="B7" s="227" t="s">
        <v>3</v>
      </c>
      <c r="C7" s="27" t="s">
        <v>3</v>
      </c>
      <c r="D7" s="27" t="s">
        <v>3</v>
      </c>
      <c r="E7" s="27" t="s">
        <v>3</v>
      </c>
      <c r="F7" s="27" t="s">
        <v>3</v>
      </c>
      <c r="G7" s="27" t="s">
        <v>3</v>
      </c>
      <c r="H7" s="27" t="s">
        <v>3</v>
      </c>
      <c r="I7" s="27" t="s">
        <v>3</v>
      </c>
      <c r="J7" s="27" t="s">
        <v>3</v>
      </c>
      <c r="K7" s="27" t="s">
        <v>3</v>
      </c>
      <c r="L7" s="227" t="s">
        <v>3</v>
      </c>
      <c r="M7" s="27" t="s">
        <v>3</v>
      </c>
      <c r="N7" s="27" t="s">
        <v>3</v>
      </c>
      <c r="O7" s="18" t="s">
        <v>68</v>
      </c>
      <c r="P7" s="8">
        <v>19</v>
      </c>
      <c r="Q7" s="8">
        <v>34</v>
      </c>
      <c r="R7" s="8">
        <v>38</v>
      </c>
      <c r="S7" s="8">
        <v>40</v>
      </c>
      <c r="T7" s="8">
        <v>40</v>
      </c>
      <c r="U7" s="8">
        <v>39</v>
      </c>
      <c r="V7" s="826">
        <v>44</v>
      </c>
      <c r="W7" s="8">
        <v>41</v>
      </c>
      <c r="X7" s="8">
        <v>34</v>
      </c>
      <c r="Y7" s="8">
        <v>33</v>
      </c>
      <c r="Z7" s="8">
        <v>34</v>
      </c>
      <c r="AA7" s="8">
        <v>35</v>
      </c>
      <c r="AB7" s="8">
        <v>35</v>
      </c>
      <c r="AC7" s="8">
        <v>33</v>
      </c>
      <c r="AD7" s="8">
        <v>34</v>
      </c>
      <c r="AE7" s="8">
        <v>34</v>
      </c>
      <c r="AF7" s="826">
        <v>35</v>
      </c>
      <c r="AG7" s="8">
        <v>37</v>
      </c>
      <c r="AH7" s="8">
        <v>41</v>
      </c>
      <c r="AI7" s="8">
        <v>43</v>
      </c>
      <c r="AJ7" s="8">
        <v>46</v>
      </c>
      <c r="AK7" s="8">
        <v>43</v>
      </c>
      <c r="AL7" s="26">
        <v>43</v>
      </c>
      <c r="AM7" s="89">
        <v>43</v>
      </c>
      <c r="AN7" s="89">
        <v>45</v>
      </c>
      <c r="AO7" s="89">
        <v>49</v>
      </c>
      <c r="AP7" s="714">
        <v>51</v>
      </c>
      <c r="AQ7" s="89">
        <v>58</v>
      </c>
      <c r="AR7" s="89">
        <v>56</v>
      </c>
      <c r="AS7" s="89">
        <v>62</v>
      </c>
      <c r="AT7" s="89">
        <v>63</v>
      </c>
      <c r="AU7" s="89">
        <v>65</v>
      </c>
      <c r="AV7" s="89">
        <v>64</v>
      </c>
      <c r="AW7" s="89">
        <v>62</v>
      </c>
      <c r="AX7" s="89">
        <v>70</v>
      </c>
      <c r="AY7" s="211">
        <v>95</v>
      </c>
      <c r="AZ7" s="853">
        <v>105</v>
      </c>
      <c r="BA7" s="347">
        <v>141</v>
      </c>
      <c r="BB7" s="347">
        <v>120</v>
      </c>
      <c r="BC7" s="347">
        <v>113</v>
      </c>
      <c r="BD7" s="534">
        <v>110</v>
      </c>
      <c r="BE7" s="534">
        <v>123</v>
      </c>
      <c r="BF7" s="534">
        <v>124</v>
      </c>
      <c r="BG7" s="534">
        <v>129</v>
      </c>
      <c r="BH7" s="534">
        <v>128</v>
      </c>
      <c r="BI7" s="534">
        <v>127</v>
      </c>
      <c r="BJ7" s="410">
        <f>(BH7-BG7)/BG7</f>
        <v>-7.7519379844961239E-3</v>
      </c>
      <c r="BK7" s="410">
        <f>(BI7-BH7)/BH7</f>
        <v>-7.8125E-3</v>
      </c>
      <c r="BL7" s="564">
        <f>BH7-BG7</f>
        <v>-1</v>
      </c>
      <c r="BM7" s="564">
        <f>BI7-BH7</f>
        <v>-1</v>
      </c>
      <c r="BN7" s="348"/>
      <c r="BQ7" s="152"/>
      <c r="BR7" s="320"/>
    </row>
    <row r="8" spans="1:77" ht="6" customHeight="1">
      <c r="A8" s="115"/>
      <c r="L8" s="822"/>
      <c r="M8" s="46"/>
      <c r="N8" s="46"/>
      <c r="O8" s="46"/>
      <c r="P8" s="46"/>
      <c r="Q8" s="46"/>
      <c r="R8" s="46"/>
      <c r="S8" s="46"/>
      <c r="T8" s="46"/>
      <c r="U8" s="46"/>
      <c r="V8" s="822"/>
      <c r="W8" s="46"/>
      <c r="X8" s="46"/>
      <c r="Y8" s="46"/>
      <c r="Z8" s="46"/>
      <c r="AA8" s="46"/>
      <c r="AB8" s="46"/>
      <c r="AC8" s="46"/>
      <c r="AD8" s="46"/>
      <c r="AE8" s="46"/>
      <c r="AF8" s="822"/>
      <c r="AG8" s="46"/>
      <c r="AH8" s="46"/>
      <c r="AI8" s="39"/>
      <c r="AJ8" s="39"/>
      <c r="AK8" s="39"/>
      <c r="AL8" s="39"/>
      <c r="AM8" s="87"/>
      <c r="AN8" s="87"/>
      <c r="AO8" s="87"/>
      <c r="AP8" s="224"/>
      <c r="AQ8" s="87"/>
      <c r="AR8" s="87"/>
      <c r="AS8" s="87"/>
      <c r="AT8" s="87"/>
      <c r="AU8" s="172"/>
      <c r="AV8" s="172"/>
      <c r="AW8" s="172"/>
      <c r="AX8" s="172"/>
      <c r="AY8" s="172"/>
      <c r="AZ8" s="544"/>
      <c r="BA8" s="308"/>
      <c r="BB8" s="314"/>
      <c r="BC8" s="294"/>
      <c r="BD8" s="307"/>
      <c r="BE8" s="544"/>
      <c r="BF8" s="544"/>
      <c r="BG8" s="307"/>
      <c r="BH8" s="307"/>
      <c r="BI8" s="307"/>
      <c r="BJ8" s="871"/>
      <c r="BK8" s="871"/>
      <c r="BL8" s="565"/>
      <c r="BM8" s="565"/>
      <c r="BN8" s="316"/>
      <c r="BQ8" s="152"/>
      <c r="BR8" s="320"/>
    </row>
    <row r="9" spans="1:77" ht="11.25" customHeight="1">
      <c r="A9" s="116" t="s">
        <v>29</v>
      </c>
      <c r="B9" s="796"/>
      <c r="C9" s="96"/>
      <c r="D9" s="96"/>
      <c r="E9" s="96"/>
      <c r="F9" s="96"/>
      <c r="G9" s="96"/>
      <c r="H9" s="96"/>
      <c r="I9" s="96"/>
      <c r="J9" s="96"/>
      <c r="K9" s="96"/>
      <c r="L9" s="823"/>
      <c r="M9" s="92"/>
      <c r="N9" s="92"/>
      <c r="O9" s="92"/>
      <c r="P9" s="92"/>
      <c r="Q9" s="92"/>
      <c r="R9" s="92"/>
      <c r="S9" s="92"/>
      <c r="T9" s="92"/>
      <c r="U9" s="92"/>
      <c r="V9" s="823"/>
      <c r="W9" s="92"/>
      <c r="X9" s="92"/>
      <c r="Y9" s="92"/>
      <c r="Z9" s="92"/>
      <c r="AA9" s="92"/>
      <c r="AB9" s="92"/>
      <c r="AC9" s="92"/>
      <c r="AD9" s="92"/>
      <c r="AE9" s="92"/>
      <c r="AF9" s="823"/>
      <c r="AG9" s="92"/>
      <c r="AH9" s="92"/>
      <c r="AI9" s="97"/>
      <c r="AJ9" s="97"/>
      <c r="AK9" s="97"/>
      <c r="AL9" s="97"/>
      <c r="AM9" s="87"/>
      <c r="AN9" s="87"/>
      <c r="AO9" s="87"/>
      <c r="AP9" s="224"/>
      <c r="AQ9" s="87"/>
      <c r="AR9" s="87"/>
      <c r="AS9" s="87"/>
      <c r="AT9" s="87"/>
      <c r="AU9" s="172"/>
      <c r="AV9" s="172"/>
      <c r="AW9" s="172"/>
      <c r="AX9" s="172"/>
      <c r="AY9" s="172"/>
      <c r="AZ9" s="544"/>
      <c r="BA9" s="308"/>
      <c r="BB9" s="314"/>
      <c r="BC9" s="294"/>
      <c r="BD9" s="307"/>
      <c r="BE9" s="544"/>
      <c r="BF9" s="544"/>
      <c r="BG9" s="307"/>
      <c r="BH9" s="307"/>
      <c r="BI9" s="307"/>
      <c r="BJ9" s="871"/>
      <c r="BK9" s="871"/>
      <c r="BL9" s="565"/>
      <c r="BM9" s="565"/>
      <c r="BN9" s="316"/>
      <c r="BQ9" s="152"/>
      <c r="BR9" s="320"/>
    </row>
    <row r="10" spans="1:77" ht="11.25" customHeight="1">
      <c r="A10" s="115" t="s">
        <v>30</v>
      </c>
      <c r="L10" s="596"/>
      <c r="M10" s="11"/>
      <c r="N10" s="11"/>
      <c r="O10" s="11"/>
      <c r="P10" s="11"/>
      <c r="Q10" s="11"/>
      <c r="R10" s="11"/>
      <c r="S10" s="11"/>
      <c r="T10" s="11"/>
      <c r="U10" s="11"/>
      <c r="V10" s="596"/>
      <c r="W10" s="11"/>
      <c r="X10" s="11"/>
      <c r="Y10" s="11"/>
      <c r="Z10" s="11"/>
      <c r="AA10" s="11"/>
      <c r="AB10" s="11"/>
      <c r="AC10" s="11"/>
      <c r="AD10" s="11"/>
      <c r="AE10" s="11"/>
      <c r="AF10" s="596"/>
      <c r="AG10" s="11"/>
      <c r="AH10" s="11"/>
      <c r="AI10" s="6"/>
      <c r="AJ10" s="6"/>
      <c r="AK10" s="6"/>
      <c r="AM10" s="23"/>
      <c r="AN10" s="23"/>
      <c r="AO10" s="23"/>
      <c r="AP10" s="180"/>
      <c r="AQ10" s="23"/>
      <c r="AR10" s="23"/>
      <c r="AS10" s="23"/>
      <c r="AT10" s="49"/>
      <c r="AU10" s="30"/>
      <c r="AV10" s="30"/>
      <c r="AW10" s="30"/>
      <c r="AX10" s="30"/>
      <c r="AY10" s="30"/>
      <c r="AZ10" s="537"/>
      <c r="BA10" s="348"/>
      <c r="BB10" s="348"/>
      <c r="BC10" s="295"/>
      <c r="BD10" s="358"/>
      <c r="BE10" s="537"/>
      <c r="BF10" s="537"/>
      <c r="BG10" s="358"/>
      <c r="BH10" s="358"/>
      <c r="BI10" s="358"/>
      <c r="BJ10" s="410"/>
      <c r="BK10" s="410"/>
      <c r="BL10" s="566"/>
      <c r="BM10" s="566"/>
      <c r="BN10" s="309"/>
      <c r="BQ10" s="152"/>
      <c r="BR10" s="343"/>
      <c r="BS10" s="343"/>
      <c r="BT10" s="343"/>
      <c r="BU10" s="343"/>
      <c r="BV10" s="343"/>
      <c r="BW10" s="343"/>
      <c r="BX10" s="343"/>
      <c r="BY10" s="343"/>
    </row>
    <row r="11" spans="1:77" ht="11.25" customHeight="1">
      <c r="A11" s="115" t="s">
        <v>64</v>
      </c>
      <c r="B11" s="269">
        <v>59</v>
      </c>
      <c r="C11" s="95">
        <v>67</v>
      </c>
      <c r="D11" s="95">
        <v>71</v>
      </c>
      <c r="E11" s="95">
        <v>76</v>
      </c>
      <c r="F11" s="95">
        <v>86</v>
      </c>
      <c r="G11" s="95">
        <v>70</v>
      </c>
      <c r="H11" s="95">
        <v>81</v>
      </c>
      <c r="I11" s="95">
        <v>87</v>
      </c>
      <c r="J11" s="95">
        <v>86</v>
      </c>
      <c r="K11" s="95">
        <v>92</v>
      </c>
      <c r="L11" s="824">
        <v>96</v>
      </c>
      <c r="M11" s="35">
        <v>105</v>
      </c>
      <c r="N11" s="35">
        <v>111</v>
      </c>
      <c r="O11" s="35">
        <v>335</v>
      </c>
      <c r="P11" s="35">
        <v>344</v>
      </c>
      <c r="Q11" s="35">
        <v>372</v>
      </c>
      <c r="R11" s="35">
        <v>407</v>
      </c>
      <c r="S11" s="35">
        <v>363</v>
      </c>
      <c r="T11" s="35">
        <v>209</v>
      </c>
      <c r="U11" s="35">
        <v>235</v>
      </c>
      <c r="V11" s="824">
        <v>257</v>
      </c>
      <c r="W11" s="35">
        <v>289</v>
      </c>
      <c r="X11" s="35">
        <v>324</v>
      </c>
      <c r="Y11" s="35">
        <v>252</v>
      </c>
      <c r="Z11" s="35">
        <v>372</v>
      </c>
      <c r="AA11" s="35">
        <v>342</v>
      </c>
      <c r="AB11" s="35">
        <v>308</v>
      </c>
      <c r="AC11" s="35">
        <v>347</v>
      </c>
      <c r="AD11" s="35">
        <v>367</v>
      </c>
      <c r="AE11" s="35">
        <v>391</v>
      </c>
      <c r="AF11" s="824">
        <v>406</v>
      </c>
      <c r="AG11" s="35">
        <v>431</v>
      </c>
      <c r="AH11" s="35">
        <v>477</v>
      </c>
      <c r="AI11" s="35">
        <v>514</v>
      </c>
      <c r="AJ11" s="35">
        <v>525</v>
      </c>
      <c r="AK11" s="35">
        <v>536</v>
      </c>
      <c r="AL11" s="35">
        <v>527</v>
      </c>
      <c r="AM11" s="88">
        <v>561</v>
      </c>
      <c r="AN11" s="88">
        <v>580</v>
      </c>
      <c r="AO11" s="88">
        <v>672</v>
      </c>
      <c r="AP11" s="269">
        <v>735</v>
      </c>
      <c r="AQ11" s="95">
        <v>966</v>
      </c>
      <c r="AR11" s="95">
        <v>836</v>
      </c>
      <c r="AS11" s="95">
        <v>1180</v>
      </c>
      <c r="AT11" s="95">
        <v>1100</v>
      </c>
      <c r="AU11" s="95">
        <v>1211</v>
      </c>
      <c r="AV11" s="95">
        <v>1623</v>
      </c>
      <c r="AW11" s="95">
        <v>1318</v>
      </c>
      <c r="AX11" s="95">
        <v>1294</v>
      </c>
      <c r="AY11" s="95">
        <v>1288</v>
      </c>
      <c r="AZ11" s="269">
        <v>1340</v>
      </c>
      <c r="BA11" s="349">
        <v>1334</v>
      </c>
      <c r="BB11" s="349">
        <v>1270</v>
      </c>
      <c r="BC11" s="349">
        <v>1226</v>
      </c>
      <c r="BD11" s="361">
        <v>1217</v>
      </c>
      <c r="BE11" s="361">
        <v>1891</v>
      </c>
      <c r="BF11" s="361">
        <v>1656</v>
      </c>
      <c r="BG11" s="361">
        <v>1448</v>
      </c>
      <c r="BH11" s="361">
        <v>1734</v>
      </c>
      <c r="BI11" s="361">
        <v>1342</v>
      </c>
      <c r="BJ11" s="410">
        <f t="shared" ref="BJ11:BK15" si="0">(BH11-BG11)/BG11</f>
        <v>0.19751381215469613</v>
      </c>
      <c r="BK11" s="410">
        <f t="shared" si="0"/>
        <v>-0.22606689734717417</v>
      </c>
      <c r="BL11" s="564">
        <f t="shared" ref="BL11:BM15" si="1">BH11-BG11</f>
        <v>286</v>
      </c>
      <c r="BM11" s="564">
        <f t="shared" si="1"/>
        <v>-392</v>
      </c>
      <c r="BN11" s="348"/>
      <c r="BQ11" s="152"/>
      <c r="BR11" s="343"/>
      <c r="BS11" s="343"/>
      <c r="BT11" s="343"/>
      <c r="BU11" s="343"/>
      <c r="BV11" s="343"/>
      <c r="BW11" s="343"/>
      <c r="BX11" s="343"/>
      <c r="BY11" s="343"/>
    </row>
    <row r="12" spans="1:77" ht="11.25" customHeight="1">
      <c r="A12" s="115" t="s">
        <v>65</v>
      </c>
      <c r="B12" s="213" t="s">
        <v>3</v>
      </c>
      <c r="C12" s="163" t="s">
        <v>3</v>
      </c>
      <c r="D12" s="163" t="s">
        <v>3</v>
      </c>
      <c r="E12" s="163" t="s">
        <v>3</v>
      </c>
      <c r="F12" s="163" t="s">
        <v>3</v>
      </c>
      <c r="G12" s="163" t="s">
        <v>3</v>
      </c>
      <c r="H12" s="163" t="s">
        <v>3</v>
      </c>
      <c r="I12" s="163" t="s">
        <v>3</v>
      </c>
      <c r="J12" s="163" t="s">
        <v>3</v>
      </c>
      <c r="K12" s="163" t="s">
        <v>3</v>
      </c>
      <c r="L12" s="597" t="s">
        <v>3</v>
      </c>
      <c r="M12" s="82" t="s">
        <v>3</v>
      </c>
      <c r="N12" s="82" t="s">
        <v>3</v>
      </c>
      <c r="O12" s="82" t="s">
        <v>3</v>
      </c>
      <c r="P12" s="82" t="s">
        <v>3</v>
      </c>
      <c r="Q12" s="82" t="s">
        <v>3</v>
      </c>
      <c r="R12" s="82" t="s">
        <v>3</v>
      </c>
      <c r="S12" s="82">
        <v>107</v>
      </c>
      <c r="T12" s="103">
        <v>335</v>
      </c>
      <c r="U12" s="103">
        <v>343</v>
      </c>
      <c r="V12" s="702">
        <v>393</v>
      </c>
      <c r="W12" s="103">
        <v>411</v>
      </c>
      <c r="X12" s="103">
        <v>352</v>
      </c>
      <c r="Y12" s="103">
        <v>359</v>
      </c>
      <c r="Z12" s="103">
        <v>375</v>
      </c>
      <c r="AA12" s="103">
        <v>400</v>
      </c>
      <c r="AB12" s="103">
        <v>390</v>
      </c>
      <c r="AC12" s="103">
        <v>417</v>
      </c>
      <c r="AD12" s="103">
        <v>439</v>
      </c>
      <c r="AE12" s="103">
        <v>453</v>
      </c>
      <c r="AF12" s="702">
        <v>475</v>
      </c>
      <c r="AG12" s="103">
        <v>497</v>
      </c>
      <c r="AH12" s="103">
        <v>527</v>
      </c>
      <c r="AI12" s="103">
        <v>572</v>
      </c>
      <c r="AJ12" s="103">
        <v>583</v>
      </c>
      <c r="AK12" s="103">
        <v>607</v>
      </c>
      <c r="AL12" s="103">
        <v>618</v>
      </c>
      <c r="AM12" s="166">
        <v>655</v>
      </c>
      <c r="AN12" s="166">
        <v>681</v>
      </c>
      <c r="AO12" s="166">
        <v>699</v>
      </c>
      <c r="AP12" s="224">
        <v>743</v>
      </c>
      <c r="AQ12" s="87">
        <v>794</v>
      </c>
      <c r="AR12" s="95">
        <v>819</v>
      </c>
      <c r="AS12" s="95">
        <v>841</v>
      </c>
      <c r="AT12" s="95">
        <v>888</v>
      </c>
      <c r="AU12" s="95">
        <v>923</v>
      </c>
      <c r="AV12" s="95">
        <f>968</f>
        <v>968</v>
      </c>
      <c r="AW12" s="95">
        <f>(953+8)</f>
        <v>961</v>
      </c>
      <c r="AX12" s="95">
        <v>1071</v>
      </c>
      <c r="AY12" s="95">
        <v>1111</v>
      </c>
      <c r="AZ12" s="269">
        <v>1169</v>
      </c>
      <c r="BA12" s="349">
        <v>1198</v>
      </c>
      <c r="BB12" s="349">
        <v>1164</v>
      </c>
      <c r="BC12" s="349">
        <v>1195</v>
      </c>
      <c r="BD12" s="361">
        <v>1170</v>
      </c>
      <c r="BE12" s="305">
        <v>1202</v>
      </c>
      <c r="BF12" s="305">
        <v>1247</v>
      </c>
      <c r="BG12" s="305">
        <v>1273</v>
      </c>
      <c r="BH12" s="305">
        <v>1238</v>
      </c>
      <c r="BI12" s="305">
        <v>1241</v>
      </c>
      <c r="BJ12" s="410">
        <f t="shared" si="0"/>
        <v>-2.7494108405341711E-2</v>
      </c>
      <c r="BK12" s="410">
        <f t="shared" si="0"/>
        <v>2.4232633279483036E-3</v>
      </c>
      <c r="BL12" s="564">
        <f t="shared" si="1"/>
        <v>-35</v>
      </c>
      <c r="BM12" s="564">
        <f t="shared" si="1"/>
        <v>3</v>
      </c>
      <c r="BN12" s="348"/>
      <c r="BQ12" s="152"/>
      <c r="BR12" s="320"/>
    </row>
    <row r="13" spans="1:77" s="706" customFormat="1" ht="11.25" customHeight="1">
      <c r="A13" s="701" t="s">
        <v>66</v>
      </c>
      <c r="B13" s="213" t="s">
        <v>3</v>
      </c>
      <c r="C13" s="213" t="s">
        <v>3</v>
      </c>
      <c r="D13" s="213" t="s">
        <v>3</v>
      </c>
      <c r="E13" s="213" t="s">
        <v>3</v>
      </c>
      <c r="F13" s="213" t="s">
        <v>3</v>
      </c>
      <c r="G13" s="213" t="s">
        <v>3</v>
      </c>
      <c r="H13" s="269">
        <v>2</v>
      </c>
      <c r="I13" s="269">
        <v>2</v>
      </c>
      <c r="J13" s="269">
        <v>3</v>
      </c>
      <c r="K13" s="269">
        <v>3</v>
      </c>
      <c r="L13" s="702">
        <v>3</v>
      </c>
      <c r="M13" s="702">
        <v>4</v>
      </c>
      <c r="N13" s="702">
        <v>4</v>
      </c>
      <c r="O13" s="702">
        <v>4</v>
      </c>
      <c r="P13" s="702">
        <v>4</v>
      </c>
      <c r="Q13" s="702">
        <v>5</v>
      </c>
      <c r="R13" s="702">
        <v>5</v>
      </c>
      <c r="S13" s="213">
        <v>24</v>
      </c>
      <c r="T13" s="213">
        <v>42</v>
      </c>
      <c r="U13" s="213">
        <v>53</v>
      </c>
      <c r="V13" s="213">
        <v>66</v>
      </c>
      <c r="W13" s="213">
        <v>71</v>
      </c>
      <c r="X13" s="213">
        <v>60</v>
      </c>
      <c r="Y13" s="213">
        <v>47</v>
      </c>
      <c r="Z13" s="213">
        <v>42</v>
      </c>
      <c r="AA13" s="213">
        <v>46</v>
      </c>
      <c r="AB13" s="213">
        <v>46</v>
      </c>
      <c r="AC13" s="213">
        <v>42</v>
      </c>
      <c r="AD13" s="213">
        <v>43</v>
      </c>
      <c r="AE13" s="213">
        <v>51</v>
      </c>
      <c r="AF13" s="213">
        <v>50</v>
      </c>
      <c r="AG13" s="213">
        <v>52</v>
      </c>
      <c r="AH13" s="213">
        <v>51</v>
      </c>
      <c r="AI13" s="213">
        <v>58</v>
      </c>
      <c r="AJ13" s="213">
        <v>55</v>
      </c>
      <c r="AK13" s="702">
        <v>59</v>
      </c>
      <c r="AL13" s="702">
        <v>57</v>
      </c>
      <c r="AM13" s="703">
        <v>55</v>
      </c>
      <c r="AN13" s="703">
        <v>56</v>
      </c>
      <c r="AO13" s="703">
        <v>61</v>
      </c>
      <c r="AP13" s="698">
        <v>60</v>
      </c>
      <c r="AQ13" s="698">
        <v>69</v>
      </c>
      <c r="AR13" s="269">
        <v>67</v>
      </c>
      <c r="AS13" s="269">
        <v>66</v>
      </c>
      <c r="AT13" s="269">
        <v>68</v>
      </c>
      <c r="AU13" s="269">
        <v>74</v>
      </c>
      <c r="AV13" s="269">
        <f>38+38</f>
        <v>76</v>
      </c>
      <c r="AW13" s="269">
        <f>41+38</f>
        <v>79</v>
      </c>
      <c r="AX13" s="269">
        <v>79</v>
      </c>
      <c r="AY13" s="269">
        <v>83</v>
      </c>
      <c r="AZ13" s="269">
        <v>87</v>
      </c>
      <c r="BA13" s="361">
        <v>87</v>
      </c>
      <c r="BB13" s="361">
        <v>88</v>
      </c>
      <c r="BC13" s="361">
        <v>89</v>
      </c>
      <c r="BD13" s="361">
        <v>90</v>
      </c>
      <c r="BE13" s="361">
        <v>96</v>
      </c>
      <c r="BF13" s="361">
        <v>93</v>
      </c>
      <c r="BG13" s="361">
        <v>43</v>
      </c>
      <c r="BH13" s="361">
        <v>43</v>
      </c>
      <c r="BI13" s="361">
        <v>7</v>
      </c>
      <c r="BJ13" s="676">
        <f t="shared" si="0"/>
        <v>0</v>
      </c>
      <c r="BK13" s="676">
        <f t="shared" si="0"/>
        <v>-0.83720930232558144</v>
      </c>
      <c r="BL13" s="883">
        <f t="shared" si="1"/>
        <v>0</v>
      </c>
      <c r="BM13" s="883">
        <f t="shared" si="1"/>
        <v>-36</v>
      </c>
      <c r="BN13" s="361"/>
      <c r="BO13" s="704"/>
      <c r="BP13" s="704"/>
      <c r="BQ13" s="271"/>
      <c r="BR13" s="705"/>
    </row>
    <row r="14" spans="1:77" ht="11.25" customHeight="1">
      <c r="A14" s="117" t="s">
        <v>84</v>
      </c>
      <c r="B14" s="276" t="s">
        <v>3</v>
      </c>
      <c r="C14" s="40" t="s">
        <v>3</v>
      </c>
      <c r="D14" s="40" t="s">
        <v>3</v>
      </c>
      <c r="E14" s="40" t="s">
        <v>3</v>
      </c>
      <c r="F14" s="40" t="s">
        <v>3</v>
      </c>
      <c r="G14" s="40" t="s">
        <v>3</v>
      </c>
      <c r="H14" s="40" t="s">
        <v>3</v>
      </c>
      <c r="I14" s="40" t="s">
        <v>3</v>
      </c>
      <c r="J14" s="40" t="s">
        <v>3</v>
      </c>
      <c r="K14" s="40" t="s">
        <v>3</v>
      </c>
      <c r="L14" s="276" t="s">
        <v>3</v>
      </c>
      <c r="M14" s="40" t="s">
        <v>3</v>
      </c>
      <c r="N14" s="40" t="s">
        <v>3</v>
      </c>
      <c r="O14" s="40" t="s">
        <v>3</v>
      </c>
      <c r="P14" s="40" t="s">
        <v>3</v>
      </c>
      <c r="Q14" s="40" t="s">
        <v>3</v>
      </c>
      <c r="R14" s="40" t="s">
        <v>3</v>
      </c>
      <c r="S14" s="40" t="s">
        <v>3</v>
      </c>
      <c r="T14" s="40" t="s">
        <v>3</v>
      </c>
      <c r="U14" s="40" t="s">
        <v>3</v>
      </c>
      <c r="V14" s="276" t="s">
        <v>3</v>
      </c>
      <c r="W14" s="40" t="s">
        <v>3</v>
      </c>
      <c r="X14" s="40" t="s">
        <v>3</v>
      </c>
      <c r="Y14" s="40" t="s">
        <v>3</v>
      </c>
      <c r="Z14" s="40" t="s">
        <v>3</v>
      </c>
      <c r="AA14" s="40" t="s">
        <v>3</v>
      </c>
      <c r="AB14" s="40" t="s">
        <v>3</v>
      </c>
      <c r="AC14" s="40" t="s">
        <v>3</v>
      </c>
      <c r="AD14" s="40" t="s">
        <v>3</v>
      </c>
      <c r="AE14" s="40" t="s">
        <v>3</v>
      </c>
      <c r="AF14" s="276" t="s">
        <v>3</v>
      </c>
      <c r="AG14" s="40" t="s">
        <v>3</v>
      </c>
      <c r="AH14" s="40" t="s">
        <v>3</v>
      </c>
      <c r="AI14" s="40" t="s">
        <v>3</v>
      </c>
      <c r="AJ14" s="40" t="s">
        <v>3</v>
      </c>
      <c r="AK14" s="40" t="s">
        <v>3</v>
      </c>
      <c r="AL14" s="49">
        <v>9</v>
      </c>
      <c r="AM14" s="49">
        <v>53</v>
      </c>
      <c r="AN14" s="49">
        <v>243</v>
      </c>
      <c r="AO14" s="49">
        <v>54</v>
      </c>
      <c r="AP14" s="776">
        <v>64</v>
      </c>
      <c r="AQ14" s="49">
        <v>84</v>
      </c>
      <c r="AR14" s="49">
        <v>85</v>
      </c>
      <c r="AS14" s="49">
        <v>77</v>
      </c>
      <c r="AT14" s="49">
        <v>71</v>
      </c>
      <c r="AU14" s="30">
        <v>67</v>
      </c>
      <c r="AV14" s="30">
        <v>74</v>
      </c>
      <c r="AW14" s="30">
        <v>79</v>
      </c>
      <c r="AX14" s="30">
        <v>76</v>
      </c>
      <c r="AY14" s="30">
        <v>73</v>
      </c>
      <c r="AZ14" s="270">
        <v>78</v>
      </c>
      <c r="BA14" s="348">
        <v>77</v>
      </c>
      <c r="BB14" s="348">
        <v>77</v>
      </c>
      <c r="BC14" s="348">
        <v>73</v>
      </c>
      <c r="BD14" s="358">
        <v>67</v>
      </c>
      <c r="BE14" s="358">
        <v>77</v>
      </c>
      <c r="BF14" s="358">
        <v>83</v>
      </c>
      <c r="BG14" s="358">
        <f>87</f>
        <v>87</v>
      </c>
      <c r="BH14" s="358">
        <f>63+16</f>
        <v>79</v>
      </c>
      <c r="BI14" s="358">
        <f>61+9</f>
        <v>70</v>
      </c>
      <c r="BJ14" s="410">
        <f t="shared" si="0"/>
        <v>-9.1954022988505746E-2</v>
      </c>
      <c r="BK14" s="410">
        <f t="shared" si="0"/>
        <v>-0.11392405063291139</v>
      </c>
      <c r="BL14" s="564">
        <f t="shared" si="1"/>
        <v>-8</v>
      </c>
      <c r="BM14" s="564">
        <f t="shared" si="1"/>
        <v>-9</v>
      </c>
      <c r="BN14" s="348"/>
      <c r="BQ14" s="152"/>
      <c r="BR14" s="320"/>
    </row>
    <row r="15" spans="1:77" ht="11.25" customHeight="1">
      <c r="A15" s="118" t="s">
        <v>31</v>
      </c>
      <c r="B15" s="394">
        <f>SUM(B10:B14)</f>
        <v>59</v>
      </c>
      <c r="C15" s="127">
        <f t="shared" ref="C15:AK15" si="2">SUM(C10:C14)</f>
        <v>67</v>
      </c>
      <c r="D15" s="127">
        <f t="shared" si="2"/>
        <v>71</v>
      </c>
      <c r="E15" s="127">
        <f t="shared" si="2"/>
        <v>76</v>
      </c>
      <c r="F15" s="127">
        <f t="shared" si="2"/>
        <v>86</v>
      </c>
      <c r="G15" s="127">
        <f t="shared" si="2"/>
        <v>70</v>
      </c>
      <c r="H15" s="127">
        <f t="shared" si="2"/>
        <v>83</v>
      </c>
      <c r="I15" s="127">
        <f t="shared" si="2"/>
        <v>89</v>
      </c>
      <c r="J15" s="127">
        <f t="shared" si="2"/>
        <v>89</v>
      </c>
      <c r="K15" s="127">
        <f t="shared" si="2"/>
        <v>95</v>
      </c>
      <c r="L15" s="394">
        <f t="shared" si="2"/>
        <v>99</v>
      </c>
      <c r="M15" s="127">
        <f t="shared" si="2"/>
        <v>109</v>
      </c>
      <c r="N15" s="127">
        <f t="shared" si="2"/>
        <v>115</v>
      </c>
      <c r="O15" s="127">
        <f t="shared" si="2"/>
        <v>339</v>
      </c>
      <c r="P15" s="127">
        <f t="shared" si="2"/>
        <v>348</v>
      </c>
      <c r="Q15" s="127">
        <f t="shared" si="2"/>
        <v>377</v>
      </c>
      <c r="R15" s="127">
        <f t="shared" si="2"/>
        <v>412</v>
      </c>
      <c r="S15" s="127">
        <f t="shared" si="2"/>
        <v>494</v>
      </c>
      <c r="T15" s="127">
        <f t="shared" si="2"/>
        <v>586</v>
      </c>
      <c r="U15" s="127">
        <f t="shared" si="2"/>
        <v>631</v>
      </c>
      <c r="V15" s="394">
        <f t="shared" si="2"/>
        <v>716</v>
      </c>
      <c r="W15" s="127">
        <f t="shared" si="2"/>
        <v>771</v>
      </c>
      <c r="X15" s="127">
        <f t="shared" si="2"/>
        <v>736</v>
      </c>
      <c r="Y15" s="127">
        <f t="shared" si="2"/>
        <v>658</v>
      </c>
      <c r="Z15" s="127">
        <f t="shared" si="2"/>
        <v>789</v>
      </c>
      <c r="AA15" s="127">
        <f t="shared" si="2"/>
        <v>788</v>
      </c>
      <c r="AB15" s="127">
        <f t="shared" si="2"/>
        <v>744</v>
      </c>
      <c r="AC15" s="127">
        <f t="shared" si="2"/>
        <v>806</v>
      </c>
      <c r="AD15" s="127">
        <f t="shared" si="2"/>
        <v>849</v>
      </c>
      <c r="AE15" s="127">
        <f t="shared" si="2"/>
        <v>895</v>
      </c>
      <c r="AF15" s="394">
        <f t="shared" si="2"/>
        <v>931</v>
      </c>
      <c r="AG15" s="127">
        <f t="shared" si="2"/>
        <v>980</v>
      </c>
      <c r="AH15" s="127">
        <f t="shared" si="2"/>
        <v>1055</v>
      </c>
      <c r="AI15" s="127">
        <f t="shared" si="2"/>
        <v>1144</v>
      </c>
      <c r="AJ15" s="127">
        <f t="shared" si="2"/>
        <v>1163</v>
      </c>
      <c r="AK15" s="127">
        <f t="shared" si="2"/>
        <v>1202</v>
      </c>
      <c r="AL15" s="205">
        <f t="shared" ref="AL15:BA15" si="3">SUM(AL11:AL14)</f>
        <v>1211</v>
      </c>
      <c r="AM15" s="205">
        <f t="shared" si="3"/>
        <v>1324</v>
      </c>
      <c r="AN15" s="205">
        <f t="shared" si="3"/>
        <v>1560</v>
      </c>
      <c r="AO15" s="205">
        <f t="shared" si="3"/>
        <v>1486</v>
      </c>
      <c r="AP15" s="395">
        <f t="shared" si="3"/>
        <v>1602</v>
      </c>
      <c r="AQ15" s="205">
        <f t="shared" si="3"/>
        <v>1913</v>
      </c>
      <c r="AR15" s="205">
        <f t="shared" si="3"/>
        <v>1807</v>
      </c>
      <c r="AS15" s="205">
        <f t="shared" si="3"/>
        <v>2164</v>
      </c>
      <c r="AT15" s="205">
        <f t="shared" si="3"/>
        <v>2127</v>
      </c>
      <c r="AU15" s="205">
        <f t="shared" si="3"/>
        <v>2275</v>
      </c>
      <c r="AV15" s="205">
        <f t="shared" si="3"/>
        <v>2741</v>
      </c>
      <c r="AW15" s="205">
        <f t="shared" si="3"/>
        <v>2437</v>
      </c>
      <c r="AX15" s="205">
        <f t="shared" si="3"/>
        <v>2520</v>
      </c>
      <c r="AY15" s="205">
        <f t="shared" si="3"/>
        <v>2555</v>
      </c>
      <c r="AZ15" s="395">
        <f t="shared" si="3"/>
        <v>2674</v>
      </c>
      <c r="BA15" s="350">
        <f t="shared" si="3"/>
        <v>2696</v>
      </c>
      <c r="BB15" s="350">
        <f t="shared" ref="BB15:BG15" si="4">SUM(BB11:BB14)</f>
        <v>2599</v>
      </c>
      <c r="BC15" s="350">
        <f t="shared" si="4"/>
        <v>2583</v>
      </c>
      <c r="BD15" s="396">
        <f t="shared" si="4"/>
        <v>2544</v>
      </c>
      <c r="BE15" s="396">
        <f t="shared" si="4"/>
        <v>3266</v>
      </c>
      <c r="BF15" s="396">
        <f t="shared" si="4"/>
        <v>3079</v>
      </c>
      <c r="BG15" s="396">
        <f t="shared" si="4"/>
        <v>2851</v>
      </c>
      <c r="BH15" s="396">
        <f t="shared" ref="BH15:BI15" si="5">SUM(BH11:BH14)</f>
        <v>3094</v>
      </c>
      <c r="BI15" s="396">
        <f t="shared" si="5"/>
        <v>2660</v>
      </c>
      <c r="BJ15" s="872">
        <f t="shared" si="0"/>
        <v>8.5233251490705014E-2</v>
      </c>
      <c r="BK15" s="872">
        <f t="shared" si="0"/>
        <v>-0.14027149321266968</v>
      </c>
      <c r="BL15" s="567">
        <f t="shared" si="1"/>
        <v>243</v>
      </c>
      <c r="BM15" s="567">
        <f t="shared" si="1"/>
        <v>-434</v>
      </c>
      <c r="BN15" s="349"/>
      <c r="BQ15" s="152"/>
      <c r="BR15" s="320"/>
    </row>
    <row r="16" spans="1:77" ht="6" customHeight="1">
      <c r="A16" s="115"/>
      <c r="B16" s="631"/>
      <c r="C16" s="39"/>
      <c r="D16" s="39"/>
      <c r="E16" s="39"/>
      <c r="F16" s="39"/>
      <c r="G16" s="39"/>
      <c r="H16" s="39"/>
      <c r="I16" s="39"/>
      <c r="J16" s="39"/>
      <c r="K16" s="39"/>
      <c r="L16" s="648"/>
      <c r="M16" s="11"/>
      <c r="N16" s="11"/>
      <c r="O16" s="11"/>
      <c r="P16" s="11"/>
      <c r="Q16" s="11"/>
      <c r="R16" s="11"/>
      <c r="S16" s="11"/>
      <c r="T16" s="11"/>
      <c r="U16" s="11"/>
      <c r="V16" s="596"/>
      <c r="W16" s="11"/>
      <c r="X16" s="11"/>
      <c r="Y16" s="11"/>
      <c r="Z16" s="11"/>
      <c r="AA16" s="11"/>
      <c r="AB16" s="11"/>
      <c r="AC16" s="11"/>
      <c r="AD16" s="11"/>
      <c r="AE16" s="11"/>
      <c r="AF16" s="596"/>
      <c r="AG16" s="11"/>
      <c r="AH16" s="11"/>
      <c r="AK16" s="6"/>
      <c r="AL16" s="6"/>
      <c r="AM16" s="23"/>
      <c r="AN16" s="23"/>
      <c r="AO16" s="23"/>
      <c r="AP16" s="180"/>
      <c r="AQ16" s="23"/>
      <c r="AR16" s="23"/>
      <c r="AS16" s="23"/>
      <c r="AT16" s="23"/>
      <c r="AU16" s="152"/>
      <c r="AV16" s="152"/>
      <c r="AW16" s="152"/>
      <c r="AX16" s="152"/>
      <c r="AY16" s="152"/>
      <c r="AZ16" s="535"/>
      <c r="BA16" s="309"/>
      <c r="BB16" s="316"/>
      <c r="BC16" s="296"/>
      <c r="BD16" s="535"/>
      <c r="BE16" s="535"/>
      <c r="BF16" s="535"/>
      <c r="BG16" s="535"/>
      <c r="BH16" s="535"/>
      <c r="BI16" s="535"/>
      <c r="BJ16" s="871"/>
      <c r="BK16" s="871"/>
      <c r="BL16" s="565"/>
      <c r="BM16" s="565"/>
      <c r="BN16" s="316"/>
      <c r="BQ16" s="152"/>
      <c r="BR16" s="320"/>
    </row>
    <row r="17" spans="1:262">
      <c r="A17" s="116" t="s">
        <v>32</v>
      </c>
      <c r="B17" s="631"/>
      <c r="C17" s="39"/>
      <c r="D17" s="39"/>
      <c r="E17" s="39"/>
      <c r="F17" s="39"/>
      <c r="G17" s="39"/>
      <c r="H17" s="39"/>
      <c r="I17" s="39"/>
      <c r="J17" s="39"/>
      <c r="K17" s="39"/>
      <c r="L17" s="631"/>
      <c r="M17" s="39"/>
      <c r="N17" s="39"/>
      <c r="O17" s="39"/>
      <c r="P17" s="39"/>
      <c r="Q17" s="39"/>
      <c r="R17" s="39"/>
      <c r="S17" s="39"/>
      <c r="T17" s="39"/>
      <c r="U17" s="39"/>
      <c r="V17" s="631"/>
      <c r="W17" s="39"/>
      <c r="X17" s="39"/>
      <c r="Y17" s="39"/>
      <c r="Z17" s="39"/>
      <c r="AA17" s="39"/>
      <c r="AB17" s="39"/>
      <c r="AC17" s="39"/>
      <c r="AD17" s="39"/>
      <c r="AE17" s="39"/>
      <c r="AF17" s="631"/>
      <c r="AG17" s="39"/>
      <c r="AH17" s="39"/>
      <c r="AI17" s="39"/>
      <c r="AJ17" s="39"/>
      <c r="AK17" s="39"/>
      <c r="AL17" s="39"/>
      <c r="AM17" s="39"/>
      <c r="AN17" s="39"/>
      <c r="AO17" s="39"/>
      <c r="AP17" s="631"/>
      <c r="AQ17" s="39"/>
      <c r="AR17" s="39"/>
      <c r="AS17" s="39"/>
      <c r="AT17" s="39"/>
      <c r="AU17" s="39"/>
      <c r="AV17" s="39"/>
      <c r="AW17" s="39"/>
      <c r="AX17" s="39"/>
      <c r="AY17" s="39"/>
      <c r="AZ17" s="631"/>
      <c r="BA17" s="39"/>
      <c r="BB17" s="39"/>
      <c r="BC17" s="39"/>
      <c r="BD17" s="39"/>
      <c r="BE17" s="39"/>
      <c r="BF17" s="631"/>
      <c r="BG17" s="631"/>
      <c r="BH17" s="631"/>
      <c r="BI17" s="631"/>
      <c r="BJ17" s="871"/>
      <c r="BK17" s="871"/>
      <c r="BL17" s="565"/>
      <c r="BM17" s="565"/>
      <c r="BN17" s="316"/>
      <c r="BQ17" s="152"/>
      <c r="BR17" s="320"/>
    </row>
    <row r="18" spans="1:262" ht="11.25" customHeight="1">
      <c r="A18" s="115" t="s">
        <v>80</v>
      </c>
      <c r="B18" s="593">
        <v>16</v>
      </c>
      <c r="C18" s="25">
        <v>20</v>
      </c>
      <c r="D18" s="25">
        <v>25</v>
      </c>
      <c r="E18" s="25">
        <v>31</v>
      </c>
      <c r="F18" s="25">
        <v>39</v>
      </c>
      <c r="G18" s="25">
        <v>42</v>
      </c>
      <c r="H18" s="25">
        <v>47</v>
      </c>
      <c r="I18" s="25">
        <v>61</v>
      </c>
      <c r="J18" s="25">
        <v>71</v>
      </c>
      <c r="K18" s="25">
        <v>65</v>
      </c>
      <c r="L18" s="594">
        <v>72</v>
      </c>
      <c r="M18" s="12">
        <v>85</v>
      </c>
      <c r="N18" s="12">
        <v>105</v>
      </c>
      <c r="O18" s="12">
        <v>143</v>
      </c>
      <c r="P18" s="12">
        <v>165</v>
      </c>
      <c r="Q18" s="12">
        <v>201</v>
      </c>
      <c r="R18" s="12">
        <v>218</v>
      </c>
      <c r="S18" s="12">
        <v>245</v>
      </c>
      <c r="T18" s="12">
        <v>276</v>
      </c>
      <c r="U18" s="12">
        <v>300</v>
      </c>
      <c r="V18" s="594">
        <v>326</v>
      </c>
      <c r="W18" s="12">
        <v>337</v>
      </c>
      <c r="X18" s="12">
        <v>344</v>
      </c>
      <c r="Y18" s="12">
        <v>364</v>
      </c>
      <c r="Z18" s="12">
        <v>390</v>
      </c>
      <c r="AA18" s="12">
        <v>418</v>
      </c>
      <c r="AB18" s="12">
        <v>417</v>
      </c>
      <c r="AC18" s="12">
        <v>422</v>
      </c>
      <c r="AD18" s="12">
        <v>463</v>
      </c>
      <c r="AE18" s="12">
        <v>510</v>
      </c>
      <c r="AF18" s="594">
        <v>561</v>
      </c>
      <c r="AG18" s="12">
        <v>665</v>
      </c>
      <c r="AH18" s="12">
        <v>768</v>
      </c>
      <c r="AI18" s="12">
        <v>776</v>
      </c>
      <c r="AJ18" s="12">
        <v>870</v>
      </c>
      <c r="AK18" s="12">
        <v>954</v>
      </c>
      <c r="AL18" s="12">
        <v>979</v>
      </c>
      <c r="AM18" s="90">
        <v>997</v>
      </c>
      <c r="AN18" s="85">
        <v>1004</v>
      </c>
      <c r="AO18" s="85">
        <v>1119</v>
      </c>
      <c r="AP18" s="696">
        <v>1209</v>
      </c>
      <c r="AQ18" s="63">
        <v>1322</v>
      </c>
      <c r="AR18" s="63">
        <v>1455</v>
      </c>
      <c r="AS18" s="63">
        <v>1736</v>
      </c>
      <c r="AT18" s="63">
        <v>1776</v>
      </c>
      <c r="AU18" s="25">
        <v>1727</v>
      </c>
      <c r="AV18" s="25">
        <v>1905</v>
      </c>
      <c r="AW18" s="25">
        <f>1836+6</f>
        <v>1842</v>
      </c>
      <c r="AX18" s="333">
        <v>2043</v>
      </c>
      <c r="AY18" s="333">
        <v>2539</v>
      </c>
      <c r="AZ18" s="269">
        <f>3003+25</f>
        <v>3028</v>
      </c>
      <c r="BA18" s="349">
        <f>3260+1</f>
        <v>3261</v>
      </c>
      <c r="BB18" s="349">
        <f>3335+2</f>
        <v>3337</v>
      </c>
      <c r="BC18" s="405">
        <f>3430+38</f>
        <v>3468</v>
      </c>
      <c r="BD18" s="536">
        <v>3923</v>
      </c>
      <c r="BE18" s="536">
        <v>4381</v>
      </c>
      <c r="BF18" s="536">
        <v>4702</v>
      </c>
      <c r="BG18" s="536">
        <v>4998</v>
      </c>
      <c r="BH18" s="536">
        <v>4982</v>
      </c>
      <c r="BI18" s="536">
        <v>5311</v>
      </c>
      <c r="BJ18" s="410">
        <f>(BH18-BG18)/BG18</f>
        <v>-3.2012805122048822E-3</v>
      </c>
      <c r="BK18" s="410">
        <f>(BI18-BH18)/BH18</f>
        <v>6.6037735849056603E-2</v>
      </c>
      <c r="BL18" s="564">
        <f>BH18-BG18</f>
        <v>-16</v>
      </c>
      <c r="BM18" s="564">
        <f>BI18-BH18</f>
        <v>329</v>
      </c>
      <c r="BN18" s="348"/>
      <c r="BQ18" s="152"/>
      <c r="BR18" s="296"/>
    </row>
    <row r="19" spans="1:262" ht="6" customHeight="1">
      <c r="A19" s="115"/>
      <c r="L19" s="594"/>
      <c r="M19" s="12"/>
      <c r="N19" s="12"/>
      <c r="O19" s="12"/>
      <c r="P19" s="12"/>
      <c r="Q19" s="12"/>
      <c r="R19" s="12"/>
      <c r="S19" s="12"/>
      <c r="T19" s="12"/>
      <c r="U19" s="12"/>
      <c r="V19" s="594"/>
      <c r="W19" s="12"/>
      <c r="X19" s="12"/>
      <c r="Y19" s="12"/>
      <c r="Z19" s="12"/>
      <c r="AA19" s="12"/>
      <c r="AB19" s="12"/>
      <c r="AC19" s="12"/>
      <c r="AD19" s="12"/>
      <c r="AE19" s="12"/>
      <c r="AF19" s="594"/>
      <c r="AG19" s="12"/>
      <c r="AH19" s="12"/>
      <c r="AI19" s="12"/>
      <c r="AJ19" s="12"/>
      <c r="AK19" s="12"/>
      <c r="AL19" s="12"/>
      <c r="AM19" s="23"/>
      <c r="AN19" s="23"/>
      <c r="AO19" s="23"/>
      <c r="AP19" s="180"/>
      <c r="AQ19" s="23"/>
      <c r="AR19" s="23"/>
      <c r="AS19" s="23"/>
      <c r="AT19" s="23"/>
      <c r="AU19" s="23"/>
      <c r="AV19" s="152"/>
      <c r="AW19" s="152"/>
      <c r="AX19" s="30"/>
      <c r="AY19" s="30"/>
      <c r="AZ19" s="537"/>
      <c r="BA19" s="348"/>
      <c r="BB19" s="313"/>
      <c r="BC19" s="295"/>
      <c r="BD19" s="537"/>
      <c r="BE19" s="537"/>
      <c r="BF19" s="537"/>
      <c r="BG19" s="537"/>
      <c r="BH19" s="537"/>
      <c r="BI19" s="537"/>
      <c r="BJ19" s="871"/>
      <c r="BK19" s="871"/>
      <c r="BL19" s="565"/>
      <c r="BM19" s="565"/>
      <c r="BN19" s="316"/>
      <c r="BQ19" s="152"/>
      <c r="BR19" s="320"/>
    </row>
    <row r="20" spans="1:262" ht="11.25" customHeight="1">
      <c r="A20" s="116" t="s">
        <v>33</v>
      </c>
      <c r="L20" s="594"/>
      <c r="M20" s="12"/>
      <c r="N20" s="12"/>
      <c r="O20" s="12"/>
      <c r="P20" s="12"/>
      <c r="Q20" s="12"/>
      <c r="R20" s="12"/>
      <c r="S20" s="12"/>
      <c r="T20" s="12"/>
      <c r="U20" s="12"/>
      <c r="V20" s="594"/>
      <c r="W20" s="12"/>
      <c r="X20" s="12"/>
      <c r="Y20" s="12"/>
      <c r="Z20" s="12"/>
      <c r="AA20" s="12"/>
      <c r="AB20" s="12"/>
      <c r="AC20" s="12"/>
      <c r="AD20" s="12"/>
      <c r="AE20" s="12"/>
      <c r="AF20" s="594"/>
      <c r="AG20" s="12"/>
      <c r="AH20" s="12"/>
      <c r="AI20" s="12"/>
      <c r="AJ20" s="12"/>
      <c r="AK20" s="12"/>
      <c r="AL20" s="12"/>
      <c r="AM20" s="23"/>
      <c r="AN20" s="23"/>
      <c r="AO20" s="23"/>
      <c r="AP20" s="180"/>
      <c r="AQ20" s="23"/>
      <c r="AR20" s="23"/>
      <c r="AS20" s="23"/>
      <c r="AT20" s="23"/>
      <c r="AU20" s="23"/>
      <c r="AV20" s="152"/>
      <c r="AW20" s="152"/>
      <c r="AX20" s="152"/>
      <c r="AY20" s="152"/>
      <c r="AZ20" s="535"/>
      <c r="BA20" s="309"/>
      <c r="BB20" s="316"/>
      <c r="BC20" s="296"/>
      <c r="BD20" s="535"/>
      <c r="BE20" s="535"/>
      <c r="BF20" s="535"/>
      <c r="BG20" s="535"/>
      <c r="BH20" s="535"/>
      <c r="BI20" s="535"/>
      <c r="BJ20" s="871"/>
      <c r="BK20" s="871"/>
      <c r="BL20" s="565"/>
      <c r="BM20" s="565"/>
      <c r="BN20" s="316"/>
      <c r="BQ20" s="152"/>
      <c r="BR20" s="320"/>
    </row>
    <row r="21" spans="1:262" s="177" customFormat="1" ht="11.25" customHeight="1">
      <c r="A21" s="181" t="s">
        <v>81</v>
      </c>
      <c r="B21" s="227" t="s">
        <v>3</v>
      </c>
      <c r="C21" s="227" t="s">
        <v>3</v>
      </c>
      <c r="D21" s="227" t="s">
        <v>3</v>
      </c>
      <c r="E21" s="227" t="s">
        <v>3</v>
      </c>
      <c r="F21" s="227" t="s">
        <v>3</v>
      </c>
      <c r="G21" s="227" t="s">
        <v>3</v>
      </c>
      <c r="H21" s="227" t="s">
        <v>3</v>
      </c>
      <c r="I21" s="227" t="s">
        <v>3</v>
      </c>
      <c r="J21" s="227" t="s">
        <v>3</v>
      </c>
      <c r="K21" s="227" t="s">
        <v>3</v>
      </c>
      <c r="L21" s="227" t="s">
        <v>3</v>
      </c>
      <c r="M21" s="227" t="s">
        <v>3</v>
      </c>
      <c r="N21" s="777" t="s">
        <v>11</v>
      </c>
      <c r="O21" s="777">
        <v>1</v>
      </c>
      <c r="P21" s="594">
        <v>1</v>
      </c>
      <c r="Q21" s="777">
        <v>2</v>
      </c>
      <c r="R21" s="777" t="s">
        <v>11</v>
      </c>
      <c r="S21" s="777" t="s">
        <v>11</v>
      </c>
      <c r="T21" s="777" t="s">
        <v>11</v>
      </c>
      <c r="U21" s="777">
        <v>1</v>
      </c>
      <c r="V21" s="594">
        <v>2</v>
      </c>
      <c r="W21" s="594">
        <v>5</v>
      </c>
      <c r="X21" s="594">
        <v>4</v>
      </c>
      <c r="Y21" s="594">
        <v>5</v>
      </c>
      <c r="Z21" s="594">
        <v>5</v>
      </c>
      <c r="AA21" s="594">
        <v>7</v>
      </c>
      <c r="AB21" s="594">
        <v>6</v>
      </c>
      <c r="AC21" s="594">
        <v>6</v>
      </c>
      <c r="AD21" s="594">
        <v>7</v>
      </c>
      <c r="AE21" s="594">
        <v>7</v>
      </c>
      <c r="AF21" s="594">
        <v>5</v>
      </c>
      <c r="AG21" s="594">
        <v>8</v>
      </c>
      <c r="AH21" s="777">
        <v>7</v>
      </c>
      <c r="AI21" s="777">
        <v>8</v>
      </c>
      <c r="AJ21" s="594">
        <v>9</v>
      </c>
      <c r="AK21" s="594">
        <v>10</v>
      </c>
      <c r="AL21" s="594">
        <v>12</v>
      </c>
      <c r="AM21" s="180">
        <v>13</v>
      </c>
      <c r="AN21" s="180">
        <v>16</v>
      </c>
      <c r="AO21" s="180">
        <v>15</v>
      </c>
      <c r="AP21" s="778">
        <v>14</v>
      </c>
      <c r="AQ21" s="778">
        <v>10</v>
      </c>
      <c r="AR21" s="778">
        <v>10</v>
      </c>
      <c r="AS21" s="778">
        <v>7</v>
      </c>
      <c r="AT21" s="778">
        <v>10</v>
      </c>
      <c r="AU21" s="778">
        <v>10</v>
      </c>
      <c r="AV21" s="778">
        <v>9</v>
      </c>
      <c r="AW21" s="243">
        <v>7</v>
      </c>
      <c r="AX21" s="243">
        <v>7</v>
      </c>
      <c r="AY21" s="243">
        <v>6</v>
      </c>
      <c r="AZ21" s="243">
        <v>6</v>
      </c>
      <c r="BA21" s="538">
        <v>7</v>
      </c>
      <c r="BB21" s="538">
        <v>7</v>
      </c>
      <c r="BC21" s="538">
        <v>7</v>
      </c>
      <c r="BD21" s="538">
        <v>8</v>
      </c>
      <c r="BE21" s="538">
        <v>9</v>
      </c>
      <c r="BF21" s="538">
        <v>12</v>
      </c>
      <c r="BG21" s="538">
        <v>9</v>
      </c>
      <c r="BH21" s="538">
        <v>10</v>
      </c>
      <c r="BI21" s="538">
        <v>11</v>
      </c>
      <c r="BJ21" s="410">
        <f>(BH21-BG21)/BG21</f>
        <v>0.1111111111111111</v>
      </c>
      <c r="BK21" s="410">
        <f>(BI21-BH21)/BH21</f>
        <v>0.1</v>
      </c>
      <c r="BL21" s="564">
        <f>BH21-BG21</f>
        <v>1</v>
      </c>
      <c r="BM21" s="564">
        <f>BI21-BH21</f>
        <v>1</v>
      </c>
      <c r="BN21" s="358"/>
      <c r="BO21" s="595"/>
      <c r="BP21" s="595"/>
      <c r="BQ21" s="217"/>
      <c r="BR21" s="391"/>
    </row>
    <row r="22" spans="1:262" s="428" customFormat="1" ht="11.25" customHeight="1">
      <c r="A22" s="779" t="s">
        <v>85</v>
      </c>
      <c r="B22" s="306" t="s">
        <v>3</v>
      </c>
      <c r="C22" s="306" t="s">
        <v>3</v>
      </c>
      <c r="D22" s="306" t="s">
        <v>3</v>
      </c>
      <c r="E22" s="306" t="s">
        <v>3</v>
      </c>
      <c r="F22" s="306" t="s">
        <v>3</v>
      </c>
      <c r="G22" s="306" t="s">
        <v>3</v>
      </c>
      <c r="H22" s="306" t="s">
        <v>3</v>
      </c>
      <c r="I22" s="306" t="s">
        <v>3</v>
      </c>
      <c r="J22" s="306" t="s">
        <v>3</v>
      </c>
      <c r="K22" s="306" t="s">
        <v>3</v>
      </c>
      <c r="L22" s="306" t="s">
        <v>3</v>
      </c>
      <c r="M22" s="306" t="s">
        <v>3</v>
      </c>
      <c r="N22" s="306" t="s">
        <v>3</v>
      </c>
      <c r="O22" s="306" t="s">
        <v>3</v>
      </c>
      <c r="P22" s="306" t="s">
        <v>3</v>
      </c>
      <c r="Q22" s="306" t="s">
        <v>3</v>
      </c>
      <c r="R22" s="306" t="s">
        <v>3</v>
      </c>
      <c r="S22" s="306" t="s">
        <v>3</v>
      </c>
      <c r="T22" s="306" t="s">
        <v>3</v>
      </c>
      <c r="U22" s="306" t="s">
        <v>3</v>
      </c>
      <c r="V22" s="306" t="s">
        <v>3</v>
      </c>
      <c r="W22" s="306" t="s">
        <v>3</v>
      </c>
      <c r="X22" s="306" t="s">
        <v>3</v>
      </c>
      <c r="Y22" s="306" t="s">
        <v>3</v>
      </c>
      <c r="Z22" s="306" t="s">
        <v>3</v>
      </c>
      <c r="AA22" s="306" t="s">
        <v>3</v>
      </c>
      <c r="AB22" s="306" t="s">
        <v>3</v>
      </c>
      <c r="AC22" s="306" t="s">
        <v>3</v>
      </c>
      <c r="AD22" s="306" t="s">
        <v>3</v>
      </c>
      <c r="AE22" s="306" t="s">
        <v>3</v>
      </c>
      <c r="AF22" s="306" t="s">
        <v>3</v>
      </c>
      <c r="AG22" s="306" t="s">
        <v>3</v>
      </c>
      <c r="AH22" s="306" t="s">
        <v>3</v>
      </c>
      <c r="AI22" s="306" t="s">
        <v>3</v>
      </c>
      <c r="AJ22" s="306" t="s">
        <v>3</v>
      </c>
      <c r="AK22" s="306" t="s">
        <v>3</v>
      </c>
      <c r="AL22" s="306" t="s">
        <v>3</v>
      </c>
      <c r="AM22" s="306" t="s">
        <v>3</v>
      </c>
      <c r="AN22" s="306" t="s">
        <v>3</v>
      </c>
      <c r="AO22" s="548">
        <v>2</v>
      </c>
      <c r="AP22" s="548">
        <v>95</v>
      </c>
      <c r="AQ22" s="548">
        <v>86</v>
      </c>
      <c r="AR22" s="548">
        <v>95</v>
      </c>
      <c r="AS22" s="548">
        <v>91</v>
      </c>
      <c r="AT22" s="548">
        <v>113</v>
      </c>
      <c r="AU22" s="548">
        <v>133</v>
      </c>
      <c r="AV22" s="548">
        <v>120</v>
      </c>
      <c r="AW22" s="548">
        <v>147</v>
      </c>
      <c r="AX22" s="548">
        <v>149</v>
      </c>
      <c r="AY22" s="548">
        <v>168</v>
      </c>
      <c r="AZ22" s="548">
        <v>179</v>
      </c>
      <c r="BA22" s="539">
        <v>174</v>
      </c>
      <c r="BB22" s="539">
        <v>148</v>
      </c>
      <c r="BC22" s="539">
        <v>125</v>
      </c>
      <c r="BD22" s="539">
        <v>122</v>
      </c>
      <c r="BE22" s="539">
        <v>112</v>
      </c>
      <c r="BF22" s="539">
        <v>95</v>
      </c>
      <c r="BG22" s="539">
        <v>102</v>
      </c>
      <c r="BH22" s="539">
        <v>104</v>
      </c>
      <c r="BI22" s="539">
        <v>118</v>
      </c>
      <c r="BJ22" s="410">
        <f>(BH22-BG22)/BG22</f>
        <v>1.9607843137254902E-2</v>
      </c>
      <c r="BK22" s="410">
        <f>(BI22-BH22)/BH22</f>
        <v>0.13461538461538461</v>
      </c>
      <c r="BL22" s="564">
        <f>BH22-BG22</f>
        <v>2</v>
      </c>
      <c r="BM22" s="564">
        <f>BI22-BH22</f>
        <v>14</v>
      </c>
      <c r="BN22" s="358"/>
      <c r="BO22" s="595"/>
      <c r="BP22" s="595"/>
      <c r="BQ22" s="217"/>
      <c r="BS22" s="779"/>
      <c r="BT22" s="779"/>
      <c r="BU22" s="779"/>
      <c r="BV22" s="779"/>
      <c r="BW22" s="779"/>
      <c r="BX22" s="779"/>
      <c r="BY22" s="779"/>
      <c r="BZ22" s="779"/>
      <c r="CA22" s="779"/>
      <c r="CB22" s="779"/>
      <c r="CC22" s="779"/>
      <c r="CD22" s="779"/>
      <c r="CE22" s="779"/>
      <c r="CF22" s="779"/>
      <c r="CG22" s="779"/>
      <c r="CH22" s="779"/>
      <c r="CI22" s="779"/>
      <c r="CJ22" s="779"/>
      <c r="CK22" s="779"/>
      <c r="CL22" s="779"/>
      <c r="CM22" s="779"/>
      <c r="CN22" s="779"/>
      <c r="CO22" s="779"/>
      <c r="CP22" s="779"/>
      <c r="CQ22" s="779"/>
      <c r="CR22" s="779"/>
      <c r="CS22" s="779"/>
      <c r="CT22" s="779"/>
      <c r="CU22" s="779"/>
      <c r="CV22" s="779"/>
      <c r="CW22" s="779"/>
      <c r="CX22" s="779"/>
      <c r="CY22" s="779"/>
      <c r="CZ22" s="779"/>
      <c r="DA22" s="779"/>
      <c r="DB22" s="779"/>
      <c r="DC22" s="779"/>
      <c r="DD22" s="779"/>
      <c r="DE22" s="779"/>
      <c r="DF22" s="779"/>
      <c r="DG22" s="779"/>
      <c r="DH22" s="779"/>
      <c r="DI22" s="779"/>
      <c r="DJ22" s="779"/>
      <c r="DK22" s="779"/>
      <c r="DL22" s="779"/>
      <c r="DM22" s="779"/>
      <c r="DN22" s="779"/>
      <c r="DO22" s="779"/>
      <c r="DP22" s="779"/>
      <c r="DQ22" s="779"/>
      <c r="DR22" s="779"/>
      <c r="DS22" s="779"/>
      <c r="DT22" s="779"/>
      <c r="DU22" s="779"/>
      <c r="DV22" s="779"/>
      <c r="DW22" s="779"/>
      <c r="DX22" s="779"/>
      <c r="DY22" s="779"/>
      <c r="DZ22" s="779"/>
      <c r="EA22" s="779"/>
      <c r="EB22" s="779"/>
      <c r="EC22" s="779"/>
      <c r="ED22" s="779"/>
      <c r="EE22" s="779"/>
      <c r="EF22" s="779"/>
      <c r="EG22" s="779"/>
      <c r="EH22" s="779"/>
      <c r="EI22" s="779"/>
      <c r="EJ22" s="779"/>
      <c r="EK22" s="779"/>
      <c r="EL22" s="779"/>
      <c r="EM22" s="779"/>
      <c r="EN22" s="779"/>
      <c r="EO22" s="779"/>
      <c r="EP22" s="779"/>
      <c r="EQ22" s="779"/>
      <c r="ER22" s="779"/>
      <c r="ES22" s="779"/>
      <c r="ET22" s="779"/>
      <c r="EU22" s="779"/>
      <c r="EV22" s="779"/>
      <c r="EW22" s="779"/>
      <c r="EX22" s="779"/>
      <c r="EY22" s="779"/>
      <c r="EZ22" s="779"/>
      <c r="FA22" s="779"/>
      <c r="FB22" s="779"/>
      <c r="FC22" s="779"/>
      <c r="FD22" s="779"/>
      <c r="FE22" s="779"/>
      <c r="FF22" s="779"/>
      <c r="FG22" s="779"/>
      <c r="FH22" s="779"/>
      <c r="FI22" s="779"/>
      <c r="FJ22" s="779"/>
      <c r="FK22" s="779"/>
      <c r="FL22" s="779"/>
      <c r="FM22" s="779"/>
      <c r="FN22" s="779"/>
      <c r="FO22" s="779"/>
      <c r="FP22" s="779"/>
      <c r="FQ22" s="779"/>
      <c r="FR22" s="779"/>
      <c r="FS22" s="779"/>
      <c r="FT22" s="779"/>
      <c r="FU22" s="779"/>
      <c r="FV22" s="779"/>
      <c r="FW22" s="779"/>
      <c r="FX22" s="779"/>
      <c r="FY22" s="779"/>
      <c r="FZ22" s="779"/>
      <c r="GA22" s="779"/>
      <c r="GB22" s="779"/>
      <c r="GC22" s="779"/>
      <c r="GD22" s="779"/>
      <c r="GE22" s="779"/>
      <c r="GF22" s="779"/>
      <c r="GG22" s="779"/>
      <c r="GH22" s="779"/>
      <c r="GI22" s="779"/>
      <c r="GJ22" s="779"/>
      <c r="GK22" s="779"/>
      <c r="GL22" s="779"/>
      <c r="GM22" s="779"/>
      <c r="GN22" s="779"/>
      <c r="GO22" s="779"/>
      <c r="GP22" s="779"/>
      <c r="GQ22" s="779"/>
      <c r="GR22" s="779"/>
      <c r="GS22" s="779"/>
      <c r="GT22" s="779"/>
      <c r="GU22" s="779"/>
      <c r="GV22" s="779"/>
      <c r="GW22" s="779"/>
      <c r="GX22" s="779"/>
      <c r="GY22" s="779"/>
      <c r="GZ22" s="779"/>
      <c r="HA22" s="779"/>
      <c r="HB22" s="779"/>
      <c r="HC22" s="779"/>
      <c r="HD22" s="779"/>
      <c r="HE22" s="779"/>
      <c r="HF22" s="779"/>
      <c r="HG22" s="779"/>
      <c r="HH22" s="779"/>
      <c r="HI22" s="779"/>
      <c r="HJ22" s="779"/>
      <c r="HK22" s="779"/>
      <c r="HL22" s="779"/>
      <c r="HM22" s="779"/>
      <c r="HN22" s="779"/>
      <c r="HO22" s="779"/>
      <c r="HP22" s="779"/>
      <c r="HQ22" s="779"/>
      <c r="HR22" s="779"/>
      <c r="HS22" s="779"/>
      <c r="HT22" s="779"/>
      <c r="HU22" s="779"/>
      <c r="HV22" s="779"/>
      <c r="HW22" s="779"/>
      <c r="HX22" s="779"/>
      <c r="HY22" s="779"/>
      <c r="HZ22" s="779"/>
      <c r="IA22" s="779"/>
      <c r="IB22" s="779"/>
      <c r="IC22" s="779"/>
      <c r="ID22" s="779"/>
      <c r="IE22" s="779"/>
      <c r="IF22" s="779"/>
      <c r="IG22" s="779"/>
      <c r="IH22" s="779"/>
      <c r="II22" s="779"/>
      <c r="IJ22" s="779"/>
      <c r="IK22" s="779"/>
      <c r="IL22" s="779"/>
      <c r="IM22" s="779"/>
      <c r="IN22" s="779"/>
      <c r="IO22" s="779"/>
      <c r="IP22" s="779"/>
      <c r="IQ22" s="779"/>
      <c r="IR22" s="779"/>
      <c r="IS22" s="779"/>
      <c r="IT22" s="779"/>
      <c r="IU22" s="779"/>
      <c r="IV22" s="779"/>
      <c r="IW22" s="779"/>
      <c r="IX22" s="779"/>
      <c r="IY22" s="779"/>
      <c r="IZ22" s="779"/>
      <c r="JA22" s="779"/>
      <c r="JB22" s="779"/>
    </row>
    <row r="23" spans="1:262" ht="11.25" customHeight="1">
      <c r="A23" s="119" t="s">
        <v>87</v>
      </c>
      <c r="B23" s="227" t="s">
        <v>3</v>
      </c>
      <c r="C23" s="27" t="s">
        <v>3</v>
      </c>
      <c r="D23" s="27" t="s">
        <v>3</v>
      </c>
      <c r="E23" s="27" t="s">
        <v>3</v>
      </c>
      <c r="F23" s="27" t="s">
        <v>3</v>
      </c>
      <c r="G23" s="27" t="s">
        <v>3</v>
      </c>
      <c r="H23" s="27" t="s">
        <v>3</v>
      </c>
      <c r="I23" s="27" t="s">
        <v>3</v>
      </c>
      <c r="J23" s="27" t="s">
        <v>3</v>
      </c>
      <c r="K23" s="27" t="s">
        <v>3</v>
      </c>
      <c r="L23" s="227" t="s">
        <v>3</v>
      </c>
      <c r="M23" s="27" t="s">
        <v>3</v>
      </c>
      <c r="N23" s="27" t="s">
        <v>3</v>
      </c>
      <c r="O23" s="27" t="s">
        <v>3</v>
      </c>
      <c r="P23" s="27" t="s">
        <v>3</v>
      </c>
      <c r="Q23" s="27" t="s">
        <v>3</v>
      </c>
      <c r="R23" s="27" t="s">
        <v>3</v>
      </c>
      <c r="S23" s="27" t="s">
        <v>3</v>
      </c>
      <c r="T23" s="27" t="s">
        <v>3</v>
      </c>
      <c r="U23" s="27" t="s">
        <v>3</v>
      </c>
      <c r="V23" s="227" t="s">
        <v>3</v>
      </c>
      <c r="W23" s="27" t="s">
        <v>3</v>
      </c>
      <c r="X23" s="27" t="s">
        <v>3</v>
      </c>
      <c r="Y23" s="27" t="s">
        <v>3</v>
      </c>
      <c r="Z23" s="27" t="s">
        <v>3</v>
      </c>
      <c r="AA23" s="27" t="s">
        <v>3</v>
      </c>
      <c r="AB23" s="27" t="s">
        <v>3</v>
      </c>
      <c r="AC23" s="27" t="s">
        <v>3</v>
      </c>
      <c r="AD23" s="27" t="s">
        <v>3</v>
      </c>
      <c r="AE23" s="27" t="s">
        <v>3</v>
      </c>
      <c r="AF23" s="227" t="s">
        <v>3</v>
      </c>
      <c r="AG23" s="27" t="s">
        <v>3</v>
      </c>
      <c r="AH23" s="15" t="s">
        <v>11</v>
      </c>
      <c r="AI23" s="15" t="s">
        <v>11</v>
      </c>
      <c r="AJ23" s="12">
        <v>5</v>
      </c>
      <c r="AK23" s="12">
        <v>11</v>
      </c>
      <c r="AL23" s="12">
        <v>14</v>
      </c>
      <c r="AM23" s="23">
        <v>17</v>
      </c>
      <c r="AN23" s="23">
        <v>16</v>
      </c>
      <c r="AO23" s="23">
        <v>16</v>
      </c>
      <c r="AP23" s="778">
        <v>18</v>
      </c>
      <c r="AQ23" s="62">
        <v>23</v>
      </c>
      <c r="AR23" s="62">
        <v>27</v>
      </c>
      <c r="AS23" s="62">
        <v>28</v>
      </c>
      <c r="AT23" s="62">
        <v>39</v>
      </c>
      <c r="AU23" s="62">
        <v>48</v>
      </c>
      <c r="AV23" s="62">
        <v>62</v>
      </c>
      <c r="AW23" s="62">
        <v>63</v>
      </c>
      <c r="AX23" s="266">
        <v>69</v>
      </c>
      <c r="AY23" s="267" t="s">
        <v>3</v>
      </c>
      <c r="AZ23" s="243" t="s">
        <v>3</v>
      </c>
      <c r="BA23" s="352" t="s">
        <v>3</v>
      </c>
      <c r="BB23" s="352" t="s">
        <v>3</v>
      </c>
      <c r="BC23" s="352" t="s">
        <v>3</v>
      </c>
      <c r="BD23" s="540" t="s">
        <v>3</v>
      </c>
      <c r="BE23" s="540" t="s">
        <v>3</v>
      </c>
      <c r="BF23" s="540" t="s">
        <v>3</v>
      </c>
      <c r="BG23" s="873" t="s">
        <v>3</v>
      </c>
      <c r="BH23" s="873" t="s">
        <v>3</v>
      </c>
      <c r="BI23" s="873" t="s">
        <v>3</v>
      </c>
      <c r="BJ23" s="874" t="s">
        <v>10</v>
      </c>
      <c r="BK23" s="874" t="s">
        <v>10</v>
      </c>
      <c r="BL23" s="568"/>
      <c r="BM23" s="568"/>
      <c r="BN23" s="407"/>
      <c r="BQ23" s="152"/>
      <c r="BR23" s="320"/>
    </row>
    <row r="24" spans="1:262" ht="11.25" customHeight="1">
      <c r="A24" s="118" t="s">
        <v>31</v>
      </c>
      <c r="B24" s="797" t="s">
        <v>3</v>
      </c>
      <c r="C24" s="432" t="s">
        <v>3</v>
      </c>
      <c r="D24" s="432" t="s">
        <v>3</v>
      </c>
      <c r="E24" s="432" t="s">
        <v>3</v>
      </c>
      <c r="F24" s="432" t="s">
        <v>3</v>
      </c>
      <c r="G24" s="432" t="s">
        <v>3</v>
      </c>
      <c r="H24" s="432" t="s">
        <v>3</v>
      </c>
      <c r="I24" s="432" t="s">
        <v>3</v>
      </c>
      <c r="J24" s="432" t="s">
        <v>3</v>
      </c>
      <c r="K24" s="432" t="s">
        <v>3</v>
      </c>
      <c r="L24" s="797" t="s">
        <v>3</v>
      </c>
      <c r="M24" s="432" t="s">
        <v>3</v>
      </c>
      <c r="N24" s="432" t="s">
        <v>3</v>
      </c>
      <c r="O24" s="144">
        <f t="shared" ref="O24:BA24" si="6">SUM(O21:O23)</f>
        <v>1</v>
      </c>
      <c r="P24" s="144">
        <f t="shared" si="6"/>
        <v>1</v>
      </c>
      <c r="Q24" s="144">
        <f t="shared" si="6"/>
        <v>2</v>
      </c>
      <c r="R24" s="432" t="s">
        <v>3</v>
      </c>
      <c r="S24" s="432" t="s">
        <v>3</v>
      </c>
      <c r="T24" s="432" t="s">
        <v>3</v>
      </c>
      <c r="U24" s="144">
        <f>SUM(U21:U23)</f>
        <v>1</v>
      </c>
      <c r="V24" s="833">
        <f t="shared" si="6"/>
        <v>2</v>
      </c>
      <c r="W24" s="144">
        <f t="shared" si="6"/>
        <v>5</v>
      </c>
      <c r="X24" s="144">
        <f t="shared" si="6"/>
        <v>4</v>
      </c>
      <c r="Y24" s="144">
        <f t="shared" si="6"/>
        <v>5</v>
      </c>
      <c r="Z24" s="144">
        <f t="shared" si="6"/>
        <v>5</v>
      </c>
      <c r="AA24" s="144">
        <f t="shared" si="6"/>
        <v>7</v>
      </c>
      <c r="AB24" s="144">
        <f t="shared" si="6"/>
        <v>6</v>
      </c>
      <c r="AC24" s="144">
        <f t="shared" si="6"/>
        <v>6</v>
      </c>
      <c r="AD24" s="144">
        <f t="shared" si="6"/>
        <v>7</v>
      </c>
      <c r="AE24" s="144">
        <f t="shared" si="6"/>
        <v>7</v>
      </c>
      <c r="AF24" s="833">
        <f t="shared" si="6"/>
        <v>5</v>
      </c>
      <c r="AG24" s="144">
        <f t="shared" si="6"/>
        <v>8</v>
      </c>
      <c r="AH24" s="144">
        <f t="shared" si="6"/>
        <v>7</v>
      </c>
      <c r="AI24" s="144">
        <f t="shared" si="6"/>
        <v>8</v>
      </c>
      <c r="AJ24" s="144">
        <f t="shared" si="6"/>
        <v>14</v>
      </c>
      <c r="AK24" s="144">
        <f t="shared" si="6"/>
        <v>21</v>
      </c>
      <c r="AL24" s="144">
        <f t="shared" si="6"/>
        <v>26</v>
      </c>
      <c r="AM24" s="144">
        <f t="shared" si="6"/>
        <v>30</v>
      </c>
      <c r="AN24" s="144">
        <f t="shared" si="6"/>
        <v>32</v>
      </c>
      <c r="AO24" s="144">
        <f t="shared" si="6"/>
        <v>33</v>
      </c>
      <c r="AP24" s="833">
        <f t="shared" si="6"/>
        <v>127</v>
      </c>
      <c r="AQ24" s="144">
        <f t="shared" si="6"/>
        <v>119</v>
      </c>
      <c r="AR24" s="144">
        <f t="shared" si="6"/>
        <v>132</v>
      </c>
      <c r="AS24" s="144">
        <f t="shared" si="6"/>
        <v>126</v>
      </c>
      <c r="AT24" s="144">
        <f t="shared" si="6"/>
        <v>162</v>
      </c>
      <c r="AU24" s="144">
        <f>SUM(AU21:AU23)</f>
        <v>191</v>
      </c>
      <c r="AV24" s="208">
        <f>SUM(AV21:AV23)</f>
        <v>191</v>
      </c>
      <c r="AW24" s="208">
        <f>SUM(AW21:AW23)</f>
        <v>217</v>
      </c>
      <c r="AX24" s="208">
        <f>SUM(AX21:AX23)</f>
        <v>225</v>
      </c>
      <c r="AY24" s="208">
        <f t="shared" si="6"/>
        <v>174</v>
      </c>
      <c r="AZ24" s="854">
        <f t="shared" si="6"/>
        <v>185</v>
      </c>
      <c r="BA24" s="353">
        <f t="shared" si="6"/>
        <v>181</v>
      </c>
      <c r="BB24" s="353">
        <f t="shared" ref="BB24:BG24" si="7">SUM(BB21:BB23)</f>
        <v>155</v>
      </c>
      <c r="BC24" s="353">
        <f t="shared" si="7"/>
        <v>132</v>
      </c>
      <c r="BD24" s="541">
        <f t="shared" si="7"/>
        <v>130</v>
      </c>
      <c r="BE24" s="541">
        <f t="shared" si="7"/>
        <v>121</v>
      </c>
      <c r="BF24" s="541">
        <f t="shared" si="7"/>
        <v>107</v>
      </c>
      <c r="BG24" s="541">
        <f t="shared" si="7"/>
        <v>111</v>
      </c>
      <c r="BH24" s="396">
        <f t="shared" ref="BH24:BI24" si="8">SUM(BH20:BH23)</f>
        <v>114</v>
      </c>
      <c r="BI24" s="396">
        <f t="shared" si="8"/>
        <v>129</v>
      </c>
      <c r="BJ24" s="872">
        <f>(BH24-BG24)/BG24</f>
        <v>2.7027027027027029E-2</v>
      </c>
      <c r="BK24" s="872">
        <f>(BI24-BH24)/BH24</f>
        <v>0.13157894736842105</v>
      </c>
      <c r="BL24" s="567">
        <f>BH24-BG24</f>
        <v>3</v>
      </c>
      <c r="BM24" s="567">
        <f>BI24-BH24</f>
        <v>15</v>
      </c>
      <c r="BN24" s="349"/>
      <c r="BQ24" s="152"/>
      <c r="BR24" s="320"/>
    </row>
    <row r="25" spans="1:262" ht="6" customHeight="1">
      <c r="A25" s="115"/>
      <c r="L25" s="594"/>
      <c r="M25" s="12"/>
      <c r="N25" s="12"/>
      <c r="O25" s="12"/>
      <c r="P25" s="12"/>
      <c r="Q25" s="12"/>
      <c r="R25" s="12"/>
      <c r="S25" s="12"/>
      <c r="T25" s="12"/>
      <c r="U25" s="12"/>
      <c r="V25" s="594"/>
      <c r="W25" s="12"/>
      <c r="X25" s="12"/>
      <c r="Y25" s="12"/>
      <c r="Z25" s="12"/>
      <c r="AA25" s="12"/>
      <c r="AB25" s="12"/>
      <c r="AC25" s="12"/>
      <c r="AD25" s="12"/>
      <c r="AE25" s="12"/>
      <c r="AF25" s="594"/>
      <c r="AG25" s="12"/>
      <c r="AH25" s="12"/>
      <c r="AI25" s="12"/>
      <c r="AJ25" s="12"/>
      <c r="AK25" s="12"/>
      <c r="AL25" s="12"/>
      <c r="AM25" s="23"/>
      <c r="AN25" s="23"/>
      <c r="AO25" s="23"/>
      <c r="AP25" s="180"/>
      <c r="AQ25" s="23"/>
      <c r="AR25" s="23"/>
      <c r="AS25" s="23"/>
      <c r="AT25" s="23"/>
      <c r="AU25" s="23"/>
      <c r="AV25" s="152"/>
      <c r="AW25" s="152"/>
      <c r="AX25" s="152"/>
      <c r="AY25" s="152"/>
      <c r="AZ25" s="535"/>
      <c r="BA25" s="309"/>
      <c r="BB25" s="316"/>
      <c r="BC25" s="309"/>
      <c r="BD25" s="365"/>
      <c r="BE25" s="535"/>
      <c r="BF25" s="535"/>
      <c r="BG25" s="365"/>
      <c r="BH25" s="365"/>
      <c r="BI25" s="365"/>
      <c r="BJ25" s="871"/>
      <c r="BK25" s="871"/>
      <c r="BL25" s="565"/>
      <c r="BM25" s="565"/>
      <c r="BN25" s="316"/>
      <c r="BQ25" s="152"/>
      <c r="BR25" s="320"/>
    </row>
    <row r="26" spans="1:262" ht="11.25" customHeight="1">
      <c r="A26" s="116" t="s">
        <v>34</v>
      </c>
      <c r="AV26" s="3"/>
      <c r="AW26" s="3"/>
      <c r="AX26" s="3"/>
      <c r="AY26" s="3"/>
      <c r="AZ26" s="178"/>
      <c r="BA26" s="3"/>
      <c r="BB26" s="3"/>
      <c r="BC26" s="3"/>
      <c r="BD26" s="3"/>
      <c r="BE26" s="3"/>
      <c r="BF26" s="178"/>
      <c r="BG26" s="178"/>
      <c r="BH26" s="178"/>
      <c r="BI26" s="178"/>
      <c r="BJ26" s="871"/>
      <c r="BK26" s="871"/>
      <c r="BL26" s="565"/>
      <c r="BM26" s="565"/>
      <c r="BN26" s="316"/>
      <c r="BQ26" s="152"/>
      <c r="BR26" s="320"/>
    </row>
    <row r="27" spans="1:262" ht="11.25" customHeight="1">
      <c r="A27" s="115" t="s">
        <v>88</v>
      </c>
      <c r="B27" s="227" t="s">
        <v>3</v>
      </c>
      <c r="C27" s="27" t="s">
        <v>3</v>
      </c>
      <c r="D27" s="27" t="s">
        <v>3</v>
      </c>
      <c r="E27" s="27" t="s">
        <v>3</v>
      </c>
      <c r="F27" s="27" t="s">
        <v>3</v>
      </c>
      <c r="G27" s="27" t="s">
        <v>3</v>
      </c>
      <c r="H27" s="27" t="s">
        <v>3</v>
      </c>
      <c r="I27" s="27" t="s">
        <v>3</v>
      </c>
      <c r="J27" s="25">
        <v>1</v>
      </c>
      <c r="K27" s="25">
        <v>2</v>
      </c>
      <c r="L27" s="594">
        <v>2</v>
      </c>
      <c r="M27" s="12">
        <v>4</v>
      </c>
      <c r="N27" s="12">
        <v>7</v>
      </c>
      <c r="O27" s="12">
        <v>10</v>
      </c>
      <c r="P27" s="12">
        <v>7</v>
      </c>
      <c r="Q27" s="12">
        <v>12</v>
      </c>
      <c r="R27" s="12">
        <v>9</v>
      </c>
      <c r="S27" s="12">
        <v>9</v>
      </c>
      <c r="T27" s="12">
        <v>9</v>
      </c>
      <c r="U27" s="12">
        <v>13</v>
      </c>
      <c r="V27" s="594">
        <v>13</v>
      </c>
      <c r="W27" s="12">
        <v>13</v>
      </c>
      <c r="X27" s="12">
        <v>14</v>
      </c>
      <c r="Y27" s="12">
        <v>16</v>
      </c>
      <c r="Z27" s="12">
        <v>15</v>
      </c>
      <c r="AA27" s="12">
        <v>17</v>
      </c>
      <c r="AB27" s="12">
        <v>17</v>
      </c>
      <c r="AC27" s="12">
        <v>21</v>
      </c>
      <c r="AD27" s="12">
        <v>25</v>
      </c>
      <c r="AE27" s="12">
        <v>25</v>
      </c>
      <c r="AF27" s="594">
        <v>27</v>
      </c>
      <c r="AG27" s="12">
        <v>31</v>
      </c>
      <c r="AH27" s="12">
        <v>38</v>
      </c>
      <c r="AI27" s="12">
        <v>39</v>
      </c>
      <c r="AJ27" s="12">
        <v>46</v>
      </c>
      <c r="AK27" s="12">
        <v>43</v>
      </c>
      <c r="AL27" s="12">
        <v>55</v>
      </c>
      <c r="AM27" s="90">
        <v>56</v>
      </c>
      <c r="AN27" s="85">
        <v>60</v>
      </c>
      <c r="AO27" s="85">
        <v>63</v>
      </c>
      <c r="AP27" s="841">
        <v>74</v>
      </c>
      <c r="AQ27" s="85">
        <v>75</v>
      </c>
      <c r="AR27" s="85">
        <v>77</v>
      </c>
      <c r="AS27" s="85">
        <v>81</v>
      </c>
      <c r="AT27" s="85">
        <v>90</v>
      </c>
      <c r="AU27" s="85">
        <v>126</v>
      </c>
      <c r="AV27" s="30">
        <v>157</v>
      </c>
      <c r="AW27" s="30">
        <v>161</v>
      </c>
      <c r="AX27" s="30">
        <v>211</v>
      </c>
      <c r="AY27" s="30">
        <v>204</v>
      </c>
      <c r="AZ27" s="270">
        <v>250</v>
      </c>
      <c r="BA27" s="348">
        <v>262</v>
      </c>
      <c r="BB27" s="348">
        <v>292</v>
      </c>
      <c r="BC27" s="348">
        <v>301</v>
      </c>
      <c r="BD27" s="358">
        <v>323</v>
      </c>
      <c r="BE27" s="358">
        <v>319</v>
      </c>
      <c r="BF27" s="358">
        <v>345</v>
      </c>
      <c r="BG27" s="358">
        <v>378</v>
      </c>
      <c r="BH27" s="358">
        <v>409</v>
      </c>
      <c r="BI27" s="358">
        <v>415</v>
      </c>
      <c r="BJ27" s="410">
        <f>(BH27-BG27)/BG27</f>
        <v>8.2010582010582006E-2</v>
      </c>
      <c r="BK27" s="410">
        <f>(BI27-BH27)/BH27</f>
        <v>1.4669926650366748E-2</v>
      </c>
      <c r="BL27" s="564">
        <f t="shared" ref="BL27:BM30" si="9">BH27-BG27</f>
        <v>31</v>
      </c>
      <c r="BM27" s="564">
        <f t="shared" si="9"/>
        <v>6</v>
      </c>
      <c r="BN27" s="348"/>
      <c r="BQ27" s="152"/>
      <c r="BR27" s="320"/>
    </row>
    <row r="28" spans="1:262" ht="11.25" customHeight="1">
      <c r="A28" s="119" t="s">
        <v>117</v>
      </c>
      <c r="B28" s="177"/>
      <c r="C28"/>
      <c r="D28"/>
      <c r="E28"/>
      <c r="F28"/>
      <c r="G28"/>
      <c r="H28"/>
      <c r="I28"/>
      <c r="J28"/>
      <c r="K28"/>
      <c r="L28" s="596"/>
      <c r="M28" s="11"/>
      <c r="N28" s="11"/>
      <c r="O28" s="11"/>
      <c r="P28" s="11"/>
      <c r="Q28" s="11"/>
      <c r="R28" s="11"/>
      <c r="S28" s="11"/>
      <c r="T28" s="11"/>
      <c r="U28" s="11"/>
      <c r="V28" s="596"/>
      <c r="W28" s="11"/>
      <c r="X28" s="11"/>
      <c r="Y28" s="11"/>
      <c r="Z28" s="11"/>
      <c r="AA28" s="11"/>
      <c r="AB28" s="11"/>
      <c r="AC28" s="11"/>
      <c r="AD28" s="11"/>
      <c r="AE28" s="11"/>
      <c r="AF28" s="596"/>
      <c r="AG28" s="11"/>
      <c r="AH28" s="11"/>
      <c r="AI28" s="11"/>
      <c r="AJ28" s="11"/>
      <c r="AK28" s="11"/>
      <c r="AL28" s="6"/>
      <c r="AM28" s="23"/>
      <c r="AN28" s="23"/>
      <c r="AO28" s="87"/>
      <c r="AP28" s="224"/>
      <c r="AQ28" s="87"/>
      <c r="AR28" s="87"/>
      <c r="AS28" s="87"/>
      <c r="AT28" s="87"/>
      <c r="AU28" s="87"/>
      <c r="AV28" s="95"/>
      <c r="AW28" s="95"/>
      <c r="AX28" s="95"/>
      <c r="AY28" s="95"/>
      <c r="AZ28" s="542"/>
      <c r="BA28" s="349"/>
      <c r="BB28" s="312"/>
      <c r="BC28" s="349"/>
      <c r="BD28" s="542"/>
      <c r="BE28" s="542"/>
      <c r="BF28" s="542"/>
      <c r="BG28" s="542"/>
      <c r="BH28" s="542"/>
      <c r="BI28" s="542"/>
      <c r="BJ28" s="871"/>
      <c r="BK28" s="871"/>
      <c r="BL28" s="564"/>
      <c r="BM28" s="564"/>
      <c r="BN28" s="348"/>
      <c r="BQ28" s="152"/>
      <c r="BR28" s="320"/>
    </row>
    <row r="29" spans="1:262" ht="11.25" customHeight="1">
      <c r="A29" s="119" t="s">
        <v>89</v>
      </c>
      <c r="B29" s="593">
        <v>27</v>
      </c>
      <c r="C29" s="25">
        <v>29</v>
      </c>
      <c r="D29" s="25">
        <v>30</v>
      </c>
      <c r="E29" s="25">
        <v>32</v>
      </c>
      <c r="F29" s="25">
        <v>33</v>
      </c>
      <c r="G29" s="25">
        <v>33</v>
      </c>
      <c r="H29" s="25">
        <v>35</v>
      </c>
      <c r="I29" s="25">
        <v>37</v>
      </c>
      <c r="J29" s="25">
        <v>36</v>
      </c>
      <c r="K29" s="25">
        <v>41</v>
      </c>
      <c r="L29" s="277">
        <v>49</v>
      </c>
      <c r="M29" s="24">
        <v>58</v>
      </c>
      <c r="N29" s="24">
        <v>70</v>
      </c>
      <c r="O29" s="24">
        <v>70</v>
      </c>
      <c r="P29" s="24">
        <v>79</v>
      </c>
      <c r="Q29" s="24">
        <v>95</v>
      </c>
      <c r="R29" s="24">
        <v>104</v>
      </c>
      <c r="S29" s="24">
        <v>118</v>
      </c>
      <c r="T29" s="24">
        <v>129</v>
      </c>
      <c r="U29" s="24">
        <v>132</v>
      </c>
      <c r="V29" s="277">
        <v>147</v>
      </c>
      <c r="W29" s="24">
        <v>148</v>
      </c>
      <c r="X29" s="24">
        <v>138</v>
      </c>
      <c r="Y29" s="24">
        <v>145</v>
      </c>
      <c r="Z29" s="24">
        <v>160</v>
      </c>
      <c r="AA29" s="24">
        <v>170</v>
      </c>
      <c r="AB29" s="24">
        <v>167</v>
      </c>
      <c r="AC29" s="24">
        <v>180</v>
      </c>
      <c r="AD29" s="24">
        <v>214</v>
      </c>
      <c r="AE29" s="24">
        <v>238</v>
      </c>
      <c r="AF29" s="277">
        <v>273</v>
      </c>
      <c r="AG29" s="24">
        <v>316</v>
      </c>
      <c r="AH29" s="24">
        <v>351</v>
      </c>
      <c r="AI29" s="24">
        <v>394</v>
      </c>
      <c r="AJ29" s="24">
        <v>407</v>
      </c>
      <c r="AK29" s="24">
        <v>395</v>
      </c>
      <c r="AL29" s="24">
        <v>414</v>
      </c>
      <c r="AM29" s="87">
        <v>489</v>
      </c>
      <c r="AN29" s="87">
        <v>485</v>
      </c>
      <c r="AO29" s="87">
        <v>558</v>
      </c>
      <c r="AP29" s="224">
        <v>555</v>
      </c>
      <c r="AQ29" s="87">
        <v>700</v>
      </c>
      <c r="AR29" s="87">
        <v>785</v>
      </c>
      <c r="AS29" s="87">
        <v>828</v>
      </c>
      <c r="AT29" s="87">
        <v>892</v>
      </c>
      <c r="AU29" s="87">
        <v>903</v>
      </c>
      <c r="AV29" s="95">
        <v>972</v>
      </c>
      <c r="AW29" s="95">
        <v>1003</v>
      </c>
      <c r="AX29" s="95">
        <v>1011</v>
      </c>
      <c r="AY29" s="95">
        <v>1124</v>
      </c>
      <c r="AZ29" s="269">
        <v>1233</v>
      </c>
      <c r="BA29" s="349">
        <v>1220</v>
      </c>
      <c r="BB29" s="349">
        <v>1232</v>
      </c>
      <c r="BC29" s="349">
        <v>1225</v>
      </c>
      <c r="BD29" s="361">
        <v>1203</v>
      </c>
      <c r="BE29" s="361">
        <f>1291</f>
        <v>1291</v>
      </c>
      <c r="BF29" s="361">
        <v>1343</v>
      </c>
      <c r="BG29" s="361">
        <v>1339</v>
      </c>
      <c r="BH29" s="361">
        <v>1348</v>
      </c>
      <c r="BI29" s="361">
        <f>1385+34</f>
        <v>1419</v>
      </c>
      <c r="BJ29" s="410">
        <f>(BH29-BG29)/BG29</f>
        <v>6.7214339058999251E-3</v>
      </c>
      <c r="BK29" s="410">
        <f>(BI29-BH29)/BH29</f>
        <v>5.2670623145400594E-2</v>
      </c>
      <c r="BL29" s="564">
        <f t="shared" si="9"/>
        <v>9</v>
      </c>
      <c r="BM29" s="564">
        <f t="shared" si="9"/>
        <v>71</v>
      </c>
      <c r="BN29" s="348"/>
      <c r="BQ29" s="152"/>
      <c r="BR29" s="320"/>
    </row>
    <row r="30" spans="1:262" ht="11.25" customHeight="1">
      <c r="A30" s="118" t="s">
        <v>31</v>
      </c>
      <c r="B30" s="798">
        <f t="shared" ref="B30:AN30" si="10">SUM(B27:B29)</f>
        <v>27</v>
      </c>
      <c r="C30" s="107">
        <f t="shared" si="10"/>
        <v>29</v>
      </c>
      <c r="D30" s="107">
        <f t="shared" si="10"/>
        <v>30</v>
      </c>
      <c r="E30" s="107">
        <f t="shared" si="10"/>
        <v>32</v>
      </c>
      <c r="F30" s="107">
        <f t="shared" si="10"/>
        <v>33</v>
      </c>
      <c r="G30" s="107">
        <f t="shared" si="10"/>
        <v>33</v>
      </c>
      <c r="H30" s="107">
        <f t="shared" si="10"/>
        <v>35</v>
      </c>
      <c r="I30" s="107">
        <f t="shared" si="10"/>
        <v>37</v>
      </c>
      <c r="J30" s="107">
        <f t="shared" si="10"/>
        <v>37</v>
      </c>
      <c r="K30" s="107">
        <f t="shared" si="10"/>
        <v>43</v>
      </c>
      <c r="L30" s="798">
        <f t="shared" si="10"/>
        <v>51</v>
      </c>
      <c r="M30" s="107">
        <f t="shared" si="10"/>
        <v>62</v>
      </c>
      <c r="N30" s="107">
        <f t="shared" si="10"/>
        <v>77</v>
      </c>
      <c r="O30" s="107">
        <f t="shared" si="10"/>
        <v>80</v>
      </c>
      <c r="P30" s="107">
        <f t="shared" si="10"/>
        <v>86</v>
      </c>
      <c r="Q30" s="107">
        <f t="shared" si="10"/>
        <v>107</v>
      </c>
      <c r="R30" s="107">
        <f t="shared" si="10"/>
        <v>113</v>
      </c>
      <c r="S30" s="107">
        <f t="shared" si="10"/>
        <v>127</v>
      </c>
      <c r="T30" s="107">
        <f t="shared" si="10"/>
        <v>138</v>
      </c>
      <c r="U30" s="107">
        <f>SUM(U27:U29)</f>
        <v>145</v>
      </c>
      <c r="V30" s="798">
        <f t="shared" si="10"/>
        <v>160</v>
      </c>
      <c r="W30" s="107">
        <f t="shared" si="10"/>
        <v>161</v>
      </c>
      <c r="X30" s="107">
        <f t="shared" si="10"/>
        <v>152</v>
      </c>
      <c r="Y30" s="107">
        <f t="shared" si="10"/>
        <v>161</v>
      </c>
      <c r="Z30" s="107">
        <f t="shared" si="10"/>
        <v>175</v>
      </c>
      <c r="AA30" s="107">
        <f t="shared" si="10"/>
        <v>187</v>
      </c>
      <c r="AB30" s="107">
        <f t="shared" si="10"/>
        <v>184</v>
      </c>
      <c r="AC30" s="107">
        <f t="shared" si="10"/>
        <v>201</v>
      </c>
      <c r="AD30" s="107">
        <f t="shared" si="10"/>
        <v>239</v>
      </c>
      <c r="AE30" s="107">
        <f t="shared" si="10"/>
        <v>263</v>
      </c>
      <c r="AF30" s="798">
        <f>SUM(AF27:AF29)</f>
        <v>300</v>
      </c>
      <c r="AG30" s="107">
        <f t="shared" si="10"/>
        <v>347</v>
      </c>
      <c r="AH30" s="107">
        <f t="shared" si="10"/>
        <v>389</v>
      </c>
      <c r="AI30" s="107">
        <f t="shared" si="10"/>
        <v>433</v>
      </c>
      <c r="AJ30" s="107">
        <f t="shared" si="10"/>
        <v>453</v>
      </c>
      <c r="AK30" s="107">
        <f t="shared" si="10"/>
        <v>438</v>
      </c>
      <c r="AL30" s="107">
        <f t="shared" si="10"/>
        <v>469</v>
      </c>
      <c r="AM30" s="107">
        <f t="shared" si="10"/>
        <v>545</v>
      </c>
      <c r="AN30" s="107">
        <f t="shared" si="10"/>
        <v>545</v>
      </c>
      <c r="AO30" s="107">
        <f t="shared" ref="AO30:BA30" si="11">SUM(AO27:AO29)</f>
        <v>621</v>
      </c>
      <c r="AP30" s="798">
        <f t="shared" si="11"/>
        <v>629</v>
      </c>
      <c r="AQ30" s="107">
        <f t="shared" si="11"/>
        <v>775</v>
      </c>
      <c r="AR30" s="107">
        <f t="shared" si="11"/>
        <v>862</v>
      </c>
      <c r="AS30" s="107">
        <f t="shared" si="11"/>
        <v>909</v>
      </c>
      <c r="AT30" s="107">
        <f t="shared" si="11"/>
        <v>982</v>
      </c>
      <c r="AU30" s="107">
        <f>SUM(AU27:AU29)</f>
        <v>1029</v>
      </c>
      <c r="AV30" s="449">
        <f>SUM(AV27:AV29)</f>
        <v>1129</v>
      </c>
      <c r="AW30" s="449">
        <f>SUM(AW27:AW29)</f>
        <v>1164</v>
      </c>
      <c r="AX30" s="449">
        <f>SUM(AX27:AX29)</f>
        <v>1222</v>
      </c>
      <c r="AY30" s="449">
        <f t="shared" si="11"/>
        <v>1328</v>
      </c>
      <c r="AZ30" s="855">
        <f t="shared" si="11"/>
        <v>1483</v>
      </c>
      <c r="BA30" s="450">
        <f t="shared" si="11"/>
        <v>1482</v>
      </c>
      <c r="BB30" s="450">
        <f t="shared" ref="BB30:BG30" si="12">SUM(BB27:BB29)</f>
        <v>1524</v>
      </c>
      <c r="BC30" s="450">
        <f t="shared" si="12"/>
        <v>1526</v>
      </c>
      <c r="BD30" s="543">
        <f t="shared" si="12"/>
        <v>1526</v>
      </c>
      <c r="BE30" s="543">
        <f t="shared" si="12"/>
        <v>1610</v>
      </c>
      <c r="BF30" s="543">
        <f t="shared" si="12"/>
        <v>1688</v>
      </c>
      <c r="BG30" s="543">
        <f t="shared" si="12"/>
        <v>1717</v>
      </c>
      <c r="BH30" s="543">
        <f t="shared" ref="BH30:BI30" si="13">SUM(BH27:BH29)</f>
        <v>1757</v>
      </c>
      <c r="BI30" s="543">
        <f t="shared" si="13"/>
        <v>1834</v>
      </c>
      <c r="BJ30" s="872">
        <f>(BH30-BG30)/BG30</f>
        <v>2.3296447291788001E-2</v>
      </c>
      <c r="BK30" s="872">
        <f>(BI30-BH30)/BH30</f>
        <v>4.3824701195219126E-2</v>
      </c>
      <c r="BL30" s="567">
        <f t="shared" si="9"/>
        <v>40</v>
      </c>
      <c r="BM30" s="567">
        <f t="shared" si="9"/>
        <v>77</v>
      </c>
      <c r="BN30" s="349"/>
      <c r="BQ30" s="152"/>
      <c r="BR30" s="320"/>
    </row>
    <row r="31" spans="1:262" ht="6" customHeight="1">
      <c r="A31" s="115"/>
      <c r="B31" s="593"/>
      <c r="C31" s="25"/>
      <c r="D31" s="25"/>
      <c r="E31" s="25"/>
      <c r="F31" s="25"/>
      <c r="G31" s="25"/>
      <c r="H31" s="25"/>
      <c r="I31" s="25"/>
      <c r="J31" s="25"/>
      <c r="K31" s="25"/>
      <c r="L31" s="277"/>
      <c r="M31" s="24"/>
      <c r="N31" s="24"/>
      <c r="O31" s="24"/>
      <c r="P31" s="24"/>
      <c r="Q31" s="24"/>
      <c r="R31" s="24"/>
      <c r="S31" s="24"/>
      <c r="T31" s="24"/>
      <c r="U31" s="24"/>
      <c r="V31" s="277"/>
      <c r="W31" s="24"/>
      <c r="X31" s="24"/>
      <c r="Y31" s="24"/>
      <c r="Z31" s="24"/>
      <c r="AA31" s="24"/>
      <c r="AB31" s="24"/>
      <c r="AC31" s="24"/>
      <c r="AD31" s="24"/>
      <c r="AE31" s="24"/>
      <c r="AF31" s="277"/>
      <c r="AG31" s="24"/>
      <c r="AH31" s="24"/>
      <c r="AI31" s="24"/>
      <c r="AJ31" s="24"/>
      <c r="AK31" s="24"/>
      <c r="AL31" s="24"/>
      <c r="AM31" s="87"/>
      <c r="AN31" s="87"/>
      <c r="AO31" s="87"/>
      <c r="AP31" s="224"/>
      <c r="AQ31" s="87"/>
      <c r="AR31" s="87"/>
      <c r="AS31" s="87"/>
      <c r="AT31" s="87"/>
      <c r="AU31" s="87"/>
      <c r="AV31" s="172"/>
      <c r="AW31" s="172"/>
      <c r="AX31" s="172"/>
      <c r="AY31" s="172"/>
      <c r="AZ31" s="544"/>
      <c r="BA31" s="308"/>
      <c r="BB31" s="314"/>
      <c r="BC31" s="308"/>
      <c r="BD31" s="544"/>
      <c r="BE31" s="544"/>
      <c r="BF31" s="544"/>
      <c r="BG31" s="544"/>
      <c r="BH31" s="544"/>
      <c r="BI31" s="544"/>
      <c r="BJ31" s="871"/>
      <c r="BK31" s="871"/>
      <c r="BL31" s="565"/>
      <c r="BM31" s="565"/>
      <c r="BN31" s="316"/>
      <c r="BQ31" s="152"/>
      <c r="BR31" s="320"/>
    </row>
    <row r="32" spans="1:262" ht="11.25" customHeight="1">
      <c r="A32" s="116" t="s">
        <v>73</v>
      </c>
      <c r="B32" s="593"/>
      <c r="C32" s="25"/>
      <c r="D32" s="25"/>
      <c r="E32" s="25"/>
      <c r="F32" s="25"/>
      <c r="G32" s="25"/>
      <c r="H32" s="25"/>
      <c r="I32" s="25"/>
      <c r="J32" s="25"/>
      <c r="K32" s="25"/>
      <c r="L32" s="593"/>
      <c r="M32" s="25"/>
      <c r="N32" s="25"/>
      <c r="O32" s="25"/>
      <c r="P32" s="25"/>
      <c r="Q32" s="25"/>
      <c r="R32" s="25"/>
      <c r="S32" s="25"/>
      <c r="T32" s="25"/>
      <c r="U32" s="25"/>
      <c r="V32" s="593"/>
      <c r="W32" s="25"/>
      <c r="X32" s="25"/>
      <c r="Y32" s="25"/>
      <c r="Z32" s="25"/>
      <c r="AA32" s="25"/>
      <c r="AB32" s="25"/>
      <c r="AC32" s="25"/>
      <c r="AD32" s="25"/>
      <c r="AE32" s="25"/>
      <c r="AF32" s="593"/>
      <c r="AG32" s="25"/>
      <c r="AH32" s="25"/>
      <c r="AI32" s="25"/>
      <c r="AJ32" s="25"/>
      <c r="AK32" s="25"/>
      <c r="AL32" s="25"/>
      <c r="AM32" s="25"/>
      <c r="AN32" s="25"/>
      <c r="AO32" s="25"/>
      <c r="AP32" s="593"/>
      <c r="AQ32" s="25"/>
      <c r="AR32" s="25"/>
      <c r="AS32" s="25"/>
      <c r="AT32" s="25"/>
      <c r="AU32" s="25"/>
      <c r="AV32" s="25"/>
      <c r="AW32" s="25"/>
      <c r="AX32" s="25"/>
      <c r="AY32" s="25"/>
      <c r="AZ32" s="593"/>
      <c r="BA32" s="25"/>
      <c r="BB32" s="25"/>
      <c r="BC32" s="25"/>
      <c r="BD32" s="25"/>
      <c r="BE32" s="25"/>
      <c r="BF32" s="593"/>
      <c r="BG32" s="593"/>
      <c r="BH32" s="593"/>
      <c r="BI32" s="593"/>
      <c r="BJ32" s="871"/>
      <c r="BK32" s="871"/>
      <c r="BL32" s="565"/>
      <c r="BM32" s="565"/>
      <c r="BN32" s="316"/>
      <c r="BQ32" s="152"/>
      <c r="BR32" s="320"/>
    </row>
    <row r="33" spans="1:70" ht="11.25" customHeight="1">
      <c r="A33" s="119" t="s">
        <v>90</v>
      </c>
      <c r="B33" s="225" t="s">
        <v>3</v>
      </c>
      <c r="C33" s="93" t="s">
        <v>3</v>
      </c>
      <c r="D33" s="93" t="s">
        <v>3</v>
      </c>
      <c r="E33" s="93" t="s">
        <v>3</v>
      </c>
      <c r="F33" s="93" t="s">
        <v>3</v>
      </c>
      <c r="G33" s="93" t="s">
        <v>3</v>
      </c>
      <c r="H33" s="93" t="s">
        <v>3</v>
      </c>
      <c r="I33" s="93" t="s">
        <v>3</v>
      </c>
      <c r="J33" s="93" t="s">
        <v>3</v>
      </c>
      <c r="K33" s="93" t="s">
        <v>3</v>
      </c>
      <c r="L33" s="225" t="s">
        <v>3</v>
      </c>
      <c r="M33" s="93" t="s">
        <v>3</v>
      </c>
      <c r="N33" s="93" t="s">
        <v>3</v>
      </c>
      <c r="O33" s="93" t="s">
        <v>3</v>
      </c>
      <c r="P33" s="93" t="s">
        <v>3</v>
      </c>
      <c r="Q33" s="93" t="s">
        <v>3</v>
      </c>
      <c r="R33" s="93" t="s">
        <v>3</v>
      </c>
      <c r="S33" s="93" t="s">
        <v>3</v>
      </c>
      <c r="T33" s="93" t="s">
        <v>3</v>
      </c>
      <c r="U33" s="93" t="s">
        <v>3</v>
      </c>
      <c r="V33" s="225" t="s">
        <v>3</v>
      </c>
      <c r="W33" s="93" t="s">
        <v>3</v>
      </c>
      <c r="X33" s="93" t="s">
        <v>3</v>
      </c>
      <c r="Y33" s="93" t="s">
        <v>3</v>
      </c>
      <c r="Z33" s="93" t="s">
        <v>3</v>
      </c>
      <c r="AA33" s="93" t="s">
        <v>3</v>
      </c>
      <c r="AB33" s="93" t="s">
        <v>3</v>
      </c>
      <c r="AC33" s="93" t="s">
        <v>3</v>
      </c>
      <c r="AD33" s="93" t="s">
        <v>3</v>
      </c>
      <c r="AE33" s="93" t="s">
        <v>3</v>
      </c>
      <c r="AF33" s="225" t="s">
        <v>3</v>
      </c>
      <c r="AG33" s="93" t="s">
        <v>3</v>
      </c>
      <c r="AH33" s="93" t="s">
        <v>3</v>
      </c>
      <c r="AI33" s="93" t="s">
        <v>3</v>
      </c>
      <c r="AJ33" s="93" t="s">
        <v>3</v>
      </c>
      <c r="AK33" s="93" t="s">
        <v>3</v>
      </c>
      <c r="AL33" s="93" t="s">
        <v>3</v>
      </c>
      <c r="AM33" s="93" t="s">
        <v>3</v>
      </c>
      <c r="AN33" s="93" t="s">
        <v>3</v>
      </c>
      <c r="AO33" s="93" t="s">
        <v>3</v>
      </c>
      <c r="AP33" s="225" t="s">
        <v>3</v>
      </c>
      <c r="AQ33" s="93" t="s">
        <v>3</v>
      </c>
      <c r="AR33" s="87">
        <v>68</v>
      </c>
      <c r="AS33" s="87">
        <v>79</v>
      </c>
      <c r="AT33" s="87">
        <v>71</v>
      </c>
      <c r="AU33" s="87">
        <v>87</v>
      </c>
      <c r="AV33" s="172">
        <v>93</v>
      </c>
      <c r="AW33" s="172">
        <v>92</v>
      </c>
      <c r="AX33" s="172">
        <v>96</v>
      </c>
      <c r="AY33" s="172">
        <v>100</v>
      </c>
      <c r="AZ33" s="271">
        <v>103</v>
      </c>
      <c r="BA33" s="308">
        <v>105</v>
      </c>
      <c r="BB33" s="308">
        <v>108</v>
      </c>
      <c r="BC33" s="308">
        <v>103</v>
      </c>
      <c r="BD33" s="307">
        <v>102</v>
      </c>
      <c r="BE33" s="307">
        <v>104</v>
      </c>
      <c r="BF33" s="307">
        <v>110</v>
      </c>
      <c r="BG33" s="307">
        <v>114</v>
      </c>
      <c r="BH33" s="307">
        <v>117</v>
      </c>
      <c r="BI33" s="307">
        <v>120</v>
      </c>
      <c r="BJ33" s="410">
        <f>(BH33-BG33)/BG33</f>
        <v>2.6315789473684209E-2</v>
      </c>
      <c r="BK33" s="410">
        <f>(BI33-BH33)/BH33</f>
        <v>2.564102564102564E-2</v>
      </c>
      <c r="BL33" s="564">
        <f>BH33-BG33</f>
        <v>3</v>
      </c>
      <c r="BM33" s="564">
        <f>BI33-BH33</f>
        <v>3</v>
      </c>
      <c r="BN33" s="348"/>
      <c r="BQ33" s="152"/>
      <c r="BR33" s="453"/>
    </row>
    <row r="34" spans="1:70" ht="10.5" customHeight="1">
      <c r="A34" s="154"/>
      <c r="B34" s="225"/>
      <c r="C34" s="93"/>
      <c r="D34" s="93"/>
      <c r="E34" s="93"/>
      <c r="F34" s="93"/>
      <c r="G34" s="93"/>
      <c r="H34" s="93"/>
      <c r="I34" s="93"/>
      <c r="J34" s="93"/>
      <c r="K34" s="93"/>
      <c r="L34" s="225"/>
      <c r="M34" s="93"/>
      <c r="N34" s="93"/>
      <c r="O34" s="93"/>
      <c r="P34" s="93"/>
      <c r="Q34" s="93"/>
      <c r="R34" s="93"/>
      <c r="S34" s="93"/>
      <c r="T34" s="93"/>
      <c r="U34" s="93"/>
      <c r="V34" s="225"/>
      <c r="W34" s="93"/>
      <c r="X34" s="93"/>
      <c r="Y34" s="93"/>
      <c r="Z34" s="93"/>
      <c r="AA34" s="93"/>
      <c r="AB34" s="93"/>
      <c r="AC34" s="93"/>
      <c r="AD34" s="93"/>
      <c r="AE34" s="93"/>
      <c r="AF34" s="225"/>
      <c r="AG34" s="93"/>
      <c r="AH34" s="93"/>
      <c r="AI34" s="93"/>
      <c r="AJ34" s="93"/>
      <c r="AK34" s="93"/>
      <c r="AL34" s="93"/>
      <c r="AM34" s="93"/>
      <c r="AN34" s="93"/>
      <c r="AO34" s="93"/>
      <c r="AP34" s="225"/>
      <c r="AQ34" s="93"/>
      <c r="AR34" s="93"/>
      <c r="AS34" s="49"/>
      <c r="AT34" s="49"/>
      <c r="AU34" s="49"/>
      <c r="AV34" s="30"/>
      <c r="AW34" s="30"/>
      <c r="AX34" s="30"/>
      <c r="AY34" s="30"/>
      <c r="AZ34" s="537"/>
      <c r="BA34" s="348"/>
      <c r="BB34" s="313"/>
      <c r="BC34" s="295"/>
      <c r="BD34" s="537"/>
      <c r="BE34" s="537"/>
      <c r="BF34" s="537"/>
      <c r="BG34" s="537"/>
      <c r="BH34" s="537"/>
      <c r="BI34" s="537"/>
      <c r="BJ34" s="871"/>
      <c r="BK34" s="871"/>
      <c r="BL34" s="564"/>
      <c r="BM34" s="564"/>
      <c r="BN34" s="316"/>
      <c r="BQ34" s="152"/>
      <c r="BR34" s="320"/>
    </row>
    <row r="35" spans="1:70" ht="10.5" customHeight="1">
      <c r="A35" s="288" t="s">
        <v>105</v>
      </c>
      <c r="B35" s="225" t="s">
        <v>3</v>
      </c>
      <c r="C35" s="93" t="s">
        <v>3</v>
      </c>
      <c r="D35" s="93" t="s">
        <v>3</v>
      </c>
      <c r="E35" s="93" t="s">
        <v>3</v>
      </c>
      <c r="F35" s="93" t="s">
        <v>3</v>
      </c>
      <c r="G35" s="93" t="s">
        <v>3</v>
      </c>
      <c r="H35" s="93" t="s">
        <v>3</v>
      </c>
      <c r="I35" s="93" t="s">
        <v>3</v>
      </c>
      <c r="J35" s="93" t="s">
        <v>3</v>
      </c>
      <c r="K35" s="93" t="s">
        <v>3</v>
      </c>
      <c r="L35" s="225" t="s">
        <v>3</v>
      </c>
      <c r="M35" s="93" t="s">
        <v>3</v>
      </c>
      <c r="N35" s="93" t="s">
        <v>3</v>
      </c>
      <c r="O35" s="93" t="s">
        <v>3</v>
      </c>
      <c r="P35" s="93" t="s">
        <v>3</v>
      </c>
      <c r="Q35" s="93" t="s">
        <v>3</v>
      </c>
      <c r="R35" s="93" t="s">
        <v>3</v>
      </c>
      <c r="S35" s="93" t="s">
        <v>3</v>
      </c>
      <c r="T35" s="93" t="s">
        <v>3</v>
      </c>
      <c r="U35" s="93" t="s">
        <v>3</v>
      </c>
      <c r="V35" s="225" t="s">
        <v>3</v>
      </c>
      <c r="W35" s="93" t="s">
        <v>3</v>
      </c>
      <c r="X35" s="93" t="s">
        <v>3</v>
      </c>
      <c r="Y35" s="93" t="s">
        <v>3</v>
      </c>
      <c r="Z35" s="93" t="s">
        <v>3</v>
      </c>
      <c r="AA35" s="93" t="s">
        <v>3</v>
      </c>
      <c r="AB35" s="93" t="s">
        <v>3</v>
      </c>
      <c r="AC35" s="93" t="s">
        <v>3</v>
      </c>
      <c r="AD35" s="93" t="s">
        <v>3</v>
      </c>
      <c r="AE35" s="93" t="s">
        <v>3</v>
      </c>
      <c r="AF35" s="225">
        <v>3</v>
      </c>
      <c r="AG35" s="93">
        <v>9</v>
      </c>
      <c r="AH35" s="93">
        <v>13</v>
      </c>
      <c r="AI35" s="93">
        <v>14</v>
      </c>
      <c r="AJ35" s="93">
        <v>16</v>
      </c>
      <c r="AK35" s="93">
        <v>16</v>
      </c>
      <c r="AL35" s="93">
        <v>17</v>
      </c>
      <c r="AM35" s="93">
        <v>16</v>
      </c>
      <c r="AN35" s="93">
        <v>17</v>
      </c>
      <c r="AO35" s="93">
        <v>17</v>
      </c>
      <c r="AP35" s="225">
        <v>17</v>
      </c>
      <c r="AQ35" s="93">
        <v>18</v>
      </c>
      <c r="AR35" s="93">
        <v>20</v>
      </c>
      <c r="AS35" s="49">
        <v>20</v>
      </c>
      <c r="AT35" s="49">
        <v>21</v>
      </c>
      <c r="AU35" s="49">
        <v>20</v>
      </c>
      <c r="AV35" s="30">
        <v>20</v>
      </c>
      <c r="AW35" s="30">
        <v>21</v>
      </c>
      <c r="AX35" s="30">
        <v>22</v>
      </c>
      <c r="AY35" s="30">
        <v>24</v>
      </c>
      <c r="AZ35" s="270">
        <v>25</v>
      </c>
      <c r="BA35" s="348">
        <v>27</v>
      </c>
      <c r="BB35" s="348">
        <v>27</v>
      </c>
      <c r="BC35" s="348">
        <v>28</v>
      </c>
      <c r="BD35" s="358">
        <v>25</v>
      </c>
      <c r="BE35" s="358">
        <v>26</v>
      </c>
      <c r="BF35" s="358">
        <v>28</v>
      </c>
      <c r="BG35" s="358">
        <v>30</v>
      </c>
      <c r="BH35" s="358">
        <v>31</v>
      </c>
      <c r="BI35" s="358">
        <v>31</v>
      </c>
      <c r="BJ35" s="410">
        <f>(BH35-BG35)/BG35</f>
        <v>3.3333333333333333E-2</v>
      </c>
      <c r="BK35" s="410">
        <f>(BI35-BH35)/BH35</f>
        <v>0</v>
      </c>
      <c r="BL35" s="564">
        <f>BH35-BG35</f>
        <v>1</v>
      </c>
      <c r="BM35" s="564">
        <f>BI35-BH35</f>
        <v>0</v>
      </c>
      <c r="BN35" s="348"/>
      <c r="BQ35" s="152"/>
      <c r="BR35" s="320"/>
    </row>
    <row r="36" spans="1:70" ht="10.5" customHeight="1">
      <c r="A36" s="154"/>
      <c r="B36" s="225"/>
      <c r="C36" s="93"/>
      <c r="D36" s="93"/>
      <c r="E36" s="93"/>
      <c r="F36" s="93"/>
      <c r="G36" s="93"/>
      <c r="H36" s="93"/>
      <c r="I36" s="93"/>
      <c r="J36" s="93"/>
      <c r="K36" s="93"/>
      <c r="L36" s="225"/>
      <c r="M36" s="93"/>
      <c r="N36" s="93"/>
      <c r="O36" s="93"/>
      <c r="P36" s="93"/>
      <c r="Q36" s="93"/>
      <c r="R36" s="93"/>
      <c r="S36" s="93"/>
      <c r="T36" s="93"/>
      <c r="U36" s="93"/>
      <c r="V36" s="225"/>
      <c r="W36" s="93"/>
      <c r="X36" s="93"/>
      <c r="Y36" s="93"/>
      <c r="Z36" s="93"/>
      <c r="AA36" s="93"/>
      <c r="AB36" s="93"/>
      <c r="AC36" s="93"/>
      <c r="AD36" s="93"/>
      <c r="AE36" s="93"/>
      <c r="AF36" s="225"/>
      <c r="AG36" s="93"/>
      <c r="AH36" s="93"/>
      <c r="AI36" s="93"/>
      <c r="AJ36" s="93"/>
      <c r="AK36" s="93"/>
      <c r="AL36" s="93"/>
      <c r="AM36" s="93"/>
      <c r="AN36" s="93"/>
      <c r="AO36" s="93"/>
      <c r="AP36" s="225"/>
      <c r="AQ36" s="93"/>
      <c r="AR36" s="93"/>
      <c r="AS36" s="49"/>
      <c r="AT36" s="49"/>
      <c r="AU36" s="49"/>
      <c r="AV36" s="30"/>
      <c r="AW36" s="30"/>
      <c r="AX36" s="30"/>
      <c r="AY36" s="30"/>
      <c r="AZ36" s="537"/>
      <c r="BA36" s="348"/>
      <c r="BB36" s="313"/>
      <c r="BC36" s="348"/>
      <c r="BD36" s="537"/>
      <c r="BE36" s="537"/>
      <c r="BF36" s="537"/>
      <c r="BG36" s="537"/>
      <c r="BH36" s="537"/>
      <c r="BI36" s="537"/>
      <c r="BJ36" s="871"/>
      <c r="BK36" s="871"/>
      <c r="BL36" s="564"/>
      <c r="BM36" s="564"/>
      <c r="BN36" s="316"/>
      <c r="BQ36" s="152"/>
      <c r="BR36" s="320"/>
    </row>
    <row r="37" spans="1:70" ht="10.5" customHeight="1">
      <c r="A37" s="119" t="s">
        <v>91</v>
      </c>
      <c r="B37" s="227" t="s">
        <v>3</v>
      </c>
      <c r="C37" s="27" t="s">
        <v>3</v>
      </c>
      <c r="D37" s="27" t="s">
        <v>3</v>
      </c>
      <c r="E37" s="27" t="s">
        <v>3</v>
      </c>
      <c r="F37" s="27" t="s">
        <v>3</v>
      </c>
      <c r="G37" s="27" t="s">
        <v>3</v>
      </c>
      <c r="H37" s="27" t="s">
        <v>3</v>
      </c>
      <c r="I37" s="27" t="s">
        <v>3</v>
      </c>
      <c r="J37" s="27" t="s">
        <v>3</v>
      </c>
      <c r="K37" s="27" t="s">
        <v>3</v>
      </c>
      <c r="L37" s="225" t="s">
        <v>3</v>
      </c>
      <c r="M37" s="93" t="s">
        <v>3</v>
      </c>
      <c r="N37" s="93" t="s">
        <v>3</v>
      </c>
      <c r="O37" s="93" t="s">
        <v>3</v>
      </c>
      <c r="P37" s="93" t="s">
        <v>3</v>
      </c>
      <c r="Q37" s="93" t="s">
        <v>3</v>
      </c>
      <c r="R37" s="93" t="s">
        <v>3</v>
      </c>
      <c r="S37" s="93" t="s">
        <v>3</v>
      </c>
      <c r="T37" s="93" t="s">
        <v>3</v>
      </c>
      <c r="U37" s="93" t="s">
        <v>3</v>
      </c>
      <c r="V37" s="225" t="s">
        <v>3</v>
      </c>
      <c r="W37" s="93" t="s">
        <v>3</v>
      </c>
      <c r="X37" s="93" t="s">
        <v>3</v>
      </c>
      <c r="Y37" s="93" t="s">
        <v>3</v>
      </c>
      <c r="Z37" s="93" t="s">
        <v>3</v>
      </c>
      <c r="AA37" s="93" t="s">
        <v>3</v>
      </c>
      <c r="AB37" s="93" t="s">
        <v>3</v>
      </c>
      <c r="AC37" s="93" t="s">
        <v>3</v>
      </c>
      <c r="AD37" s="93" t="s">
        <v>3</v>
      </c>
      <c r="AE37" s="93" t="s">
        <v>3</v>
      </c>
      <c r="AF37" s="225" t="s">
        <v>3</v>
      </c>
      <c r="AG37" s="93" t="s">
        <v>3</v>
      </c>
      <c r="AH37" s="93" t="s">
        <v>3</v>
      </c>
      <c r="AI37" s="93" t="s">
        <v>3</v>
      </c>
      <c r="AJ37" s="93" t="s">
        <v>3</v>
      </c>
      <c r="AK37" s="40" t="s">
        <v>11</v>
      </c>
      <c r="AL37" s="40" t="s">
        <v>3</v>
      </c>
      <c r="AM37" s="40" t="s">
        <v>3</v>
      </c>
      <c r="AN37" s="40">
        <v>2</v>
      </c>
      <c r="AO37" s="40">
        <v>5</v>
      </c>
      <c r="AP37" s="276">
        <v>8</v>
      </c>
      <c r="AQ37" s="40">
        <v>7</v>
      </c>
      <c r="AR37" s="40">
        <v>7</v>
      </c>
      <c r="AS37" s="40">
        <v>9</v>
      </c>
      <c r="AT37" s="40">
        <v>8</v>
      </c>
      <c r="AU37" s="40">
        <v>9</v>
      </c>
      <c r="AV37" s="209">
        <v>9</v>
      </c>
      <c r="AW37" s="209">
        <v>9</v>
      </c>
      <c r="AX37" s="209">
        <v>9</v>
      </c>
      <c r="AY37" s="209">
        <v>9</v>
      </c>
      <c r="AZ37" s="278">
        <v>10</v>
      </c>
      <c r="BA37" s="354">
        <v>11</v>
      </c>
      <c r="BB37" s="354">
        <v>11</v>
      </c>
      <c r="BC37" s="354">
        <v>10</v>
      </c>
      <c r="BD37" s="366">
        <v>10</v>
      </c>
      <c r="BE37" s="366">
        <v>12</v>
      </c>
      <c r="BF37" s="366">
        <v>10</v>
      </c>
      <c r="BG37" s="366">
        <v>11</v>
      </c>
      <c r="BH37" s="366">
        <v>10</v>
      </c>
      <c r="BI37" s="366">
        <v>12</v>
      </c>
      <c r="BJ37" s="410">
        <f>(BH37-BG37)/BG37</f>
        <v>-9.0909090909090912E-2</v>
      </c>
      <c r="BK37" s="410">
        <f>(BI37-BH37)/BH37</f>
        <v>0.2</v>
      </c>
      <c r="BL37" s="564">
        <f>BH37-BG37</f>
        <v>-1</v>
      </c>
      <c r="BM37" s="564">
        <f>BI37-BH37</f>
        <v>2</v>
      </c>
      <c r="BN37" s="348"/>
      <c r="BQ37" s="152"/>
      <c r="BR37" s="320"/>
    </row>
    <row r="38" spans="1:70" ht="10.5" customHeight="1">
      <c r="A38" s="115"/>
      <c r="L38" s="594"/>
      <c r="M38" s="12"/>
      <c r="N38" s="12"/>
      <c r="O38" s="12"/>
      <c r="P38" s="12"/>
      <c r="Q38" s="12"/>
      <c r="R38" s="12"/>
      <c r="S38" s="12"/>
      <c r="T38" s="12"/>
      <c r="U38" s="12"/>
      <c r="V38" s="594"/>
      <c r="W38" s="12"/>
      <c r="X38" s="12"/>
      <c r="Y38" s="12"/>
      <c r="Z38" s="12"/>
      <c r="AA38" s="12"/>
      <c r="AB38" s="12"/>
      <c r="AC38" s="12"/>
      <c r="AD38" s="12"/>
      <c r="AE38" s="12"/>
      <c r="AF38" s="594"/>
      <c r="AG38" s="12"/>
      <c r="AH38" s="12"/>
      <c r="AI38" s="12"/>
      <c r="AJ38" s="12"/>
      <c r="AK38" s="12"/>
      <c r="AL38" s="12"/>
      <c r="AM38" s="23"/>
      <c r="AN38" s="23"/>
      <c r="AO38" s="23"/>
      <c r="AP38" s="180"/>
      <c r="AQ38" s="23"/>
      <c r="AR38" s="23"/>
      <c r="AS38" s="23"/>
      <c r="AT38" s="23"/>
      <c r="AU38" s="23"/>
      <c r="AV38" s="152"/>
      <c r="AW38" s="152"/>
      <c r="AX38" s="152"/>
      <c r="AY38" s="152"/>
      <c r="AZ38" s="535"/>
      <c r="BA38" s="309"/>
      <c r="BB38" s="316"/>
      <c r="BC38" s="296"/>
      <c r="BD38" s="535"/>
      <c r="BE38" s="535"/>
      <c r="BF38" s="535"/>
      <c r="BG38" s="535"/>
      <c r="BH38" s="535"/>
      <c r="BI38" s="535"/>
      <c r="BJ38" s="871"/>
      <c r="BK38" s="871"/>
      <c r="BL38" s="564"/>
      <c r="BM38" s="564"/>
      <c r="BN38" s="316"/>
      <c r="BQ38" s="152"/>
      <c r="BR38" s="320"/>
    </row>
    <row r="39" spans="1:70" ht="11.25" customHeight="1">
      <c r="A39" s="115" t="s">
        <v>28</v>
      </c>
      <c r="B39" s="225" t="s">
        <v>3</v>
      </c>
      <c r="C39" s="93" t="s">
        <v>3</v>
      </c>
      <c r="D39" s="93" t="s">
        <v>3</v>
      </c>
      <c r="E39" s="93" t="s">
        <v>3</v>
      </c>
      <c r="F39" s="93" t="s">
        <v>3</v>
      </c>
      <c r="G39" s="93" t="s">
        <v>3</v>
      </c>
      <c r="H39" s="93" t="s">
        <v>3</v>
      </c>
      <c r="I39" s="93" t="s">
        <v>3</v>
      </c>
      <c r="J39" s="93" t="s">
        <v>3</v>
      </c>
      <c r="K39" s="93" t="s">
        <v>3</v>
      </c>
      <c r="L39" s="227" t="s">
        <v>3</v>
      </c>
      <c r="M39" s="27" t="s">
        <v>3</v>
      </c>
      <c r="N39" s="27" t="s">
        <v>3</v>
      </c>
      <c r="O39" s="27" t="s">
        <v>3</v>
      </c>
      <c r="P39" s="27" t="s">
        <v>3</v>
      </c>
      <c r="Q39" s="27" t="s">
        <v>3</v>
      </c>
      <c r="R39" s="27" t="s">
        <v>3</v>
      </c>
      <c r="S39" s="27" t="s">
        <v>3</v>
      </c>
      <c r="T39" s="12">
        <v>1</v>
      </c>
      <c r="U39" s="12">
        <v>3</v>
      </c>
      <c r="V39" s="594">
        <v>4</v>
      </c>
      <c r="W39" s="12">
        <v>4</v>
      </c>
      <c r="X39" s="12">
        <v>3</v>
      </c>
      <c r="Y39" s="12">
        <v>3</v>
      </c>
      <c r="Z39" s="12">
        <v>4</v>
      </c>
      <c r="AA39" s="12">
        <v>3</v>
      </c>
      <c r="AB39" s="12">
        <v>3</v>
      </c>
      <c r="AC39" s="12">
        <v>4</v>
      </c>
      <c r="AD39" s="12">
        <v>4</v>
      </c>
      <c r="AE39" s="12">
        <v>4</v>
      </c>
      <c r="AF39" s="594">
        <v>4</v>
      </c>
      <c r="AG39" s="12">
        <v>4</v>
      </c>
      <c r="AH39" s="12">
        <v>5</v>
      </c>
      <c r="AI39" s="12">
        <v>6</v>
      </c>
      <c r="AJ39" s="12">
        <v>6</v>
      </c>
      <c r="AK39" s="12">
        <v>6</v>
      </c>
      <c r="AL39" s="12">
        <v>6</v>
      </c>
      <c r="AM39" s="23">
        <v>6</v>
      </c>
      <c r="AN39" s="23">
        <v>6</v>
      </c>
      <c r="AO39" s="87">
        <v>5</v>
      </c>
      <c r="AP39" s="224">
        <v>7</v>
      </c>
      <c r="AQ39" s="87">
        <v>6</v>
      </c>
      <c r="AR39" s="87">
        <v>7</v>
      </c>
      <c r="AS39" s="87">
        <v>6</v>
      </c>
      <c r="AT39" s="87">
        <v>8</v>
      </c>
      <c r="AU39" s="87">
        <v>7</v>
      </c>
      <c r="AV39" s="172">
        <v>7</v>
      </c>
      <c r="AW39" s="172">
        <v>7</v>
      </c>
      <c r="AX39" s="172">
        <v>8</v>
      </c>
      <c r="AY39" s="172">
        <v>9</v>
      </c>
      <c r="AZ39" s="271">
        <v>10</v>
      </c>
      <c r="BA39" s="308">
        <v>13</v>
      </c>
      <c r="BB39" s="308">
        <v>14</v>
      </c>
      <c r="BC39" s="308">
        <v>17</v>
      </c>
      <c r="BD39" s="307">
        <v>16</v>
      </c>
      <c r="BE39" s="307">
        <v>17</v>
      </c>
      <c r="BF39" s="305">
        <v>16</v>
      </c>
      <c r="BG39" s="305">
        <v>16</v>
      </c>
      <c r="BH39" s="305">
        <v>17</v>
      </c>
      <c r="BI39" s="305">
        <v>17</v>
      </c>
      <c r="BJ39" s="410">
        <f>(BH39-BG39)/BG39</f>
        <v>6.25E-2</v>
      </c>
      <c r="BK39" s="410">
        <f>(BI39-BH39)/BH39</f>
        <v>0</v>
      </c>
      <c r="BL39" s="564">
        <f>BH39-BG39</f>
        <v>1</v>
      </c>
      <c r="BM39" s="564">
        <f>BI39-BH39</f>
        <v>0</v>
      </c>
      <c r="BN39" s="348"/>
      <c r="BQ39" s="152"/>
      <c r="BR39" s="320"/>
    </row>
    <row r="40" spans="1:70" s="177" customFormat="1" ht="11.25" customHeight="1" thickBot="1">
      <c r="A40" s="393" t="s">
        <v>37</v>
      </c>
      <c r="B40" s="403">
        <f>B15+B18+B30</f>
        <v>102</v>
      </c>
      <c r="C40" s="403">
        <f t="shared" ref="C40:N40" si="14">C15+C18+C30</f>
        <v>116</v>
      </c>
      <c r="D40" s="403">
        <f t="shared" si="14"/>
        <v>126</v>
      </c>
      <c r="E40" s="403">
        <f t="shared" si="14"/>
        <v>139</v>
      </c>
      <c r="F40" s="403">
        <f t="shared" si="14"/>
        <v>158</v>
      </c>
      <c r="G40" s="403">
        <f t="shared" si="14"/>
        <v>145</v>
      </c>
      <c r="H40" s="403">
        <f t="shared" si="14"/>
        <v>165</v>
      </c>
      <c r="I40" s="403">
        <f t="shared" si="14"/>
        <v>187</v>
      </c>
      <c r="J40" s="403">
        <f t="shared" si="14"/>
        <v>197</v>
      </c>
      <c r="K40" s="403">
        <f t="shared" si="14"/>
        <v>203</v>
      </c>
      <c r="L40" s="403">
        <f t="shared" si="14"/>
        <v>222</v>
      </c>
      <c r="M40" s="403">
        <f t="shared" si="14"/>
        <v>256</v>
      </c>
      <c r="N40" s="403">
        <f t="shared" si="14"/>
        <v>297</v>
      </c>
      <c r="O40" s="403">
        <f>O15+O18+O30+O24</f>
        <v>563</v>
      </c>
      <c r="P40" s="403">
        <f>P7+P15+P18+P24+P30</f>
        <v>619</v>
      </c>
      <c r="Q40" s="403">
        <f>Q7+Q15+Q18+Q24+Q30</f>
        <v>721</v>
      </c>
      <c r="R40" s="403">
        <f>R7+R15+R18+R30</f>
        <v>781</v>
      </c>
      <c r="S40" s="403">
        <f>S7+S15+S18+S30</f>
        <v>906</v>
      </c>
      <c r="T40" s="403">
        <f>T7+T15+T18+T30+T39</f>
        <v>1041</v>
      </c>
      <c r="U40" s="403">
        <f t="shared" ref="U40:AE40" si="15">U7+U15+U18+U24+U30+U39</f>
        <v>1119</v>
      </c>
      <c r="V40" s="403">
        <f t="shared" si="15"/>
        <v>1252</v>
      </c>
      <c r="W40" s="403">
        <f t="shared" si="15"/>
        <v>1319</v>
      </c>
      <c r="X40" s="403">
        <f t="shared" si="15"/>
        <v>1273</v>
      </c>
      <c r="Y40" s="403">
        <f t="shared" si="15"/>
        <v>1224</v>
      </c>
      <c r="Z40" s="403">
        <f t="shared" si="15"/>
        <v>1397</v>
      </c>
      <c r="AA40" s="403">
        <f t="shared" si="15"/>
        <v>1438</v>
      </c>
      <c r="AB40" s="403">
        <f t="shared" si="15"/>
        <v>1389</v>
      </c>
      <c r="AC40" s="403">
        <f t="shared" si="15"/>
        <v>1472</v>
      </c>
      <c r="AD40" s="403">
        <f t="shared" si="15"/>
        <v>1596</v>
      </c>
      <c r="AE40" s="403">
        <f t="shared" si="15"/>
        <v>1713</v>
      </c>
      <c r="AF40" s="403">
        <f>AF7+AF15+AF18+AF24+AF30+AF35+AF39</f>
        <v>1839</v>
      </c>
      <c r="AG40" s="403">
        <f t="shared" ref="AG40:AM40" si="16">AG7+AG15+AG18+AG24+AG30+AG35+AG39</f>
        <v>2050</v>
      </c>
      <c r="AH40" s="403">
        <f t="shared" si="16"/>
        <v>2278</v>
      </c>
      <c r="AI40" s="403">
        <f t="shared" si="16"/>
        <v>2424</v>
      </c>
      <c r="AJ40" s="403">
        <f t="shared" si="16"/>
        <v>2568</v>
      </c>
      <c r="AK40" s="403">
        <f t="shared" si="16"/>
        <v>2680</v>
      </c>
      <c r="AL40" s="403">
        <f t="shared" si="16"/>
        <v>2751</v>
      </c>
      <c r="AM40" s="403">
        <f t="shared" si="16"/>
        <v>2961</v>
      </c>
      <c r="AN40" s="403">
        <f>AN7+AN15+AN18+AN24+AN30+AN35+AN37+AN39</f>
        <v>3211</v>
      </c>
      <c r="AO40" s="403">
        <f>AO7+AO15+AO18+AO24+AO30+AO35+AO37+AO39</f>
        <v>3335</v>
      </c>
      <c r="AP40" s="403">
        <f>AP7+AP15+AP18+AP24+AP30+AP35+AP37+AP39</f>
        <v>3650</v>
      </c>
      <c r="AQ40" s="403">
        <f>AQ7+AQ15+AQ18+AQ24+AQ30+AQ35+AQ37+AQ39</f>
        <v>4218</v>
      </c>
      <c r="AR40" s="403">
        <f>AR7+AR15+AR18+AR24+AR30+AR33+AR35+AR37+AR39</f>
        <v>4414</v>
      </c>
      <c r="AS40" s="403">
        <f t="shared" ref="AS40:BG40" si="17">AS7+AS15+AS18+AS24+AS30+AS33+AS35+AS37+AS39</f>
        <v>5111</v>
      </c>
      <c r="AT40" s="403">
        <f t="shared" si="17"/>
        <v>5218</v>
      </c>
      <c r="AU40" s="403">
        <f>AU7+AU15+AU18+AU24+AU30+AU33+AU35+AU37+AU39</f>
        <v>5410</v>
      </c>
      <c r="AV40" s="403">
        <f>AV7+AV15+AV18+AV24+AV30+AV33+AV35+AV37+AV39</f>
        <v>6159</v>
      </c>
      <c r="AW40" s="403">
        <f>AW7+AW15+AW18+AW24+AW30+AW33+AW35+AW37+AW39</f>
        <v>5851</v>
      </c>
      <c r="AX40" s="403">
        <f t="shared" si="17"/>
        <v>6215</v>
      </c>
      <c r="AY40" s="403">
        <f t="shared" si="17"/>
        <v>6833</v>
      </c>
      <c r="AZ40" s="403">
        <f t="shared" si="17"/>
        <v>7623</v>
      </c>
      <c r="BA40" s="403">
        <f t="shared" si="17"/>
        <v>7917</v>
      </c>
      <c r="BB40" s="403">
        <f t="shared" si="17"/>
        <v>7895</v>
      </c>
      <c r="BC40" s="403">
        <f t="shared" si="17"/>
        <v>7980</v>
      </c>
      <c r="BD40" s="545">
        <f t="shared" si="17"/>
        <v>8386</v>
      </c>
      <c r="BE40" s="545">
        <f t="shared" si="17"/>
        <v>9660</v>
      </c>
      <c r="BF40" s="545">
        <f t="shared" si="17"/>
        <v>9864</v>
      </c>
      <c r="BG40" s="545">
        <f t="shared" si="17"/>
        <v>9977</v>
      </c>
      <c r="BH40" s="545">
        <f t="shared" ref="BH40:BI40" si="18">BH7+BH15+BH18+BH24+BH30+BH33+BH35+BH37+BH39</f>
        <v>10250</v>
      </c>
      <c r="BI40" s="545">
        <f t="shared" si="18"/>
        <v>10241</v>
      </c>
      <c r="BJ40" s="875">
        <f>(BH40-BG40)/BG40</f>
        <v>2.7362934749924826E-2</v>
      </c>
      <c r="BK40" s="875">
        <f>(BI40-BH40)/BH40</f>
        <v>-8.780487804878049E-4</v>
      </c>
      <c r="BL40" s="569">
        <f>BH40-BG40</f>
        <v>273</v>
      </c>
      <c r="BM40" s="569">
        <f>BI40-BH40</f>
        <v>-9</v>
      </c>
      <c r="BN40" s="349"/>
      <c r="BO40" s="112"/>
      <c r="BP40" s="112"/>
      <c r="BQ40" s="152"/>
      <c r="BR40" s="391"/>
    </row>
    <row r="41" spans="1:70" ht="11.25" customHeight="1">
      <c r="A41" s="118"/>
      <c r="B41" s="638"/>
      <c r="C41" s="164"/>
      <c r="D41" s="164"/>
      <c r="E41" s="164"/>
      <c r="F41" s="164"/>
      <c r="G41" s="164"/>
      <c r="H41" s="164"/>
      <c r="I41" s="164"/>
      <c r="J41" s="164"/>
      <c r="K41" s="164"/>
      <c r="L41" s="638"/>
      <c r="M41" s="164"/>
      <c r="N41" s="164"/>
      <c r="O41" s="164"/>
      <c r="P41" s="164"/>
      <c r="Q41" s="164"/>
      <c r="R41" s="164"/>
      <c r="S41" s="164"/>
      <c r="T41" s="164"/>
      <c r="U41" s="164"/>
      <c r="V41" s="638"/>
      <c r="W41" s="164"/>
      <c r="X41" s="164"/>
      <c r="Y41" s="164"/>
      <c r="Z41" s="164"/>
      <c r="AA41" s="164"/>
      <c r="AB41" s="164"/>
      <c r="AC41" s="164"/>
      <c r="AD41" s="164"/>
      <c r="AE41" s="164"/>
      <c r="AF41" s="638"/>
      <c r="AG41" s="164"/>
      <c r="AH41" s="164"/>
      <c r="AI41" s="164"/>
      <c r="AJ41" s="164"/>
      <c r="AK41" s="164"/>
      <c r="AL41" s="164"/>
      <c r="AM41" s="164"/>
      <c r="AN41" s="93"/>
      <c r="AO41" s="164"/>
      <c r="AP41" s="225"/>
      <c r="AQ41" s="93"/>
      <c r="AR41" s="93"/>
      <c r="AS41" s="93"/>
      <c r="AT41" s="93"/>
      <c r="AU41" s="93"/>
      <c r="AV41" s="193"/>
      <c r="AW41" s="200"/>
      <c r="AX41" s="200"/>
      <c r="AY41" s="200"/>
      <c r="AZ41" s="523"/>
      <c r="BA41" s="355"/>
      <c r="BB41" s="380"/>
      <c r="BC41" s="297"/>
      <c r="BD41" s="523"/>
      <c r="BE41" s="523"/>
      <c r="BF41" s="523"/>
      <c r="BG41" s="523"/>
      <c r="BH41" s="523"/>
      <c r="BI41" s="523"/>
      <c r="BJ41" s="871"/>
      <c r="BK41" s="871"/>
      <c r="BL41" s="565"/>
      <c r="BM41" s="565"/>
      <c r="BN41" s="316"/>
      <c r="BQ41" s="320"/>
      <c r="BR41" s="320"/>
    </row>
    <row r="42" spans="1:70" ht="11.25" customHeight="1">
      <c r="A42" s="159" t="s">
        <v>71</v>
      </c>
      <c r="B42" s="638"/>
      <c r="C42" s="164"/>
      <c r="D42" s="164"/>
      <c r="E42" s="164"/>
      <c r="F42" s="164"/>
      <c r="G42" s="164"/>
      <c r="H42" s="164"/>
      <c r="I42" s="164"/>
      <c r="J42" s="164"/>
      <c r="K42" s="164"/>
      <c r="L42" s="638"/>
      <c r="M42" s="164"/>
      <c r="N42" s="164"/>
      <c r="O42" s="164"/>
      <c r="P42" s="164"/>
      <c r="Q42" s="164"/>
      <c r="R42" s="164"/>
      <c r="S42" s="164"/>
      <c r="T42" s="164"/>
      <c r="U42" s="164"/>
      <c r="V42" s="638"/>
      <c r="W42" s="164"/>
      <c r="X42" s="164"/>
      <c r="Y42" s="164"/>
      <c r="Z42" s="164"/>
      <c r="AA42" s="164"/>
      <c r="AB42" s="164"/>
      <c r="AC42" s="164"/>
      <c r="AD42" s="164"/>
      <c r="AE42" s="164"/>
      <c r="AF42" s="638"/>
      <c r="AG42" s="164"/>
      <c r="AH42" s="164"/>
      <c r="AI42" s="164"/>
      <c r="AJ42" s="164"/>
      <c r="AK42" s="164"/>
      <c r="AL42" s="164"/>
      <c r="AM42" s="164"/>
      <c r="AN42" s="164"/>
      <c r="AO42" s="164"/>
      <c r="AP42" s="638"/>
      <c r="AQ42" s="164"/>
      <c r="AR42" s="164"/>
      <c r="AS42" s="164"/>
      <c r="AT42" s="164"/>
      <c r="AU42" s="164"/>
      <c r="AV42" s="164"/>
      <c r="AW42" s="164"/>
      <c r="AX42" s="164"/>
      <c r="AY42" s="164"/>
      <c r="AZ42" s="638"/>
      <c r="BA42" s="164"/>
      <c r="BB42" s="164"/>
      <c r="BC42" s="164"/>
      <c r="BD42" s="164"/>
      <c r="BE42" s="164"/>
      <c r="BF42" s="638"/>
      <c r="BG42" s="638"/>
      <c r="BH42" s="638"/>
      <c r="BI42" s="638"/>
      <c r="BJ42" s="871"/>
      <c r="BK42" s="871"/>
      <c r="BL42" s="565"/>
      <c r="BM42" s="565"/>
      <c r="BN42" s="316"/>
      <c r="BQ42" s="320"/>
      <c r="BR42" s="320"/>
    </row>
    <row r="43" spans="1:70" ht="11.25" customHeight="1">
      <c r="A43" s="118"/>
      <c r="B43" s="225"/>
      <c r="C43" s="93"/>
      <c r="D43" s="93"/>
      <c r="E43" s="93"/>
      <c r="F43" s="93"/>
      <c r="G43" s="93"/>
      <c r="H43" s="93"/>
      <c r="I43" s="93"/>
      <c r="J43" s="93"/>
      <c r="K43" s="93"/>
      <c r="L43" s="225"/>
      <c r="M43" s="93"/>
      <c r="N43" s="93"/>
      <c r="O43" s="93"/>
      <c r="P43" s="93"/>
      <c r="Q43" s="93"/>
      <c r="R43" s="93"/>
      <c r="S43" s="93"/>
      <c r="T43" s="93"/>
      <c r="U43" s="93"/>
      <c r="V43" s="225"/>
      <c r="W43" s="93"/>
      <c r="X43" s="93"/>
      <c r="Y43" s="93"/>
      <c r="Z43" s="93"/>
      <c r="AA43" s="93"/>
      <c r="AB43" s="93"/>
      <c r="AC43" s="93"/>
      <c r="AD43" s="93"/>
      <c r="AE43" s="93"/>
      <c r="AF43" s="225"/>
      <c r="AG43" s="93"/>
      <c r="AH43" s="93"/>
      <c r="AI43" s="93"/>
      <c r="AJ43" s="93"/>
      <c r="AK43" s="93"/>
      <c r="AL43" s="93"/>
      <c r="AM43" s="93"/>
      <c r="AN43" s="93"/>
      <c r="AO43" s="93"/>
      <c r="AP43" s="225"/>
      <c r="AQ43" s="93"/>
      <c r="AR43" s="93"/>
      <c r="AS43" s="93"/>
      <c r="AT43" s="93"/>
      <c r="AU43" s="93"/>
      <c r="AV43" s="193"/>
      <c r="AW43" s="201"/>
      <c r="AX43" s="201"/>
      <c r="AY43" s="201"/>
      <c r="AZ43" s="523"/>
      <c r="BA43" s="356"/>
      <c r="BB43" s="315"/>
      <c r="BC43" s="298"/>
      <c r="BD43" s="523"/>
      <c r="BE43" s="523"/>
      <c r="BF43" s="523"/>
      <c r="BG43" s="523"/>
      <c r="BH43" s="523"/>
      <c r="BI43" s="523"/>
      <c r="BJ43" s="871"/>
      <c r="BK43" s="871"/>
      <c r="BL43" s="565"/>
      <c r="BM43" s="565"/>
      <c r="BN43" s="316"/>
      <c r="BQ43" s="320"/>
      <c r="BR43" s="320"/>
    </row>
    <row r="44" spans="1:70" s="100" customFormat="1" ht="11.25" customHeight="1">
      <c r="A44" s="122" t="s">
        <v>92</v>
      </c>
      <c r="B44" s="593"/>
      <c r="C44" s="25"/>
      <c r="D44" s="25"/>
      <c r="E44" s="25"/>
      <c r="F44" s="25"/>
      <c r="G44" s="25"/>
      <c r="H44" s="25"/>
      <c r="I44" s="25"/>
      <c r="J44" s="25"/>
      <c r="K44" s="25"/>
      <c r="L44" s="277"/>
      <c r="M44" s="24"/>
      <c r="N44" s="24"/>
      <c r="O44" s="24"/>
      <c r="P44" s="24"/>
      <c r="Q44" s="24"/>
      <c r="R44" s="24"/>
      <c r="S44" s="24"/>
      <c r="T44" s="24"/>
      <c r="U44" s="24"/>
      <c r="V44" s="277"/>
      <c r="W44" s="24"/>
      <c r="X44" s="24"/>
      <c r="Y44" s="24"/>
      <c r="Z44" s="24"/>
      <c r="AA44" s="24"/>
      <c r="AB44" s="24"/>
      <c r="AC44" s="24"/>
      <c r="AD44" s="24"/>
      <c r="AE44" s="24"/>
      <c r="AF44" s="277"/>
      <c r="AG44" s="24"/>
      <c r="AH44" s="24"/>
      <c r="AI44" s="24"/>
      <c r="AJ44" s="24"/>
      <c r="AK44" s="24"/>
      <c r="AL44" s="24"/>
      <c r="AM44" s="87"/>
      <c r="AN44" s="87"/>
      <c r="AO44" s="87"/>
      <c r="AP44" s="224"/>
      <c r="AQ44" s="87"/>
      <c r="AR44" s="87"/>
      <c r="AS44" s="87"/>
      <c r="AT44" s="87"/>
      <c r="AU44" s="87"/>
      <c r="AV44" s="87"/>
      <c r="AW44" s="199"/>
      <c r="AX44" s="199"/>
      <c r="AY44" s="199"/>
      <c r="AZ44" s="544"/>
      <c r="BA44" s="308"/>
      <c r="BB44" s="314"/>
      <c r="BC44" s="294"/>
      <c r="BD44" s="544"/>
      <c r="BE44" s="544"/>
      <c r="BF44" s="544"/>
      <c r="BG44" s="544"/>
      <c r="BH44" s="544"/>
      <c r="BI44" s="544"/>
      <c r="BJ44" s="871"/>
      <c r="BK44" s="871"/>
      <c r="BL44" s="565"/>
      <c r="BM44" s="565"/>
      <c r="BN44" s="316"/>
      <c r="BO44" s="112"/>
      <c r="BP44" s="112"/>
      <c r="BQ44" s="320"/>
      <c r="BR44" s="320"/>
    </row>
    <row r="45" spans="1:70" ht="12" customHeight="1">
      <c r="A45" s="110" t="s">
        <v>93</v>
      </c>
      <c r="B45" s="225" t="s">
        <v>3</v>
      </c>
      <c r="C45" s="93" t="s">
        <v>3</v>
      </c>
      <c r="D45" s="93" t="s">
        <v>3</v>
      </c>
      <c r="E45" s="93" t="s">
        <v>3</v>
      </c>
      <c r="F45" s="93" t="s">
        <v>3</v>
      </c>
      <c r="G45" s="93" t="s">
        <v>3</v>
      </c>
      <c r="H45" s="93" t="s">
        <v>3</v>
      </c>
      <c r="I45" s="93" t="s">
        <v>3</v>
      </c>
      <c r="J45" s="93" t="s">
        <v>3</v>
      </c>
      <c r="K45" s="93" t="s">
        <v>3</v>
      </c>
      <c r="L45" s="225" t="s">
        <v>3</v>
      </c>
      <c r="M45" s="93" t="s">
        <v>3</v>
      </c>
      <c r="N45" s="93" t="s">
        <v>3</v>
      </c>
      <c r="O45" s="93" t="s">
        <v>3</v>
      </c>
      <c r="P45" s="93" t="s">
        <v>3</v>
      </c>
      <c r="Q45" s="93" t="s">
        <v>3</v>
      </c>
      <c r="R45" s="93" t="s">
        <v>3</v>
      </c>
      <c r="S45" s="93" t="s">
        <v>3</v>
      </c>
      <c r="T45" s="93" t="s">
        <v>3</v>
      </c>
      <c r="U45" s="93" t="s">
        <v>3</v>
      </c>
      <c r="V45" s="225" t="s">
        <v>3</v>
      </c>
      <c r="W45" s="93" t="s">
        <v>3</v>
      </c>
      <c r="X45" s="93" t="s">
        <v>3</v>
      </c>
      <c r="Y45" s="93" t="s">
        <v>3</v>
      </c>
      <c r="Z45" s="93" t="s">
        <v>3</v>
      </c>
      <c r="AA45" s="93" t="s">
        <v>3</v>
      </c>
      <c r="AB45" s="93" t="s">
        <v>3</v>
      </c>
      <c r="AC45" s="93" t="s">
        <v>3</v>
      </c>
      <c r="AD45" s="93" t="s">
        <v>3</v>
      </c>
      <c r="AE45" s="93" t="s">
        <v>3</v>
      </c>
      <c r="AF45" s="225" t="s">
        <v>3</v>
      </c>
      <c r="AG45" s="93" t="s">
        <v>3</v>
      </c>
      <c r="AH45" s="93" t="s">
        <v>3</v>
      </c>
      <c r="AI45" s="93" t="s">
        <v>3</v>
      </c>
      <c r="AJ45" s="93" t="s">
        <v>3</v>
      </c>
      <c r="AK45" s="93" t="s">
        <v>3</v>
      </c>
      <c r="AL45" s="93" t="s">
        <v>3</v>
      </c>
      <c r="AM45" s="93" t="s">
        <v>3</v>
      </c>
      <c r="AN45" s="93" t="s">
        <v>3</v>
      </c>
      <c r="AO45" s="93" t="s">
        <v>3</v>
      </c>
      <c r="AP45" s="225" t="s">
        <v>3</v>
      </c>
      <c r="AQ45" s="93" t="s">
        <v>3</v>
      </c>
      <c r="AR45" s="93" t="s">
        <v>3</v>
      </c>
      <c r="AS45" s="93" t="s">
        <v>3</v>
      </c>
      <c r="AT45" s="93" t="s">
        <v>3</v>
      </c>
      <c r="AU45" s="49">
        <v>52</v>
      </c>
      <c r="AV45" s="60" t="s">
        <v>3</v>
      </c>
      <c r="AW45" s="60" t="s">
        <v>3</v>
      </c>
      <c r="AX45" s="60" t="s">
        <v>3</v>
      </c>
      <c r="AY45" s="60" t="s">
        <v>3</v>
      </c>
      <c r="AZ45" s="335" t="s">
        <v>3</v>
      </c>
      <c r="BA45" s="284" t="s">
        <v>3</v>
      </c>
      <c r="BB45" s="284" t="s">
        <v>3</v>
      </c>
      <c r="BC45" s="284" t="s">
        <v>3</v>
      </c>
      <c r="BD45" s="305" t="s">
        <v>3</v>
      </c>
      <c r="BE45" s="305" t="s">
        <v>3</v>
      </c>
      <c r="BF45" s="305" t="s">
        <v>3</v>
      </c>
      <c r="BG45" s="305" t="s">
        <v>3</v>
      </c>
      <c r="BH45" s="305" t="s">
        <v>3</v>
      </c>
      <c r="BI45" s="305" t="s">
        <v>3</v>
      </c>
      <c r="BJ45" s="874" t="s">
        <v>10</v>
      </c>
      <c r="BK45" s="874" t="s">
        <v>10</v>
      </c>
      <c r="BL45" s="568" t="s">
        <v>10</v>
      </c>
      <c r="BM45" s="568" t="s">
        <v>10</v>
      </c>
      <c r="BN45" s="407"/>
      <c r="BQ45" s="320"/>
      <c r="BR45" s="320"/>
    </row>
    <row r="46" spans="1:70" ht="12" customHeight="1">
      <c r="A46" s="110" t="s">
        <v>94</v>
      </c>
      <c r="B46" s="799">
        <v>62</v>
      </c>
      <c r="C46" s="166">
        <v>68</v>
      </c>
      <c r="D46" s="134">
        <v>74</v>
      </c>
      <c r="E46" s="166">
        <v>80</v>
      </c>
      <c r="F46" s="166">
        <v>75</v>
      </c>
      <c r="G46" s="166">
        <v>80</v>
      </c>
      <c r="H46" s="166">
        <v>84.84</v>
      </c>
      <c r="I46" s="166">
        <v>87</v>
      </c>
      <c r="J46" s="166">
        <v>115.5</v>
      </c>
      <c r="K46" s="166">
        <v>144</v>
      </c>
      <c r="L46" s="703">
        <v>175.398</v>
      </c>
      <c r="M46" s="166">
        <v>218.03399999999999</v>
      </c>
      <c r="N46" s="166">
        <v>263.31099999999998</v>
      </c>
      <c r="O46" s="166">
        <v>344.20499999999998</v>
      </c>
      <c r="P46" s="166">
        <v>377.23599999999999</v>
      </c>
      <c r="Q46" s="166">
        <v>523.94299999999998</v>
      </c>
      <c r="R46" s="166">
        <v>716.20399999999995</v>
      </c>
      <c r="S46" s="166">
        <v>648.91099999999994</v>
      </c>
      <c r="T46" s="166">
        <v>687.97299999999996</v>
      </c>
      <c r="U46" s="166">
        <v>707.38599999999997</v>
      </c>
      <c r="V46" s="703">
        <v>836.56</v>
      </c>
      <c r="W46" s="166">
        <v>674.35699999999997</v>
      </c>
      <c r="X46" s="166">
        <v>663.14599999999996</v>
      </c>
      <c r="Y46" s="166">
        <v>717.62699999999995</v>
      </c>
      <c r="Z46" s="166">
        <v>763.50400000000002</v>
      </c>
      <c r="AA46" s="166">
        <v>811.08699999999999</v>
      </c>
      <c r="AB46" s="166">
        <v>893.73199999999997</v>
      </c>
      <c r="AC46" s="166">
        <v>1135.796</v>
      </c>
      <c r="AD46" s="166">
        <v>1459.6859999999999</v>
      </c>
      <c r="AE46" s="166">
        <v>1535.557</v>
      </c>
      <c r="AF46" s="703">
        <v>1664.1679999999999</v>
      </c>
      <c r="AG46" s="166">
        <v>1963.498</v>
      </c>
      <c r="AH46" s="166">
        <v>2240.549</v>
      </c>
      <c r="AI46" s="166">
        <v>1989.2639999999999</v>
      </c>
      <c r="AJ46" s="166">
        <v>2180.6460000000002</v>
      </c>
      <c r="AK46" s="166">
        <v>2139</v>
      </c>
      <c r="AL46" s="166">
        <v>2253</v>
      </c>
      <c r="AM46" s="166">
        <v>2177</v>
      </c>
      <c r="AN46" s="166">
        <v>2375</v>
      </c>
      <c r="AO46" s="166">
        <v>2601</v>
      </c>
      <c r="AP46" s="703">
        <v>2802</v>
      </c>
      <c r="AQ46" s="166">
        <v>3026</v>
      </c>
      <c r="AR46" s="166">
        <v>5398</v>
      </c>
      <c r="AS46" s="167">
        <v>5294</v>
      </c>
      <c r="AT46" s="167">
        <v>6471</v>
      </c>
      <c r="AU46" s="167">
        <v>6947</v>
      </c>
      <c r="AV46" s="166">
        <v>7416</v>
      </c>
      <c r="AW46" s="166">
        <v>8264</v>
      </c>
      <c r="AX46" s="134">
        <v>9470</v>
      </c>
      <c r="AY46" s="134">
        <v>10659</v>
      </c>
      <c r="AZ46" s="799">
        <f>9923+1023</f>
        <v>10946</v>
      </c>
      <c r="BA46" s="357">
        <f>10296+908</f>
        <v>11204</v>
      </c>
      <c r="BB46" s="357">
        <f>10676+1082</f>
        <v>11758</v>
      </c>
      <c r="BC46" s="357">
        <f>10332+1081</f>
        <v>11413</v>
      </c>
      <c r="BD46" s="546">
        <f>9587+1442</f>
        <v>11029</v>
      </c>
      <c r="BE46" s="546">
        <f>10212+1545</f>
        <v>11757</v>
      </c>
      <c r="BF46" s="546">
        <f>10906+1607</f>
        <v>12513</v>
      </c>
      <c r="BG46" s="546">
        <f>12193+1722</f>
        <v>13915</v>
      </c>
      <c r="BH46" s="546">
        <f>14406+1948</f>
        <v>16354</v>
      </c>
      <c r="BI46" s="546">
        <f>14620+2036</f>
        <v>16656</v>
      </c>
      <c r="BJ46" s="410">
        <f t="shared" ref="BJ46:BK51" si="19">(BH46-BG46)/BG46</f>
        <v>0.17527847646424721</v>
      </c>
      <c r="BK46" s="410">
        <f t="shared" si="19"/>
        <v>1.8466430231136113E-2</v>
      </c>
      <c r="BL46" s="564">
        <f t="shared" ref="BL46:BM51" si="20">BH46-BG46</f>
        <v>2439</v>
      </c>
      <c r="BM46" s="564">
        <f t="shared" si="20"/>
        <v>302</v>
      </c>
      <c r="BN46" s="348"/>
      <c r="BQ46" s="319"/>
      <c r="BR46" s="320"/>
    </row>
    <row r="47" spans="1:70" ht="12" customHeight="1">
      <c r="A47" s="110" t="s">
        <v>95</v>
      </c>
      <c r="B47" s="225">
        <v>38</v>
      </c>
      <c r="C47" s="93">
        <v>40</v>
      </c>
      <c r="D47" s="163">
        <v>42</v>
      </c>
      <c r="E47" s="93">
        <v>44</v>
      </c>
      <c r="F47" s="93">
        <v>44</v>
      </c>
      <c r="G47" s="93">
        <v>48</v>
      </c>
      <c r="H47" s="93">
        <v>52</v>
      </c>
      <c r="I47" s="93">
        <v>50</v>
      </c>
      <c r="J47" s="93">
        <v>53</v>
      </c>
      <c r="K47" s="93">
        <v>56</v>
      </c>
      <c r="L47" s="225">
        <v>66</v>
      </c>
      <c r="M47" s="93">
        <v>82</v>
      </c>
      <c r="N47" s="23">
        <v>101</v>
      </c>
      <c r="O47" s="93">
        <v>104</v>
      </c>
      <c r="P47" s="93">
        <v>101</v>
      </c>
      <c r="Q47" s="93">
        <v>116</v>
      </c>
      <c r="R47" s="93">
        <v>174</v>
      </c>
      <c r="S47" s="93">
        <v>212</v>
      </c>
      <c r="T47" s="93">
        <v>224</v>
      </c>
      <c r="U47" s="93">
        <v>243</v>
      </c>
      <c r="V47" s="225">
        <v>254</v>
      </c>
      <c r="W47" s="93">
        <v>324</v>
      </c>
      <c r="X47" s="93">
        <v>310</v>
      </c>
      <c r="Y47" s="93">
        <v>353</v>
      </c>
      <c r="Z47" s="93">
        <v>340</v>
      </c>
      <c r="AA47" s="93">
        <v>372</v>
      </c>
      <c r="AB47" s="93">
        <v>392</v>
      </c>
      <c r="AC47" s="93">
        <v>507</v>
      </c>
      <c r="AD47" s="93">
        <v>618</v>
      </c>
      <c r="AE47" s="93">
        <v>859</v>
      </c>
      <c r="AF47" s="225">
        <v>786</v>
      </c>
      <c r="AG47" s="93">
        <v>958</v>
      </c>
      <c r="AH47" s="93">
        <v>1086</v>
      </c>
      <c r="AI47" s="93">
        <v>1292</v>
      </c>
      <c r="AJ47" s="49">
        <v>1230</v>
      </c>
      <c r="AK47" s="49">
        <v>1401</v>
      </c>
      <c r="AL47" s="49">
        <v>1631</v>
      </c>
      <c r="AM47" s="49">
        <v>2061</v>
      </c>
      <c r="AN47" s="49">
        <v>3130</v>
      </c>
      <c r="AO47" s="49">
        <v>2993</v>
      </c>
      <c r="AP47" s="776">
        <v>3355</v>
      </c>
      <c r="AQ47" s="49">
        <v>3195</v>
      </c>
      <c r="AR47" s="155">
        <v>2789</v>
      </c>
      <c r="AS47" s="49">
        <v>2218</v>
      </c>
      <c r="AT47" s="49">
        <v>3347</v>
      </c>
      <c r="AU47" s="49">
        <v>3258</v>
      </c>
      <c r="AV47" s="30">
        <v>3411</v>
      </c>
      <c r="AW47" s="30">
        <v>4058</v>
      </c>
      <c r="AX47" s="30">
        <v>4753</v>
      </c>
      <c r="AY47" s="30">
        <v>5372</v>
      </c>
      <c r="AZ47" s="270">
        <f>5458+192</f>
        <v>5650</v>
      </c>
      <c r="BA47" s="284">
        <f>5582+264</f>
        <v>5846</v>
      </c>
      <c r="BB47" s="284">
        <f>5909+255</f>
        <v>6164</v>
      </c>
      <c r="BC47" s="284">
        <f>5497+357</f>
        <v>5854</v>
      </c>
      <c r="BD47" s="305">
        <f>5431+344</f>
        <v>5775</v>
      </c>
      <c r="BE47" s="305">
        <f>5739+223</f>
        <v>5962</v>
      </c>
      <c r="BF47" s="305">
        <f>6153+378</f>
        <v>6531</v>
      </c>
      <c r="BG47" s="305">
        <f>6519+375</f>
        <v>6894</v>
      </c>
      <c r="BH47" s="305">
        <f>6084+321</f>
        <v>6405</v>
      </c>
      <c r="BI47" s="305">
        <f>7543+530</f>
        <v>8073</v>
      </c>
      <c r="BJ47" s="410">
        <f t="shared" si="19"/>
        <v>-7.0931244560487383E-2</v>
      </c>
      <c r="BK47" s="410">
        <f t="shared" si="19"/>
        <v>0.2604215456674473</v>
      </c>
      <c r="BL47" s="564">
        <f t="shared" si="20"/>
        <v>-489</v>
      </c>
      <c r="BM47" s="564">
        <f t="shared" si="20"/>
        <v>1668</v>
      </c>
      <c r="BN47" s="348"/>
      <c r="BQ47" s="319"/>
      <c r="BR47" s="320"/>
    </row>
    <row r="48" spans="1:70" s="757" customFormat="1" ht="11.25" customHeight="1">
      <c r="A48" s="755" t="s">
        <v>96</v>
      </c>
      <c r="B48" s="358">
        <v>45</v>
      </c>
      <c r="C48" s="639">
        <v>49</v>
      </c>
      <c r="D48" s="639">
        <v>51</v>
      </c>
      <c r="E48" s="639">
        <v>56</v>
      </c>
      <c r="F48" s="639">
        <v>59</v>
      </c>
      <c r="G48" s="639">
        <v>63</v>
      </c>
      <c r="H48" s="639">
        <v>70</v>
      </c>
      <c r="I48" s="639">
        <v>70</v>
      </c>
      <c r="J48" s="639">
        <v>72</v>
      </c>
      <c r="K48" s="639">
        <v>84</v>
      </c>
      <c r="L48" s="358">
        <v>94</v>
      </c>
      <c r="M48" s="639">
        <v>177</v>
      </c>
      <c r="N48" s="639">
        <v>222</v>
      </c>
      <c r="O48" s="639">
        <v>278</v>
      </c>
      <c r="P48" s="639">
        <v>278</v>
      </c>
      <c r="Q48" s="639">
        <v>284</v>
      </c>
      <c r="R48" s="639">
        <v>292</v>
      </c>
      <c r="S48" s="639">
        <v>333</v>
      </c>
      <c r="T48" s="639">
        <v>343</v>
      </c>
      <c r="U48" s="639">
        <v>403</v>
      </c>
      <c r="V48" s="358">
        <v>498</v>
      </c>
      <c r="W48" s="639">
        <v>512</v>
      </c>
      <c r="X48" s="639">
        <v>559</v>
      </c>
      <c r="Y48" s="639">
        <v>503</v>
      </c>
      <c r="Z48" s="639">
        <v>534</v>
      </c>
      <c r="AA48" s="639">
        <v>558</v>
      </c>
      <c r="AB48" s="639">
        <v>579</v>
      </c>
      <c r="AC48" s="639">
        <v>562</v>
      </c>
      <c r="AD48" s="639">
        <v>499</v>
      </c>
      <c r="AE48" s="639">
        <v>592</v>
      </c>
      <c r="AF48" s="358">
        <v>909</v>
      </c>
      <c r="AG48" s="639">
        <v>1012</v>
      </c>
      <c r="AH48" s="639">
        <v>1163</v>
      </c>
      <c r="AI48" s="639">
        <v>1239</v>
      </c>
      <c r="AJ48" s="639">
        <v>1249</v>
      </c>
      <c r="AK48" s="639">
        <v>1364</v>
      </c>
      <c r="AL48" s="639">
        <v>1434</v>
      </c>
      <c r="AM48" s="639">
        <v>1492</v>
      </c>
      <c r="AN48" s="639">
        <v>1540</v>
      </c>
      <c r="AO48" s="639">
        <v>1644</v>
      </c>
      <c r="AP48" s="358">
        <v>1716.6097041310543</v>
      </c>
      <c r="AQ48" s="639">
        <v>1922.5691169269671</v>
      </c>
      <c r="AR48" s="639">
        <v>2126.7749494268373</v>
      </c>
      <c r="AS48" s="639">
        <v>1680</v>
      </c>
      <c r="AT48" s="639">
        <v>1885</v>
      </c>
      <c r="AU48" s="639">
        <v>1948</v>
      </c>
      <c r="AV48" s="639">
        <v>2182</v>
      </c>
      <c r="AW48" s="639">
        <v>2142</v>
      </c>
      <c r="AX48" s="639">
        <v>2275</v>
      </c>
      <c r="AY48" s="639">
        <v>2378</v>
      </c>
      <c r="AZ48" s="358">
        <v>2476</v>
      </c>
      <c r="BA48" s="736">
        <v>2393</v>
      </c>
      <c r="BB48" s="736">
        <v>2506</v>
      </c>
      <c r="BC48" s="736">
        <v>2897</v>
      </c>
      <c r="BD48" s="736">
        <v>3505</v>
      </c>
      <c r="BE48" s="736">
        <v>2757</v>
      </c>
      <c r="BF48" s="736">
        <v>2984</v>
      </c>
      <c r="BG48" s="305">
        <v>2678</v>
      </c>
      <c r="BH48" s="305">
        <v>2910</v>
      </c>
      <c r="BI48" s="305">
        <v>3366</v>
      </c>
      <c r="BJ48" s="410">
        <f t="shared" si="19"/>
        <v>8.6631814787154593E-2</v>
      </c>
      <c r="BK48" s="410">
        <f t="shared" si="19"/>
        <v>0.15670103092783505</v>
      </c>
      <c r="BL48" s="564">
        <f t="shared" si="20"/>
        <v>232</v>
      </c>
      <c r="BM48" s="564">
        <f t="shared" si="20"/>
        <v>456</v>
      </c>
      <c r="BN48" s="639"/>
      <c r="BO48" s="708"/>
      <c r="BP48" s="708"/>
      <c r="BQ48" s="756"/>
    </row>
    <row r="49" spans="1:70" ht="10.5" customHeight="1">
      <c r="A49" s="115" t="s">
        <v>97</v>
      </c>
      <c r="B49" s="225" t="s">
        <v>3</v>
      </c>
      <c r="C49" s="93" t="s">
        <v>3</v>
      </c>
      <c r="D49" s="93" t="s">
        <v>3</v>
      </c>
      <c r="E49" s="93" t="s">
        <v>3</v>
      </c>
      <c r="F49" s="93" t="s">
        <v>3</v>
      </c>
      <c r="G49" s="93" t="s">
        <v>3</v>
      </c>
      <c r="H49" s="93" t="s">
        <v>3</v>
      </c>
      <c r="I49" s="93" t="s">
        <v>3</v>
      </c>
      <c r="J49" s="93" t="s">
        <v>3</v>
      </c>
      <c r="K49" s="93" t="s">
        <v>3</v>
      </c>
      <c r="L49" s="225" t="s">
        <v>3</v>
      </c>
      <c r="M49" s="93" t="s">
        <v>3</v>
      </c>
      <c r="N49" s="93" t="s">
        <v>3</v>
      </c>
      <c r="O49" s="93" t="s">
        <v>3</v>
      </c>
      <c r="P49" s="93" t="s">
        <v>3</v>
      </c>
      <c r="Q49" s="93" t="s">
        <v>3</v>
      </c>
      <c r="R49" s="93" t="s">
        <v>3</v>
      </c>
      <c r="S49" s="93" t="s">
        <v>3</v>
      </c>
      <c r="T49" s="93" t="s">
        <v>3</v>
      </c>
      <c r="U49" s="93" t="s">
        <v>3</v>
      </c>
      <c r="V49" s="225" t="s">
        <v>3</v>
      </c>
      <c r="W49" s="93" t="s">
        <v>3</v>
      </c>
      <c r="X49" s="93" t="s">
        <v>3</v>
      </c>
      <c r="Y49" s="93" t="s">
        <v>3</v>
      </c>
      <c r="Z49" s="93" t="s">
        <v>3</v>
      </c>
      <c r="AA49" s="93" t="s">
        <v>3</v>
      </c>
      <c r="AB49" s="93" t="s">
        <v>3</v>
      </c>
      <c r="AC49" s="93" t="s">
        <v>3</v>
      </c>
      <c r="AD49" s="93" t="s">
        <v>3</v>
      </c>
      <c r="AE49" s="93" t="s">
        <v>3</v>
      </c>
      <c r="AF49" s="225" t="s">
        <v>3</v>
      </c>
      <c r="AG49" s="93" t="s">
        <v>3</v>
      </c>
      <c r="AH49" s="93" t="s">
        <v>3</v>
      </c>
      <c r="AI49" s="93" t="s">
        <v>3</v>
      </c>
      <c r="AJ49" s="93" t="s">
        <v>3</v>
      </c>
      <c r="AK49" s="93" t="s">
        <v>3</v>
      </c>
      <c r="AL49" s="93" t="s">
        <v>3</v>
      </c>
      <c r="AM49" s="93" t="s">
        <v>3</v>
      </c>
      <c r="AN49" s="93" t="s">
        <v>3</v>
      </c>
      <c r="AO49" s="93" t="s">
        <v>3</v>
      </c>
      <c r="AP49" s="225" t="s">
        <v>3</v>
      </c>
      <c r="AQ49" s="93" t="s">
        <v>3</v>
      </c>
      <c r="AR49" s="93" t="s">
        <v>3</v>
      </c>
      <c r="AS49" s="279">
        <v>7</v>
      </c>
      <c r="AT49" s="279">
        <v>36</v>
      </c>
      <c r="AU49" s="279">
        <v>68</v>
      </c>
      <c r="AV49" s="279">
        <v>83</v>
      </c>
      <c r="AW49" s="279">
        <v>92</v>
      </c>
      <c r="AX49" s="282">
        <v>79</v>
      </c>
      <c r="AY49" s="282">
        <v>86</v>
      </c>
      <c r="AZ49" s="270">
        <v>84</v>
      </c>
      <c r="BA49" s="305">
        <v>92</v>
      </c>
      <c r="BB49" s="305">
        <v>79</v>
      </c>
      <c r="BC49" s="305">
        <v>60</v>
      </c>
      <c r="BD49" s="305">
        <v>71</v>
      </c>
      <c r="BE49" s="305">
        <v>73</v>
      </c>
      <c r="BF49" s="305">
        <v>77</v>
      </c>
      <c r="BG49" s="305">
        <v>71</v>
      </c>
      <c r="BH49" s="305">
        <v>55</v>
      </c>
      <c r="BI49" s="305">
        <v>40</v>
      </c>
      <c r="BJ49" s="410">
        <f>(BH49-BG49)/BG49</f>
        <v>-0.22535211267605634</v>
      </c>
      <c r="BK49" s="410">
        <f>(BI49-BH49)/BH49</f>
        <v>-0.27272727272727271</v>
      </c>
      <c r="BL49" s="564">
        <f t="shared" si="20"/>
        <v>-16</v>
      </c>
      <c r="BM49" s="564">
        <f t="shared" si="20"/>
        <v>-15</v>
      </c>
      <c r="BN49" s="348"/>
      <c r="BQ49" s="319"/>
      <c r="BR49" s="320"/>
    </row>
    <row r="50" spans="1:70" ht="12" customHeight="1">
      <c r="A50" s="110" t="s">
        <v>98</v>
      </c>
      <c r="B50" s="800" t="s">
        <v>3</v>
      </c>
      <c r="C50" s="126" t="s">
        <v>3</v>
      </c>
      <c r="D50" s="126" t="s">
        <v>3</v>
      </c>
      <c r="E50" s="126" t="s">
        <v>3</v>
      </c>
      <c r="F50" s="126" t="s">
        <v>3</v>
      </c>
      <c r="G50" s="126" t="s">
        <v>3</v>
      </c>
      <c r="H50" s="126" t="s">
        <v>3</v>
      </c>
      <c r="I50" s="126" t="s">
        <v>3</v>
      </c>
      <c r="J50" s="126" t="s">
        <v>3</v>
      </c>
      <c r="K50" s="126" t="s">
        <v>3</v>
      </c>
      <c r="L50" s="800" t="s">
        <v>3</v>
      </c>
      <c r="M50" s="126" t="s">
        <v>3</v>
      </c>
      <c r="N50" s="126" t="s">
        <v>3</v>
      </c>
      <c r="O50" s="126" t="s">
        <v>3</v>
      </c>
      <c r="P50" s="126" t="s">
        <v>3</v>
      </c>
      <c r="Q50" s="126" t="s">
        <v>3</v>
      </c>
      <c r="R50" s="126" t="s">
        <v>3</v>
      </c>
      <c r="S50" s="126" t="s">
        <v>3</v>
      </c>
      <c r="T50" s="126" t="s">
        <v>3</v>
      </c>
      <c r="U50" s="126" t="s">
        <v>3</v>
      </c>
      <c r="V50" s="800" t="s">
        <v>3</v>
      </c>
      <c r="W50" s="126" t="s">
        <v>3</v>
      </c>
      <c r="X50" s="126" t="s">
        <v>3</v>
      </c>
      <c r="Y50" s="126" t="s">
        <v>3</v>
      </c>
      <c r="Z50" s="126" t="s">
        <v>3</v>
      </c>
      <c r="AA50" s="126" t="s">
        <v>3</v>
      </c>
      <c r="AB50" s="126" t="s">
        <v>3</v>
      </c>
      <c r="AC50" s="126" t="s">
        <v>3</v>
      </c>
      <c r="AD50" s="126" t="s">
        <v>3</v>
      </c>
      <c r="AE50" s="126" t="s">
        <v>3</v>
      </c>
      <c r="AF50" s="800" t="s">
        <v>3</v>
      </c>
      <c r="AG50" s="126" t="s">
        <v>3</v>
      </c>
      <c r="AH50" s="126" t="s">
        <v>3</v>
      </c>
      <c r="AI50" s="126" t="s">
        <v>3</v>
      </c>
      <c r="AJ50" s="126" t="s">
        <v>3</v>
      </c>
      <c r="AK50" s="126" t="s">
        <v>3</v>
      </c>
      <c r="AL50" s="126" t="s">
        <v>3</v>
      </c>
      <c r="AM50" s="126" t="s">
        <v>3</v>
      </c>
      <c r="AN50" s="126" t="s">
        <v>3</v>
      </c>
      <c r="AO50" s="126" t="s">
        <v>3</v>
      </c>
      <c r="AP50" s="800" t="s">
        <v>3</v>
      </c>
      <c r="AQ50" s="126" t="s">
        <v>3</v>
      </c>
      <c r="AR50" s="57">
        <v>1186</v>
      </c>
      <c r="AS50" s="57">
        <v>9666</v>
      </c>
      <c r="AT50" s="57">
        <v>4453</v>
      </c>
      <c r="AU50" s="57">
        <v>4746</v>
      </c>
      <c r="AV50" s="95">
        <v>4376</v>
      </c>
      <c r="AW50" s="95">
        <v>4625</v>
      </c>
      <c r="AX50" s="95">
        <v>4987</v>
      </c>
      <c r="AY50" s="95">
        <v>5245</v>
      </c>
      <c r="AZ50" s="269">
        <f>4922+116</f>
        <v>5038</v>
      </c>
      <c r="BA50" s="349">
        <f>5118+50</f>
        <v>5168</v>
      </c>
      <c r="BB50" s="349">
        <f>5233+46</f>
        <v>5279</v>
      </c>
      <c r="BC50" s="349">
        <f>5260+94</f>
        <v>5354</v>
      </c>
      <c r="BD50" s="361">
        <f>5008+201</f>
        <v>5209</v>
      </c>
      <c r="BE50" s="361">
        <f>5865+222</f>
        <v>6087</v>
      </c>
      <c r="BF50" s="361">
        <f>5882+16</f>
        <v>5898</v>
      </c>
      <c r="BG50" s="361">
        <f>6678+7</f>
        <v>6685</v>
      </c>
      <c r="BH50" s="361">
        <f>7589+5</f>
        <v>7594</v>
      </c>
      <c r="BI50" s="361">
        <f>7284+5</f>
        <v>7289</v>
      </c>
      <c r="BJ50" s="410">
        <f t="shared" si="19"/>
        <v>0.13597606581899777</v>
      </c>
      <c r="BK50" s="410">
        <f t="shared" si="19"/>
        <v>-4.0163286805372664E-2</v>
      </c>
      <c r="BL50" s="564">
        <f t="shared" si="20"/>
        <v>909</v>
      </c>
      <c r="BM50" s="564">
        <f t="shared" si="20"/>
        <v>-305</v>
      </c>
      <c r="BN50" s="348"/>
      <c r="BQ50" s="319"/>
      <c r="BR50" s="431"/>
    </row>
    <row r="51" spans="1:70" s="177" customFormat="1" ht="12.75" customHeight="1" thickBot="1">
      <c r="A51" s="393" t="s">
        <v>72</v>
      </c>
      <c r="B51" s="601">
        <f>SUM(B46:B50)</f>
        <v>145</v>
      </c>
      <c r="C51" s="601">
        <f t="shared" ref="C51:BC51" si="21">SUM(C46:C50)</f>
        <v>157</v>
      </c>
      <c r="D51" s="601">
        <f t="shared" si="21"/>
        <v>167</v>
      </c>
      <c r="E51" s="601">
        <f t="shared" si="21"/>
        <v>180</v>
      </c>
      <c r="F51" s="601">
        <f t="shared" si="21"/>
        <v>178</v>
      </c>
      <c r="G51" s="601">
        <f t="shared" si="21"/>
        <v>191</v>
      </c>
      <c r="H51" s="601">
        <f t="shared" si="21"/>
        <v>206.84</v>
      </c>
      <c r="I51" s="601">
        <f t="shared" si="21"/>
        <v>207</v>
      </c>
      <c r="J51" s="601">
        <f t="shared" si="21"/>
        <v>240.5</v>
      </c>
      <c r="K51" s="601">
        <f t="shared" si="21"/>
        <v>284</v>
      </c>
      <c r="L51" s="601">
        <f t="shared" si="21"/>
        <v>335.39800000000002</v>
      </c>
      <c r="M51" s="601">
        <f t="shared" si="21"/>
        <v>477.03399999999999</v>
      </c>
      <c r="N51" s="601">
        <f t="shared" si="21"/>
        <v>586.31099999999992</v>
      </c>
      <c r="O51" s="601">
        <f t="shared" si="21"/>
        <v>726.20499999999993</v>
      </c>
      <c r="P51" s="601">
        <f t="shared" si="21"/>
        <v>756.23599999999999</v>
      </c>
      <c r="Q51" s="601">
        <f t="shared" si="21"/>
        <v>923.94299999999998</v>
      </c>
      <c r="R51" s="601">
        <f t="shared" si="21"/>
        <v>1182.204</v>
      </c>
      <c r="S51" s="601">
        <f t="shared" si="21"/>
        <v>1193.9110000000001</v>
      </c>
      <c r="T51" s="601">
        <f t="shared" si="21"/>
        <v>1254.973</v>
      </c>
      <c r="U51" s="601">
        <f t="shared" si="21"/>
        <v>1353.386</v>
      </c>
      <c r="V51" s="601">
        <f t="shared" si="21"/>
        <v>1588.56</v>
      </c>
      <c r="W51" s="601">
        <f t="shared" si="21"/>
        <v>1510.357</v>
      </c>
      <c r="X51" s="601">
        <f t="shared" si="21"/>
        <v>1532.146</v>
      </c>
      <c r="Y51" s="601">
        <f t="shared" si="21"/>
        <v>1573.627</v>
      </c>
      <c r="Z51" s="601">
        <f t="shared" si="21"/>
        <v>1637.5039999999999</v>
      </c>
      <c r="AA51" s="601">
        <f t="shared" si="21"/>
        <v>1741.087</v>
      </c>
      <c r="AB51" s="601">
        <f t="shared" si="21"/>
        <v>1864.732</v>
      </c>
      <c r="AC51" s="601">
        <f t="shared" si="21"/>
        <v>2204.7960000000003</v>
      </c>
      <c r="AD51" s="601">
        <f t="shared" si="21"/>
        <v>2576.6859999999997</v>
      </c>
      <c r="AE51" s="601">
        <f t="shared" si="21"/>
        <v>2986.5569999999998</v>
      </c>
      <c r="AF51" s="601">
        <f t="shared" si="21"/>
        <v>3359.1679999999997</v>
      </c>
      <c r="AG51" s="601">
        <f t="shared" si="21"/>
        <v>3933.498</v>
      </c>
      <c r="AH51" s="601">
        <f t="shared" si="21"/>
        <v>4489.549</v>
      </c>
      <c r="AI51" s="601">
        <f t="shared" si="21"/>
        <v>4520.2640000000001</v>
      </c>
      <c r="AJ51" s="601">
        <f t="shared" si="21"/>
        <v>4659.6460000000006</v>
      </c>
      <c r="AK51" s="601">
        <f t="shared" si="21"/>
        <v>4904</v>
      </c>
      <c r="AL51" s="601">
        <f t="shared" si="21"/>
        <v>5318</v>
      </c>
      <c r="AM51" s="601">
        <f t="shared" si="21"/>
        <v>5730</v>
      </c>
      <c r="AN51" s="601">
        <f t="shared" si="21"/>
        <v>7045</v>
      </c>
      <c r="AO51" s="601">
        <f t="shared" si="21"/>
        <v>7238</v>
      </c>
      <c r="AP51" s="601">
        <f t="shared" si="21"/>
        <v>7873.6097041310541</v>
      </c>
      <c r="AQ51" s="601">
        <f t="shared" si="21"/>
        <v>8143.5691169269667</v>
      </c>
      <c r="AR51" s="601">
        <f t="shared" si="21"/>
        <v>11499.774949426837</v>
      </c>
      <c r="AS51" s="601">
        <f t="shared" si="21"/>
        <v>18865</v>
      </c>
      <c r="AT51" s="601">
        <f t="shared" si="21"/>
        <v>16192</v>
      </c>
      <c r="AU51" s="601">
        <f>SUM(AU45:AU50)</f>
        <v>17019</v>
      </c>
      <c r="AV51" s="601">
        <f t="shared" si="21"/>
        <v>17468</v>
      </c>
      <c r="AW51" s="601">
        <f t="shared" si="21"/>
        <v>19181</v>
      </c>
      <c r="AX51" s="601">
        <f t="shared" si="21"/>
        <v>21564</v>
      </c>
      <c r="AY51" s="601">
        <f t="shared" si="21"/>
        <v>23740</v>
      </c>
      <c r="AZ51" s="601">
        <f t="shared" si="21"/>
        <v>24194</v>
      </c>
      <c r="BA51" s="602">
        <f t="shared" si="21"/>
        <v>24703</v>
      </c>
      <c r="BB51" s="602">
        <f t="shared" si="21"/>
        <v>25786</v>
      </c>
      <c r="BC51" s="602">
        <f t="shared" si="21"/>
        <v>25578</v>
      </c>
      <c r="BD51" s="602">
        <f t="shared" ref="BD51:BI51" si="22">SUM(BD46:BD50)</f>
        <v>25589</v>
      </c>
      <c r="BE51" s="602">
        <f t="shared" si="22"/>
        <v>26636</v>
      </c>
      <c r="BF51" s="602">
        <f t="shared" si="22"/>
        <v>28003</v>
      </c>
      <c r="BG51" s="602">
        <f t="shared" si="22"/>
        <v>30243</v>
      </c>
      <c r="BH51" s="602">
        <f t="shared" si="22"/>
        <v>33318</v>
      </c>
      <c r="BI51" s="602">
        <f t="shared" si="22"/>
        <v>35424</v>
      </c>
      <c r="BJ51" s="875">
        <f t="shared" si="19"/>
        <v>0.10167642098998116</v>
      </c>
      <c r="BK51" s="875">
        <f t="shared" si="19"/>
        <v>6.3209076175040513E-2</v>
      </c>
      <c r="BL51" s="569">
        <f t="shared" si="20"/>
        <v>3075</v>
      </c>
      <c r="BM51" s="569">
        <f t="shared" si="20"/>
        <v>2106</v>
      </c>
      <c r="BN51" s="349"/>
      <c r="BO51" s="112"/>
      <c r="BP51" s="112"/>
      <c r="BQ51" s="319"/>
      <c r="BR51" s="391"/>
    </row>
    <row r="52" spans="1:70" ht="11.25" customHeight="1">
      <c r="A52" s="115"/>
      <c r="B52" s="227"/>
      <c r="C52" s="27"/>
      <c r="D52" s="27"/>
      <c r="E52" s="27"/>
      <c r="F52" s="27"/>
      <c r="G52" s="27"/>
      <c r="H52" s="27"/>
      <c r="I52" s="27"/>
      <c r="J52" s="27"/>
      <c r="K52" s="27"/>
      <c r="L52" s="227"/>
      <c r="M52" s="27"/>
      <c r="N52" s="27"/>
      <c r="O52" s="27"/>
      <c r="P52" s="27"/>
      <c r="Q52" s="27"/>
      <c r="R52" s="27"/>
      <c r="S52" s="27"/>
      <c r="T52" s="27"/>
      <c r="U52" s="27"/>
      <c r="V52" s="227"/>
      <c r="W52" s="27"/>
      <c r="X52" s="27"/>
      <c r="Y52" s="27"/>
      <c r="Z52" s="27"/>
      <c r="AA52" s="27"/>
      <c r="AB52" s="27"/>
      <c r="AC52" s="27"/>
      <c r="AD52" s="27"/>
      <c r="AE52" s="27"/>
      <c r="AF52" s="227"/>
      <c r="AG52" s="27"/>
      <c r="AH52" s="27"/>
      <c r="AI52" s="27"/>
      <c r="AJ52" s="27"/>
      <c r="AK52" s="27"/>
      <c r="AL52" s="27"/>
      <c r="AM52" s="27"/>
      <c r="AN52" s="27"/>
      <c r="AO52" s="27"/>
      <c r="AP52" s="227"/>
      <c r="AQ52" s="27"/>
      <c r="AR52" s="27"/>
      <c r="AS52" s="27"/>
      <c r="AT52" s="27"/>
      <c r="AU52" s="27"/>
      <c r="AV52" s="27"/>
      <c r="AW52" s="27"/>
      <c r="AX52" s="27"/>
      <c r="AY52" s="27"/>
      <c r="AZ52" s="227"/>
      <c r="BA52" s="27"/>
      <c r="BB52" s="27"/>
      <c r="BC52" s="27"/>
      <c r="BD52" s="27"/>
      <c r="BE52" s="27"/>
      <c r="BF52" s="227"/>
      <c r="BG52" s="227"/>
      <c r="BH52" s="227"/>
      <c r="BI52" s="227"/>
      <c r="BJ52" s="871"/>
      <c r="BK52" s="871"/>
      <c r="BL52" s="565"/>
      <c r="BM52" s="565"/>
      <c r="BN52" s="316"/>
      <c r="BQ52" s="320"/>
      <c r="BR52" s="320"/>
    </row>
    <row r="53" spans="1:70" ht="11.25" customHeight="1">
      <c r="A53" s="120" t="s">
        <v>99</v>
      </c>
      <c r="B53" s="557"/>
      <c r="C53" s="557"/>
      <c r="D53" s="557"/>
      <c r="E53" s="557"/>
      <c r="F53" s="557"/>
      <c r="G53" s="557"/>
      <c r="H53" s="557"/>
      <c r="I53" s="557"/>
      <c r="J53" s="557"/>
      <c r="K53" s="557"/>
      <c r="L53" s="557"/>
      <c r="M53" s="557"/>
      <c r="N53" s="557"/>
      <c r="O53" s="557"/>
      <c r="P53" s="557"/>
      <c r="Q53" s="557"/>
      <c r="R53" s="557"/>
      <c r="S53" s="557"/>
      <c r="T53" s="557"/>
      <c r="U53" s="557"/>
      <c r="V53" s="557"/>
      <c r="W53" s="557"/>
      <c r="X53" s="557"/>
      <c r="Y53" s="557"/>
      <c r="Z53" s="557"/>
      <c r="AA53" s="557"/>
      <c r="AB53" s="557"/>
      <c r="AC53" s="557"/>
      <c r="AD53" s="557"/>
      <c r="AE53" s="557"/>
      <c r="AF53" s="557"/>
      <c r="AG53" s="557"/>
      <c r="AH53" s="557"/>
      <c r="AI53" s="557"/>
      <c r="AJ53" s="557"/>
      <c r="AK53" s="557"/>
      <c r="AL53" s="557"/>
      <c r="AM53" s="557"/>
      <c r="AN53" s="557"/>
      <c r="AO53" s="557"/>
      <c r="AP53" s="557"/>
      <c r="AQ53" s="557"/>
      <c r="AR53" s="557"/>
      <c r="AS53" s="557"/>
      <c r="AT53" s="557"/>
      <c r="AU53" s="557"/>
      <c r="AV53" s="557"/>
      <c r="AW53" s="557"/>
      <c r="AX53" s="557"/>
      <c r="AY53" s="557"/>
      <c r="AZ53" s="557"/>
      <c r="BA53" s="557"/>
      <c r="BB53" s="557"/>
      <c r="BC53" s="557"/>
      <c r="BD53" s="557"/>
      <c r="BE53" s="557"/>
      <c r="BF53" s="557"/>
      <c r="BG53" s="557"/>
      <c r="BH53" s="557"/>
      <c r="BI53" s="557"/>
      <c r="BJ53" s="871"/>
      <c r="BK53" s="871"/>
      <c r="BL53" s="565"/>
      <c r="BM53" s="565"/>
      <c r="BN53" s="316"/>
      <c r="BQ53" s="320"/>
      <c r="BR53" s="320"/>
    </row>
    <row r="54" spans="1:70" ht="6" customHeight="1">
      <c r="A54" s="115"/>
      <c r="B54" s="227"/>
      <c r="C54" s="27"/>
      <c r="D54" s="27"/>
      <c r="E54" s="27"/>
      <c r="F54" s="27"/>
      <c r="G54" s="27"/>
      <c r="H54" s="27"/>
      <c r="I54" s="27"/>
      <c r="L54" s="596"/>
      <c r="M54" s="11"/>
      <c r="N54" s="11"/>
      <c r="O54" s="11"/>
      <c r="P54" s="11"/>
      <c r="Q54" s="11"/>
      <c r="R54" s="11"/>
      <c r="S54" s="11"/>
      <c r="T54" s="11"/>
      <c r="U54" s="11"/>
      <c r="V54" s="596"/>
      <c r="W54" s="11"/>
      <c r="X54" s="11"/>
      <c r="Y54" s="11"/>
      <c r="Z54" s="11"/>
      <c r="AA54" s="11"/>
      <c r="AB54" s="11"/>
      <c r="AC54" s="11"/>
      <c r="AD54" s="11"/>
      <c r="AE54" s="11"/>
      <c r="AF54" s="596"/>
      <c r="AG54" s="11"/>
      <c r="AH54" s="11"/>
      <c r="AI54" s="11"/>
      <c r="AJ54" s="11"/>
      <c r="AK54" s="11"/>
      <c r="AL54" s="6"/>
      <c r="AM54" s="23"/>
      <c r="AN54" s="23"/>
      <c r="AO54" s="23"/>
      <c r="AP54" s="180"/>
      <c r="AQ54" s="23"/>
      <c r="AR54" s="23"/>
      <c r="AS54" s="23"/>
      <c r="AT54" s="23"/>
      <c r="AU54" s="23"/>
      <c r="AV54" s="23"/>
      <c r="AW54" s="197"/>
      <c r="AX54" s="197"/>
      <c r="AY54" s="197"/>
      <c r="AZ54" s="535"/>
      <c r="BA54" s="309"/>
      <c r="BB54" s="316"/>
      <c r="BC54" s="296"/>
      <c r="BD54" s="535"/>
      <c r="BE54" s="535"/>
      <c r="BF54" s="535"/>
      <c r="BG54" s="535"/>
      <c r="BH54" s="535"/>
      <c r="BI54" s="535"/>
      <c r="BJ54" s="871"/>
      <c r="BK54" s="871"/>
      <c r="BL54" s="565"/>
      <c r="BM54" s="565"/>
      <c r="BN54" s="316"/>
      <c r="BQ54" s="320"/>
      <c r="BR54" s="320"/>
    </row>
    <row r="55" spans="1:70" ht="11.25" customHeight="1">
      <c r="A55" s="116" t="s">
        <v>35</v>
      </c>
      <c r="L55" s="596"/>
      <c r="M55" s="11"/>
      <c r="N55" s="11"/>
      <c r="O55" s="11"/>
      <c r="P55" s="11"/>
      <c r="Q55" s="11"/>
      <c r="R55" s="11"/>
      <c r="S55" s="11"/>
      <c r="T55" s="11"/>
      <c r="U55" s="11"/>
      <c r="V55" s="596"/>
      <c r="W55" s="11"/>
      <c r="X55" s="11"/>
      <c r="Y55" s="11"/>
      <c r="Z55" s="11"/>
      <c r="AA55" s="11"/>
      <c r="AB55" s="11"/>
      <c r="AC55" s="11"/>
      <c r="AD55" s="11"/>
      <c r="AE55" s="11"/>
      <c r="AF55" s="596"/>
      <c r="AG55" s="11"/>
      <c r="AH55" s="11"/>
      <c r="AI55" s="11"/>
      <c r="AJ55" s="11"/>
      <c r="AK55" s="11"/>
      <c r="AL55" s="6"/>
      <c r="AM55" s="23"/>
      <c r="AN55" s="23"/>
      <c r="AO55" s="23"/>
      <c r="AP55" s="180"/>
      <c r="AQ55" s="23"/>
      <c r="AR55" s="23"/>
      <c r="AS55" s="23"/>
      <c r="AT55" s="23"/>
      <c r="AU55" s="23"/>
      <c r="AV55" s="23"/>
      <c r="AW55" s="197"/>
      <c r="AX55" s="197"/>
      <c r="AY55" s="197"/>
      <c r="AZ55" s="535"/>
      <c r="BA55" s="309"/>
      <c r="BB55" s="316"/>
      <c r="BC55" s="296"/>
      <c r="BD55" s="535"/>
      <c r="BE55" s="535"/>
      <c r="BF55" s="535"/>
      <c r="BG55" s="535"/>
      <c r="BH55" s="535"/>
      <c r="BI55" s="535"/>
      <c r="BJ55" s="871"/>
      <c r="BK55" s="871"/>
      <c r="BL55" s="565"/>
      <c r="BM55" s="565"/>
      <c r="BN55" s="316"/>
      <c r="BQ55" s="320"/>
      <c r="BR55" s="320"/>
    </row>
    <row r="56" spans="1:70" s="711" customFormat="1" ht="11.25" customHeight="1">
      <c r="A56" s="743" t="s">
        <v>100</v>
      </c>
      <c r="B56" s="593">
        <v>42</v>
      </c>
      <c r="C56" s="716">
        <v>63</v>
      </c>
      <c r="D56" s="716">
        <v>78</v>
      </c>
      <c r="E56" s="716">
        <v>89</v>
      </c>
      <c r="F56" s="716">
        <v>97</v>
      </c>
      <c r="G56" s="716">
        <v>105</v>
      </c>
      <c r="H56" s="716">
        <v>97</v>
      </c>
      <c r="I56" s="716">
        <v>94</v>
      </c>
      <c r="J56" s="716">
        <v>100</v>
      </c>
      <c r="K56" s="716">
        <v>106</v>
      </c>
      <c r="L56" s="594">
        <v>124</v>
      </c>
      <c r="M56" s="724">
        <v>160</v>
      </c>
      <c r="N56" s="724">
        <v>169</v>
      </c>
      <c r="O56" s="724">
        <v>184</v>
      </c>
      <c r="P56" s="724">
        <v>182</v>
      </c>
      <c r="Q56" s="724">
        <v>189</v>
      </c>
      <c r="R56" s="724">
        <v>212</v>
      </c>
      <c r="S56" s="724">
        <v>220</v>
      </c>
      <c r="T56" s="724">
        <v>232</v>
      </c>
      <c r="U56" s="724">
        <v>250</v>
      </c>
      <c r="V56" s="594">
        <v>283</v>
      </c>
      <c r="W56" s="724">
        <v>297</v>
      </c>
      <c r="X56" s="724">
        <v>265</v>
      </c>
      <c r="Y56" s="724">
        <v>336</v>
      </c>
      <c r="Z56" s="724">
        <v>296</v>
      </c>
      <c r="AA56" s="724">
        <v>227</v>
      </c>
      <c r="AB56" s="724">
        <v>304</v>
      </c>
      <c r="AC56" s="724">
        <v>334</v>
      </c>
      <c r="AD56" s="724">
        <v>378</v>
      </c>
      <c r="AE56" s="724">
        <v>416</v>
      </c>
      <c r="AF56" s="594">
        <v>477</v>
      </c>
      <c r="AG56" s="724">
        <v>523</v>
      </c>
      <c r="AH56" s="724">
        <v>584</v>
      </c>
      <c r="AI56" s="724">
        <v>594</v>
      </c>
      <c r="AJ56" s="724">
        <v>564</v>
      </c>
      <c r="AK56" s="724">
        <v>561</v>
      </c>
      <c r="AL56" s="724">
        <v>695</v>
      </c>
      <c r="AM56" s="753">
        <v>678</v>
      </c>
      <c r="AN56" s="754">
        <v>812</v>
      </c>
      <c r="AO56" s="754">
        <v>867</v>
      </c>
      <c r="AP56" s="842">
        <v>881</v>
      </c>
      <c r="AQ56" s="754">
        <v>932</v>
      </c>
      <c r="AR56" s="754">
        <v>1370</v>
      </c>
      <c r="AS56" s="754">
        <v>1144</v>
      </c>
      <c r="AT56" s="754">
        <v>1133</v>
      </c>
      <c r="AU56" s="754">
        <v>1083</v>
      </c>
      <c r="AV56" s="753">
        <v>1296</v>
      </c>
      <c r="AW56" s="753">
        <v>1318</v>
      </c>
      <c r="AX56" s="753">
        <v>1347</v>
      </c>
      <c r="AY56" s="753">
        <v>1501</v>
      </c>
      <c r="AZ56" s="856">
        <v>1622</v>
      </c>
      <c r="BA56" s="639">
        <v>1653</v>
      </c>
      <c r="BB56" s="639">
        <v>1608</v>
      </c>
      <c r="BC56" s="639">
        <v>1532</v>
      </c>
      <c r="BD56" s="639">
        <v>1457</v>
      </c>
      <c r="BE56" s="639">
        <v>1481</v>
      </c>
      <c r="BF56" s="639">
        <v>1484</v>
      </c>
      <c r="BG56" s="358">
        <v>1520</v>
      </c>
      <c r="BH56" s="358">
        <v>1581</v>
      </c>
      <c r="BI56" s="358">
        <v>1502</v>
      </c>
      <c r="BJ56" s="410">
        <f>(BH56-BG56)/BG56</f>
        <v>4.0131578947368421E-2</v>
      </c>
      <c r="BK56" s="410">
        <f>(BI56-BH56)/BH56</f>
        <v>-4.9968374446552812E-2</v>
      </c>
      <c r="BL56" s="564">
        <f>BH56-BG56</f>
        <v>61</v>
      </c>
      <c r="BM56" s="564">
        <f>BI56-BH56</f>
        <v>-79</v>
      </c>
      <c r="BN56" s="639"/>
      <c r="BO56" s="708"/>
      <c r="BP56" s="708"/>
      <c r="BQ56" s="709"/>
      <c r="BR56" s="710"/>
    </row>
    <row r="57" spans="1:70" ht="11.25" customHeight="1">
      <c r="A57" s="115" t="s">
        <v>101</v>
      </c>
      <c r="B57" s="227" t="s">
        <v>3</v>
      </c>
      <c r="C57" s="27" t="s">
        <v>3</v>
      </c>
      <c r="D57" s="27" t="s">
        <v>3</v>
      </c>
      <c r="E57" s="27" t="s">
        <v>3</v>
      </c>
      <c r="F57" s="27" t="s">
        <v>3</v>
      </c>
      <c r="G57" s="27" t="s">
        <v>3</v>
      </c>
      <c r="H57" s="25">
        <v>1</v>
      </c>
      <c r="I57" s="25">
        <v>4</v>
      </c>
      <c r="J57" s="25">
        <v>5</v>
      </c>
      <c r="K57" s="25">
        <v>4</v>
      </c>
      <c r="L57" s="277">
        <v>6</v>
      </c>
      <c r="M57" s="24">
        <v>6</v>
      </c>
      <c r="N57" s="24">
        <v>4</v>
      </c>
      <c r="O57" s="24">
        <v>24</v>
      </c>
      <c r="P57" s="24">
        <v>5</v>
      </c>
      <c r="Q57" s="24">
        <v>15</v>
      </c>
      <c r="R57" s="24">
        <v>10</v>
      </c>
      <c r="S57" s="24">
        <v>19</v>
      </c>
      <c r="T57" s="24">
        <v>18</v>
      </c>
      <c r="U57" s="24">
        <v>21</v>
      </c>
      <c r="V57" s="277">
        <v>20</v>
      </c>
      <c r="W57" s="24">
        <v>21</v>
      </c>
      <c r="X57" s="24">
        <v>21</v>
      </c>
      <c r="Y57" s="24">
        <v>23</v>
      </c>
      <c r="Z57" s="24">
        <v>27</v>
      </c>
      <c r="AA57" s="24">
        <v>33</v>
      </c>
      <c r="AB57" s="24">
        <v>37</v>
      </c>
      <c r="AC57" s="24">
        <v>75</v>
      </c>
      <c r="AD57" s="24">
        <v>81</v>
      </c>
      <c r="AE57" s="24">
        <v>93</v>
      </c>
      <c r="AF57" s="277">
        <v>98</v>
      </c>
      <c r="AG57" s="24">
        <v>109</v>
      </c>
      <c r="AH57" s="24">
        <v>120</v>
      </c>
      <c r="AI57" s="24">
        <v>133</v>
      </c>
      <c r="AJ57" s="24">
        <v>130</v>
      </c>
      <c r="AK57" s="24">
        <v>95</v>
      </c>
      <c r="AL57" s="24">
        <v>115</v>
      </c>
      <c r="AM57" s="74">
        <v>113</v>
      </c>
      <c r="AN57" s="99">
        <v>122</v>
      </c>
      <c r="AO57" s="99">
        <v>138</v>
      </c>
      <c r="AP57" s="843">
        <v>9</v>
      </c>
      <c r="AQ57" s="99">
        <v>12</v>
      </c>
      <c r="AR57" s="99">
        <v>16</v>
      </c>
      <c r="AS57" s="99">
        <v>17</v>
      </c>
      <c r="AT57" s="99">
        <v>17</v>
      </c>
      <c r="AU57" s="93" t="s">
        <v>3</v>
      </c>
      <c r="AV57" s="93" t="s">
        <v>3</v>
      </c>
      <c r="AW57" s="93" t="s">
        <v>3</v>
      </c>
      <c r="AX57" s="93" t="s">
        <v>3</v>
      </c>
      <c r="AY57" s="93" t="s">
        <v>3</v>
      </c>
      <c r="AZ57" s="225" t="s">
        <v>3</v>
      </c>
      <c r="BA57" s="356" t="s">
        <v>3</v>
      </c>
      <c r="BB57" s="356" t="s">
        <v>3</v>
      </c>
      <c r="BC57" s="356" t="s">
        <v>3</v>
      </c>
      <c r="BD57" s="306" t="s">
        <v>3</v>
      </c>
      <c r="BE57" s="306" t="s">
        <v>3</v>
      </c>
      <c r="BF57" s="306" t="s">
        <v>3</v>
      </c>
      <c r="BG57" s="306" t="s">
        <v>3</v>
      </c>
      <c r="BH57" s="306" t="s">
        <v>3</v>
      </c>
      <c r="BI57" s="306" t="s">
        <v>3</v>
      </c>
      <c r="BJ57" s="874" t="s">
        <v>10</v>
      </c>
      <c r="BK57" s="874" t="s">
        <v>10</v>
      </c>
      <c r="BL57" s="568" t="s">
        <v>10</v>
      </c>
      <c r="BM57" s="568" t="s">
        <v>10</v>
      </c>
      <c r="BN57" s="411"/>
      <c r="BQ57" s="152"/>
      <c r="BR57" s="320"/>
    </row>
    <row r="58" spans="1:70" ht="11.25" customHeight="1">
      <c r="A58" s="115" t="s">
        <v>102</v>
      </c>
      <c r="B58" s="227" t="s">
        <v>3</v>
      </c>
      <c r="C58" s="27" t="s">
        <v>3</v>
      </c>
      <c r="D58" s="27" t="s">
        <v>3</v>
      </c>
      <c r="E58" s="27" t="s">
        <v>3</v>
      </c>
      <c r="F58" s="27" t="s">
        <v>3</v>
      </c>
      <c r="G58" s="27" t="s">
        <v>3</v>
      </c>
      <c r="H58" s="27" t="s">
        <v>3</v>
      </c>
      <c r="I58" s="27" t="s">
        <v>3</v>
      </c>
      <c r="J58" s="27" t="s">
        <v>3</v>
      </c>
      <c r="K58" s="27" t="s">
        <v>3</v>
      </c>
      <c r="L58" s="227" t="s">
        <v>3</v>
      </c>
      <c r="M58" s="27" t="s">
        <v>3</v>
      </c>
      <c r="N58" s="27" t="s">
        <v>3</v>
      </c>
      <c r="O58" s="27" t="s">
        <v>3</v>
      </c>
      <c r="P58" s="27" t="s">
        <v>3</v>
      </c>
      <c r="Q58" s="27" t="s">
        <v>3</v>
      </c>
      <c r="R58" s="27" t="s">
        <v>3</v>
      </c>
      <c r="S58" s="27" t="s">
        <v>3</v>
      </c>
      <c r="T58" s="27" t="s">
        <v>3</v>
      </c>
      <c r="U58" s="27" t="s">
        <v>3</v>
      </c>
      <c r="V58" s="227" t="s">
        <v>3</v>
      </c>
      <c r="W58" s="27" t="s">
        <v>3</v>
      </c>
      <c r="X58" s="27" t="s">
        <v>3</v>
      </c>
      <c r="Y58" s="27" t="s">
        <v>3</v>
      </c>
      <c r="Z58" s="27" t="s">
        <v>3</v>
      </c>
      <c r="AA58" s="27" t="s">
        <v>3</v>
      </c>
      <c r="AB58" s="27" t="s">
        <v>3</v>
      </c>
      <c r="AC58" s="27" t="s">
        <v>3</v>
      </c>
      <c r="AD58" s="27" t="s">
        <v>3</v>
      </c>
      <c r="AE58" s="27" t="s">
        <v>3</v>
      </c>
      <c r="AF58" s="227" t="s">
        <v>3</v>
      </c>
      <c r="AG58" s="27" t="s">
        <v>3</v>
      </c>
      <c r="AH58" s="27" t="s">
        <v>3</v>
      </c>
      <c r="AI58" s="27" t="s">
        <v>3</v>
      </c>
      <c r="AJ58" s="27" t="s">
        <v>3</v>
      </c>
      <c r="AK58" s="27" t="s">
        <v>3</v>
      </c>
      <c r="AL58" s="27" t="s">
        <v>3</v>
      </c>
      <c r="AM58" s="27" t="s">
        <v>3</v>
      </c>
      <c r="AN58" s="27" t="s">
        <v>3</v>
      </c>
      <c r="AO58" s="27" t="s">
        <v>3</v>
      </c>
      <c r="AP58" s="696">
        <v>163</v>
      </c>
      <c r="AQ58" s="63">
        <v>211</v>
      </c>
      <c r="AR58" s="63">
        <v>287</v>
      </c>
      <c r="AS58" s="63">
        <v>274</v>
      </c>
      <c r="AT58" s="63">
        <v>355</v>
      </c>
      <c r="AU58" s="63">
        <v>379</v>
      </c>
      <c r="AV58" s="25">
        <v>450</v>
      </c>
      <c r="AW58" s="25">
        <f>445+26+1</f>
        <v>472</v>
      </c>
      <c r="AX58" s="25">
        <v>528</v>
      </c>
      <c r="AY58" s="25">
        <v>522</v>
      </c>
      <c r="AZ58" s="593">
        <v>512</v>
      </c>
      <c r="BA58" s="359">
        <v>436</v>
      </c>
      <c r="BB58" s="359">
        <v>534</v>
      </c>
      <c r="BC58" s="359">
        <v>544</v>
      </c>
      <c r="BD58" s="509">
        <v>534</v>
      </c>
      <c r="BE58" s="509">
        <v>551</v>
      </c>
      <c r="BF58" s="509">
        <v>572</v>
      </c>
      <c r="BG58" s="509">
        <v>584</v>
      </c>
      <c r="BH58" s="509">
        <v>630</v>
      </c>
      <c r="BI58" s="509">
        <v>686</v>
      </c>
      <c r="BJ58" s="410">
        <f t="shared" ref="BJ58:BK62" si="23">(BH58-BG58)/BG58</f>
        <v>7.8767123287671229E-2</v>
      </c>
      <c r="BK58" s="410">
        <f t="shared" si="23"/>
        <v>8.8888888888888892E-2</v>
      </c>
      <c r="BL58" s="564">
        <f t="shared" ref="BL58:BM62" si="24">BH58-BG58</f>
        <v>46</v>
      </c>
      <c r="BM58" s="564">
        <f t="shared" si="24"/>
        <v>56</v>
      </c>
      <c r="BN58" s="348"/>
      <c r="BQ58" s="152"/>
      <c r="BR58" s="320"/>
    </row>
    <row r="59" spans="1:70" ht="11.25" customHeight="1">
      <c r="A59" s="115" t="s">
        <v>14</v>
      </c>
      <c r="B59" s="801" t="s">
        <v>3</v>
      </c>
      <c r="C59" s="27" t="s">
        <v>3</v>
      </c>
      <c r="D59" s="27" t="s">
        <v>3</v>
      </c>
      <c r="E59" s="27" t="s">
        <v>3</v>
      </c>
      <c r="F59" s="27" t="s">
        <v>3</v>
      </c>
      <c r="G59" s="27" t="s">
        <v>3</v>
      </c>
      <c r="H59" s="25">
        <v>2</v>
      </c>
      <c r="I59" s="25">
        <v>7</v>
      </c>
      <c r="J59" s="25">
        <v>15</v>
      </c>
      <c r="K59" s="25">
        <v>16</v>
      </c>
      <c r="L59" s="594">
        <v>16</v>
      </c>
      <c r="M59" s="12">
        <v>30</v>
      </c>
      <c r="N59" s="12">
        <v>34</v>
      </c>
      <c r="O59" s="12">
        <v>51</v>
      </c>
      <c r="P59" s="12">
        <v>45</v>
      </c>
      <c r="Q59" s="12">
        <v>61</v>
      </c>
      <c r="R59" s="12">
        <v>64</v>
      </c>
      <c r="S59" s="12">
        <v>79</v>
      </c>
      <c r="T59" s="12">
        <v>87</v>
      </c>
      <c r="U59" s="12">
        <v>83</v>
      </c>
      <c r="V59" s="594">
        <v>92</v>
      </c>
      <c r="W59" s="12">
        <v>84</v>
      </c>
      <c r="X59" s="12">
        <v>62</v>
      </c>
      <c r="Y59" s="12">
        <v>44</v>
      </c>
      <c r="Z59" s="12">
        <v>43</v>
      </c>
      <c r="AA59" s="12">
        <v>44</v>
      </c>
      <c r="AB59" s="12">
        <v>44</v>
      </c>
      <c r="AC59" s="12">
        <v>40</v>
      </c>
      <c r="AD59" s="12">
        <v>46</v>
      </c>
      <c r="AE59" s="12">
        <v>43</v>
      </c>
      <c r="AF59" s="594">
        <v>52</v>
      </c>
      <c r="AG59" s="12">
        <v>52</v>
      </c>
      <c r="AH59" s="12">
        <v>60</v>
      </c>
      <c r="AI59" s="12">
        <v>62</v>
      </c>
      <c r="AJ59" s="12">
        <v>63</v>
      </c>
      <c r="AK59" s="12">
        <v>67</v>
      </c>
      <c r="AL59" s="12">
        <v>70</v>
      </c>
      <c r="AM59" s="49">
        <v>76</v>
      </c>
      <c r="AN59" s="35">
        <v>95</v>
      </c>
      <c r="AO59" s="35">
        <v>103</v>
      </c>
      <c r="AP59" s="696">
        <v>119</v>
      </c>
      <c r="AQ59" s="63">
        <v>122</v>
      </c>
      <c r="AR59" s="63">
        <v>150</v>
      </c>
      <c r="AS59" s="63">
        <v>154</v>
      </c>
      <c r="AT59" s="63">
        <v>158</v>
      </c>
      <c r="AU59" s="25">
        <v>161</v>
      </c>
      <c r="AV59" s="25">
        <v>210</v>
      </c>
      <c r="AW59" s="25">
        <f>(174+34)</f>
        <v>208</v>
      </c>
      <c r="AX59" s="25">
        <v>200</v>
      </c>
      <c r="AY59" s="25">
        <v>210</v>
      </c>
      <c r="AZ59" s="593">
        <v>228</v>
      </c>
      <c r="BA59" s="348">
        <v>214</v>
      </c>
      <c r="BB59" s="348">
        <v>302</v>
      </c>
      <c r="BC59" s="348">
        <v>274</v>
      </c>
      <c r="BD59" s="358">
        <v>240</v>
      </c>
      <c r="BE59" s="358">
        <v>257</v>
      </c>
      <c r="BF59" s="358">
        <v>240</v>
      </c>
      <c r="BG59" s="358">
        <v>244</v>
      </c>
      <c r="BH59" s="358">
        <v>280</v>
      </c>
      <c r="BI59" s="358">
        <v>276</v>
      </c>
      <c r="BJ59" s="410">
        <f t="shared" si="23"/>
        <v>0.14754098360655737</v>
      </c>
      <c r="BK59" s="410">
        <f t="shared" si="23"/>
        <v>-1.4285714285714285E-2</v>
      </c>
      <c r="BL59" s="564">
        <f t="shared" si="24"/>
        <v>36</v>
      </c>
      <c r="BM59" s="564">
        <f t="shared" si="24"/>
        <v>-4</v>
      </c>
      <c r="BN59" s="348"/>
      <c r="BQ59" s="152"/>
      <c r="BR59" s="320"/>
    </row>
    <row r="60" spans="1:70" s="711" customFormat="1" ht="11.25" customHeight="1">
      <c r="A60" s="743" t="s">
        <v>61</v>
      </c>
      <c r="B60" s="225" t="s">
        <v>3</v>
      </c>
      <c r="C60" s="734" t="s">
        <v>3</v>
      </c>
      <c r="D60" s="734" t="s">
        <v>3</v>
      </c>
      <c r="E60" s="734" t="s">
        <v>3</v>
      </c>
      <c r="F60" s="734" t="s">
        <v>3</v>
      </c>
      <c r="G60" s="734" t="s">
        <v>3</v>
      </c>
      <c r="H60" s="734" t="s">
        <v>11</v>
      </c>
      <c r="I60" s="744">
        <v>2</v>
      </c>
      <c r="J60" s="744">
        <v>15</v>
      </c>
      <c r="K60" s="744">
        <v>22</v>
      </c>
      <c r="L60" s="277">
        <v>26</v>
      </c>
      <c r="M60" s="745">
        <v>40</v>
      </c>
      <c r="N60" s="745">
        <v>78</v>
      </c>
      <c r="O60" s="745">
        <v>97</v>
      </c>
      <c r="P60" s="745">
        <v>116</v>
      </c>
      <c r="Q60" s="745">
        <v>97</v>
      </c>
      <c r="R60" s="745">
        <v>88</v>
      </c>
      <c r="S60" s="745">
        <v>94</v>
      </c>
      <c r="T60" s="745">
        <v>94</v>
      </c>
      <c r="U60" s="745">
        <v>138</v>
      </c>
      <c r="V60" s="277">
        <v>137</v>
      </c>
      <c r="W60" s="745">
        <v>148</v>
      </c>
      <c r="X60" s="745">
        <v>109</v>
      </c>
      <c r="Y60" s="745">
        <v>111</v>
      </c>
      <c r="Z60" s="745">
        <v>108</v>
      </c>
      <c r="AA60" s="745">
        <v>113</v>
      </c>
      <c r="AB60" s="745">
        <v>112</v>
      </c>
      <c r="AC60" s="745">
        <v>134</v>
      </c>
      <c r="AD60" s="745">
        <v>124</v>
      </c>
      <c r="AE60" s="745">
        <v>84</v>
      </c>
      <c r="AF60" s="277">
        <v>148</v>
      </c>
      <c r="AG60" s="745">
        <v>153</v>
      </c>
      <c r="AH60" s="745">
        <v>160</v>
      </c>
      <c r="AI60" s="745">
        <v>159</v>
      </c>
      <c r="AJ60" s="745">
        <v>184</v>
      </c>
      <c r="AK60" s="745">
        <v>186</v>
      </c>
      <c r="AL60" s="745">
        <v>192</v>
      </c>
      <c r="AM60" s="746">
        <v>224</v>
      </c>
      <c r="AN60" s="740">
        <v>270</v>
      </c>
      <c r="AO60" s="740">
        <v>191</v>
      </c>
      <c r="AP60" s="224">
        <v>190</v>
      </c>
      <c r="AQ60" s="746">
        <v>245</v>
      </c>
      <c r="AR60" s="746">
        <v>271</v>
      </c>
      <c r="AS60" s="746">
        <v>258</v>
      </c>
      <c r="AT60" s="746">
        <v>168</v>
      </c>
      <c r="AU60" s="744">
        <v>192</v>
      </c>
      <c r="AV60" s="744">
        <v>388</v>
      </c>
      <c r="AW60" s="744">
        <v>490</v>
      </c>
      <c r="AX60" s="744">
        <v>488</v>
      </c>
      <c r="AY60" s="744">
        <v>587</v>
      </c>
      <c r="AZ60" s="805">
        <v>486</v>
      </c>
      <c r="BA60" s="747">
        <v>471</v>
      </c>
      <c r="BB60" s="747">
        <v>447</v>
      </c>
      <c r="BC60" s="747">
        <v>529</v>
      </c>
      <c r="BD60" s="748">
        <v>454</v>
      </c>
      <c r="BE60" s="748">
        <v>471</v>
      </c>
      <c r="BF60" s="748">
        <v>499</v>
      </c>
      <c r="BG60" s="509">
        <v>494</v>
      </c>
      <c r="BH60" s="509">
        <v>571</v>
      </c>
      <c r="BI60" s="509">
        <v>586</v>
      </c>
      <c r="BJ60" s="410">
        <f t="shared" si="23"/>
        <v>0.15587044534412955</v>
      </c>
      <c r="BK60" s="410">
        <f t="shared" si="23"/>
        <v>2.6269702276707531E-2</v>
      </c>
      <c r="BL60" s="564">
        <f t="shared" si="24"/>
        <v>77</v>
      </c>
      <c r="BM60" s="564">
        <f t="shared" si="24"/>
        <v>15</v>
      </c>
      <c r="BN60" s="639"/>
      <c r="BO60" s="708"/>
      <c r="BP60" s="708"/>
      <c r="BQ60" s="709"/>
      <c r="BR60" s="749"/>
    </row>
    <row r="61" spans="1:70" ht="11.25" customHeight="1">
      <c r="A61" s="119" t="s">
        <v>119</v>
      </c>
      <c r="B61" s="225" t="s">
        <v>3</v>
      </c>
      <c r="C61" s="93" t="s">
        <v>3</v>
      </c>
      <c r="D61" s="93" t="s">
        <v>3</v>
      </c>
      <c r="E61" s="93" t="s">
        <v>3</v>
      </c>
      <c r="F61" s="93" t="s">
        <v>3</v>
      </c>
      <c r="G61" s="93" t="s">
        <v>3</v>
      </c>
      <c r="H61" s="93" t="s">
        <v>3</v>
      </c>
      <c r="I61" s="93" t="s">
        <v>3</v>
      </c>
      <c r="J61" s="93" t="s">
        <v>3</v>
      </c>
      <c r="K61" s="93" t="s">
        <v>3</v>
      </c>
      <c r="L61" s="225" t="s">
        <v>3</v>
      </c>
      <c r="M61" s="93" t="s">
        <v>3</v>
      </c>
      <c r="N61" s="93" t="s">
        <v>3</v>
      </c>
      <c r="O61" s="93" t="s">
        <v>3</v>
      </c>
      <c r="P61" s="93" t="s">
        <v>3</v>
      </c>
      <c r="Q61" s="93" t="s">
        <v>3</v>
      </c>
      <c r="R61" s="93" t="s">
        <v>3</v>
      </c>
      <c r="S61" s="93" t="s">
        <v>3</v>
      </c>
      <c r="T61" s="93" t="s">
        <v>3</v>
      </c>
      <c r="U61" s="93" t="s">
        <v>3</v>
      </c>
      <c r="V61" s="225" t="s">
        <v>3</v>
      </c>
      <c r="W61" s="93" t="s">
        <v>3</v>
      </c>
      <c r="X61" s="93" t="s">
        <v>3</v>
      </c>
      <c r="Y61" s="93" t="s">
        <v>3</v>
      </c>
      <c r="Z61" s="93" t="s">
        <v>3</v>
      </c>
      <c r="AA61" s="93" t="s">
        <v>3</v>
      </c>
      <c r="AB61" s="93" t="s">
        <v>3</v>
      </c>
      <c r="AC61" s="93" t="s">
        <v>3</v>
      </c>
      <c r="AD61" s="24">
        <v>5</v>
      </c>
      <c r="AE61" s="24">
        <v>10</v>
      </c>
      <c r="AF61" s="277">
        <v>9</v>
      </c>
      <c r="AG61" s="24">
        <v>9</v>
      </c>
      <c r="AH61" s="24">
        <v>12</v>
      </c>
      <c r="AI61" s="24">
        <v>14</v>
      </c>
      <c r="AJ61" s="24">
        <v>16</v>
      </c>
      <c r="AK61" s="24">
        <v>22</v>
      </c>
      <c r="AL61" s="24">
        <v>34</v>
      </c>
      <c r="AM61" s="66">
        <v>31</v>
      </c>
      <c r="AN61" s="87">
        <v>34</v>
      </c>
      <c r="AO61" s="87">
        <v>34</v>
      </c>
      <c r="AP61" s="224">
        <v>37</v>
      </c>
      <c r="AQ61" s="66">
        <v>30</v>
      </c>
      <c r="AR61" s="66">
        <v>43</v>
      </c>
      <c r="AS61" s="66">
        <v>61</v>
      </c>
      <c r="AT61" s="66">
        <v>61</v>
      </c>
      <c r="AU61" s="94">
        <v>67</v>
      </c>
      <c r="AV61" s="94">
        <v>74</v>
      </c>
      <c r="AW61" s="94">
        <v>76</v>
      </c>
      <c r="AX61" s="94">
        <v>74</v>
      </c>
      <c r="AY61" s="94">
        <v>82</v>
      </c>
      <c r="AZ61" s="805">
        <v>95</v>
      </c>
      <c r="BA61" s="349">
        <v>101</v>
      </c>
      <c r="BB61" s="349">
        <v>91</v>
      </c>
      <c r="BC61" s="349">
        <v>102</v>
      </c>
      <c r="BD61" s="361">
        <v>110</v>
      </c>
      <c r="BE61" s="361">
        <v>117</v>
      </c>
      <c r="BF61" s="361">
        <v>154</v>
      </c>
      <c r="BG61" s="361">
        <v>146</v>
      </c>
      <c r="BH61" s="361">
        <v>172</v>
      </c>
      <c r="BI61" s="361">
        <v>167</v>
      </c>
      <c r="BJ61" s="410">
        <f t="shared" si="23"/>
        <v>0.17808219178082191</v>
      </c>
      <c r="BK61" s="410">
        <f t="shared" si="23"/>
        <v>-2.9069767441860465E-2</v>
      </c>
      <c r="BL61" s="564">
        <f t="shared" si="24"/>
        <v>26</v>
      </c>
      <c r="BM61" s="564">
        <f t="shared" si="24"/>
        <v>-5</v>
      </c>
      <c r="BN61" s="348"/>
      <c r="BQ61" s="152"/>
      <c r="BR61" s="320"/>
    </row>
    <row r="62" spans="1:70" s="428" customFormat="1" ht="11.25" customHeight="1">
      <c r="A62" s="592" t="s">
        <v>36</v>
      </c>
      <c r="B62" s="396">
        <f t="shared" ref="B62:BD62" si="25">SUM(B56:B61)</f>
        <v>42</v>
      </c>
      <c r="C62" s="396">
        <f t="shared" si="25"/>
        <v>63</v>
      </c>
      <c r="D62" s="396">
        <f t="shared" si="25"/>
        <v>78</v>
      </c>
      <c r="E62" s="396">
        <f t="shared" si="25"/>
        <v>89</v>
      </c>
      <c r="F62" s="396">
        <f t="shared" si="25"/>
        <v>97</v>
      </c>
      <c r="G62" s="396">
        <f t="shared" si="25"/>
        <v>105</v>
      </c>
      <c r="H62" s="396">
        <f t="shared" si="25"/>
        <v>100</v>
      </c>
      <c r="I62" s="396">
        <f t="shared" si="25"/>
        <v>107</v>
      </c>
      <c r="J62" s="396">
        <f t="shared" si="25"/>
        <v>135</v>
      </c>
      <c r="K62" s="396">
        <f t="shared" si="25"/>
        <v>148</v>
      </c>
      <c r="L62" s="396">
        <f t="shared" si="25"/>
        <v>172</v>
      </c>
      <c r="M62" s="396">
        <f t="shared" si="25"/>
        <v>236</v>
      </c>
      <c r="N62" s="396">
        <f t="shared" si="25"/>
        <v>285</v>
      </c>
      <c r="O62" s="396">
        <f t="shared" si="25"/>
        <v>356</v>
      </c>
      <c r="P62" s="396">
        <f t="shared" si="25"/>
        <v>348</v>
      </c>
      <c r="Q62" s="396">
        <f t="shared" si="25"/>
        <v>362</v>
      </c>
      <c r="R62" s="396">
        <f t="shared" si="25"/>
        <v>374</v>
      </c>
      <c r="S62" s="396">
        <f t="shared" si="25"/>
        <v>412</v>
      </c>
      <c r="T62" s="396">
        <f t="shared" si="25"/>
        <v>431</v>
      </c>
      <c r="U62" s="396">
        <f t="shared" si="25"/>
        <v>492</v>
      </c>
      <c r="V62" s="396">
        <f t="shared" si="25"/>
        <v>532</v>
      </c>
      <c r="W62" s="396">
        <f t="shared" si="25"/>
        <v>550</v>
      </c>
      <c r="X62" s="396">
        <f t="shared" si="25"/>
        <v>457</v>
      </c>
      <c r="Y62" s="396">
        <f t="shared" si="25"/>
        <v>514</v>
      </c>
      <c r="Z62" s="396">
        <f t="shared" si="25"/>
        <v>474</v>
      </c>
      <c r="AA62" s="396">
        <f t="shared" si="25"/>
        <v>417</v>
      </c>
      <c r="AB62" s="396">
        <f t="shared" si="25"/>
        <v>497</v>
      </c>
      <c r="AC62" s="396">
        <f t="shared" si="25"/>
        <v>583</v>
      </c>
      <c r="AD62" s="396">
        <f t="shared" si="25"/>
        <v>634</v>
      </c>
      <c r="AE62" s="396">
        <f t="shared" si="25"/>
        <v>646</v>
      </c>
      <c r="AF62" s="396">
        <f t="shared" si="25"/>
        <v>784</v>
      </c>
      <c r="AG62" s="396">
        <f t="shared" si="25"/>
        <v>846</v>
      </c>
      <c r="AH62" s="396">
        <f t="shared" si="25"/>
        <v>936</v>
      </c>
      <c r="AI62" s="396">
        <f t="shared" si="25"/>
        <v>962</v>
      </c>
      <c r="AJ62" s="396">
        <f t="shared" si="25"/>
        <v>957</v>
      </c>
      <c r="AK62" s="396">
        <f t="shared" si="25"/>
        <v>931</v>
      </c>
      <c r="AL62" s="396">
        <f t="shared" si="25"/>
        <v>1106</v>
      </c>
      <c r="AM62" s="396">
        <f t="shared" si="25"/>
        <v>1122</v>
      </c>
      <c r="AN62" s="396">
        <f t="shared" si="25"/>
        <v>1333</v>
      </c>
      <c r="AO62" s="396">
        <f t="shared" si="25"/>
        <v>1333</v>
      </c>
      <c r="AP62" s="396">
        <f t="shared" si="25"/>
        <v>1399</v>
      </c>
      <c r="AQ62" s="396">
        <f t="shared" si="25"/>
        <v>1552</v>
      </c>
      <c r="AR62" s="396">
        <f t="shared" si="25"/>
        <v>2137</v>
      </c>
      <c r="AS62" s="396">
        <f t="shared" si="25"/>
        <v>1908</v>
      </c>
      <c r="AT62" s="396">
        <f t="shared" si="25"/>
        <v>1892</v>
      </c>
      <c r="AU62" s="396">
        <f t="shared" si="25"/>
        <v>1882</v>
      </c>
      <c r="AV62" s="396">
        <f t="shared" si="25"/>
        <v>2418</v>
      </c>
      <c r="AW62" s="396">
        <f t="shared" si="25"/>
        <v>2564</v>
      </c>
      <c r="AX62" s="396">
        <f t="shared" si="25"/>
        <v>2637</v>
      </c>
      <c r="AY62" s="396">
        <f t="shared" si="25"/>
        <v>2902</v>
      </c>
      <c r="AZ62" s="396">
        <f t="shared" si="25"/>
        <v>2943</v>
      </c>
      <c r="BA62" s="396">
        <f t="shared" si="25"/>
        <v>2875</v>
      </c>
      <c r="BB62" s="396">
        <f t="shared" si="25"/>
        <v>2982</v>
      </c>
      <c r="BC62" s="396">
        <f t="shared" si="25"/>
        <v>2981</v>
      </c>
      <c r="BD62" s="396">
        <f t="shared" si="25"/>
        <v>2795</v>
      </c>
      <c r="BE62" s="396">
        <f>SUM(BE56:BE61)</f>
        <v>2877</v>
      </c>
      <c r="BF62" s="396">
        <f t="shared" ref="BF62:BI62" si="26">SUM(BF56:BF61)</f>
        <v>2949</v>
      </c>
      <c r="BG62" s="396">
        <f t="shared" si="26"/>
        <v>2988</v>
      </c>
      <c r="BH62" s="396">
        <f t="shared" si="26"/>
        <v>3234</v>
      </c>
      <c r="BI62" s="396">
        <f t="shared" si="26"/>
        <v>3217</v>
      </c>
      <c r="BJ62" s="872">
        <f t="shared" si="23"/>
        <v>8.2329317269076302E-2</v>
      </c>
      <c r="BK62" s="872">
        <f t="shared" si="23"/>
        <v>-5.2566481137909706E-3</v>
      </c>
      <c r="BL62" s="567">
        <f t="shared" si="24"/>
        <v>246</v>
      </c>
      <c r="BM62" s="567">
        <f t="shared" si="24"/>
        <v>-17</v>
      </c>
      <c r="BN62" s="349"/>
      <c r="BO62" s="364"/>
      <c r="BP62" s="112"/>
      <c r="BQ62" s="152"/>
    </row>
    <row r="63" spans="1:70" ht="12.75" customHeight="1">
      <c r="A63" s="115"/>
      <c r="AV63" s="3"/>
      <c r="AW63" s="3"/>
      <c r="AX63" s="3"/>
      <c r="AY63" s="3"/>
      <c r="AZ63" s="178"/>
      <c r="BA63" s="3"/>
      <c r="BB63" s="3"/>
      <c r="BC63" s="3"/>
      <c r="BD63" s="3"/>
      <c r="BE63" s="3"/>
      <c r="BF63" s="178"/>
      <c r="BG63" s="178"/>
      <c r="BH63" s="178"/>
      <c r="BI63" s="178"/>
      <c r="BJ63" s="410"/>
      <c r="BK63" s="410"/>
      <c r="BL63" s="566"/>
      <c r="BM63" s="566"/>
      <c r="BN63" s="309"/>
      <c r="BQ63" s="152"/>
      <c r="BR63" s="320"/>
    </row>
    <row r="64" spans="1:70" ht="11.25" customHeight="1">
      <c r="A64" s="119" t="s">
        <v>162</v>
      </c>
      <c r="B64" s="801" t="s">
        <v>3</v>
      </c>
      <c r="C64" s="37" t="s">
        <v>3</v>
      </c>
      <c r="D64" s="37" t="s">
        <v>3</v>
      </c>
      <c r="E64" s="37" t="s">
        <v>3</v>
      </c>
      <c r="F64" s="37" t="s">
        <v>3</v>
      </c>
      <c r="G64" s="37" t="s">
        <v>3</v>
      </c>
      <c r="H64" s="37" t="s">
        <v>3</v>
      </c>
      <c r="I64" s="37" t="s">
        <v>3</v>
      </c>
      <c r="J64" s="37" t="s">
        <v>3</v>
      </c>
      <c r="K64" s="37" t="s">
        <v>3</v>
      </c>
      <c r="L64" s="801" t="s">
        <v>3</v>
      </c>
      <c r="M64" s="37" t="s">
        <v>3</v>
      </c>
      <c r="N64" s="37" t="s">
        <v>3</v>
      </c>
      <c r="O64" s="37" t="s">
        <v>3</v>
      </c>
      <c r="P64" s="37" t="s">
        <v>3</v>
      </c>
      <c r="Q64" s="37" t="s">
        <v>3</v>
      </c>
      <c r="R64" s="37" t="s">
        <v>3</v>
      </c>
      <c r="S64" s="37" t="s">
        <v>3</v>
      </c>
      <c r="T64" s="37" t="s">
        <v>3</v>
      </c>
      <c r="U64" s="37" t="s">
        <v>3</v>
      </c>
      <c r="V64" s="801" t="s">
        <v>3</v>
      </c>
      <c r="W64" s="37" t="s">
        <v>3</v>
      </c>
      <c r="X64" s="37" t="s">
        <v>3</v>
      </c>
      <c r="Y64" s="37" t="s">
        <v>3</v>
      </c>
      <c r="Z64" s="37" t="s">
        <v>3</v>
      </c>
      <c r="AA64" s="37" t="s">
        <v>3</v>
      </c>
      <c r="AB64" s="37" t="s">
        <v>3</v>
      </c>
      <c r="AC64" s="37" t="s">
        <v>3</v>
      </c>
      <c r="AD64" s="37" t="s">
        <v>3</v>
      </c>
      <c r="AE64" s="37" t="s">
        <v>3</v>
      </c>
      <c r="AF64" s="801" t="s">
        <v>3</v>
      </c>
      <c r="AG64" s="37" t="s">
        <v>3</v>
      </c>
      <c r="AH64" s="37" t="s">
        <v>3</v>
      </c>
      <c r="AI64" s="37" t="s">
        <v>3</v>
      </c>
      <c r="AJ64" s="37" t="s">
        <v>3</v>
      </c>
      <c r="AK64" s="37" t="s">
        <v>3</v>
      </c>
      <c r="AL64" s="12">
        <v>14</v>
      </c>
      <c r="AM64" s="63">
        <v>18</v>
      </c>
      <c r="AN64" s="6">
        <v>16</v>
      </c>
      <c r="AO64" s="6">
        <v>15</v>
      </c>
      <c r="AP64" s="179">
        <v>17</v>
      </c>
      <c r="AQ64" s="6">
        <v>16</v>
      </c>
      <c r="AR64" s="6">
        <v>16</v>
      </c>
      <c r="AS64" s="6">
        <v>23</v>
      </c>
      <c r="AT64" s="6">
        <v>20</v>
      </c>
      <c r="AU64" s="152">
        <v>21</v>
      </c>
      <c r="AV64" s="152">
        <v>19</v>
      </c>
      <c r="AW64" s="152">
        <v>26</v>
      </c>
      <c r="AX64" s="152">
        <v>29</v>
      </c>
      <c r="AY64" s="152">
        <v>28</v>
      </c>
      <c r="AZ64" s="217">
        <v>30</v>
      </c>
      <c r="BA64" s="348">
        <v>29</v>
      </c>
      <c r="BB64" s="348">
        <v>29</v>
      </c>
      <c r="BC64" s="348">
        <v>29</v>
      </c>
      <c r="BD64" s="358">
        <v>29</v>
      </c>
      <c r="BE64" s="358">
        <v>31</v>
      </c>
      <c r="BF64" s="358">
        <v>29</v>
      </c>
      <c r="BG64" s="358">
        <v>32</v>
      </c>
      <c r="BH64" s="358">
        <v>37</v>
      </c>
      <c r="BI64" s="358">
        <v>37</v>
      </c>
      <c r="BJ64" s="410">
        <f>(BH64-BG64)/BG64</f>
        <v>0.15625</v>
      </c>
      <c r="BK64" s="410">
        <f>(BI64-BH64)/BH64</f>
        <v>0</v>
      </c>
      <c r="BL64" s="564">
        <f>BH64-BG64</f>
        <v>5</v>
      </c>
      <c r="BM64" s="564">
        <f>BI64-BH64</f>
        <v>0</v>
      </c>
      <c r="BN64" s="348"/>
      <c r="BQ64" s="152"/>
      <c r="BR64" s="428"/>
    </row>
    <row r="65" spans="1:71" ht="6" customHeight="1">
      <c r="A65" s="115"/>
      <c r="L65" s="596"/>
      <c r="M65" s="11"/>
      <c r="N65" s="11"/>
      <c r="O65" s="11"/>
      <c r="P65" s="11"/>
      <c r="Q65" s="11"/>
      <c r="R65" s="11"/>
      <c r="S65" s="11"/>
      <c r="T65" s="11"/>
      <c r="U65" s="11"/>
      <c r="V65" s="596"/>
      <c r="W65" s="11"/>
      <c r="X65" s="11"/>
      <c r="Y65" s="11"/>
      <c r="Z65" s="11"/>
      <c r="AA65" s="11"/>
      <c r="AB65" s="11"/>
      <c r="AC65" s="11"/>
      <c r="AD65" s="11"/>
      <c r="AE65" s="11"/>
      <c r="AF65" s="596"/>
      <c r="AG65" s="11"/>
      <c r="AH65" s="11"/>
      <c r="AI65" s="11"/>
      <c r="AJ65" s="11"/>
      <c r="AK65" s="11"/>
      <c r="AL65" s="6"/>
      <c r="AM65" s="23"/>
      <c r="AN65" s="23"/>
      <c r="AO65" s="87"/>
      <c r="AP65" s="224"/>
      <c r="AQ65" s="87"/>
      <c r="AR65" s="87"/>
      <c r="AS65" s="87"/>
      <c r="AT65" s="87"/>
      <c r="AU65" s="87"/>
      <c r="AV65" s="172"/>
      <c r="AW65" s="172"/>
      <c r="AX65" s="172"/>
      <c r="AY65" s="172"/>
      <c r="AZ65" s="544"/>
      <c r="BA65" s="349"/>
      <c r="BB65" s="349"/>
      <c r="BC65" s="349"/>
      <c r="BD65" s="542"/>
      <c r="BE65" s="542"/>
      <c r="BF65" s="542"/>
      <c r="BG65" s="542"/>
      <c r="BH65" s="542"/>
      <c r="BI65" s="542"/>
      <c r="BJ65" s="410"/>
      <c r="BK65" s="410"/>
      <c r="BL65" s="566"/>
      <c r="BM65" s="566"/>
      <c r="BN65" s="309"/>
      <c r="BQ65" s="152"/>
      <c r="BR65" s="320"/>
    </row>
    <row r="66" spans="1:71" ht="11.25" customHeight="1">
      <c r="A66" s="115" t="s">
        <v>22</v>
      </c>
      <c r="B66" s="802" t="s">
        <v>3</v>
      </c>
      <c r="C66" s="41" t="s">
        <v>3</v>
      </c>
      <c r="D66" s="41" t="s">
        <v>3</v>
      </c>
      <c r="E66" s="41" t="s">
        <v>3</v>
      </c>
      <c r="F66" s="41" t="s">
        <v>3</v>
      </c>
      <c r="G66" s="41" t="s">
        <v>3</v>
      </c>
      <c r="H66" s="41" t="s">
        <v>3</v>
      </c>
      <c r="I66" s="41" t="s">
        <v>3</v>
      </c>
      <c r="J66" s="41" t="s">
        <v>3</v>
      </c>
      <c r="K66" s="41" t="s">
        <v>3</v>
      </c>
      <c r="L66" s="825">
        <v>5</v>
      </c>
      <c r="M66" s="31">
        <v>6</v>
      </c>
      <c r="N66" s="31">
        <v>7</v>
      </c>
      <c r="O66" s="31">
        <v>7</v>
      </c>
      <c r="P66" s="31">
        <v>8</v>
      </c>
      <c r="Q66" s="31">
        <v>9</v>
      </c>
      <c r="R66" s="31">
        <v>11</v>
      </c>
      <c r="S66" s="31">
        <v>13</v>
      </c>
      <c r="T66" s="31">
        <v>16</v>
      </c>
      <c r="U66" s="31">
        <v>15</v>
      </c>
      <c r="V66" s="825">
        <v>18</v>
      </c>
      <c r="W66" s="31">
        <v>18</v>
      </c>
      <c r="X66" s="31">
        <v>17</v>
      </c>
      <c r="Y66" s="31">
        <v>19</v>
      </c>
      <c r="Z66" s="31">
        <v>21</v>
      </c>
      <c r="AA66" s="31">
        <v>22</v>
      </c>
      <c r="AB66" s="31">
        <v>21</v>
      </c>
      <c r="AC66" s="31">
        <v>23</v>
      </c>
      <c r="AD66" s="31">
        <v>24</v>
      </c>
      <c r="AE66" s="31">
        <v>24</v>
      </c>
      <c r="AF66" s="825">
        <v>26</v>
      </c>
      <c r="AG66" s="31">
        <v>29</v>
      </c>
      <c r="AH66" s="31">
        <v>36</v>
      </c>
      <c r="AI66" s="31">
        <v>37</v>
      </c>
      <c r="AJ66" s="31">
        <v>37</v>
      </c>
      <c r="AK66" s="31">
        <v>37</v>
      </c>
      <c r="AL66" s="31">
        <v>38</v>
      </c>
      <c r="AM66" s="38">
        <v>45</v>
      </c>
      <c r="AN66" s="38">
        <v>59</v>
      </c>
      <c r="AO66" s="38">
        <v>60</v>
      </c>
      <c r="AP66" s="681">
        <v>77</v>
      </c>
      <c r="AQ66" s="38">
        <v>66</v>
      </c>
      <c r="AR66" s="38">
        <v>65</v>
      </c>
      <c r="AS66" s="38">
        <v>71</v>
      </c>
      <c r="AT66" s="38">
        <v>74</v>
      </c>
      <c r="AU66" s="210">
        <v>77</v>
      </c>
      <c r="AV66" s="210">
        <v>74</v>
      </c>
      <c r="AW66" s="95">
        <v>78</v>
      </c>
      <c r="AX66" s="269">
        <v>83</v>
      </c>
      <c r="AY66" s="269">
        <v>90</v>
      </c>
      <c r="AZ66" s="269">
        <v>89</v>
      </c>
      <c r="BA66" s="361">
        <v>98</v>
      </c>
      <c r="BB66" s="361">
        <v>99</v>
      </c>
      <c r="BC66" s="361">
        <v>103</v>
      </c>
      <c r="BD66" s="361">
        <v>99</v>
      </c>
      <c r="BE66" s="361">
        <v>101</v>
      </c>
      <c r="BF66" s="361">
        <v>106</v>
      </c>
      <c r="BG66" s="361">
        <v>107</v>
      </c>
      <c r="BH66" s="361">
        <v>102</v>
      </c>
      <c r="BI66" s="361">
        <v>108</v>
      </c>
      <c r="BJ66" s="410">
        <f>(BH66-BG66)/BG66</f>
        <v>-4.6728971962616821E-2</v>
      </c>
      <c r="BK66" s="410">
        <f>(BI66-BH66)/BH66</f>
        <v>5.8823529411764705E-2</v>
      </c>
      <c r="BL66" s="564">
        <f>BH66-BG66</f>
        <v>-5</v>
      </c>
      <c r="BM66" s="564">
        <f>BI66-BH66</f>
        <v>6</v>
      </c>
      <c r="BN66" s="348"/>
      <c r="BQ66" s="152"/>
      <c r="BR66" s="320"/>
    </row>
    <row r="67" spans="1:71" s="177" customFormat="1" ht="12.75" customHeight="1" thickBot="1">
      <c r="A67" s="393" t="s">
        <v>60</v>
      </c>
      <c r="B67" s="397">
        <f t="shared" ref="B67:AG67" si="27">SUM(B62:B66)</f>
        <v>42</v>
      </c>
      <c r="C67" s="397">
        <f t="shared" si="27"/>
        <v>63</v>
      </c>
      <c r="D67" s="397">
        <f t="shared" si="27"/>
        <v>78</v>
      </c>
      <c r="E67" s="397">
        <f t="shared" si="27"/>
        <v>89</v>
      </c>
      <c r="F67" s="397">
        <f t="shared" si="27"/>
        <v>97</v>
      </c>
      <c r="G67" s="397">
        <f t="shared" si="27"/>
        <v>105</v>
      </c>
      <c r="H67" s="397">
        <f t="shared" si="27"/>
        <v>100</v>
      </c>
      <c r="I67" s="397">
        <f t="shared" si="27"/>
        <v>107</v>
      </c>
      <c r="J67" s="397">
        <f t="shared" si="27"/>
        <v>135</v>
      </c>
      <c r="K67" s="397">
        <f t="shared" si="27"/>
        <v>148</v>
      </c>
      <c r="L67" s="397">
        <f t="shared" si="27"/>
        <v>177</v>
      </c>
      <c r="M67" s="397">
        <f t="shared" si="27"/>
        <v>242</v>
      </c>
      <c r="N67" s="397">
        <f t="shared" si="27"/>
        <v>292</v>
      </c>
      <c r="O67" s="397">
        <f t="shared" si="27"/>
        <v>363</v>
      </c>
      <c r="P67" s="397">
        <f t="shared" si="27"/>
        <v>356</v>
      </c>
      <c r="Q67" s="397">
        <f t="shared" si="27"/>
        <v>371</v>
      </c>
      <c r="R67" s="397">
        <f t="shared" si="27"/>
        <v>385</v>
      </c>
      <c r="S67" s="397">
        <f t="shared" si="27"/>
        <v>425</v>
      </c>
      <c r="T67" s="397">
        <f t="shared" si="27"/>
        <v>447</v>
      </c>
      <c r="U67" s="397">
        <f t="shared" si="27"/>
        <v>507</v>
      </c>
      <c r="V67" s="397">
        <f t="shared" si="27"/>
        <v>550</v>
      </c>
      <c r="W67" s="397">
        <f t="shared" si="27"/>
        <v>568</v>
      </c>
      <c r="X67" s="397">
        <f t="shared" si="27"/>
        <v>474</v>
      </c>
      <c r="Y67" s="397">
        <f t="shared" si="27"/>
        <v>533</v>
      </c>
      <c r="Z67" s="397">
        <f t="shared" si="27"/>
        <v>495</v>
      </c>
      <c r="AA67" s="397">
        <f t="shared" si="27"/>
        <v>439</v>
      </c>
      <c r="AB67" s="397">
        <f t="shared" si="27"/>
        <v>518</v>
      </c>
      <c r="AC67" s="397">
        <f t="shared" si="27"/>
        <v>606</v>
      </c>
      <c r="AD67" s="397">
        <f t="shared" si="27"/>
        <v>658</v>
      </c>
      <c r="AE67" s="397">
        <f t="shared" si="27"/>
        <v>670</v>
      </c>
      <c r="AF67" s="397">
        <f t="shared" si="27"/>
        <v>810</v>
      </c>
      <c r="AG67" s="397">
        <f t="shared" si="27"/>
        <v>875</v>
      </c>
      <c r="AH67" s="397">
        <f t="shared" ref="AH67:AZ67" si="28">SUM(AH62:AH66)</f>
        <v>972</v>
      </c>
      <c r="AI67" s="397">
        <f t="shared" si="28"/>
        <v>999</v>
      </c>
      <c r="AJ67" s="397">
        <f t="shared" si="28"/>
        <v>994</v>
      </c>
      <c r="AK67" s="397">
        <f t="shared" si="28"/>
        <v>968</v>
      </c>
      <c r="AL67" s="397">
        <f t="shared" si="28"/>
        <v>1158</v>
      </c>
      <c r="AM67" s="397">
        <f t="shared" si="28"/>
        <v>1185</v>
      </c>
      <c r="AN67" s="397">
        <f t="shared" si="28"/>
        <v>1408</v>
      </c>
      <c r="AO67" s="397">
        <f t="shared" si="28"/>
        <v>1408</v>
      </c>
      <c r="AP67" s="397">
        <f t="shared" si="28"/>
        <v>1493</v>
      </c>
      <c r="AQ67" s="397">
        <f t="shared" si="28"/>
        <v>1634</v>
      </c>
      <c r="AR67" s="397">
        <f t="shared" si="28"/>
        <v>2218</v>
      </c>
      <c r="AS67" s="397">
        <f t="shared" si="28"/>
        <v>2002</v>
      </c>
      <c r="AT67" s="397">
        <f t="shared" si="28"/>
        <v>1986</v>
      </c>
      <c r="AU67" s="397">
        <f t="shared" si="28"/>
        <v>1980</v>
      </c>
      <c r="AV67" s="400">
        <f t="shared" si="28"/>
        <v>2511</v>
      </c>
      <c r="AW67" s="400">
        <f t="shared" si="28"/>
        <v>2668</v>
      </c>
      <c r="AX67" s="400">
        <f t="shared" si="28"/>
        <v>2749</v>
      </c>
      <c r="AY67" s="401">
        <f t="shared" si="28"/>
        <v>3020</v>
      </c>
      <c r="AZ67" s="401">
        <f t="shared" si="28"/>
        <v>3062</v>
      </c>
      <c r="BA67" s="402">
        <f t="shared" ref="BA67:BG67" si="29">SUM(BA62:BA66)</f>
        <v>3002</v>
      </c>
      <c r="BB67" s="402">
        <f t="shared" si="29"/>
        <v>3110</v>
      </c>
      <c r="BC67" s="402">
        <f t="shared" si="29"/>
        <v>3113</v>
      </c>
      <c r="BD67" s="402">
        <f t="shared" si="29"/>
        <v>2923</v>
      </c>
      <c r="BE67" s="402">
        <f t="shared" si="29"/>
        <v>3009</v>
      </c>
      <c r="BF67" s="402">
        <f t="shared" si="29"/>
        <v>3084</v>
      </c>
      <c r="BG67" s="402">
        <f t="shared" si="29"/>
        <v>3127</v>
      </c>
      <c r="BH67" s="876">
        <f>SUM(BH62:BH66)</f>
        <v>3373</v>
      </c>
      <c r="BI67" s="876">
        <f>SUM(BI62:BI66)</f>
        <v>3362</v>
      </c>
      <c r="BJ67" s="875">
        <f>(BH67-BG67)/BG67</f>
        <v>7.8669651423089224E-2</v>
      </c>
      <c r="BK67" s="875">
        <f>(BI67-BH67)/BH67</f>
        <v>-3.2611918173732581E-3</v>
      </c>
      <c r="BL67" s="569">
        <f>BH67-BG67</f>
        <v>246</v>
      </c>
      <c r="BM67" s="569">
        <f>BI67-BH67</f>
        <v>-11</v>
      </c>
      <c r="BN67" s="349"/>
      <c r="BO67" s="186"/>
      <c r="BP67" s="112"/>
      <c r="BQ67" s="152"/>
      <c r="BR67" s="391"/>
    </row>
    <row r="68" spans="1:71" ht="11.25" customHeight="1">
      <c r="A68" s="115"/>
      <c r="AV68" s="3"/>
      <c r="AW68" s="3"/>
      <c r="AX68" s="3"/>
      <c r="AY68" s="3"/>
      <c r="AZ68" s="178"/>
      <c r="BA68" s="3"/>
      <c r="BB68" s="3"/>
      <c r="BC68" s="3"/>
      <c r="BD68" s="3"/>
      <c r="BE68" s="3"/>
      <c r="BF68" s="178"/>
      <c r="BG68" s="178"/>
      <c r="BH68" s="178"/>
      <c r="BI68" s="178"/>
      <c r="BJ68" s="871"/>
      <c r="BK68" s="871"/>
      <c r="BL68" s="565"/>
      <c r="BM68" s="565"/>
      <c r="BN68" s="316"/>
      <c r="BQ68" s="152"/>
      <c r="BR68" s="320"/>
    </row>
    <row r="69" spans="1:71">
      <c r="A69" s="159" t="s">
        <v>83</v>
      </c>
      <c r="AV69" s="3"/>
      <c r="AW69" s="3"/>
      <c r="AX69" s="3"/>
      <c r="AY69" s="3"/>
      <c r="AZ69" s="178"/>
      <c r="BA69" s="3"/>
      <c r="BB69" s="3"/>
      <c r="BC69" s="3"/>
      <c r="BD69" s="3"/>
      <c r="BE69" s="3"/>
      <c r="BF69" s="178"/>
      <c r="BG69" s="178"/>
      <c r="BH69" s="178"/>
      <c r="BI69" s="178"/>
      <c r="BJ69" s="871"/>
      <c r="BK69" s="871"/>
      <c r="BL69" s="565"/>
      <c r="BM69" s="565"/>
      <c r="BN69" s="316"/>
      <c r="BQ69" s="152"/>
      <c r="BR69" s="320"/>
    </row>
    <row r="70" spans="1:71" ht="6" customHeight="1">
      <c r="A70" s="115"/>
      <c r="L70" s="826"/>
      <c r="M70" s="8"/>
      <c r="N70" s="8"/>
      <c r="O70" s="8"/>
      <c r="P70" s="8"/>
      <c r="Q70" s="8"/>
      <c r="R70" s="8"/>
      <c r="S70" s="8"/>
      <c r="T70" s="8"/>
      <c r="U70" s="8"/>
      <c r="V70" s="826"/>
      <c r="W70" s="8"/>
      <c r="X70" s="8"/>
      <c r="Y70" s="8"/>
      <c r="Z70" s="8"/>
      <c r="AA70" s="8"/>
      <c r="AB70" s="8"/>
      <c r="AC70" s="8"/>
      <c r="AD70" s="8"/>
      <c r="AE70" s="8"/>
      <c r="AF70" s="826"/>
      <c r="AG70" s="8"/>
      <c r="AH70" s="8"/>
      <c r="AI70" s="11"/>
      <c r="AJ70" s="11"/>
      <c r="AK70" s="11"/>
      <c r="AL70" s="6"/>
      <c r="AM70" s="23"/>
      <c r="AN70" s="23"/>
      <c r="AO70" s="23"/>
      <c r="AP70" s="180"/>
      <c r="AQ70" s="23"/>
      <c r="AR70" s="23"/>
      <c r="AS70" s="23"/>
      <c r="AT70" s="23"/>
      <c r="AU70" s="23"/>
      <c r="AV70" s="23"/>
      <c r="AW70" s="197"/>
      <c r="AX70" s="197"/>
      <c r="AY70" s="197"/>
      <c r="AZ70" s="535"/>
      <c r="BA70" s="309"/>
      <c r="BB70" s="316"/>
      <c r="BC70" s="296"/>
      <c r="BD70" s="535"/>
      <c r="BE70" s="535"/>
      <c r="BF70" s="535"/>
      <c r="BG70" s="535"/>
      <c r="BH70" s="535"/>
      <c r="BI70" s="535"/>
      <c r="BJ70" s="871"/>
      <c r="BK70" s="871"/>
      <c r="BL70" s="565"/>
      <c r="BM70" s="565"/>
      <c r="BN70" s="316"/>
      <c r="BQ70" s="152"/>
      <c r="BR70" s="320"/>
    </row>
    <row r="71" spans="1:71" ht="11.25" customHeight="1">
      <c r="A71" s="116" t="s">
        <v>38</v>
      </c>
      <c r="L71" s="826"/>
      <c r="M71" s="8"/>
      <c r="N71" s="8"/>
      <c r="O71" s="8"/>
      <c r="P71" s="8"/>
      <c r="Q71" s="8"/>
      <c r="R71" s="8"/>
      <c r="S71" s="8"/>
      <c r="T71" s="8"/>
      <c r="U71" s="8"/>
      <c r="V71" s="826"/>
      <c r="W71" s="8"/>
      <c r="X71" s="8"/>
      <c r="Y71" s="8"/>
      <c r="Z71" s="8"/>
      <c r="AA71" s="8"/>
      <c r="AB71" s="8"/>
      <c r="AC71" s="8"/>
      <c r="AD71" s="8"/>
      <c r="AE71" s="8"/>
      <c r="AF71" s="826"/>
      <c r="AG71" s="8"/>
      <c r="AH71" s="8"/>
      <c r="AI71" s="11"/>
      <c r="AJ71" s="11"/>
      <c r="AK71" s="11"/>
      <c r="AL71" s="6"/>
      <c r="AM71" s="23"/>
      <c r="AN71" s="23"/>
      <c r="AO71" s="87"/>
      <c r="AP71" s="224"/>
      <c r="AQ71" s="87"/>
      <c r="AR71" s="87"/>
      <c r="AS71" s="87"/>
      <c r="AT71" s="87"/>
      <c r="AU71" s="87"/>
      <c r="AV71" s="172"/>
      <c r="AW71" s="172"/>
      <c r="AX71" s="172"/>
      <c r="AY71" s="172"/>
      <c r="AZ71" s="544"/>
      <c r="BA71" s="308"/>
      <c r="BB71" s="314"/>
      <c r="BC71" s="294"/>
      <c r="BD71" s="544"/>
      <c r="BE71" s="544"/>
      <c r="BF71" s="544"/>
      <c r="BG71" s="544"/>
      <c r="BH71" s="544"/>
      <c r="BI71" s="544"/>
      <c r="BJ71" s="871"/>
      <c r="BK71" s="871"/>
      <c r="BL71" s="565"/>
      <c r="BM71" s="565"/>
      <c r="BN71" s="316"/>
      <c r="BQ71" s="152"/>
      <c r="BR71" s="320"/>
    </row>
    <row r="72" spans="1:71" ht="11.25" customHeight="1">
      <c r="A72" s="119" t="s">
        <v>120</v>
      </c>
      <c r="B72" s="593">
        <v>14</v>
      </c>
      <c r="C72" s="25">
        <v>15</v>
      </c>
      <c r="D72" s="25">
        <v>21</v>
      </c>
      <c r="E72" s="25">
        <v>24</v>
      </c>
      <c r="F72" s="25">
        <v>24</v>
      </c>
      <c r="G72" s="25">
        <v>24</v>
      </c>
      <c r="H72" s="25">
        <v>25</v>
      </c>
      <c r="I72" s="25">
        <v>27</v>
      </c>
      <c r="J72" s="25">
        <v>28</v>
      </c>
      <c r="K72" s="25">
        <v>32</v>
      </c>
      <c r="L72" s="826">
        <v>36</v>
      </c>
      <c r="M72" s="8">
        <v>30</v>
      </c>
      <c r="N72" s="8">
        <v>34</v>
      </c>
      <c r="O72" s="8">
        <v>41</v>
      </c>
      <c r="P72" s="8">
        <v>38</v>
      </c>
      <c r="Q72" s="8">
        <v>48</v>
      </c>
      <c r="R72" s="8">
        <v>57</v>
      </c>
      <c r="S72" s="8">
        <v>65</v>
      </c>
      <c r="T72" s="8">
        <v>71</v>
      </c>
      <c r="U72" s="8">
        <v>110</v>
      </c>
      <c r="V72" s="826">
        <v>123</v>
      </c>
      <c r="W72" s="8">
        <v>127</v>
      </c>
      <c r="X72" s="8">
        <v>115</v>
      </c>
      <c r="Y72" s="8">
        <v>118</v>
      </c>
      <c r="Z72" s="8">
        <v>118</v>
      </c>
      <c r="AA72" s="8">
        <v>120</v>
      </c>
      <c r="AB72" s="8">
        <v>127</v>
      </c>
      <c r="AC72" s="8">
        <v>127</v>
      </c>
      <c r="AD72" s="8">
        <v>136</v>
      </c>
      <c r="AE72" s="8">
        <v>148</v>
      </c>
      <c r="AF72" s="826">
        <v>156</v>
      </c>
      <c r="AG72" s="8">
        <v>150</v>
      </c>
      <c r="AH72" s="8">
        <v>158</v>
      </c>
      <c r="AI72" s="9">
        <v>156</v>
      </c>
      <c r="AJ72" s="9">
        <v>161</v>
      </c>
      <c r="AK72" s="9">
        <v>167</v>
      </c>
      <c r="AL72" s="9">
        <v>159</v>
      </c>
      <c r="AM72" s="33">
        <v>179</v>
      </c>
      <c r="AN72" s="33">
        <v>197</v>
      </c>
      <c r="AO72" s="53">
        <v>203</v>
      </c>
      <c r="AP72" s="844">
        <v>227</v>
      </c>
      <c r="AQ72" s="53">
        <v>262</v>
      </c>
      <c r="AR72" s="53">
        <v>247</v>
      </c>
      <c r="AS72" s="53">
        <v>248</v>
      </c>
      <c r="AT72" s="53">
        <v>254</v>
      </c>
      <c r="AU72" s="53">
        <v>248</v>
      </c>
      <c r="AV72" s="235">
        <v>258</v>
      </c>
      <c r="AW72" s="236">
        <v>261.24829157175395</v>
      </c>
      <c r="AX72" s="268">
        <v>271.72702027993603</v>
      </c>
      <c r="AY72" s="268">
        <v>293</v>
      </c>
      <c r="AZ72" s="268">
        <v>370</v>
      </c>
      <c r="BA72" s="360">
        <v>307</v>
      </c>
      <c r="BB72" s="305" t="s">
        <v>3</v>
      </c>
      <c r="BC72" s="305" t="s">
        <v>3</v>
      </c>
      <c r="BD72" s="370" t="s">
        <v>3</v>
      </c>
      <c r="BE72" s="370" t="s">
        <v>3</v>
      </c>
      <c r="BF72" s="370" t="s">
        <v>3</v>
      </c>
      <c r="BG72" s="370" t="s">
        <v>3</v>
      </c>
      <c r="BH72" s="370" t="s">
        <v>3</v>
      </c>
      <c r="BI72" s="370" t="s">
        <v>3</v>
      </c>
      <c r="BJ72" s="874" t="s">
        <v>10</v>
      </c>
      <c r="BK72" s="874" t="s">
        <v>10</v>
      </c>
      <c r="BL72" s="568" t="s">
        <v>10</v>
      </c>
      <c r="BM72" s="568" t="s">
        <v>10</v>
      </c>
      <c r="BN72" s="407"/>
      <c r="BQ72" s="152"/>
      <c r="BR72" s="320"/>
    </row>
    <row r="73" spans="1:71" ht="11.25" customHeight="1">
      <c r="A73" s="286" t="s">
        <v>108</v>
      </c>
      <c r="B73" s="227" t="s">
        <v>3</v>
      </c>
      <c r="C73" s="27" t="s">
        <v>3</v>
      </c>
      <c r="D73" s="27" t="s">
        <v>3</v>
      </c>
      <c r="E73" s="27" t="s">
        <v>3</v>
      </c>
      <c r="F73" s="27" t="s">
        <v>3</v>
      </c>
      <c r="G73" s="27" t="s">
        <v>3</v>
      </c>
      <c r="H73" s="27" t="s">
        <v>3</v>
      </c>
      <c r="I73" s="27" t="s">
        <v>3</v>
      </c>
      <c r="J73" s="27" t="s">
        <v>3</v>
      </c>
      <c r="K73" s="27" t="s">
        <v>3</v>
      </c>
      <c r="L73" s="227" t="s">
        <v>3</v>
      </c>
      <c r="M73" s="27" t="s">
        <v>3</v>
      </c>
      <c r="N73" s="27" t="s">
        <v>3</v>
      </c>
      <c r="O73" s="27" t="s">
        <v>3</v>
      </c>
      <c r="P73" s="27" t="s">
        <v>3</v>
      </c>
      <c r="Q73" s="27" t="s">
        <v>3</v>
      </c>
      <c r="R73" s="27" t="s">
        <v>3</v>
      </c>
      <c r="S73" s="27" t="s">
        <v>3</v>
      </c>
      <c r="T73" s="27" t="s">
        <v>3</v>
      </c>
      <c r="U73" s="27" t="s">
        <v>3</v>
      </c>
      <c r="V73" s="227" t="s">
        <v>3</v>
      </c>
      <c r="W73" s="27" t="s">
        <v>3</v>
      </c>
      <c r="X73" s="27" t="s">
        <v>3</v>
      </c>
      <c r="Y73" s="27" t="s">
        <v>3</v>
      </c>
      <c r="Z73" s="27" t="s">
        <v>3</v>
      </c>
      <c r="AA73" s="27" t="s">
        <v>3</v>
      </c>
      <c r="AB73" s="27" t="s">
        <v>3</v>
      </c>
      <c r="AC73" s="27" t="s">
        <v>3</v>
      </c>
      <c r="AD73" s="27" t="s">
        <v>3</v>
      </c>
      <c r="AE73" s="27" t="s">
        <v>3</v>
      </c>
      <c r="AF73" s="227" t="s">
        <v>3</v>
      </c>
      <c r="AG73" s="27" t="s">
        <v>3</v>
      </c>
      <c r="AH73" s="27" t="s">
        <v>3</v>
      </c>
      <c r="AI73" s="27" t="s">
        <v>3</v>
      </c>
      <c r="AJ73" s="27" t="s">
        <v>3</v>
      </c>
      <c r="AK73" s="27" t="s">
        <v>3</v>
      </c>
      <c r="AL73" s="27" t="s">
        <v>3</v>
      </c>
      <c r="AM73" s="27" t="s">
        <v>3</v>
      </c>
      <c r="AN73" s="27" t="s">
        <v>3</v>
      </c>
      <c r="AO73" s="27" t="s">
        <v>3</v>
      </c>
      <c r="AP73" s="227" t="s">
        <v>3</v>
      </c>
      <c r="AQ73" s="27" t="s">
        <v>3</v>
      </c>
      <c r="AR73" s="27" t="s">
        <v>3</v>
      </c>
      <c r="AS73" s="27" t="s">
        <v>3</v>
      </c>
      <c r="AT73" s="27" t="s">
        <v>3</v>
      </c>
      <c r="AU73" s="27" t="s">
        <v>3</v>
      </c>
      <c r="AV73" s="27" t="s">
        <v>3</v>
      </c>
      <c r="AW73" s="27" t="s">
        <v>3</v>
      </c>
      <c r="AX73" s="27" t="s">
        <v>3</v>
      </c>
      <c r="AY73" s="27" t="s">
        <v>3</v>
      </c>
      <c r="AZ73" s="227" t="s">
        <v>3</v>
      </c>
      <c r="BA73" s="305" t="s">
        <v>3</v>
      </c>
      <c r="BB73" s="335">
        <v>239</v>
      </c>
      <c r="BC73" s="335">
        <v>283</v>
      </c>
      <c r="BD73" s="305">
        <f>219+53</f>
        <v>272</v>
      </c>
      <c r="BE73" s="305">
        <f>224+54</f>
        <v>278</v>
      </c>
      <c r="BF73" s="305">
        <v>226</v>
      </c>
      <c r="BG73" s="305">
        <v>226</v>
      </c>
      <c r="BH73" s="305">
        <v>238</v>
      </c>
      <c r="BI73" s="305">
        <v>234</v>
      </c>
      <c r="BJ73" s="410">
        <f>(BH73-BG73)/BG73</f>
        <v>5.3097345132743362E-2</v>
      </c>
      <c r="BK73" s="410">
        <f>(BI73-BH73)/BH73</f>
        <v>-1.680672268907563E-2</v>
      </c>
      <c r="BL73" s="564">
        <f>BH73-BG73</f>
        <v>12</v>
      </c>
      <c r="BM73" s="564">
        <f>BI73-BH73</f>
        <v>-4</v>
      </c>
      <c r="BN73" s="348"/>
      <c r="BQ73" s="152"/>
      <c r="BR73" s="112"/>
      <c r="BS73" s="320"/>
    </row>
    <row r="74" spans="1:71" ht="11.25" customHeight="1">
      <c r="A74" s="119" t="s">
        <v>107</v>
      </c>
      <c r="B74" s="227" t="s">
        <v>3</v>
      </c>
      <c r="C74" s="27" t="s">
        <v>3</v>
      </c>
      <c r="D74" s="27" t="s">
        <v>3</v>
      </c>
      <c r="E74" s="27" t="s">
        <v>3</v>
      </c>
      <c r="F74" s="27" t="s">
        <v>3</v>
      </c>
      <c r="G74" s="27" t="s">
        <v>3</v>
      </c>
      <c r="H74" s="27" t="s">
        <v>3</v>
      </c>
      <c r="I74" s="27" t="s">
        <v>3</v>
      </c>
      <c r="J74" s="27" t="s">
        <v>3</v>
      </c>
      <c r="K74" s="27" t="s">
        <v>3</v>
      </c>
      <c r="L74" s="227" t="s">
        <v>3</v>
      </c>
      <c r="M74" s="27" t="s">
        <v>3</v>
      </c>
      <c r="N74" s="27" t="s">
        <v>3</v>
      </c>
      <c r="O74" s="27" t="s">
        <v>3</v>
      </c>
      <c r="P74" s="27" t="s">
        <v>3</v>
      </c>
      <c r="Q74" s="27" t="s">
        <v>3</v>
      </c>
      <c r="R74" s="27" t="s">
        <v>3</v>
      </c>
      <c r="S74" s="27" t="s">
        <v>3</v>
      </c>
      <c r="T74" s="27" t="s">
        <v>3</v>
      </c>
      <c r="U74" s="27" t="s">
        <v>3</v>
      </c>
      <c r="V74" s="227" t="s">
        <v>3</v>
      </c>
      <c r="W74" s="27" t="s">
        <v>3</v>
      </c>
      <c r="X74" s="27" t="s">
        <v>3</v>
      </c>
      <c r="Y74" s="27" t="s">
        <v>3</v>
      </c>
      <c r="Z74" s="27" t="s">
        <v>3</v>
      </c>
      <c r="AA74" s="27" t="s">
        <v>3</v>
      </c>
      <c r="AB74" s="27" t="s">
        <v>3</v>
      </c>
      <c r="AC74" s="27" t="s">
        <v>3</v>
      </c>
      <c r="AD74" s="27" t="s">
        <v>3</v>
      </c>
      <c r="AE74" s="27" t="s">
        <v>3</v>
      </c>
      <c r="AF74" s="227" t="s">
        <v>3</v>
      </c>
      <c r="AG74" s="27" t="s">
        <v>3</v>
      </c>
      <c r="AH74" s="27" t="s">
        <v>3</v>
      </c>
      <c r="AI74" s="27" t="s">
        <v>3</v>
      </c>
      <c r="AJ74" s="27" t="s">
        <v>3</v>
      </c>
      <c r="AK74" s="27" t="s">
        <v>3</v>
      </c>
      <c r="AL74" s="27" t="s">
        <v>3</v>
      </c>
      <c r="AM74" s="27" t="s">
        <v>3</v>
      </c>
      <c r="AN74" s="27" t="s">
        <v>3</v>
      </c>
      <c r="AO74" s="27" t="s">
        <v>3</v>
      </c>
      <c r="AP74" s="227" t="s">
        <v>3</v>
      </c>
      <c r="AQ74" s="27" t="s">
        <v>3</v>
      </c>
      <c r="AR74" s="27" t="s">
        <v>3</v>
      </c>
      <c r="AS74" s="27" t="s">
        <v>3</v>
      </c>
      <c r="AT74" s="27" t="s">
        <v>3</v>
      </c>
      <c r="AU74" s="27" t="s">
        <v>3</v>
      </c>
      <c r="AV74" s="27" t="s">
        <v>3</v>
      </c>
      <c r="AW74" s="27" t="s">
        <v>3</v>
      </c>
      <c r="AX74" s="27" t="s">
        <v>3</v>
      </c>
      <c r="AY74" s="27" t="s">
        <v>3</v>
      </c>
      <c r="AZ74" s="227" t="s">
        <v>3</v>
      </c>
      <c r="BA74" s="305" t="s">
        <v>3</v>
      </c>
      <c r="BB74" s="305">
        <v>93</v>
      </c>
      <c r="BC74" s="305">
        <v>106</v>
      </c>
      <c r="BD74" s="305">
        <v>98</v>
      </c>
      <c r="BE74" s="305">
        <v>106</v>
      </c>
      <c r="BF74" s="305">
        <v>101</v>
      </c>
      <c r="BG74" s="305">
        <v>97</v>
      </c>
      <c r="BH74" s="305">
        <v>94</v>
      </c>
      <c r="BI74" s="305">
        <v>87</v>
      </c>
      <c r="BJ74" s="410">
        <f>(BH74-BG74)/BG74</f>
        <v>-3.0927835051546393E-2</v>
      </c>
      <c r="BK74" s="410">
        <f>(BI74-BH74)/BH74</f>
        <v>-7.4468085106382975E-2</v>
      </c>
      <c r="BL74" s="564">
        <f>BH74-BG74</f>
        <v>-3</v>
      </c>
      <c r="BM74" s="564">
        <f>BI74-BH74</f>
        <v>-7</v>
      </c>
      <c r="BN74" s="348"/>
      <c r="BQ74" s="152"/>
      <c r="BR74" s="68"/>
    </row>
    <row r="75" spans="1:71" ht="11.25" customHeight="1">
      <c r="A75" s="119" t="s">
        <v>106</v>
      </c>
      <c r="B75" s="227" t="s">
        <v>3</v>
      </c>
      <c r="C75" s="27" t="s">
        <v>3</v>
      </c>
      <c r="D75" s="27" t="s">
        <v>3</v>
      </c>
      <c r="E75" s="27">
        <v>7</v>
      </c>
      <c r="F75" s="27">
        <v>8</v>
      </c>
      <c r="G75" s="27">
        <v>8</v>
      </c>
      <c r="H75" s="27">
        <v>8</v>
      </c>
      <c r="I75" s="27">
        <v>8</v>
      </c>
      <c r="J75" s="27">
        <v>8</v>
      </c>
      <c r="K75" s="27">
        <v>9</v>
      </c>
      <c r="L75" s="594">
        <v>12</v>
      </c>
      <c r="M75" s="12">
        <v>17</v>
      </c>
      <c r="N75" s="35">
        <v>22</v>
      </c>
      <c r="O75" s="12">
        <v>25</v>
      </c>
      <c r="P75" s="12">
        <v>24</v>
      </c>
      <c r="Q75" s="12">
        <v>29</v>
      </c>
      <c r="R75" s="12">
        <v>36</v>
      </c>
      <c r="S75" s="12">
        <v>50</v>
      </c>
      <c r="T75" s="12">
        <v>48</v>
      </c>
      <c r="U75" s="12">
        <v>51</v>
      </c>
      <c r="V75" s="594">
        <v>55</v>
      </c>
      <c r="W75" s="12">
        <v>57</v>
      </c>
      <c r="X75" s="12">
        <v>52</v>
      </c>
      <c r="Y75" s="12">
        <v>54</v>
      </c>
      <c r="Z75" s="12">
        <v>59</v>
      </c>
      <c r="AA75" s="12">
        <v>57</v>
      </c>
      <c r="AB75" s="12">
        <v>54</v>
      </c>
      <c r="AC75" s="12">
        <v>61</v>
      </c>
      <c r="AD75" s="12">
        <v>66</v>
      </c>
      <c r="AE75" s="12">
        <v>76</v>
      </c>
      <c r="AF75" s="594">
        <v>79</v>
      </c>
      <c r="AG75" s="12">
        <v>31</v>
      </c>
      <c r="AH75" s="12">
        <v>31</v>
      </c>
      <c r="AI75" s="12">
        <v>27</v>
      </c>
      <c r="AJ75" s="12">
        <v>27</v>
      </c>
      <c r="AK75" s="12">
        <v>31</v>
      </c>
      <c r="AL75" s="12">
        <v>2</v>
      </c>
      <c r="AM75" s="15" t="s">
        <v>3</v>
      </c>
      <c r="AN75" s="42" t="s">
        <v>3</v>
      </c>
      <c r="AO75" s="42" t="s">
        <v>3</v>
      </c>
      <c r="AP75" s="775" t="s">
        <v>3</v>
      </c>
      <c r="AQ75" s="42" t="s">
        <v>3</v>
      </c>
      <c r="AR75" s="42" t="s">
        <v>3</v>
      </c>
      <c r="AS75" s="42" t="s">
        <v>3</v>
      </c>
      <c r="AT75" s="42" t="s">
        <v>3</v>
      </c>
      <c r="AU75" s="42" t="s">
        <v>3</v>
      </c>
      <c r="AV75" s="153" t="s">
        <v>3</v>
      </c>
      <c r="AW75" s="153" t="s">
        <v>3</v>
      </c>
      <c r="AX75" s="153" t="s">
        <v>3</v>
      </c>
      <c r="AY75" s="153" t="s">
        <v>3</v>
      </c>
      <c r="AZ75" s="238" t="s">
        <v>3</v>
      </c>
      <c r="BA75" s="283" t="s">
        <v>3</v>
      </c>
      <c r="BB75" s="283" t="s">
        <v>3</v>
      </c>
      <c r="BC75" s="283" t="s">
        <v>3</v>
      </c>
      <c r="BD75" s="370" t="s">
        <v>3</v>
      </c>
      <c r="BE75" s="370" t="s">
        <v>3</v>
      </c>
      <c r="BF75" s="370" t="s">
        <v>3</v>
      </c>
      <c r="BG75" s="370" t="s">
        <v>3</v>
      </c>
      <c r="BH75" s="370" t="s">
        <v>3</v>
      </c>
      <c r="BI75" s="370" t="s">
        <v>3</v>
      </c>
      <c r="BJ75" s="874" t="s">
        <v>10</v>
      </c>
      <c r="BK75" s="874" t="s">
        <v>10</v>
      </c>
      <c r="BL75" s="886" t="s">
        <v>10</v>
      </c>
      <c r="BM75" s="886" t="s">
        <v>10</v>
      </c>
      <c r="BN75" s="309"/>
      <c r="BQ75" s="152"/>
      <c r="BR75" s="320"/>
    </row>
    <row r="76" spans="1:71" ht="11.25" customHeight="1">
      <c r="A76" s="119" t="s">
        <v>109</v>
      </c>
      <c r="B76" s="227" t="s">
        <v>3</v>
      </c>
      <c r="C76" s="27" t="s">
        <v>3</v>
      </c>
      <c r="D76" s="27" t="s">
        <v>3</v>
      </c>
      <c r="E76" s="27" t="s">
        <v>3</v>
      </c>
      <c r="F76" s="27" t="s">
        <v>3</v>
      </c>
      <c r="G76" s="27" t="s">
        <v>3</v>
      </c>
      <c r="H76" s="27" t="s">
        <v>3</v>
      </c>
      <c r="I76" s="27" t="s">
        <v>3</v>
      </c>
      <c r="J76" s="27" t="s">
        <v>3</v>
      </c>
      <c r="K76" s="27" t="s">
        <v>3</v>
      </c>
      <c r="L76" s="227" t="s">
        <v>3</v>
      </c>
      <c r="M76" s="27" t="s">
        <v>3</v>
      </c>
      <c r="N76" s="27" t="s">
        <v>3</v>
      </c>
      <c r="O76" s="27" t="s">
        <v>3</v>
      </c>
      <c r="P76" s="27" t="s">
        <v>3</v>
      </c>
      <c r="Q76" s="27" t="s">
        <v>3</v>
      </c>
      <c r="R76" s="27" t="s">
        <v>3</v>
      </c>
      <c r="S76" s="27" t="s">
        <v>3</v>
      </c>
      <c r="T76" s="27" t="s">
        <v>3</v>
      </c>
      <c r="U76" s="27" t="s">
        <v>3</v>
      </c>
      <c r="V76" s="227" t="s">
        <v>3</v>
      </c>
      <c r="W76" s="27" t="s">
        <v>3</v>
      </c>
      <c r="X76" s="27" t="s">
        <v>3</v>
      </c>
      <c r="Y76" s="27" t="s">
        <v>3</v>
      </c>
      <c r="Z76" s="27" t="s">
        <v>3</v>
      </c>
      <c r="AA76" s="27" t="s">
        <v>3</v>
      </c>
      <c r="AB76" s="27" t="s">
        <v>3</v>
      </c>
      <c r="AC76" s="27" t="s">
        <v>3</v>
      </c>
      <c r="AD76" s="27" t="s">
        <v>3</v>
      </c>
      <c r="AE76" s="27" t="s">
        <v>3</v>
      </c>
      <c r="AF76" s="227" t="s">
        <v>3</v>
      </c>
      <c r="AG76" s="12">
        <v>57</v>
      </c>
      <c r="AH76" s="12">
        <v>64</v>
      </c>
      <c r="AI76" s="12">
        <v>51</v>
      </c>
      <c r="AJ76" s="12">
        <v>64</v>
      </c>
      <c r="AK76" s="12">
        <v>65</v>
      </c>
      <c r="AL76" s="12">
        <v>63</v>
      </c>
      <c r="AM76" s="23">
        <v>73</v>
      </c>
      <c r="AN76" s="23">
        <v>80</v>
      </c>
      <c r="AO76" s="23">
        <v>92</v>
      </c>
      <c r="AP76" s="180">
        <v>99</v>
      </c>
      <c r="AQ76" s="23">
        <v>109</v>
      </c>
      <c r="AR76" s="23">
        <v>116</v>
      </c>
      <c r="AS76" s="23">
        <v>130</v>
      </c>
      <c r="AT76" s="23">
        <v>133</v>
      </c>
      <c r="AU76" s="23">
        <v>131</v>
      </c>
      <c r="AV76" s="152">
        <v>148</v>
      </c>
      <c r="AW76" s="152">
        <v>147</v>
      </c>
      <c r="AX76" s="152">
        <v>154</v>
      </c>
      <c r="AY76" s="152">
        <v>162</v>
      </c>
      <c r="AZ76" s="217">
        <v>170</v>
      </c>
      <c r="BA76" s="309">
        <v>168</v>
      </c>
      <c r="BB76" s="309">
        <v>170</v>
      </c>
      <c r="BC76" s="309">
        <v>184</v>
      </c>
      <c r="BD76" s="365">
        <v>183</v>
      </c>
      <c r="BE76" s="365">
        <v>191</v>
      </c>
      <c r="BF76" s="365">
        <v>190</v>
      </c>
      <c r="BG76" s="365">
        <v>194</v>
      </c>
      <c r="BH76" s="365">
        <v>173</v>
      </c>
      <c r="BI76" s="365">
        <v>199</v>
      </c>
      <c r="BJ76" s="410">
        <f t="shared" ref="BJ76:BK79" si="30">(BH76-BG76)/BG76</f>
        <v>-0.10824742268041238</v>
      </c>
      <c r="BK76" s="410">
        <f t="shared" si="30"/>
        <v>0.15028901734104047</v>
      </c>
      <c r="BL76" s="564">
        <f t="shared" ref="BL76:BM79" si="31">BH76-BG76</f>
        <v>-21</v>
      </c>
      <c r="BM76" s="564">
        <f t="shared" si="31"/>
        <v>26</v>
      </c>
      <c r="BN76" s="348"/>
      <c r="BQ76" s="152"/>
      <c r="BR76" s="320"/>
    </row>
    <row r="77" spans="1:71" ht="11.25" customHeight="1">
      <c r="A77" s="119" t="s">
        <v>110</v>
      </c>
      <c r="B77" s="593">
        <v>7</v>
      </c>
      <c r="C77" s="25">
        <v>7</v>
      </c>
      <c r="D77" s="30">
        <v>7</v>
      </c>
      <c r="E77" s="25">
        <v>8</v>
      </c>
      <c r="F77" s="25">
        <v>9</v>
      </c>
      <c r="G77" s="25">
        <v>9</v>
      </c>
      <c r="H77" s="25">
        <v>10</v>
      </c>
      <c r="I77" s="25">
        <v>10</v>
      </c>
      <c r="J77" s="25">
        <v>10</v>
      </c>
      <c r="K77" s="25">
        <v>11</v>
      </c>
      <c r="L77" s="594">
        <v>17</v>
      </c>
      <c r="M77" s="12">
        <v>41</v>
      </c>
      <c r="N77" s="35">
        <v>72</v>
      </c>
      <c r="O77" s="12">
        <v>56</v>
      </c>
      <c r="P77" s="12">
        <v>59</v>
      </c>
      <c r="Q77" s="12">
        <v>68</v>
      </c>
      <c r="R77" s="12">
        <v>84</v>
      </c>
      <c r="S77" s="12">
        <v>98</v>
      </c>
      <c r="T77" s="12">
        <v>109</v>
      </c>
      <c r="U77" s="12">
        <v>131</v>
      </c>
      <c r="V77" s="594">
        <v>142</v>
      </c>
      <c r="W77" s="12">
        <v>152</v>
      </c>
      <c r="X77" s="12">
        <v>139</v>
      </c>
      <c r="Y77" s="12">
        <v>151</v>
      </c>
      <c r="Z77" s="12">
        <v>150</v>
      </c>
      <c r="AA77" s="12">
        <v>151</v>
      </c>
      <c r="AB77" s="12">
        <v>147</v>
      </c>
      <c r="AC77" s="12">
        <v>147</v>
      </c>
      <c r="AD77" s="12">
        <v>164</v>
      </c>
      <c r="AE77" s="12">
        <v>163</v>
      </c>
      <c r="AF77" s="594">
        <v>171</v>
      </c>
      <c r="AG77" s="12">
        <v>163</v>
      </c>
      <c r="AH77" s="12">
        <v>185</v>
      </c>
      <c r="AI77" s="12">
        <v>188</v>
      </c>
      <c r="AJ77" s="12">
        <v>199</v>
      </c>
      <c r="AK77" s="12">
        <v>191</v>
      </c>
      <c r="AL77" s="12">
        <v>189</v>
      </c>
      <c r="AM77" s="23">
        <v>203</v>
      </c>
      <c r="AN77" s="23">
        <v>203</v>
      </c>
      <c r="AO77" s="49">
        <v>213</v>
      </c>
      <c r="AP77" s="776">
        <v>225</v>
      </c>
      <c r="AQ77" s="49">
        <v>262</v>
      </c>
      <c r="AR77" s="49">
        <v>254</v>
      </c>
      <c r="AS77" s="49">
        <v>266</v>
      </c>
      <c r="AT77" s="49">
        <v>268</v>
      </c>
      <c r="AU77" s="49">
        <v>282</v>
      </c>
      <c r="AV77" s="30">
        <v>290</v>
      </c>
      <c r="AW77" s="30">
        <v>299</v>
      </c>
      <c r="AX77" s="270">
        <v>346</v>
      </c>
      <c r="AY77" s="270">
        <v>349</v>
      </c>
      <c r="AZ77" s="270">
        <v>355</v>
      </c>
      <c r="BA77" s="358">
        <v>356</v>
      </c>
      <c r="BB77" s="358">
        <v>371</v>
      </c>
      <c r="BC77" s="358">
        <v>363</v>
      </c>
      <c r="BD77" s="358">
        <v>358</v>
      </c>
      <c r="BE77" s="358">
        <v>387</v>
      </c>
      <c r="BF77" s="358">
        <v>384</v>
      </c>
      <c r="BG77" s="358">
        <v>373</v>
      </c>
      <c r="BH77" s="358">
        <v>371</v>
      </c>
      <c r="BI77" s="358">
        <v>379</v>
      </c>
      <c r="BJ77" s="410">
        <f t="shared" si="30"/>
        <v>-5.3619302949061663E-3</v>
      </c>
      <c r="BK77" s="410">
        <f t="shared" si="30"/>
        <v>2.15633423180593E-2</v>
      </c>
      <c r="BL77" s="564">
        <f t="shared" si="31"/>
        <v>-2</v>
      </c>
      <c r="BM77" s="564">
        <f t="shared" si="31"/>
        <v>8</v>
      </c>
      <c r="BN77" s="348"/>
      <c r="BQ77" s="152"/>
      <c r="BR77" s="320"/>
    </row>
    <row r="78" spans="1:71" ht="11.25" customHeight="1">
      <c r="A78" s="115" t="s">
        <v>17</v>
      </c>
      <c r="B78" s="802" t="s">
        <v>3</v>
      </c>
      <c r="C78" s="41" t="s">
        <v>3</v>
      </c>
      <c r="D78" s="41" t="s">
        <v>3</v>
      </c>
      <c r="E78" s="41" t="s">
        <v>3</v>
      </c>
      <c r="F78" s="41" t="s">
        <v>3</v>
      </c>
      <c r="G78" s="41" t="s">
        <v>3</v>
      </c>
      <c r="H78" s="41" t="s">
        <v>3</v>
      </c>
      <c r="I78" s="41" t="s">
        <v>3</v>
      </c>
      <c r="J78" s="41" t="s">
        <v>3</v>
      </c>
      <c r="K78" s="41" t="s">
        <v>3</v>
      </c>
      <c r="L78" s="802" t="s">
        <v>3</v>
      </c>
      <c r="M78" s="41" t="s">
        <v>3</v>
      </c>
      <c r="N78" s="41" t="s">
        <v>3</v>
      </c>
      <c r="O78" s="14">
        <v>37</v>
      </c>
      <c r="P78" s="14">
        <v>69</v>
      </c>
      <c r="Q78" s="14">
        <v>91</v>
      </c>
      <c r="R78" s="14">
        <v>109</v>
      </c>
      <c r="S78" s="14">
        <v>127</v>
      </c>
      <c r="T78" s="14">
        <v>148</v>
      </c>
      <c r="U78" s="14">
        <v>157</v>
      </c>
      <c r="V78" s="680">
        <v>180</v>
      </c>
      <c r="W78" s="14">
        <v>199</v>
      </c>
      <c r="X78" s="14">
        <v>196</v>
      </c>
      <c r="Y78" s="14">
        <v>200</v>
      </c>
      <c r="Z78" s="14">
        <v>207</v>
      </c>
      <c r="AA78" s="14">
        <v>210</v>
      </c>
      <c r="AB78" s="14">
        <v>212</v>
      </c>
      <c r="AC78" s="14">
        <v>215</v>
      </c>
      <c r="AD78" s="14">
        <v>226</v>
      </c>
      <c r="AE78" s="14">
        <v>240</v>
      </c>
      <c r="AF78" s="680">
        <v>275</v>
      </c>
      <c r="AG78" s="14">
        <v>264</v>
      </c>
      <c r="AH78" s="14">
        <v>306</v>
      </c>
      <c r="AI78" s="14">
        <v>282</v>
      </c>
      <c r="AJ78" s="14">
        <v>296</v>
      </c>
      <c r="AK78" s="14">
        <v>295</v>
      </c>
      <c r="AL78" s="14">
        <v>290</v>
      </c>
      <c r="AM78" s="36">
        <v>322</v>
      </c>
      <c r="AN78" s="36">
        <v>341</v>
      </c>
      <c r="AO78" s="38">
        <v>351</v>
      </c>
      <c r="AP78" s="681">
        <v>370</v>
      </c>
      <c r="AQ78" s="38">
        <v>413</v>
      </c>
      <c r="AR78" s="38">
        <v>437</v>
      </c>
      <c r="AS78" s="38">
        <v>465</v>
      </c>
      <c r="AT78" s="38">
        <v>470</v>
      </c>
      <c r="AU78" s="38">
        <v>456</v>
      </c>
      <c r="AV78" s="210">
        <v>473</v>
      </c>
      <c r="AW78" s="95">
        <v>473</v>
      </c>
      <c r="AX78" s="269">
        <v>494</v>
      </c>
      <c r="AY78" s="269">
        <v>507</v>
      </c>
      <c r="AZ78" s="269">
        <v>533</v>
      </c>
      <c r="BA78" s="361">
        <v>565</v>
      </c>
      <c r="BB78" s="361">
        <v>558</v>
      </c>
      <c r="BC78" s="361">
        <v>557</v>
      </c>
      <c r="BD78" s="361">
        <v>553</v>
      </c>
      <c r="BE78" s="361">
        <v>558</v>
      </c>
      <c r="BF78" s="361">
        <v>561</v>
      </c>
      <c r="BG78" s="361">
        <v>558</v>
      </c>
      <c r="BH78" s="361">
        <v>530</v>
      </c>
      <c r="BI78" s="361">
        <v>552</v>
      </c>
      <c r="BJ78" s="410">
        <f t="shared" si="30"/>
        <v>-5.0179211469534052E-2</v>
      </c>
      <c r="BK78" s="410">
        <f t="shared" si="30"/>
        <v>4.1509433962264149E-2</v>
      </c>
      <c r="BL78" s="564">
        <f t="shared" si="31"/>
        <v>-28</v>
      </c>
      <c r="BM78" s="564">
        <f t="shared" si="31"/>
        <v>22</v>
      </c>
      <c r="BN78" s="348"/>
      <c r="BQ78" s="152"/>
      <c r="BR78" s="320"/>
    </row>
    <row r="79" spans="1:71" ht="11.25" customHeight="1">
      <c r="A79" s="118" t="s">
        <v>31</v>
      </c>
      <c r="B79" s="394">
        <f>SUM(B72:B78)</f>
        <v>21</v>
      </c>
      <c r="C79" s="127">
        <f t="shared" ref="C79:Q79" si="32">SUM(C72:C78)</f>
        <v>22</v>
      </c>
      <c r="D79" s="127">
        <f t="shared" si="32"/>
        <v>28</v>
      </c>
      <c r="E79" s="127">
        <f>SUM(E72:E78)</f>
        <v>39</v>
      </c>
      <c r="F79" s="127">
        <f t="shared" si="32"/>
        <v>41</v>
      </c>
      <c r="G79" s="127">
        <f t="shared" si="32"/>
        <v>41</v>
      </c>
      <c r="H79" s="127">
        <f t="shared" si="32"/>
        <v>43</v>
      </c>
      <c r="I79" s="127">
        <f t="shared" si="32"/>
        <v>45</v>
      </c>
      <c r="J79" s="127">
        <f t="shared" si="32"/>
        <v>46</v>
      </c>
      <c r="K79" s="127">
        <f t="shared" si="32"/>
        <v>52</v>
      </c>
      <c r="L79" s="394">
        <f t="shared" si="32"/>
        <v>65</v>
      </c>
      <c r="M79" s="127">
        <f t="shared" si="32"/>
        <v>88</v>
      </c>
      <c r="N79" s="127">
        <f t="shared" si="32"/>
        <v>128</v>
      </c>
      <c r="O79" s="127">
        <f t="shared" si="32"/>
        <v>159</v>
      </c>
      <c r="P79" s="127">
        <f t="shared" si="32"/>
        <v>190</v>
      </c>
      <c r="Q79" s="127">
        <f t="shared" si="32"/>
        <v>236</v>
      </c>
      <c r="R79" s="127">
        <f>SUM(R72:R78)</f>
        <v>286</v>
      </c>
      <c r="S79" s="127">
        <f>SUM(S72:S78)</f>
        <v>340</v>
      </c>
      <c r="T79" s="127">
        <f>SUM(T72:T78)</f>
        <v>376</v>
      </c>
      <c r="U79" s="127">
        <f>SUM(U72:U78)</f>
        <v>449</v>
      </c>
      <c r="V79" s="394">
        <f t="shared" ref="V79:AE79" si="33">SUM(V72:V78)</f>
        <v>500</v>
      </c>
      <c r="W79" s="127">
        <f t="shared" si="33"/>
        <v>535</v>
      </c>
      <c r="X79" s="127">
        <f t="shared" si="33"/>
        <v>502</v>
      </c>
      <c r="Y79" s="127">
        <f t="shared" si="33"/>
        <v>523</v>
      </c>
      <c r="Z79" s="127">
        <f t="shared" si="33"/>
        <v>534</v>
      </c>
      <c r="AA79" s="127">
        <f t="shared" si="33"/>
        <v>538</v>
      </c>
      <c r="AB79" s="127">
        <f t="shared" si="33"/>
        <v>540</v>
      </c>
      <c r="AC79" s="127">
        <f t="shared" si="33"/>
        <v>550</v>
      </c>
      <c r="AD79" s="127">
        <f t="shared" si="33"/>
        <v>592</v>
      </c>
      <c r="AE79" s="127">
        <f t="shared" si="33"/>
        <v>627</v>
      </c>
      <c r="AF79" s="394">
        <f t="shared" ref="AF79:AN79" si="34">SUM(AF72:AF78)</f>
        <v>681</v>
      </c>
      <c r="AG79" s="127">
        <f t="shared" si="34"/>
        <v>665</v>
      </c>
      <c r="AH79" s="127">
        <f t="shared" si="34"/>
        <v>744</v>
      </c>
      <c r="AI79" s="127">
        <f t="shared" si="34"/>
        <v>704</v>
      </c>
      <c r="AJ79" s="127">
        <f t="shared" si="34"/>
        <v>747</v>
      </c>
      <c r="AK79" s="127">
        <f t="shared" si="34"/>
        <v>749</v>
      </c>
      <c r="AL79" s="127">
        <f t="shared" si="34"/>
        <v>703</v>
      </c>
      <c r="AM79" s="127">
        <f t="shared" si="34"/>
        <v>777</v>
      </c>
      <c r="AN79" s="127">
        <f t="shared" si="34"/>
        <v>821</v>
      </c>
      <c r="AO79" s="127">
        <f t="shared" ref="AO79:BA79" si="35">SUM(AO72:AO78)</f>
        <v>859</v>
      </c>
      <c r="AP79" s="394">
        <f t="shared" si="35"/>
        <v>921</v>
      </c>
      <c r="AQ79" s="127">
        <f t="shared" si="35"/>
        <v>1046</v>
      </c>
      <c r="AR79" s="127">
        <f t="shared" si="35"/>
        <v>1054</v>
      </c>
      <c r="AS79" s="127">
        <f t="shared" si="35"/>
        <v>1109</v>
      </c>
      <c r="AT79" s="127">
        <f t="shared" si="35"/>
        <v>1125</v>
      </c>
      <c r="AU79" s="127">
        <f>SUM(AU72:AU78)</f>
        <v>1117</v>
      </c>
      <c r="AV79" s="205">
        <f>SUM(AV72:AV78)</f>
        <v>1169</v>
      </c>
      <c r="AW79" s="205">
        <f>SUM(AW72:AW78)</f>
        <v>1180.248291571754</v>
      </c>
      <c r="AX79" s="205">
        <f>SUM(AX72:AX78)</f>
        <v>1265.7270202799359</v>
      </c>
      <c r="AY79" s="205">
        <f t="shared" si="35"/>
        <v>1311</v>
      </c>
      <c r="AZ79" s="395">
        <f t="shared" si="35"/>
        <v>1428</v>
      </c>
      <c r="BA79" s="350">
        <f t="shared" si="35"/>
        <v>1396</v>
      </c>
      <c r="BB79" s="350">
        <f t="shared" ref="BB79:BG79" si="36">SUM(BB72:BB78)</f>
        <v>1431</v>
      </c>
      <c r="BC79" s="350">
        <f t="shared" si="36"/>
        <v>1493</v>
      </c>
      <c r="BD79" s="396">
        <f t="shared" si="36"/>
        <v>1464</v>
      </c>
      <c r="BE79" s="396">
        <f t="shared" si="36"/>
        <v>1520</v>
      </c>
      <c r="BF79" s="396">
        <f t="shared" si="36"/>
        <v>1462</v>
      </c>
      <c r="BG79" s="396">
        <f t="shared" si="36"/>
        <v>1448</v>
      </c>
      <c r="BH79" s="396">
        <f t="shared" ref="BH79:BI79" si="37">SUM(BH72:BH78)</f>
        <v>1406</v>
      </c>
      <c r="BI79" s="396">
        <f t="shared" si="37"/>
        <v>1451</v>
      </c>
      <c r="BJ79" s="872">
        <f t="shared" si="30"/>
        <v>-2.9005524861878452E-2</v>
      </c>
      <c r="BK79" s="872">
        <f t="shared" si="30"/>
        <v>3.2005689900426744E-2</v>
      </c>
      <c r="BL79" s="567">
        <f t="shared" si="31"/>
        <v>-42</v>
      </c>
      <c r="BM79" s="567">
        <f t="shared" si="31"/>
        <v>45</v>
      </c>
      <c r="BN79" s="349"/>
      <c r="BQ79" s="152"/>
      <c r="BR79" s="320"/>
    </row>
    <row r="80" spans="1:71" ht="6" customHeight="1">
      <c r="A80" s="115"/>
      <c r="G80" s="9"/>
      <c r="I80" s="9"/>
      <c r="L80" s="596"/>
      <c r="M80" s="11"/>
      <c r="N80" s="11"/>
      <c r="O80" s="11"/>
      <c r="P80" s="11"/>
      <c r="Q80" s="11"/>
      <c r="R80" s="11"/>
      <c r="S80" s="11"/>
      <c r="T80" s="11"/>
      <c r="U80" s="11"/>
      <c r="V80" s="596"/>
      <c r="W80" s="11"/>
      <c r="X80" s="11"/>
      <c r="Y80" s="11"/>
      <c r="Z80" s="11"/>
      <c r="AA80" s="11"/>
      <c r="AB80" s="11"/>
      <c r="AC80" s="11"/>
      <c r="AD80" s="11"/>
      <c r="AE80" s="11"/>
      <c r="AF80" s="596"/>
      <c r="AG80" s="11"/>
      <c r="AH80" s="11"/>
      <c r="AI80" s="11"/>
      <c r="AJ80" s="11"/>
      <c r="AK80" s="11"/>
      <c r="AL80" s="6"/>
      <c r="AM80" s="23"/>
      <c r="AN80" s="23"/>
      <c r="AO80" s="23"/>
      <c r="AP80" s="180"/>
      <c r="AQ80" s="23"/>
      <c r="AR80" s="23"/>
      <c r="AS80" s="23"/>
      <c r="AT80" s="23"/>
      <c r="AU80" s="23"/>
      <c r="AV80" s="152"/>
      <c r="AW80" s="152"/>
      <c r="AX80" s="152"/>
      <c r="AY80" s="152"/>
      <c r="AZ80" s="535"/>
      <c r="BA80" s="309"/>
      <c r="BB80" s="316"/>
      <c r="BC80" s="296"/>
      <c r="BD80" s="535"/>
      <c r="BE80" s="535"/>
      <c r="BF80" s="535"/>
      <c r="BG80" s="535"/>
      <c r="BH80" s="535"/>
      <c r="BI80" s="535"/>
      <c r="BJ80" s="871"/>
      <c r="BK80" s="871"/>
      <c r="BL80" s="565"/>
      <c r="BM80" s="565"/>
      <c r="BN80" s="316"/>
      <c r="BQ80" s="152"/>
      <c r="BR80" s="320"/>
    </row>
    <row r="81" spans="1:70" ht="11.25" customHeight="1">
      <c r="A81" s="119" t="s">
        <v>103</v>
      </c>
      <c r="B81" s="535"/>
      <c r="C81" s="535"/>
      <c r="D81" s="535"/>
      <c r="E81" s="535"/>
      <c r="F81" s="535"/>
      <c r="G81" s="535"/>
      <c r="H81" s="535"/>
      <c r="I81" s="535"/>
      <c r="J81" s="535"/>
      <c r="K81" s="535"/>
      <c r="L81" s="535"/>
      <c r="M81" s="535"/>
      <c r="N81" s="535"/>
      <c r="O81" s="535"/>
      <c r="P81" s="535"/>
      <c r="Q81" s="535"/>
      <c r="R81" s="535"/>
      <c r="S81" s="535"/>
      <c r="T81" s="535"/>
      <c r="U81" s="535"/>
      <c r="V81" s="535"/>
      <c r="W81" s="535"/>
      <c r="X81" s="535"/>
      <c r="Y81" s="535"/>
      <c r="Z81" s="535"/>
      <c r="AA81" s="535"/>
      <c r="AB81" s="535"/>
      <c r="AC81" s="535"/>
      <c r="AD81" s="535"/>
      <c r="AE81" s="535"/>
      <c r="AF81" s="535"/>
      <c r="AG81" s="535"/>
      <c r="AH81" s="535"/>
      <c r="AI81" s="535"/>
      <c r="AJ81" s="535"/>
      <c r="AK81" s="535"/>
      <c r="AL81" s="535"/>
      <c r="AM81" s="535"/>
      <c r="AN81" s="535"/>
      <c r="AO81" s="535"/>
      <c r="AP81" s="535"/>
      <c r="AQ81" s="535"/>
      <c r="AR81" s="535"/>
      <c r="AS81" s="535"/>
      <c r="AT81" s="535"/>
      <c r="AU81" s="535"/>
      <c r="AV81" s="535"/>
      <c r="AW81" s="535"/>
      <c r="AX81" s="535"/>
      <c r="AY81" s="535"/>
      <c r="AZ81" s="535"/>
      <c r="BA81" s="535"/>
      <c r="BB81" s="535"/>
      <c r="BC81" s="535"/>
      <c r="BD81" s="535"/>
      <c r="BE81" s="535"/>
      <c r="BF81" s="535"/>
      <c r="BG81" s="535"/>
      <c r="BH81" s="535"/>
      <c r="BI81" s="535"/>
      <c r="BJ81" s="871"/>
      <c r="BK81" s="871"/>
      <c r="BL81" s="565"/>
      <c r="BM81" s="565"/>
      <c r="BN81" s="316"/>
      <c r="BQ81" s="152"/>
      <c r="BR81" s="320"/>
    </row>
    <row r="82" spans="1:70" ht="11.25" customHeight="1">
      <c r="A82" s="119" t="s">
        <v>104</v>
      </c>
      <c r="B82" s="276" t="s">
        <v>3</v>
      </c>
      <c r="C82" s="40" t="s">
        <v>3</v>
      </c>
      <c r="D82" s="40" t="s">
        <v>3</v>
      </c>
      <c r="E82" s="40" t="s">
        <v>3</v>
      </c>
      <c r="F82" s="40" t="s">
        <v>3</v>
      </c>
      <c r="G82" s="40" t="s">
        <v>3</v>
      </c>
      <c r="H82" s="40" t="s">
        <v>3</v>
      </c>
      <c r="I82" s="40" t="s">
        <v>3</v>
      </c>
      <c r="J82" s="40" t="s">
        <v>3</v>
      </c>
      <c r="K82" s="40" t="s">
        <v>3</v>
      </c>
      <c r="L82" s="276" t="s">
        <v>3</v>
      </c>
      <c r="M82" s="40" t="s">
        <v>3</v>
      </c>
      <c r="N82" s="40" t="s">
        <v>3</v>
      </c>
      <c r="O82" s="40" t="s">
        <v>3</v>
      </c>
      <c r="P82" s="40" t="s">
        <v>3</v>
      </c>
      <c r="Q82" s="40" t="s">
        <v>3</v>
      </c>
      <c r="R82" s="40" t="s">
        <v>3</v>
      </c>
      <c r="S82" s="40" t="s">
        <v>3</v>
      </c>
      <c r="T82" s="40" t="s">
        <v>3</v>
      </c>
      <c r="U82" s="40" t="s">
        <v>3</v>
      </c>
      <c r="V82" s="276" t="s">
        <v>3</v>
      </c>
      <c r="W82" s="40" t="s">
        <v>3</v>
      </c>
      <c r="X82" s="40" t="s">
        <v>3</v>
      </c>
      <c r="Y82" s="40" t="s">
        <v>3</v>
      </c>
      <c r="Z82" s="40" t="s">
        <v>3</v>
      </c>
      <c r="AA82" s="40" t="s">
        <v>3</v>
      </c>
      <c r="AB82" s="40" t="s">
        <v>3</v>
      </c>
      <c r="AC82" s="40" t="s">
        <v>3</v>
      </c>
      <c r="AD82" s="40" t="s">
        <v>3</v>
      </c>
      <c r="AE82" s="40" t="s">
        <v>3</v>
      </c>
      <c r="AF82" s="276" t="s">
        <v>3</v>
      </c>
      <c r="AG82" s="40" t="s">
        <v>3</v>
      </c>
      <c r="AH82" s="40" t="s">
        <v>3</v>
      </c>
      <c r="AI82" s="40" t="s">
        <v>3</v>
      </c>
      <c r="AJ82" s="40" t="s">
        <v>3</v>
      </c>
      <c r="AK82" s="40" t="s">
        <v>3</v>
      </c>
      <c r="AL82" s="6">
        <v>5</v>
      </c>
      <c r="AM82" s="23">
        <v>5</v>
      </c>
      <c r="AN82" s="23">
        <v>5</v>
      </c>
      <c r="AO82" s="23">
        <v>6</v>
      </c>
      <c r="AP82" s="180">
        <v>7</v>
      </c>
      <c r="AQ82" s="23">
        <v>7</v>
      </c>
      <c r="AR82" s="23">
        <v>8</v>
      </c>
      <c r="AS82" s="23">
        <v>9</v>
      </c>
      <c r="AT82" s="23">
        <v>9</v>
      </c>
      <c r="AU82" s="23">
        <v>9</v>
      </c>
      <c r="AV82" s="152">
        <v>9</v>
      </c>
      <c r="AW82" s="152">
        <v>7</v>
      </c>
      <c r="AX82" s="152">
        <v>8</v>
      </c>
      <c r="AY82" s="152">
        <v>8</v>
      </c>
      <c r="AZ82" s="217">
        <v>8</v>
      </c>
      <c r="BA82" s="309">
        <v>8</v>
      </c>
      <c r="BB82" s="309">
        <v>8</v>
      </c>
      <c r="BC82" s="309">
        <v>8</v>
      </c>
      <c r="BD82" s="365">
        <v>8</v>
      </c>
      <c r="BE82" s="365">
        <v>8</v>
      </c>
      <c r="BF82" s="365">
        <v>9</v>
      </c>
      <c r="BG82" s="365">
        <v>9</v>
      </c>
      <c r="BH82" s="365">
        <v>10</v>
      </c>
      <c r="BI82" s="365">
        <v>9</v>
      </c>
      <c r="BJ82" s="410">
        <f>(BH82-BG82)/BG82</f>
        <v>0.1111111111111111</v>
      </c>
      <c r="BK82" s="410">
        <f>(BI82-BH82)/BH82</f>
        <v>-0.1</v>
      </c>
      <c r="BL82" s="564">
        <f>BH82-BG82</f>
        <v>1</v>
      </c>
      <c r="BM82" s="564">
        <f>BI82-BH82</f>
        <v>-1</v>
      </c>
      <c r="BN82" s="348"/>
      <c r="BQ82" s="152"/>
      <c r="BR82" s="320"/>
    </row>
    <row r="83" spans="1:70" ht="6.75" customHeight="1">
      <c r="A83" s="115"/>
      <c r="G83" s="9"/>
      <c r="I83" s="9"/>
      <c r="L83" s="596"/>
      <c r="M83" s="11"/>
      <c r="N83" s="11"/>
      <c r="O83" s="11"/>
      <c r="P83" s="11"/>
      <c r="Q83" s="11"/>
      <c r="R83" s="11"/>
      <c r="S83" s="11"/>
      <c r="T83" s="11"/>
      <c r="U83" s="11"/>
      <c r="V83" s="596"/>
      <c r="W83" s="11"/>
      <c r="X83" s="11"/>
      <c r="Y83" s="11"/>
      <c r="Z83" s="11"/>
      <c r="AA83" s="11"/>
      <c r="AB83" s="11"/>
      <c r="AC83" s="11"/>
      <c r="AD83" s="11"/>
      <c r="AE83" s="11"/>
      <c r="AF83" s="596"/>
      <c r="AG83" s="11"/>
      <c r="AH83" s="11"/>
      <c r="AI83" s="11"/>
      <c r="AJ83" s="11"/>
      <c r="AK83" s="11"/>
      <c r="AL83" s="6"/>
      <c r="AM83" s="23"/>
      <c r="AN83" s="23"/>
      <c r="AO83" s="23"/>
      <c r="AP83" s="180"/>
      <c r="AQ83" s="23"/>
      <c r="AR83" s="23"/>
      <c r="AS83" s="23"/>
      <c r="AT83" s="23"/>
      <c r="AU83" s="23"/>
      <c r="AV83" s="152"/>
      <c r="AW83" s="152"/>
      <c r="AX83" s="152"/>
      <c r="AY83" s="152"/>
      <c r="AZ83" s="535"/>
      <c r="BA83" s="309"/>
      <c r="BB83" s="309"/>
      <c r="BC83" s="296"/>
      <c r="BD83" s="535"/>
      <c r="BE83" s="535"/>
      <c r="BF83" s="535"/>
      <c r="BG83" s="535"/>
      <c r="BH83" s="535"/>
      <c r="BI83" s="535"/>
      <c r="BJ83" s="410"/>
      <c r="BK83" s="410"/>
      <c r="BL83" s="566"/>
      <c r="BM83" s="566"/>
      <c r="BN83" s="316"/>
      <c r="BQ83" s="152"/>
      <c r="BR83" s="320"/>
    </row>
    <row r="84" spans="1:70" ht="11.25" customHeight="1">
      <c r="A84" s="119" t="s">
        <v>125</v>
      </c>
      <c r="B84" s="227" t="s">
        <v>3</v>
      </c>
      <c r="C84" s="27" t="s">
        <v>3</v>
      </c>
      <c r="D84" s="27" t="s">
        <v>3</v>
      </c>
      <c r="E84" s="27" t="s">
        <v>3</v>
      </c>
      <c r="F84" s="27" t="s">
        <v>3</v>
      </c>
      <c r="G84" s="27" t="s">
        <v>3</v>
      </c>
      <c r="H84" s="27" t="s">
        <v>3</v>
      </c>
      <c r="I84" s="27" t="s">
        <v>3</v>
      </c>
      <c r="J84" s="27" t="s">
        <v>3</v>
      </c>
      <c r="K84" s="27" t="s">
        <v>3</v>
      </c>
      <c r="L84" s="227" t="s">
        <v>3</v>
      </c>
      <c r="M84" s="27" t="s">
        <v>3</v>
      </c>
      <c r="N84" s="27" t="s">
        <v>3</v>
      </c>
      <c r="O84" s="27" t="s">
        <v>3</v>
      </c>
      <c r="P84" s="27" t="s">
        <v>3</v>
      </c>
      <c r="Q84" s="27" t="s">
        <v>3</v>
      </c>
      <c r="R84" s="27" t="s">
        <v>3</v>
      </c>
      <c r="S84" s="27" t="s">
        <v>3</v>
      </c>
      <c r="T84" s="27" t="s">
        <v>3</v>
      </c>
      <c r="U84" s="27" t="s">
        <v>3</v>
      </c>
      <c r="V84" s="227" t="s">
        <v>3</v>
      </c>
      <c r="W84" s="27" t="s">
        <v>3</v>
      </c>
      <c r="X84" s="12">
        <v>2</v>
      </c>
      <c r="Y84" s="12">
        <v>2</v>
      </c>
      <c r="Z84" s="12">
        <v>2</v>
      </c>
      <c r="AA84" s="12">
        <v>2</v>
      </c>
      <c r="AB84" s="12">
        <v>2</v>
      </c>
      <c r="AC84" s="12">
        <v>2</v>
      </c>
      <c r="AD84" s="12">
        <v>2</v>
      </c>
      <c r="AE84" s="12">
        <v>2</v>
      </c>
      <c r="AF84" s="594">
        <v>2</v>
      </c>
      <c r="AG84" s="12">
        <v>3</v>
      </c>
      <c r="AH84" s="12">
        <v>3</v>
      </c>
      <c r="AI84" s="12">
        <v>3</v>
      </c>
      <c r="AJ84" s="12">
        <v>3</v>
      </c>
      <c r="AK84" s="12">
        <v>3</v>
      </c>
      <c r="AL84" s="12">
        <v>3</v>
      </c>
      <c r="AM84" s="23">
        <v>5</v>
      </c>
      <c r="AN84" s="23">
        <v>4</v>
      </c>
      <c r="AO84" s="23">
        <v>4</v>
      </c>
      <c r="AP84" s="180">
        <v>4</v>
      </c>
      <c r="AQ84" s="23">
        <v>5</v>
      </c>
      <c r="AR84" s="23">
        <v>6</v>
      </c>
      <c r="AS84" s="23">
        <v>6</v>
      </c>
      <c r="AT84" s="23">
        <v>6</v>
      </c>
      <c r="AU84" s="23">
        <v>6</v>
      </c>
      <c r="AV84" s="152">
        <v>5</v>
      </c>
      <c r="AW84" s="152">
        <v>6</v>
      </c>
      <c r="AX84" s="152">
        <v>6</v>
      </c>
      <c r="AY84" s="152">
        <v>7</v>
      </c>
      <c r="AZ84" s="217">
        <v>7</v>
      </c>
      <c r="BA84" s="309">
        <v>7</v>
      </c>
      <c r="BB84" s="309">
        <v>7</v>
      </c>
      <c r="BC84" s="309">
        <v>7</v>
      </c>
      <c r="BD84" s="365">
        <v>7</v>
      </c>
      <c r="BE84" s="365">
        <v>7</v>
      </c>
      <c r="BF84" s="365">
        <v>8</v>
      </c>
      <c r="BG84" s="365">
        <v>8</v>
      </c>
      <c r="BH84" s="365">
        <v>8</v>
      </c>
      <c r="BI84" s="365">
        <v>8</v>
      </c>
      <c r="BJ84" s="410">
        <f>(BH84-BG84)/BG84</f>
        <v>0</v>
      </c>
      <c r="BK84" s="410">
        <f>(BI84-BH84)/BH84</f>
        <v>0</v>
      </c>
      <c r="BL84" s="564">
        <f>BH84-BG84</f>
        <v>0</v>
      </c>
      <c r="BM84" s="564">
        <f>BI84-BH84</f>
        <v>0</v>
      </c>
      <c r="BN84" s="348"/>
      <c r="BQ84" s="152"/>
      <c r="BR84" s="320"/>
    </row>
    <row r="85" spans="1:70" ht="6" customHeight="1">
      <c r="A85" s="115"/>
      <c r="L85" s="596"/>
      <c r="M85" s="11"/>
      <c r="N85" s="11"/>
      <c r="O85" s="11"/>
      <c r="P85" s="11"/>
      <c r="Q85" s="11"/>
      <c r="R85" s="11"/>
      <c r="S85" s="11"/>
      <c r="T85" s="12"/>
      <c r="U85" s="12"/>
      <c r="V85" s="594"/>
      <c r="W85" s="12"/>
      <c r="X85" s="12"/>
      <c r="Y85" s="12"/>
      <c r="Z85" s="12"/>
      <c r="AA85" s="12"/>
      <c r="AB85" s="12"/>
      <c r="AC85" s="12"/>
      <c r="AD85" s="12"/>
      <c r="AE85" s="12"/>
      <c r="AF85" s="594"/>
      <c r="AG85" s="12"/>
      <c r="AH85" s="12"/>
      <c r="AI85" s="12"/>
      <c r="AJ85" s="12"/>
      <c r="AK85" s="12"/>
      <c r="AL85" s="12"/>
      <c r="AM85" s="23"/>
      <c r="AN85" s="23"/>
      <c r="AO85" s="23"/>
      <c r="AP85" s="180"/>
      <c r="AQ85" s="23"/>
      <c r="AR85" s="23"/>
      <c r="AS85" s="23"/>
      <c r="AT85" s="23"/>
      <c r="AU85" s="23"/>
      <c r="AV85" s="152"/>
      <c r="AW85" s="152"/>
      <c r="AX85" s="152"/>
      <c r="AY85" s="152"/>
      <c r="AZ85" s="535"/>
      <c r="BA85" s="309"/>
      <c r="BB85" s="316"/>
      <c r="BC85" s="296"/>
      <c r="BD85" s="535"/>
      <c r="BE85" s="535"/>
      <c r="BF85" s="535"/>
      <c r="BG85" s="535"/>
      <c r="BH85" s="535"/>
      <c r="BI85" s="535"/>
      <c r="BJ85" s="871"/>
      <c r="BK85" s="871"/>
      <c r="BL85" s="565"/>
      <c r="BM85" s="565"/>
      <c r="BN85" s="309"/>
      <c r="BQ85" s="152"/>
      <c r="BR85" s="320"/>
    </row>
    <row r="86" spans="1:70" ht="11.25" customHeight="1">
      <c r="A86" s="115" t="s">
        <v>16</v>
      </c>
      <c r="B86" s="225" t="s">
        <v>3</v>
      </c>
      <c r="C86" s="93" t="s">
        <v>3</v>
      </c>
      <c r="D86" s="93" t="s">
        <v>3</v>
      </c>
      <c r="E86" s="93" t="s">
        <v>3</v>
      </c>
      <c r="F86" s="93" t="s">
        <v>3</v>
      </c>
      <c r="G86" s="93" t="s">
        <v>11</v>
      </c>
      <c r="H86" s="94">
        <v>3</v>
      </c>
      <c r="I86" s="94">
        <v>5</v>
      </c>
      <c r="J86" s="94">
        <v>6</v>
      </c>
      <c r="K86" s="94">
        <v>9</v>
      </c>
      <c r="L86" s="596">
        <v>12</v>
      </c>
      <c r="M86" s="11">
        <v>16</v>
      </c>
      <c r="N86" s="11">
        <v>21</v>
      </c>
      <c r="O86" s="11">
        <v>28</v>
      </c>
      <c r="P86" s="11">
        <v>44</v>
      </c>
      <c r="Q86" s="11">
        <v>56</v>
      </c>
      <c r="R86" s="11">
        <v>59</v>
      </c>
      <c r="S86" s="11">
        <v>72</v>
      </c>
      <c r="T86" s="12">
        <v>74</v>
      </c>
      <c r="U86" s="12">
        <v>92</v>
      </c>
      <c r="V86" s="594">
        <v>131</v>
      </c>
      <c r="W86" s="12">
        <v>134</v>
      </c>
      <c r="X86" s="12">
        <v>138</v>
      </c>
      <c r="Y86" s="12">
        <v>143</v>
      </c>
      <c r="Z86" s="12">
        <v>152</v>
      </c>
      <c r="AA86" s="12">
        <v>158</v>
      </c>
      <c r="AB86" s="12">
        <v>159</v>
      </c>
      <c r="AC86" s="12">
        <v>158</v>
      </c>
      <c r="AD86" s="12">
        <v>176</v>
      </c>
      <c r="AE86" s="12">
        <v>182</v>
      </c>
      <c r="AF86" s="594">
        <v>181</v>
      </c>
      <c r="AG86" s="12">
        <v>193</v>
      </c>
      <c r="AH86" s="12">
        <v>209</v>
      </c>
      <c r="AI86" s="12">
        <v>218</v>
      </c>
      <c r="AJ86" s="12">
        <v>230</v>
      </c>
      <c r="AK86" s="12">
        <v>234</v>
      </c>
      <c r="AL86" s="12">
        <v>225</v>
      </c>
      <c r="AM86" s="23">
        <v>232</v>
      </c>
      <c r="AN86" s="23">
        <v>242</v>
      </c>
      <c r="AO86" s="23">
        <v>256</v>
      </c>
      <c r="AP86" s="180">
        <v>290</v>
      </c>
      <c r="AQ86" s="23">
        <v>306</v>
      </c>
      <c r="AR86" s="23">
        <v>325</v>
      </c>
      <c r="AS86" s="23">
        <v>315</v>
      </c>
      <c r="AT86" s="23">
        <v>325</v>
      </c>
      <c r="AU86" s="23">
        <v>320</v>
      </c>
      <c r="AV86" s="152">
        <v>320</v>
      </c>
      <c r="AW86" s="152">
        <v>323</v>
      </c>
      <c r="AX86" s="152">
        <v>319</v>
      </c>
      <c r="AY86" s="152">
        <v>350</v>
      </c>
      <c r="AZ86" s="217">
        <v>356</v>
      </c>
      <c r="BA86" s="309">
        <v>384</v>
      </c>
      <c r="BB86" s="309">
        <v>360</v>
      </c>
      <c r="BC86" s="309">
        <v>341</v>
      </c>
      <c r="BD86" s="365">
        <v>341</v>
      </c>
      <c r="BE86" s="365">
        <v>364</v>
      </c>
      <c r="BF86" s="365">
        <v>361</v>
      </c>
      <c r="BG86" s="365">
        <v>364</v>
      </c>
      <c r="BH86" s="365">
        <v>375</v>
      </c>
      <c r="BI86" s="365">
        <v>364</v>
      </c>
      <c r="BJ86" s="410">
        <f>(BH86-BG86)/BG86</f>
        <v>3.021978021978022E-2</v>
      </c>
      <c r="BK86" s="410">
        <f>(BI86-BH86)/BH86</f>
        <v>-2.9333333333333333E-2</v>
      </c>
      <c r="BL86" s="564">
        <f>BH86-BG86</f>
        <v>11</v>
      </c>
      <c r="BM86" s="564">
        <f>BI86-BH86</f>
        <v>-11</v>
      </c>
      <c r="BN86" s="348"/>
      <c r="BQ86" s="152"/>
      <c r="BR86" s="320"/>
    </row>
    <row r="87" spans="1:70" ht="6" customHeight="1">
      <c r="A87" s="115"/>
      <c r="L87" s="596"/>
      <c r="M87" s="11"/>
      <c r="N87" s="11"/>
      <c r="O87" s="11"/>
      <c r="P87" s="11"/>
      <c r="Q87" s="11"/>
      <c r="R87" s="11"/>
      <c r="S87" s="11"/>
      <c r="T87" s="12"/>
      <c r="U87" s="12"/>
      <c r="V87" s="594"/>
      <c r="W87" s="12"/>
      <c r="X87" s="12"/>
      <c r="Y87" s="12"/>
      <c r="Z87" s="12"/>
      <c r="AA87" s="12"/>
      <c r="AB87" s="12"/>
      <c r="AC87" s="12"/>
      <c r="AD87" s="12"/>
      <c r="AE87" s="12"/>
      <c r="AF87" s="594"/>
      <c r="AG87" s="12"/>
      <c r="AH87" s="12"/>
      <c r="AI87" s="12"/>
      <c r="AJ87" s="12"/>
      <c r="AK87" s="12"/>
      <c r="AL87" s="12"/>
      <c r="AM87" s="23"/>
      <c r="AN87" s="23"/>
      <c r="AO87" s="23"/>
      <c r="AP87" s="180"/>
      <c r="AQ87" s="23"/>
      <c r="AR87" s="23"/>
      <c r="AS87" s="23"/>
      <c r="AT87" s="23"/>
      <c r="AU87" s="23"/>
      <c r="AV87" s="152"/>
      <c r="AW87" s="152"/>
      <c r="AX87" s="152"/>
      <c r="AY87" s="152"/>
      <c r="AZ87" s="535"/>
      <c r="BA87" s="309"/>
      <c r="BB87" s="309"/>
      <c r="BC87" s="296"/>
      <c r="BD87" s="535"/>
      <c r="BE87" s="535"/>
      <c r="BF87" s="535"/>
      <c r="BG87" s="535"/>
      <c r="BH87" s="535"/>
      <c r="BI87" s="535"/>
      <c r="BJ87" s="410"/>
      <c r="BK87" s="410"/>
      <c r="BL87" s="566"/>
      <c r="BM87" s="566"/>
      <c r="BN87" s="316"/>
      <c r="BQ87" s="152"/>
      <c r="BR87" s="320"/>
    </row>
    <row r="88" spans="1:70" ht="11.25" customHeight="1">
      <c r="A88" s="115" t="s">
        <v>13</v>
      </c>
      <c r="B88" s="593">
        <v>15</v>
      </c>
      <c r="C88" s="25">
        <v>18</v>
      </c>
      <c r="D88" s="25">
        <v>20</v>
      </c>
      <c r="E88" s="25">
        <v>21</v>
      </c>
      <c r="F88" s="25">
        <v>22</v>
      </c>
      <c r="G88" s="25">
        <v>25</v>
      </c>
      <c r="H88" s="25">
        <v>28</v>
      </c>
      <c r="I88" s="25">
        <v>30</v>
      </c>
      <c r="J88" s="25">
        <v>32</v>
      </c>
      <c r="K88" s="25">
        <v>34</v>
      </c>
      <c r="L88" s="596">
        <v>38</v>
      </c>
      <c r="M88" s="11">
        <v>41</v>
      </c>
      <c r="N88" s="11">
        <v>47</v>
      </c>
      <c r="O88" s="11">
        <v>48</v>
      </c>
      <c r="P88" s="11">
        <v>55</v>
      </c>
      <c r="Q88" s="11">
        <v>61</v>
      </c>
      <c r="R88" s="11">
        <v>68</v>
      </c>
      <c r="S88" s="11">
        <v>81</v>
      </c>
      <c r="T88" s="12">
        <v>91</v>
      </c>
      <c r="U88" s="12">
        <v>97</v>
      </c>
      <c r="V88" s="594">
        <v>109</v>
      </c>
      <c r="W88" s="12">
        <v>115</v>
      </c>
      <c r="X88" s="12">
        <v>120</v>
      </c>
      <c r="Y88" s="12">
        <v>123</v>
      </c>
      <c r="Z88" s="12">
        <v>130</v>
      </c>
      <c r="AA88" s="12">
        <v>134</v>
      </c>
      <c r="AB88" s="12">
        <v>132</v>
      </c>
      <c r="AC88" s="12">
        <v>127</v>
      </c>
      <c r="AD88" s="12">
        <v>132</v>
      </c>
      <c r="AE88" s="12">
        <v>136</v>
      </c>
      <c r="AF88" s="594">
        <v>142</v>
      </c>
      <c r="AG88" s="12">
        <v>143</v>
      </c>
      <c r="AH88" s="12">
        <v>155</v>
      </c>
      <c r="AI88" s="12">
        <v>171</v>
      </c>
      <c r="AJ88" s="12">
        <v>173</v>
      </c>
      <c r="AK88" s="12">
        <v>174</v>
      </c>
      <c r="AL88" s="12">
        <v>166</v>
      </c>
      <c r="AM88" s="23">
        <v>175</v>
      </c>
      <c r="AN88" s="23">
        <v>177</v>
      </c>
      <c r="AO88" s="23">
        <v>182</v>
      </c>
      <c r="AP88" s="180">
        <v>198</v>
      </c>
      <c r="AQ88" s="23">
        <v>233</v>
      </c>
      <c r="AR88" s="23">
        <v>230</v>
      </c>
      <c r="AS88" s="23">
        <v>231</v>
      </c>
      <c r="AT88" s="23">
        <v>243</v>
      </c>
      <c r="AU88" s="23">
        <v>245</v>
      </c>
      <c r="AV88" s="152">
        <v>249</v>
      </c>
      <c r="AW88" s="152">
        <v>253</v>
      </c>
      <c r="AX88" s="152">
        <v>250</v>
      </c>
      <c r="AY88" s="152">
        <v>256</v>
      </c>
      <c r="AZ88" s="217">
        <v>272</v>
      </c>
      <c r="BA88" s="309">
        <v>292</v>
      </c>
      <c r="BB88" s="309">
        <v>277</v>
      </c>
      <c r="BC88" s="309">
        <v>266</v>
      </c>
      <c r="BD88" s="365">
        <v>264</v>
      </c>
      <c r="BE88" s="365">
        <v>271</v>
      </c>
      <c r="BF88" s="365">
        <v>271</v>
      </c>
      <c r="BG88" s="365">
        <v>274</v>
      </c>
      <c r="BH88" s="365">
        <v>272</v>
      </c>
      <c r="BI88" s="365">
        <v>249</v>
      </c>
      <c r="BJ88" s="410">
        <f>(BH88-BG88)/BG88</f>
        <v>-7.2992700729927005E-3</v>
      </c>
      <c r="BK88" s="410">
        <f>(BI88-BH88)/BH88</f>
        <v>-8.455882352941177E-2</v>
      </c>
      <c r="BL88" s="564">
        <f>BH88-BG88</f>
        <v>-2</v>
      </c>
      <c r="BM88" s="564">
        <f>BI88-BH88</f>
        <v>-23</v>
      </c>
      <c r="BN88" s="348"/>
      <c r="BQ88" s="152"/>
      <c r="BR88" s="320"/>
    </row>
    <row r="89" spans="1:70" ht="6" customHeight="1">
      <c r="A89" s="115"/>
      <c r="L89" s="596"/>
      <c r="M89" s="11"/>
      <c r="N89" s="11"/>
      <c r="O89" s="11"/>
      <c r="P89" s="11"/>
      <c r="Q89" s="11"/>
      <c r="R89" s="11"/>
      <c r="S89" s="11"/>
      <c r="T89" s="12"/>
      <c r="U89" s="12"/>
      <c r="V89" s="594"/>
      <c r="W89" s="12"/>
      <c r="X89" s="12"/>
      <c r="Y89" s="12"/>
      <c r="Z89" s="12"/>
      <c r="AA89" s="12"/>
      <c r="AB89" s="12"/>
      <c r="AC89" s="12"/>
      <c r="AD89" s="12"/>
      <c r="AE89" s="12"/>
      <c r="AF89" s="594"/>
      <c r="AG89" s="12"/>
      <c r="AH89" s="12"/>
      <c r="AI89" s="12"/>
      <c r="AJ89" s="12"/>
      <c r="AK89" s="12"/>
      <c r="AL89" s="12"/>
      <c r="AM89" s="23"/>
      <c r="AN89" s="23"/>
      <c r="AO89" s="23"/>
      <c r="AP89" s="180"/>
      <c r="AQ89" s="23"/>
      <c r="AR89" s="23"/>
      <c r="AS89" s="23"/>
      <c r="AT89" s="23"/>
      <c r="AU89" s="23"/>
      <c r="AV89" s="152"/>
      <c r="AW89" s="152"/>
      <c r="AX89" s="152"/>
      <c r="AY89" s="152"/>
      <c r="AZ89" s="535"/>
      <c r="BA89" s="309"/>
      <c r="BB89" s="316"/>
      <c r="BC89" s="296"/>
      <c r="BD89" s="535"/>
      <c r="BE89" s="535"/>
      <c r="BF89" s="535"/>
      <c r="BG89" s="535"/>
      <c r="BH89" s="535"/>
      <c r="BI89" s="535"/>
      <c r="BJ89" s="871"/>
      <c r="BK89" s="871"/>
      <c r="BL89" s="565"/>
      <c r="BM89" s="565"/>
      <c r="BN89" s="316"/>
      <c r="BQ89" s="152"/>
      <c r="BR89" s="320"/>
    </row>
    <row r="90" spans="1:70" ht="11.25" customHeight="1">
      <c r="A90" s="115" t="s">
        <v>62</v>
      </c>
      <c r="B90" s="225" t="s">
        <v>3</v>
      </c>
      <c r="C90" s="93" t="s">
        <v>3</v>
      </c>
      <c r="D90" s="93" t="s">
        <v>3</v>
      </c>
      <c r="E90" s="93" t="s">
        <v>3</v>
      </c>
      <c r="F90" s="93" t="s">
        <v>3</v>
      </c>
      <c r="G90" s="93" t="s">
        <v>3</v>
      </c>
      <c r="H90" s="93" t="s">
        <v>3</v>
      </c>
      <c r="I90" s="93" t="s">
        <v>3</v>
      </c>
      <c r="J90" s="93" t="s">
        <v>3</v>
      </c>
      <c r="K90" s="93" t="s">
        <v>3</v>
      </c>
      <c r="L90" s="225" t="s">
        <v>3</v>
      </c>
      <c r="M90" s="93" t="s">
        <v>3</v>
      </c>
      <c r="N90" s="75">
        <v>1</v>
      </c>
      <c r="O90" s="75">
        <v>4</v>
      </c>
      <c r="P90" s="75">
        <v>5</v>
      </c>
      <c r="Q90" s="75">
        <v>5</v>
      </c>
      <c r="R90" s="75">
        <v>6</v>
      </c>
      <c r="S90" s="75">
        <v>7</v>
      </c>
      <c r="T90" s="24">
        <v>7</v>
      </c>
      <c r="U90" s="24">
        <v>7</v>
      </c>
      <c r="V90" s="277">
        <v>8</v>
      </c>
      <c r="W90" s="24">
        <v>8</v>
      </c>
      <c r="X90" s="24">
        <v>7</v>
      </c>
      <c r="Y90" s="24">
        <v>6</v>
      </c>
      <c r="Z90" s="24">
        <v>6</v>
      </c>
      <c r="AA90" s="24">
        <v>6</v>
      </c>
      <c r="AB90" s="24">
        <v>5</v>
      </c>
      <c r="AC90" s="24">
        <v>5</v>
      </c>
      <c r="AD90" s="24">
        <v>5</v>
      </c>
      <c r="AE90" s="24">
        <v>6</v>
      </c>
      <c r="AF90" s="277">
        <v>6</v>
      </c>
      <c r="AG90" s="24">
        <v>6</v>
      </c>
      <c r="AH90" s="24">
        <v>7</v>
      </c>
      <c r="AI90" s="24">
        <v>7</v>
      </c>
      <c r="AJ90" s="24">
        <v>8</v>
      </c>
      <c r="AK90" s="24">
        <v>7</v>
      </c>
      <c r="AL90" s="91">
        <v>7</v>
      </c>
      <c r="AM90" s="91">
        <v>8</v>
      </c>
      <c r="AN90" s="91">
        <v>8</v>
      </c>
      <c r="AO90" s="91">
        <v>8</v>
      </c>
      <c r="AP90" s="698">
        <v>8</v>
      </c>
      <c r="AQ90" s="91">
        <v>9</v>
      </c>
      <c r="AR90" s="91">
        <v>9</v>
      </c>
      <c r="AS90" s="91">
        <v>9</v>
      </c>
      <c r="AT90" s="91">
        <v>10</v>
      </c>
      <c r="AU90" s="91">
        <v>10</v>
      </c>
      <c r="AV90" s="91">
        <v>10</v>
      </c>
      <c r="AW90" s="91">
        <v>10</v>
      </c>
      <c r="AX90" s="91">
        <v>11</v>
      </c>
      <c r="AY90" s="91">
        <v>10</v>
      </c>
      <c r="AZ90" s="698">
        <v>12</v>
      </c>
      <c r="BA90" s="351">
        <v>11</v>
      </c>
      <c r="BB90" s="351">
        <v>11</v>
      </c>
      <c r="BC90" s="351">
        <v>11</v>
      </c>
      <c r="BD90" s="539">
        <v>11</v>
      </c>
      <c r="BE90" s="539">
        <v>12</v>
      </c>
      <c r="BF90" s="539">
        <v>11</v>
      </c>
      <c r="BG90" s="539">
        <v>12</v>
      </c>
      <c r="BH90" s="539">
        <v>12</v>
      </c>
      <c r="BI90" s="539">
        <v>12</v>
      </c>
      <c r="BJ90" s="410">
        <f>(BH90-BG90)/BG90</f>
        <v>0</v>
      </c>
      <c r="BK90" s="410">
        <f>(BI90-BH90)/BH90</f>
        <v>0</v>
      </c>
      <c r="BL90" s="564">
        <f>BH90-BG90</f>
        <v>0</v>
      </c>
      <c r="BM90" s="564">
        <f>BI90-BH90</f>
        <v>0</v>
      </c>
      <c r="BN90" s="348"/>
      <c r="BQ90" s="152"/>
      <c r="BR90" s="320"/>
    </row>
    <row r="91" spans="1:70" ht="5.25" customHeight="1">
      <c r="A91" s="115"/>
      <c r="B91" s="631"/>
      <c r="C91" s="39"/>
      <c r="D91" s="39"/>
      <c r="E91" s="39"/>
      <c r="F91" s="39"/>
      <c r="G91" s="39"/>
      <c r="H91" s="39"/>
      <c r="I91" s="39"/>
      <c r="J91" s="39"/>
      <c r="K91" s="39"/>
      <c r="L91" s="826"/>
      <c r="M91" s="8"/>
      <c r="N91" s="8"/>
      <c r="O91" s="8"/>
      <c r="P91" s="8"/>
      <c r="Q91" s="8"/>
      <c r="R91" s="8"/>
      <c r="S91" s="8"/>
      <c r="T91" s="8"/>
      <c r="U91" s="8"/>
      <c r="V91" s="826"/>
      <c r="W91" s="8"/>
      <c r="X91" s="8"/>
      <c r="Y91" s="8"/>
      <c r="Z91" s="8"/>
      <c r="AA91" s="8"/>
      <c r="AB91" s="8"/>
      <c r="AC91" s="8"/>
      <c r="AD91" s="8"/>
      <c r="AE91" s="8"/>
      <c r="AF91" s="826"/>
      <c r="AG91" s="8"/>
      <c r="AH91" s="8"/>
      <c r="AI91" s="11"/>
      <c r="AJ91" s="11"/>
      <c r="AK91" s="11"/>
      <c r="AL91" s="6"/>
      <c r="AM91" s="23"/>
      <c r="AN91" s="23"/>
      <c r="AO91" s="23"/>
      <c r="AP91" s="180"/>
      <c r="AQ91" s="23"/>
      <c r="AR91" s="23"/>
      <c r="AS91" s="23"/>
      <c r="AT91" s="23"/>
      <c r="AU91" s="23"/>
      <c r="AV91" s="152"/>
      <c r="AW91" s="152"/>
      <c r="AX91" s="152"/>
      <c r="AY91" s="152"/>
      <c r="AZ91" s="217"/>
      <c r="BA91" s="309"/>
      <c r="BB91" s="309"/>
      <c r="BC91" s="296"/>
      <c r="BD91" s="365"/>
      <c r="BE91" s="365"/>
      <c r="BF91" s="365"/>
      <c r="BG91" s="365"/>
      <c r="BH91" s="365"/>
      <c r="BI91" s="365"/>
      <c r="BJ91" s="410"/>
      <c r="BK91" s="410"/>
      <c r="BL91" s="564"/>
      <c r="BM91" s="564"/>
      <c r="BN91" s="343"/>
      <c r="BQ91" s="152"/>
      <c r="BR91" s="320"/>
    </row>
    <row r="92" spans="1:70" ht="14.25" customHeight="1" thickBot="1">
      <c r="A92" s="118" t="s">
        <v>82</v>
      </c>
      <c r="B92" s="397">
        <f t="shared" ref="B92:AK92" si="38">SUM(B79:B90)</f>
        <v>36</v>
      </c>
      <c r="C92" s="131">
        <f t="shared" si="38"/>
        <v>40</v>
      </c>
      <c r="D92" s="131">
        <f t="shared" si="38"/>
        <v>48</v>
      </c>
      <c r="E92" s="131">
        <f t="shared" si="38"/>
        <v>60</v>
      </c>
      <c r="F92" s="131">
        <f t="shared" si="38"/>
        <v>63</v>
      </c>
      <c r="G92" s="131">
        <f t="shared" si="38"/>
        <v>66</v>
      </c>
      <c r="H92" s="131">
        <f t="shared" si="38"/>
        <v>74</v>
      </c>
      <c r="I92" s="131">
        <f t="shared" si="38"/>
        <v>80</v>
      </c>
      <c r="J92" s="131">
        <f t="shared" si="38"/>
        <v>84</v>
      </c>
      <c r="K92" s="131">
        <f t="shared" si="38"/>
        <v>95</v>
      </c>
      <c r="L92" s="397">
        <f t="shared" si="38"/>
        <v>115</v>
      </c>
      <c r="M92" s="131">
        <f t="shared" si="38"/>
        <v>145</v>
      </c>
      <c r="N92" s="131">
        <f t="shared" si="38"/>
        <v>197</v>
      </c>
      <c r="O92" s="131">
        <f t="shared" si="38"/>
        <v>239</v>
      </c>
      <c r="P92" s="131">
        <f t="shared" si="38"/>
        <v>294</v>
      </c>
      <c r="Q92" s="131">
        <f t="shared" si="38"/>
        <v>358</v>
      </c>
      <c r="R92" s="131">
        <f t="shared" si="38"/>
        <v>419</v>
      </c>
      <c r="S92" s="131">
        <f t="shared" si="38"/>
        <v>500</v>
      </c>
      <c r="T92" s="131">
        <f t="shared" si="38"/>
        <v>548</v>
      </c>
      <c r="U92" s="131">
        <f t="shared" si="38"/>
        <v>645</v>
      </c>
      <c r="V92" s="397">
        <f t="shared" si="38"/>
        <v>748</v>
      </c>
      <c r="W92" s="131">
        <f t="shared" si="38"/>
        <v>792</v>
      </c>
      <c r="X92" s="131">
        <f t="shared" si="38"/>
        <v>769</v>
      </c>
      <c r="Y92" s="131">
        <f t="shared" si="38"/>
        <v>797</v>
      </c>
      <c r="Z92" s="131">
        <f t="shared" si="38"/>
        <v>824</v>
      </c>
      <c r="AA92" s="131">
        <f t="shared" si="38"/>
        <v>838</v>
      </c>
      <c r="AB92" s="131">
        <f t="shared" si="38"/>
        <v>838</v>
      </c>
      <c r="AC92" s="131">
        <f t="shared" si="38"/>
        <v>842</v>
      </c>
      <c r="AD92" s="131">
        <f t="shared" si="38"/>
        <v>907</v>
      </c>
      <c r="AE92" s="131">
        <f t="shared" si="38"/>
        <v>953</v>
      </c>
      <c r="AF92" s="397">
        <f t="shared" si="38"/>
        <v>1012</v>
      </c>
      <c r="AG92" s="131">
        <f t="shared" si="38"/>
        <v>1010</v>
      </c>
      <c r="AH92" s="131">
        <f t="shared" si="38"/>
        <v>1118</v>
      </c>
      <c r="AI92" s="131">
        <f t="shared" si="38"/>
        <v>1103</v>
      </c>
      <c r="AJ92" s="131">
        <f t="shared" si="38"/>
        <v>1161</v>
      </c>
      <c r="AK92" s="131">
        <f t="shared" si="38"/>
        <v>1167</v>
      </c>
      <c r="AL92" s="131">
        <f>SUM(AL79:AL91)</f>
        <v>1109</v>
      </c>
      <c r="AM92" s="131">
        <f t="shared" ref="AM92:AU92" si="39">SUM(AM79:AM90)</f>
        <v>1202</v>
      </c>
      <c r="AN92" s="131">
        <f t="shared" si="39"/>
        <v>1257</v>
      </c>
      <c r="AO92" s="131">
        <f t="shared" si="39"/>
        <v>1315</v>
      </c>
      <c r="AP92" s="397">
        <f t="shared" si="39"/>
        <v>1428</v>
      </c>
      <c r="AQ92" s="131">
        <f t="shared" si="39"/>
        <v>1606</v>
      </c>
      <c r="AR92" s="131">
        <f t="shared" si="39"/>
        <v>1632</v>
      </c>
      <c r="AS92" s="131">
        <f t="shared" si="39"/>
        <v>1679</v>
      </c>
      <c r="AT92" s="131">
        <f t="shared" si="39"/>
        <v>1718</v>
      </c>
      <c r="AU92" s="131">
        <f t="shared" si="39"/>
        <v>1707</v>
      </c>
      <c r="AV92" s="214">
        <f t="shared" ref="AV92:BG92" si="40">SUM(AV79:AV91)</f>
        <v>1762</v>
      </c>
      <c r="AW92" s="214">
        <f t="shared" si="40"/>
        <v>1779.248291571754</v>
      </c>
      <c r="AX92" s="214">
        <f t="shared" si="40"/>
        <v>1859.7270202799359</v>
      </c>
      <c r="AY92" s="214">
        <f t="shared" si="40"/>
        <v>1942</v>
      </c>
      <c r="AZ92" s="400">
        <f t="shared" si="40"/>
        <v>2083</v>
      </c>
      <c r="BA92" s="362">
        <f t="shared" si="40"/>
        <v>2098</v>
      </c>
      <c r="BB92" s="362">
        <f t="shared" si="40"/>
        <v>2094</v>
      </c>
      <c r="BC92" s="362">
        <f t="shared" si="40"/>
        <v>2126</v>
      </c>
      <c r="BD92" s="398">
        <f t="shared" si="40"/>
        <v>2095</v>
      </c>
      <c r="BE92" s="398">
        <f t="shared" si="40"/>
        <v>2182</v>
      </c>
      <c r="BF92" s="398">
        <f t="shared" si="40"/>
        <v>2122</v>
      </c>
      <c r="BG92" s="398">
        <f t="shared" si="40"/>
        <v>2115</v>
      </c>
      <c r="BH92" s="398">
        <f t="shared" ref="BH92:BI92" si="41">SUM(BH79:BH91)</f>
        <v>2083</v>
      </c>
      <c r="BI92" s="398">
        <f t="shared" si="41"/>
        <v>2093</v>
      </c>
      <c r="BJ92" s="875">
        <f>(BH92-BG92)/BG92</f>
        <v>-1.5130023640661938E-2</v>
      </c>
      <c r="BK92" s="875">
        <f>(BI92-BH92)/BH92</f>
        <v>4.8007681228996639E-3</v>
      </c>
      <c r="BL92" s="569">
        <f>BH92-BG92</f>
        <v>-32</v>
      </c>
      <c r="BM92" s="569">
        <f>BI92-BH92</f>
        <v>10</v>
      </c>
      <c r="BN92" s="349"/>
      <c r="BQ92" s="152"/>
      <c r="BR92" s="320"/>
    </row>
    <row r="93" spans="1:70" ht="11.25" customHeight="1">
      <c r="G93" s="8"/>
      <c r="L93" s="826"/>
      <c r="M93" s="8"/>
      <c r="N93" s="8"/>
      <c r="O93" s="8"/>
      <c r="P93" s="8"/>
      <c r="Q93" s="8"/>
      <c r="R93" s="8"/>
      <c r="S93" s="8"/>
      <c r="T93" s="8"/>
      <c r="U93" s="8"/>
      <c r="V93" s="826"/>
      <c r="W93" s="8"/>
      <c r="X93" s="8"/>
      <c r="Y93" s="8"/>
      <c r="Z93" s="8"/>
      <c r="AA93" s="8"/>
      <c r="AB93" s="8"/>
      <c r="AC93" s="8"/>
      <c r="AD93" s="8"/>
      <c r="AE93" s="8"/>
      <c r="AF93" s="826"/>
      <c r="AG93" s="8"/>
      <c r="AH93" s="8"/>
      <c r="AI93" s="11"/>
      <c r="AJ93" s="11"/>
      <c r="AK93" s="11"/>
      <c r="AL93" s="6"/>
      <c r="AM93" s="23"/>
      <c r="AN93" s="23"/>
      <c r="AO93" s="23"/>
      <c r="AP93" s="180"/>
      <c r="AQ93" s="23"/>
      <c r="AR93" s="23"/>
      <c r="AS93" s="23"/>
      <c r="AT93" s="23"/>
      <c r="AU93" s="23"/>
      <c r="AV93" s="23"/>
      <c r="AW93" s="197"/>
      <c r="AX93" s="197"/>
      <c r="AY93" s="197"/>
      <c r="AZ93" s="535"/>
      <c r="BA93" s="309"/>
      <c r="BB93" s="316"/>
      <c r="BC93" s="296"/>
      <c r="BD93" s="535"/>
      <c r="BE93" s="535"/>
      <c r="BF93" s="535"/>
      <c r="BG93" s="535"/>
      <c r="BH93" s="535"/>
      <c r="BI93" s="535"/>
      <c r="BJ93" s="871"/>
      <c r="BK93" s="871"/>
      <c r="BL93" s="570"/>
      <c r="BM93" s="570"/>
      <c r="BN93" s="381"/>
      <c r="BQ93" s="152"/>
      <c r="BR93" s="320"/>
    </row>
    <row r="94" spans="1:70">
      <c r="A94" s="120" t="s">
        <v>115</v>
      </c>
      <c r="AV94" s="3"/>
      <c r="AW94" s="3"/>
      <c r="AX94" s="3"/>
      <c r="AY94" s="3"/>
      <c r="AZ94" s="178"/>
      <c r="BA94" s="3"/>
      <c r="BB94" s="3"/>
      <c r="BC94" s="3"/>
      <c r="BD94" s="3"/>
      <c r="BE94" s="3"/>
      <c r="BF94" s="178"/>
      <c r="BG94" s="178"/>
      <c r="BH94" s="178"/>
      <c r="BI94" s="178"/>
      <c r="BJ94" s="871"/>
      <c r="BK94" s="871"/>
      <c r="BL94" s="565"/>
      <c r="BM94" s="565"/>
      <c r="BN94" s="316"/>
      <c r="BQ94" s="152"/>
      <c r="BR94" s="320"/>
    </row>
    <row r="95" spans="1:70" ht="6" customHeight="1">
      <c r="A95" s="115"/>
      <c r="L95" s="826"/>
      <c r="M95" s="8"/>
      <c r="N95" s="8"/>
      <c r="O95" s="8"/>
      <c r="P95" s="8"/>
      <c r="Q95" s="8"/>
      <c r="R95" s="8"/>
      <c r="S95" s="8"/>
      <c r="T95" s="8"/>
      <c r="U95" s="8"/>
      <c r="V95" s="826"/>
      <c r="W95" s="8"/>
      <c r="X95" s="8"/>
      <c r="Y95" s="8"/>
      <c r="Z95" s="8"/>
      <c r="AA95" s="8"/>
      <c r="AB95" s="8"/>
      <c r="AC95" s="8"/>
      <c r="AD95" s="8"/>
      <c r="AE95" s="8"/>
      <c r="AF95" s="826"/>
      <c r="AG95" s="8"/>
      <c r="AH95" s="8"/>
      <c r="AI95" s="11"/>
      <c r="AJ95" s="11"/>
      <c r="AK95" s="11"/>
      <c r="AL95" s="6"/>
      <c r="AM95" s="23"/>
      <c r="AN95" s="23"/>
      <c r="AO95" s="23"/>
      <c r="AP95" s="180"/>
      <c r="AQ95" s="23"/>
      <c r="AR95" s="23"/>
      <c r="AS95" s="23"/>
      <c r="AT95" s="23"/>
      <c r="AU95" s="23"/>
      <c r="AV95" s="152"/>
      <c r="AW95" s="152"/>
      <c r="AX95" s="152"/>
      <c r="AY95" s="152"/>
      <c r="AZ95" s="535"/>
      <c r="BA95" s="309"/>
      <c r="BB95" s="316"/>
      <c r="BC95" s="296"/>
      <c r="BD95" s="535"/>
      <c r="BE95" s="535"/>
      <c r="BF95" s="535"/>
      <c r="BG95" s="535"/>
      <c r="BH95" s="535"/>
      <c r="BI95" s="535"/>
      <c r="BJ95" s="871"/>
      <c r="BK95" s="871"/>
      <c r="BL95" s="565"/>
      <c r="BM95" s="565"/>
      <c r="BN95" s="316"/>
      <c r="BQ95" s="152"/>
      <c r="BR95" s="320"/>
    </row>
    <row r="96" spans="1:70" ht="11.25" customHeight="1">
      <c r="A96" s="115" t="s">
        <v>18</v>
      </c>
      <c r="B96" s="227" t="s">
        <v>3</v>
      </c>
      <c r="C96" s="27" t="s">
        <v>3</v>
      </c>
      <c r="D96" s="27" t="s">
        <v>3</v>
      </c>
      <c r="E96" s="27" t="s">
        <v>3</v>
      </c>
      <c r="F96" s="27" t="s">
        <v>3</v>
      </c>
      <c r="G96" s="27" t="s">
        <v>3</v>
      </c>
      <c r="H96" s="27" t="s">
        <v>3</v>
      </c>
      <c r="I96" s="27" t="s">
        <v>3</v>
      </c>
      <c r="J96" s="27" t="s">
        <v>3</v>
      </c>
      <c r="K96" s="27" t="s">
        <v>3</v>
      </c>
      <c r="L96" s="225" t="s">
        <v>3</v>
      </c>
      <c r="M96" s="46">
        <v>1</v>
      </c>
      <c r="N96" s="46">
        <v>2</v>
      </c>
      <c r="O96" s="46">
        <v>3</v>
      </c>
      <c r="P96" s="46">
        <v>3</v>
      </c>
      <c r="Q96" s="46">
        <v>2</v>
      </c>
      <c r="R96" s="46">
        <v>3</v>
      </c>
      <c r="S96" s="46">
        <v>3</v>
      </c>
      <c r="T96" s="46">
        <v>3</v>
      </c>
      <c r="U96" s="46">
        <v>3</v>
      </c>
      <c r="V96" s="822">
        <v>3</v>
      </c>
      <c r="W96" s="46">
        <v>3</v>
      </c>
      <c r="X96" s="46">
        <v>4</v>
      </c>
      <c r="Y96" s="46">
        <v>2</v>
      </c>
      <c r="Z96" s="46">
        <v>3</v>
      </c>
      <c r="AA96" s="46">
        <v>2</v>
      </c>
      <c r="AB96" s="46">
        <v>1</v>
      </c>
      <c r="AC96" s="46">
        <v>1</v>
      </c>
      <c r="AD96" s="46">
        <v>1</v>
      </c>
      <c r="AE96" s="46">
        <v>1</v>
      </c>
      <c r="AF96" s="822">
        <v>1</v>
      </c>
      <c r="AG96" s="46">
        <v>2</v>
      </c>
      <c r="AH96" s="46">
        <v>3</v>
      </c>
      <c r="AI96" s="92">
        <v>2</v>
      </c>
      <c r="AJ96" s="92">
        <v>1</v>
      </c>
      <c r="AK96" s="92">
        <v>2</v>
      </c>
      <c r="AL96" s="92">
        <v>2</v>
      </c>
      <c r="AM96" s="53">
        <v>2</v>
      </c>
      <c r="AN96" s="53">
        <v>2</v>
      </c>
      <c r="AO96" s="53">
        <v>3</v>
      </c>
      <c r="AP96" s="844">
        <v>3</v>
      </c>
      <c r="AQ96" s="53">
        <v>3</v>
      </c>
      <c r="AR96" s="53">
        <v>3</v>
      </c>
      <c r="AS96" s="53">
        <v>3</v>
      </c>
      <c r="AT96" s="53">
        <v>3</v>
      </c>
      <c r="AU96" s="53">
        <v>3</v>
      </c>
      <c r="AV96" s="211">
        <v>3</v>
      </c>
      <c r="AW96" s="211">
        <v>2</v>
      </c>
      <c r="AX96" s="211">
        <v>2</v>
      </c>
      <c r="AY96" s="211">
        <v>3</v>
      </c>
      <c r="AZ96" s="853">
        <v>3</v>
      </c>
      <c r="BA96" s="347">
        <v>3</v>
      </c>
      <c r="BB96" s="347">
        <v>3</v>
      </c>
      <c r="BC96" s="347">
        <v>3</v>
      </c>
      <c r="BD96" s="534">
        <v>3</v>
      </c>
      <c r="BE96" s="534">
        <v>3</v>
      </c>
      <c r="BF96" s="534">
        <v>3</v>
      </c>
      <c r="BG96" s="534">
        <v>2</v>
      </c>
      <c r="BH96" s="534">
        <v>3</v>
      </c>
      <c r="BI96" s="534">
        <v>3</v>
      </c>
      <c r="BJ96" s="410">
        <f>(BH96-BG96)/BG96</f>
        <v>0.5</v>
      </c>
      <c r="BK96" s="410">
        <f>(BI96-BH96)/BH96</f>
        <v>0</v>
      </c>
      <c r="BL96" s="564">
        <f>BH96-BG96</f>
        <v>1</v>
      </c>
      <c r="BM96" s="564">
        <f>BI96-BH96</f>
        <v>0</v>
      </c>
      <c r="BN96" s="348"/>
      <c r="BQ96" s="152"/>
      <c r="BR96" s="320"/>
    </row>
    <row r="97" spans="1:106" ht="6" customHeight="1">
      <c r="A97" s="115"/>
      <c r="L97" s="822"/>
      <c r="M97" s="46"/>
      <c r="N97" s="46"/>
      <c r="O97" s="46"/>
      <c r="P97" s="46"/>
      <c r="Q97" s="46"/>
      <c r="R97" s="46"/>
      <c r="S97" s="46"/>
      <c r="T97" s="46"/>
      <c r="U97" s="46"/>
      <c r="V97" s="822"/>
      <c r="W97" s="46"/>
      <c r="X97" s="46"/>
      <c r="Y97" s="46"/>
      <c r="Z97" s="46"/>
      <c r="AA97" s="46"/>
      <c r="AB97" s="46"/>
      <c r="AC97" s="46"/>
      <c r="AD97" s="46"/>
      <c r="AE97" s="46"/>
      <c r="AF97" s="822"/>
      <c r="AG97" s="46"/>
      <c r="AH97" s="46"/>
      <c r="AI97" s="75"/>
      <c r="AJ97" s="75"/>
      <c r="AK97" s="75"/>
      <c r="AL97" s="98"/>
      <c r="AM97" s="87"/>
      <c r="AN97" s="87"/>
      <c r="AO97" s="87"/>
      <c r="AP97" s="224"/>
      <c r="AQ97" s="87"/>
      <c r="AR97" s="87"/>
      <c r="AS97" s="87"/>
      <c r="AT97" s="87"/>
      <c r="AU97" s="87"/>
      <c r="AV97" s="172"/>
      <c r="AW97" s="172"/>
      <c r="AX97" s="172"/>
      <c r="AY97" s="172"/>
      <c r="AZ97" s="544"/>
      <c r="BA97" s="308"/>
      <c r="BB97" s="314"/>
      <c r="BC97" s="294"/>
      <c r="BD97" s="544"/>
      <c r="BE97" s="544"/>
      <c r="BF97" s="544"/>
      <c r="BG97" s="544"/>
      <c r="BH97" s="544"/>
      <c r="BI97" s="544"/>
      <c r="BJ97" s="871"/>
      <c r="BK97" s="871"/>
      <c r="BL97" s="565"/>
      <c r="BM97" s="565"/>
      <c r="BN97" s="316"/>
      <c r="BQ97" s="152"/>
      <c r="BR97" s="320"/>
    </row>
    <row r="98" spans="1:106" ht="12" customHeight="1">
      <c r="A98" s="122" t="s">
        <v>29</v>
      </c>
      <c r="B98" s="276"/>
      <c r="C98" s="40"/>
      <c r="D98" s="40"/>
      <c r="E98" s="40"/>
      <c r="F98" s="40"/>
      <c r="G98" s="40"/>
      <c r="H98" s="40"/>
      <c r="I98" s="40"/>
      <c r="J98" s="40"/>
      <c r="K98" s="40"/>
      <c r="L98" s="276"/>
      <c r="M98" s="40"/>
      <c r="N98" s="40"/>
      <c r="O98" s="40"/>
      <c r="P98" s="40"/>
      <c r="Q98" s="40"/>
      <c r="R98" s="40"/>
      <c r="S98" s="40"/>
      <c r="T98" s="40"/>
      <c r="U98" s="40"/>
      <c r="V98" s="276"/>
      <c r="W98" s="40"/>
      <c r="X98" s="40"/>
      <c r="Y98" s="40"/>
      <c r="Z98" s="40"/>
      <c r="AA98" s="40"/>
      <c r="AB98" s="40"/>
      <c r="AC98" s="40"/>
      <c r="AD98" s="40"/>
      <c r="AE98" s="40"/>
      <c r="AF98" s="276"/>
      <c r="AG98" s="40"/>
      <c r="AH98" s="40"/>
      <c r="AI98" s="40"/>
      <c r="AJ98" s="40"/>
      <c r="AK98" s="40"/>
      <c r="AL98" s="40"/>
      <c r="AM98" s="40"/>
      <c r="AN98" s="40"/>
      <c r="AO98" s="40"/>
      <c r="AP98" s="845"/>
      <c r="AQ98" s="57"/>
      <c r="AR98" s="57"/>
      <c r="AS98" s="57"/>
      <c r="AT98" s="87"/>
      <c r="AU98" s="87"/>
      <c r="AV98" s="172"/>
      <c r="AW98" s="172"/>
      <c r="AX98" s="172"/>
      <c r="AY98" s="172"/>
      <c r="AZ98" s="544"/>
      <c r="BA98" s="308"/>
      <c r="BB98" s="308"/>
      <c r="BC98" s="294"/>
      <c r="BD98" s="544"/>
      <c r="BE98" s="544"/>
      <c r="BF98" s="544"/>
      <c r="BG98" s="544"/>
      <c r="BH98" s="544"/>
      <c r="BI98" s="544"/>
      <c r="BJ98" s="410"/>
      <c r="BK98" s="410"/>
      <c r="BL98" s="566"/>
      <c r="BM98" s="566"/>
      <c r="BN98" s="316"/>
      <c r="BQ98" s="152"/>
      <c r="BR98" s="32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</row>
    <row r="99" spans="1:106" ht="10.5" customHeight="1">
      <c r="A99" s="119" t="s">
        <v>126</v>
      </c>
      <c r="B99" s="276" t="s">
        <v>3</v>
      </c>
      <c r="C99" s="40" t="s">
        <v>3</v>
      </c>
      <c r="D99" s="40" t="s">
        <v>3</v>
      </c>
      <c r="E99" s="40" t="s">
        <v>3</v>
      </c>
      <c r="F99" s="40" t="s">
        <v>3</v>
      </c>
      <c r="G99" s="40" t="s">
        <v>3</v>
      </c>
      <c r="H99" s="40" t="s">
        <v>3</v>
      </c>
      <c r="I99" s="40" t="s">
        <v>3</v>
      </c>
      <c r="J99" s="40" t="s">
        <v>3</v>
      </c>
      <c r="K99" s="40" t="s">
        <v>3</v>
      </c>
      <c r="L99" s="276" t="s">
        <v>3</v>
      </c>
      <c r="M99" s="40" t="s">
        <v>3</v>
      </c>
      <c r="N99" s="40" t="s">
        <v>3</v>
      </c>
      <c r="O99" s="40" t="s">
        <v>3</v>
      </c>
      <c r="P99" s="40" t="s">
        <v>3</v>
      </c>
      <c r="Q99" s="40" t="s">
        <v>3</v>
      </c>
      <c r="R99" s="40" t="s">
        <v>3</v>
      </c>
      <c r="S99" s="40" t="s">
        <v>3</v>
      </c>
      <c r="T99" s="40" t="s">
        <v>3</v>
      </c>
      <c r="U99" s="40" t="s">
        <v>3</v>
      </c>
      <c r="V99" s="276" t="s">
        <v>3</v>
      </c>
      <c r="W99" s="40" t="s">
        <v>3</v>
      </c>
      <c r="X99" s="40" t="s">
        <v>3</v>
      </c>
      <c r="Y99" s="40" t="s">
        <v>3</v>
      </c>
      <c r="Z99" s="40" t="s">
        <v>3</v>
      </c>
      <c r="AA99" s="40" t="s">
        <v>3</v>
      </c>
      <c r="AB99" s="40" t="s">
        <v>3</v>
      </c>
      <c r="AC99" s="40" t="s">
        <v>3</v>
      </c>
      <c r="AD99" s="40" t="s">
        <v>3</v>
      </c>
      <c r="AE99" s="40" t="s">
        <v>3</v>
      </c>
      <c r="AF99" s="276" t="s">
        <v>3</v>
      </c>
      <c r="AG99" s="40" t="s">
        <v>3</v>
      </c>
      <c r="AH99" s="40" t="s">
        <v>3</v>
      </c>
      <c r="AI99" s="40" t="s">
        <v>3</v>
      </c>
      <c r="AJ99" s="40" t="s">
        <v>3</v>
      </c>
      <c r="AK99" s="40" t="s">
        <v>3</v>
      </c>
      <c r="AL99" s="40" t="s">
        <v>3</v>
      </c>
      <c r="AM99" s="40" t="s">
        <v>3</v>
      </c>
      <c r="AN99" s="40" t="s">
        <v>3</v>
      </c>
      <c r="AO99" s="40">
        <v>194</v>
      </c>
      <c r="AP99" s="845">
        <v>232</v>
      </c>
      <c r="AQ99" s="57">
        <v>250</v>
      </c>
      <c r="AR99" s="57">
        <v>277</v>
      </c>
      <c r="AS99" s="57">
        <v>305</v>
      </c>
      <c r="AT99" s="87">
        <v>326</v>
      </c>
      <c r="AU99" s="87">
        <v>325</v>
      </c>
      <c r="AV99" s="172">
        <v>341</v>
      </c>
      <c r="AW99" s="172">
        <v>335</v>
      </c>
      <c r="AX99" s="172">
        <v>338</v>
      </c>
      <c r="AY99" s="172">
        <v>340</v>
      </c>
      <c r="AZ99" s="271">
        <v>363</v>
      </c>
      <c r="BA99" s="308">
        <v>353</v>
      </c>
      <c r="BB99" s="308">
        <v>355</v>
      </c>
      <c r="BC99" s="308">
        <v>342</v>
      </c>
      <c r="BD99" s="307">
        <v>330</v>
      </c>
      <c r="BE99" s="307">
        <v>336</v>
      </c>
      <c r="BF99" s="307">
        <v>336</v>
      </c>
      <c r="BG99" s="307">
        <v>334</v>
      </c>
      <c r="BH99" s="307">
        <v>336</v>
      </c>
      <c r="BI99" s="307">
        <v>332</v>
      </c>
      <c r="BJ99" s="410">
        <f>(BH99-BG99)/BG99</f>
        <v>5.9880239520958087E-3</v>
      </c>
      <c r="BK99" s="410">
        <f>(BI99-BH99)/BH99</f>
        <v>-1.1904761904761904E-2</v>
      </c>
      <c r="BL99" s="564">
        <f>BH99-BG99</f>
        <v>2</v>
      </c>
      <c r="BM99" s="564">
        <f>BI99-BH99</f>
        <v>-4</v>
      </c>
      <c r="BN99" s="348"/>
      <c r="BQ99" s="152"/>
      <c r="BR99" s="32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  <c r="CQ99" s="100"/>
      <c r="CR99" s="100"/>
      <c r="CS99" s="100"/>
      <c r="CT99" s="100"/>
      <c r="CU99" s="100"/>
      <c r="CV99" s="100"/>
    </row>
    <row r="100" spans="1:106" ht="6" customHeight="1">
      <c r="A100" s="115"/>
      <c r="L100" s="822"/>
      <c r="M100" s="46"/>
      <c r="N100" s="46"/>
      <c r="O100" s="46"/>
      <c r="P100" s="46"/>
      <c r="Q100" s="46"/>
      <c r="R100" s="46"/>
      <c r="S100" s="46"/>
      <c r="T100" s="46"/>
      <c r="U100" s="46"/>
      <c r="V100" s="822"/>
      <c r="W100" s="46"/>
      <c r="X100" s="46"/>
      <c r="Y100" s="46"/>
      <c r="Z100" s="46"/>
      <c r="AA100" s="46"/>
      <c r="AB100" s="46"/>
      <c r="AC100" s="46"/>
      <c r="AD100" s="46"/>
      <c r="AE100" s="46"/>
      <c r="AF100" s="822"/>
      <c r="AG100" s="46"/>
      <c r="AH100" s="46"/>
      <c r="AI100" s="75"/>
      <c r="AJ100" s="75"/>
      <c r="AK100" s="75"/>
      <c r="AL100" s="98"/>
      <c r="AM100" s="87"/>
      <c r="AN100" s="87"/>
      <c r="AO100" s="87"/>
      <c r="AP100" s="224"/>
      <c r="AQ100" s="87"/>
      <c r="AR100" s="87"/>
      <c r="AS100" s="87"/>
      <c r="AT100" s="87"/>
      <c r="AU100" s="87"/>
      <c r="AV100" s="172"/>
      <c r="AW100" s="172"/>
      <c r="AX100" s="172"/>
      <c r="AY100" s="172"/>
      <c r="AZ100" s="544"/>
      <c r="BA100" s="308"/>
      <c r="BB100" s="314"/>
      <c r="BC100" s="294"/>
      <c r="BD100" s="544"/>
      <c r="BE100" s="544"/>
      <c r="BF100" s="544"/>
      <c r="BG100" s="544"/>
      <c r="BH100" s="544"/>
      <c r="BI100" s="544"/>
      <c r="BJ100" s="871"/>
      <c r="BK100" s="871"/>
      <c r="BL100" s="565"/>
      <c r="BM100" s="565"/>
      <c r="BN100" s="316"/>
      <c r="BQ100" s="152"/>
      <c r="BR100" s="320"/>
    </row>
    <row r="101" spans="1:106" ht="11.25" customHeight="1">
      <c r="A101" s="116" t="s">
        <v>39</v>
      </c>
      <c r="L101" s="826"/>
      <c r="M101" s="8"/>
      <c r="N101" s="8"/>
      <c r="O101" s="8"/>
      <c r="P101" s="8"/>
      <c r="Q101" s="8"/>
      <c r="R101" s="8"/>
      <c r="S101" s="8"/>
      <c r="T101" s="8"/>
      <c r="U101" s="8"/>
      <c r="V101" s="826"/>
      <c r="W101" s="8"/>
      <c r="X101" s="8"/>
      <c r="Y101" s="8"/>
      <c r="Z101" s="8"/>
      <c r="AA101" s="8"/>
      <c r="AB101" s="8"/>
      <c r="AC101" s="8"/>
      <c r="AD101" s="8"/>
      <c r="AE101" s="8"/>
      <c r="AF101" s="826"/>
      <c r="AG101" s="8"/>
      <c r="AH101" s="8"/>
      <c r="AI101" s="11"/>
      <c r="AJ101" s="11"/>
      <c r="AK101" s="11"/>
      <c r="AL101" s="6"/>
      <c r="AM101" s="23"/>
      <c r="AN101" s="23"/>
      <c r="AO101" s="23"/>
      <c r="AP101" s="180"/>
      <c r="AQ101" s="23"/>
      <c r="AR101" s="23"/>
      <c r="AS101" s="23"/>
      <c r="AT101" s="23"/>
      <c r="AU101" s="23"/>
      <c r="AV101" s="152"/>
      <c r="AW101" s="152"/>
      <c r="AX101" s="152"/>
      <c r="AY101" s="152"/>
      <c r="AZ101" s="535"/>
      <c r="BA101" s="309"/>
      <c r="BB101" s="316"/>
      <c r="BC101" s="296"/>
      <c r="BD101" s="535"/>
      <c r="BE101" s="535"/>
      <c r="BF101" s="535"/>
      <c r="BG101" s="535"/>
      <c r="BH101" s="535"/>
      <c r="BI101" s="535"/>
      <c r="BJ101" s="871"/>
      <c r="BK101" s="871"/>
      <c r="BL101" s="565"/>
      <c r="BM101" s="565"/>
      <c r="BN101" s="316"/>
      <c r="BQ101" s="152"/>
      <c r="BR101" s="320"/>
    </row>
    <row r="102" spans="1:106" ht="11.25" customHeight="1">
      <c r="A102" s="119" t="s">
        <v>127</v>
      </c>
      <c r="B102" s="593">
        <v>1</v>
      </c>
      <c r="C102" s="25">
        <v>1</v>
      </c>
      <c r="D102" s="25">
        <v>1</v>
      </c>
      <c r="E102" s="25">
        <v>1</v>
      </c>
      <c r="F102" s="25">
        <v>1</v>
      </c>
      <c r="G102" s="25">
        <v>1</v>
      </c>
      <c r="H102" s="25">
        <v>1</v>
      </c>
      <c r="I102" s="25">
        <v>1</v>
      </c>
      <c r="J102" s="25">
        <v>2</v>
      </c>
      <c r="K102" s="25">
        <v>2</v>
      </c>
      <c r="L102" s="594">
        <v>2</v>
      </c>
      <c r="M102" s="12">
        <v>9</v>
      </c>
      <c r="N102" s="12">
        <v>10</v>
      </c>
      <c r="O102" s="12">
        <v>14</v>
      </c>
      <c r="P102" s="12">
        <v>13</v>
      </c>
      <c r="Q102" s="12">
        <v>21</v>
      </c>
      <c r="R102" s="12">
        <v>26</v>
      </c>
      <c r="S102" s="12">
        <v>29</v>
      </c>
      <c r="T102" s="12">
        <v>32</v>
      </c>
      <c r="U102" s="12">
        <v>39</v>
      </c>
      <c r="V102" s="594">
        <v>41</v>
      </c>
      <c r="W102" s="12">
        <v>44</v>
      </c>
      <c r="X102" s="12">
        <v>46</v>
      </c>
      <c r="Y102" s="12">
        <v>46</v>
      </c>
      <c r="Z102" s="12">
        <v>51</v>
      </c>
      <c r="AA102" s="12">
        <v>54</v>
      </c>
      <c r="AB102" s="12">
        <v>57</v>
      </c>
      <c r="AC102" s="12">
        <v>56</v>
      </c>
      <c r="AD102" s="12">
        <v>53</v>
      </c>
      <c r="AE102" s="12">
        <v>59</v>
      </c>
      <c r="AF102" s="594">
        <v>66</v>
      </c>
      <c r="AG102" s="12">
        <v>74</v>
      </c>
      <c r="AH102" s="12">
        <v>85</v>
      </c>
      <c r="AI102" s="12">
        <v>88</v>
      </c>
      <c r="AJ102" s="12">
        <v>93</v>
      </c>
      <c r="AK102" s="12">
        <v>99</v>
      </c>
      <c r="AL102" s="12">
        <v>100</v>
      </c>
      <c r="AM102" s="23">
        <v>102</v>
      </c>
      <c r="AN102" s="23">
        <v>104</v>
      </c>
      <c r="AO102" s="87">
        <v>106</v>
      </c>
      <c r="AP102" s="224">
        <v>111</v>
      </c>
      <c r="AQ102" s="87">
        <v>128</v>
      </c>
      <c r="AR102" s="23">
        <v>133</v>
      </c>
      <c r="AS102" s="23">
        <v>141</v>
      </c>
      <c r="AT102" s="23">
        <v>146</v>
      </c>
      <c r="AU102" s="23">
        <v>145</v>
      </c>
      <c r="AV102" s="152">
        <v>154</v>
      </c>
      <c r="AW102" s="152">
        <v>162</v>
      </c>
      <c r="AX102" s="152">
        <v>180</v>
      </c>
      <c r="AY102" s="152">
        <v>197</v>
      </c>
      <c r="AZ102" s="217">
        <v>215</v>
      </c>
      <c r="BA102" s="309">
        <v>207</v>
      </c>
      <c r="BB102" s="309">
        <v>199</v>
      </c>
      <c r="BC102" s="309">
        <v>192</v>
      </c>
      <c r="BD102" s="365">
        <v>194</v>
      </c>
      <c r="BE102" s="365">
        <v>211</v>
      </c>
      <c r="BF102" s="365">
        <v>217</v>
      </c>
      <c r="BG102" s="365">
        <v>220</v>
      </c>
      <c r="BH102" s="365">
        <v>202</v>
      </c>
      <c r="BI102" s="365">
        <v>203</v>
      </c>
      <c r="BJ102" s="410">
        <f>(BH102-BG102)/BG102</f>
        <v>-8.1818181818181818E-2</v>
      </c>
      <c r="BK102" s="410">
        <f>(BI102-BH102)/BH102</f>
        <v>4.9504950495049506E-3</v>
      </c>
      <c r="BL102" s="564">
        <f>BH102-BG102</f>
        <v>-18</v>
      </c>
      <c r="BM102" s="564">
        <f>BI102-BH102</f>
        <v>1</v>
      </c>
      <c r="BN102" s="348"/>
      <c r="BQ102" s="152"/>
      <c r="BR102" s="320"/>
    </row>
    <row r="103" spans="1:106" ht="6" customHeight="1">
      <c r="A103" s="115"/>
      <c r="B103" s="631"/>
      <c r="C103" s="39"/>
      <c r="D103" s="39"/>
      <c r="E103" s="39"/>
      <c r="F103" s="39"/>
      <c r="G103" s="39"/>
      <c r="H103" s="39"/>
      <c r="I103" s="39"/>
      <c r="J103" s="39"/>
      <c r="K103" s="39"/>
      <c r="L103" s="594"/>
      <c r="M103" s="12"/>
      <c r="N103" s="12"/>
      <c r="O103" s="12"/>
      <c r="P103" s="12"/>
      <c r="Q103" s="12"/>
      <c r="R103" s="12"/>
      <c r="S103" s="12"/>
      <c r="T103" s="12"/>
      <c r="U103" s="12"/>
      <c r="V103" s="594"/>
      <c r="W103" s="12"/>
      <c r="X103" s="12"/>
      <c r="Y103" s="12"/>
      <c r="Z103" s="12"/>
      <c r="AA103" s="12"/>
      <c r="AB103" s="12"/>
      <c r="AC103" s="12"/>
      <c r="AD103" s="12"/>
      <c r="AE103" s="12"/>
      <c r="AF103" s="594"/>
      <c r="AG103" s="12"/>
      <c r="AH103" s="12"/>
      <c r="AI103" s="12"/>
      <c r="AJ103" s="12"/>
      <c r="AK103" s="12"/>
      <c r="AL103" s="12"/>
      <c r="AM103" s="23"/>
      <c r="AN103" s="23"/>
      <c r="AO103" s="23"/>
      <c r="AP103" s="180"/>
      <c r="AQ103" s="23"/>
      <c r="AR103" s="23"/>
      <c r="AS103" s="23"/>
      <c r="AT103" s="23"/>
      <c r="AU103" s="23"/>
      <c r="AV103" s="152"/>
      <c r="AW103" s="152"/>
      <c r="AX103" s="152"/>
      <c r="AY103" s="152"/>
      <c r="AZ103" s="535"/>
      <c r="BA103" s="309"/>
      <c r="BB103" s="316"/>
      <c r="BC103" s="296"/>
      <c r="BD103" s="535"/>
      <c r="BE103" s="535"/>
      <c r="BF103" s="535"/>
      <c r="BG103" s="535"/>
      <c r="BH103" s="535"/>
      <c r="BI103" s="535"/>
      <c r="BJ103" s="871"/>
      <c r="BK103" s="871"/>
      <c r="BL103" s="565"/>
      <c r="BM103" s="565"/>
      <c r="BN103" s="316"/>
      <c r="BQ103" s="152"/>
      <c r="BR103" s="320"/>
    </row>
    <row r="104" spans="1:106" ht="11.25" customHeight="1">
      <c r="A104" s="116" t="s">
        <v>40</v>
      </c>
      <c r="L104" s="594"/>
      <c r="M104" s="12"/>
      <c r="N104" s="12"/>
      <c r="O104" s="12"/>
      <c r="P104" s="12"/>
      <c r="Q104" s="12"/>
      <c r="R104" s="12"/>
      <c r="S104" s="12"/>
      <c r="T104" s="12"/>
      <c r="U104" s="12"/>
      <c r="V104" s="594"/>
      <c r="W104" s="12"/>
      <c r="X104" s="12"/>
      <c r="Y104" s="12"/>
      <c r="Z104" s="12"/>
      <c r="AA104" s="12"/>
      <c r="AB104" s="12"/>
      <c r="AC104" s="12"/>
      <c r="AD104" s="12"/>
      <c r="AE104" s="12"/>
      <c r="AF104" s="594"/>
      <c r="AG104" s="12"/>
      <c r="AH104" s="12"/>
      <c r="AI104" s="12"/>
      <c r="AJ104" s="12"/>
      <c r="AK104" s="12"/>
      <c r="AL104" s="12"/>
      <c r="AM104" s="23"/>
      <c r="AN104" s="23"/>
      <c r="AO104" s="23"/>
      <c r="AP104" s="180"/>
      <c r="AQ104" s="23"/>
      <c r="AR104" s="23"/>
      <c r="AS104" s="23"/>
      <c r="AT104" s="23"/>
      <c r="AU104" s="23"/>
      <c r="AV104" s="152"/>
      <c r="AW104" s="152"/>
      <c r="AX104" s="152"/>
      <c r="AY104" s="152"/>
      <c r="AZ104" s="535"/>
      <c r="BA104" s="309"/>
      <c r="BB104" s="316"/>
      <c r="BC104" s="296"/>
      <c r="BD104" s="535"/>
      <c r="BE104" s="535"/>
      <c r="BF104" s="535"/>
      <c r="BG104" s="535"/>
      <c r="BH104" s="535"/>
      <c r="BI104" s="535"/>
      <c r="BJ104" s="871"/>
      <c r="BK104" s="871"/>
      <c r="BL104" s="565"/>
      <c r="BM104" s="565"/>
      <c r="BN104" s="316"/>
      <c r="BQ104" s="152"/>
      <c r="BR104" s="112"/>
    </row>
    <row r="105" spans="1:106" s="711" customFormat="1" ht="11.25" customHeight="1">
      <c r="A105" s="707" t="s">
        <v>128</v>
      </c>
      <c r="B105" s="593">
        <v>3</v>
      </c>
      <c r="C105" s="716">
        <v>3</v>
      </c>
      <c r="D105" s="716">
        <v>4</v>
      </c>
      <c r="E105" s="716">
        <v>5</v>
      </c>
      <c r="F105" s="716">
        <v>5</v>
      </c>
      <c r="G105" s="716">
        <v>4</v>
      </c>
      <c r="H105" s="716">
        <v>5</v>
      </c>
      <c r="I105" s="716">
        <v>5</v>
      </c>
      <c r="J105" s="716">
        <v>5</v>
      </c>
      <c r="K105" s="716">
        <v>6</v>
      </c>
      <c r="L105" s="594">
        <v>7</v>
      </c>
      <c r="M105" s="724">
        <v>7</v>
      </c>
      <c r="N105" s="724">
        <v>13</v>
      </c>
      <c r="O105" s="724">
        <v>17</v>
      </c>
      <c r="P105" s="724">
        <v>18</v>
      </c>
      <c r="Q105" s="724">
        <v>23</v>
      </c>
      <c r="R105" s="724">
        <v>36</v>
      </c>
      <c r="S105" s="724">
        <v>34</v>
      </c>
      <c r="T105" s="724">
        <v>57</v>
      </c>
      <c r="U105" s="724">
        <v>64</v>
      </c>
      <c r="V105" s="594">
        <v>71</v>
      </c>
      <c r="W105" s="724">
        <v>78</v>
      </c>
      <c r="X105" s="724">
        <v>85</v>
      </c>
      <c r="Y105" s="724">
        <v>72</v>
      </c>
      <c r="Z105" s="724">
        <v>76</v>
      </c>
      <c r="AA105" s="724">
        <v>87</v>
      </c>
      <c r="AB105" s="724">
        <v>109</v>
      </c>
      <c r="AC105" s="724">
        <v>113</v>
      </c>
      <c r="AD105" s="724">
        <v>130</v>
      </c>
      <c r="AE105" s="724">
        <v>143</v>
      </c>
      <c r="AF105" s="594">
        <v>152</v>
      </c>
      <c r="AG105" s="724">
        <v>198</v>
      </c>
      <c r="AH105" s="724">
        <v>222</v>
      </c>
      <c r="AI105" s="724">
        <v>260</v>
      </c>
      <c r="AJ105" s="724">
        <v>273</v>
      </c>
      <c r="AK105" s="724">
        <v>184</v>
      </c>
      <c r="AL105" s="724">
        <v>162</v>
      </c>
      <c r="AM105" s="725">
        <v>174</v>
      </c>
      <c r="AN105" s="725">
        <v>185</v>
      </c>
      <c r="AO105" s="725">
        <v>222</v>
      </c>
      <c r="AP105" s="180">
        <v>236</v>
      </c>
      <c r="AQ105" s="725">
        <v>255</v>
      </c>
      <c r="AR105" s="740">
        <v>274</v>
      </c>
      <c r="AS105" s="740">
        <v>288</v>
      </c>
      <c r="AT105" s="740">
        <v>295</v>
      </c>
      <c r="AU105" s="740">
        <v>316</v>
      </c>
      <c r="AV105" s="741">
        <v>345</v>
      </c>
      <c r="AW105" s="741">
        <v>314.94670420533936</v>
      </c>
      <c r="AX105" s="741">
        <v>411</v>
      </c>
      <c r="AY105" s="741">
        <v>295</v>
      </c>
      <c r="AZ105" s="271">
        <v>376</v>
      </c>
      <c r="BA105" s="742">
        <v>386</v>
      </c>
      <c r="BB105" s="742">
        <v>457</v>
      </c>
      <c r="BC105" s="742">
        <v>517</v>
      </c>
      <c r="BD105" s="742">
        <v>507</v>
      </c>
      <c r="BE105" s="742">
        <v>348</v>
      </c>
      <c r="BF105" s="742">
        <v>422</v>
      </c>
      <c r="BG105" s="307">
        <v>441</v>
      </c>
      <c r="BH105" s="307">
        <v>306</v>
      </c>
      <c r="BI105" s="307">
        <v>304</v>
      </c>
      <c r="BJ105" s="410">
        <f t="shared" ref="BJ105:BK111" si="42">(BH105-BG105)/BG105</f>
        <v>-0.30612244897959184</v>
      </c>
      <c r="BK105" s="410">
        <f t="shared" si="42"/>
        <v>-6.5359477124183009E-3</v>
      </c>
      <c r="BL105" s="564">
        <f t="shared" ref="BL105:BM111" si="43">BH105-BG105</f>
        <v>-135</v>
      </c>
      <c r="BM105" s="564">
        <f t="shared" si="43"/>
        <v>-2</v>
      </c>
      <c r="BN105" s="639"/>
      <c r="BO105" s="708"/>
      <c r="BP105" s="708"/>
      <c r="BQ105" s="709"/>
      <c r="BR105" s="708"/>
    </row>
    <row r="106" spans="1:106" ht="11.25" customHeight="1">
      <c r="A106" s="119" t="s">
        <v>129</v>
      </c>
      <c r="B106" s="276" t="s">
        <v>3</v>
      </c>
      <c r="C106" s="40" t="s">
        <v>3</v>
      </c>
      <c r="D106" s="40" t="s">
        <v>3</v>
      </c>
      <c r="E106" s="40" t="s">
        <v>3</v>
      </c>
      <c r="F106" s="40" t="s">
        <v>3</v>
      </c>
      <c r="G106" s="40" t="s">
        <v>3</v>
      </c>
      <c r="H106" s="40" t="s">
        <v>3</v>
      </c>
      <c r="I106" s="40" t="s">
        <v>3</v>
      </c>
      <c r="J106" s="40" t="s">
        <v>3</v>
      </c>
      <c r="K106" s="40" t="s">
        <v>3</v>
      </c>
      <c r="L106" s="276" t="s">
        <v>3</v>
      </c>
      <c r="M106" s="40" t="s">
        <v>3</v>
      </c>
      <c r="N106" s="40" t="s">
        <v>3</v>
      </c>
      <c r="O106" s="40" t="s">
        <v>3</v>
      </c>
      <c r="P106" s="40" t="s">
        <v>3</v>
      </c>
      <c r="Q106" s="40" t="s">
        <v>3</v>
      </c>
      <c r="R106" s="40" t="s">
        <v>3</v>
      </c>
      <c r="S106" s="40" t="s">
        <v>3</v>
      </c>
      <c r="T106" s="40" t="s">
        <v>3</v>
      </c>
      <c r="U106" s="40" t="s">
        <v>3</v>
      </c>
      <c r="V106" s="276" t="s">
        <v>3</v>
      </c>
      <c r="W106" s="40" t="s">
        <v>3</v>
      </c>
      <c r="X106" s="40" t="s">
        <v>3</v>
      </c>
      <c r="Y106" s="12">
        <v>119</v>
      </c>
      <c r="Z106" s="12">
        <v>157</v>
      </c>
      <c r="AA106" s="12">
        <f>(161323-69297+69748+113)/1000</f>
        <v>161.887</v>
      </c>
      <c r="AB106" s="12">
        <v>157</v>
      </c>
      <c r="AC106" s="12">
        <v>166</v>
      </c>
      <c r="AD106" s="12">
        <v>165</v>
      </c>
      <c r="AE106" s="12">
        <v>171</v>
      </c>
      <c r="AF106" s="594">
        <v>179</v>
      </c>
      <c r="AG106" s="12">
        <v>183</v>
      </c>
      <c r="AH106" s="12">
        <v>201</v>
      </c>
      <c r="AI106" s="12">
        <v>209</v>
      </c>
      <c r="AJ106" s="87">
        <v>203</v>
      </c>
      <c r="AK106" s="12">
        <v>193</v>
      </c>
      <c r="AL106" s="12">
        <v>195</v>
      </c>
      <c r="AM106" s="23">
        <v>202</v>
      </c>
      <c r="AN106" s="23">
        <v>205</v>
      </c>
      <c r="AO106" s="23">
        <v>214</v>
      </c>
      <c r="AP106" s="180">
        <v>412</v>
      </c>
      <c r="AQ106" s="23">
        <v>480</v>
      </c>
      <c r="AR106" s="87">
        <v>762</v>
      </c>
      <c r="AS106" s="49">
        <v>1161</v>
      </c>
      <c r="AT106" s="87">
        <v>316</v>
      </c>
      <c r="AU106" s="23">
        <v>348</v>
      </c>
      <c r="AV106" s="172">
        <v>327</v>
      </c>
      <c r="AW106" s="172">
        <v>322</v>
      </c>
      <c r="AX106" s="172">
        <v>317</v>
      </c>
      <c r="AY106" s="172">
        <v>327</v>
      </c>
      <c r="AZ106" s="307">
        <v>356</v>
      </c>
      <c r="BA106" s="308">
        <v>376</v>
      </c>
      <c r="BB106" s="308">
        <v>169</v>
      </c>
      <c r="BC106" s="308">
        <v>155</v>
      </c>
      <c r="BD106" s="307">
        <v>153</v>
      </c>
      <c r="BE106" s="307">
        <v>171</v>
      </c>
      <c r="BF106" s="307">
        <v>174</v>
      </c>
      <c r="BG106" s="307">
        <v>177</v>
      </c>
      <c r="BH106" s="307">
        <v>150</v>
      </c>
      <c r="BI106" s="307">
        <v>201</v>
      </c>
      <c r="BJ106" s="410">
        <f t="shared" si="42"/>
        <v>-0.15254237288135594</v>
      </c>
      <c r="BK106" s="410">
        <f t="shared" si="42"/>
        <v>0.34</v>
      </c>
      <c r="BL106" s="564">
        <f t="shared" si="43"/>
        <v>-27</v>
      </c>
      <c r="BM106" s="564">
        <f t="shared" si="43"/>
        <v>51</v>
      </c>
      <c r="BN106" s="348"/>
      <c r="BQ106" s="152"/>
      <c r="BR106" s="364"/>
      <c r="BS106" s="68" t="s">
        <v>122</v>
      </c>
    </row>
    <row r="107" spans="1:106" s="364" customFormat="1" ht="12" customHeight="1">
      <c r="A107" s="364" t="s">
        <v>112</v>
      </c>
      <c r="B107" s="803" t="s">
        <v>3</v>
      </c>
      <c r="C107" s="363" t="s">
        <v>3</v>
      </c>
      <c r="D107" s="363" t="s">
        <v>3</v>
      </c>
      <c r="E107" s="363" t="s">
        <v>3</v>
      </c>
      <c r="F107" s="363" t="s">
        <v>3</v>
      </c>
      <c r="G107" s="363" t="s">
        <v>3</v>
      </c>
      <c r="H107" s="363" t="s">
        <v>3</v>
      </c>
      <c r="I107" s="363" t="s">
        <v>3</v>
      </c>
      <c r="J107" s="363" t="s">
        <v>3</v>
      </c>
      <c r="K107" s="363" t="s">
        <v>3</v>
      </c>
      <c r="L107" s="803" t="s">
        <v>3</v>
      </c>
      <c r="M107" s="363" t="s">
        <v>3</v>
      </c>
      <c r="N107" s="363" t="s">
        <v>3</v>
      </c>
      <c r="O107" s="363" t="s">
        <v>3</v>
      </c>
      <c r="P107" s="363" t="s">
        <v>3</v>
      </c>
      <c r="Q107" s="363" t="s">
        <v>3</v>
      </c>
      <c r="R107" s="363" t="s">
        <v>3</v>
      </c>
      <c r="S107" s="363" t="s">
        <v>3</v>
      </c>
      <c r="T107" s="363" t="s">
        <v>3</v>
      </c>
      <c r="U107" s="363" t="s">
        <v>3</v>
      </c>
      <c r="V107" s="803" t="s">
        <v>3</v>
      </c>
      <c r="W107" s="363" t="s">
        <v>3</v>
      </c>
      <c r="X107" s="363" t="s">
        <v>3</v>
      </c>
      <c r="Y107" s="363" t="s">
        <v>3</v>
      </c>
      <c r="Z107" s="363" t="s">
        <v>3</v>
      </c>
      <c r="AA107" s="363" t="s">
        <v>3</v>
      </c>
      <c r="AB107" s="363" t="s">
        <v>3</v>
      </c>
      <c r="AC107" s="363" t="s">
        <v>3</v>
      </c>
      <c r="AD107" s="363" t="s">
        <v>3</v>
      </c>
      <c r="AE107" s="363" t="s">
        <v>3</v>
      </c>
      <c r="AF107" s="803" t="s">
        <v>3</v>
      </c>
      <c r="AG107" s="363" t="s">
        <v>3</v>
      </c>
      <c r="AH107" s="363" t="s">
        <v>3</v>
      </c>
      <c r="AI107" s="363" t="s">
        <v>3</v>
      </c>
      <c r="AJ107" s="363" t="s">
        <v>3</v>
      </c>
      <c r="AK107" s="363" t="s">
        <v>3</v>
      </c>
      <c r="AL107" s="363" t="s">
        <v>3</v>
      </c>
      <c r="AM107" s="363" t="s">
        <v>3</v>
      </c>
      <c r="AN107" s="363" t="s">
        <v>3</v>
      </c>
      <c r="AO107" s="363" t="s">
        <v>3</v>
      </c>
      <c r="AP107" s="803" t="s">
        <v>3</v>
      </c>
      <c r="AQ107" s="363" t="s">
        <v>3</v>
      </c>
      <c r="AR107" s="363" t="s">
        <v>3</v>
      </c>
      <c r="AS107" s="363" t="s">
        <v>3</v>
      </c>
      <c r="AT107" s="363" t="s">
        <v>3</v>
      </c>
      <c r="AU107" s="363" t="s">
        <v>3</v>
      </c>
      <c r="AV107" s="363" t="s">
        <v>3</v>
      </c>
      <c r="AW107" s="363" t="s">
        <v>3</v>
      </c>
      <c r="AX107" s="363" t="s">
        <v>3</v>
      </c>
      <c r="AY107" s="363" t="s">
        <v>3</v>
      </c>
      <c r="AZ107" s="803" t="s">
        <v>3</v>
      </c>
      <c r="BA107" s="363" t="s">
        <v>3</v>
      </c>
      <c r="BB107" s="364">
        <v>125</v>
      </c>
      <c r="BC107" s="364">
        <v>182</v>
      </c>
      <c r="BD107" s="429">
        <v>198</v>
      </c>
      <c r="BE107" s="429">
        <v>228</v>
      </c>
      <c r="BF107" s="429">
        <v>236</v>
      </c>
      <c r="BG107" s="429">
        <v>245</v>
      </c>
      <c r="BH107" s="429">
        <v>242</v>
      </c>
      <c r="BI107" s="429">
        <v>245</v>
      </c>
      <c r="BJ107" s="410">
        <f t="shared" si="42"/>
        <v>-1.2244897959183673E-2</v>
      </c>
      <c r="BK107" s="410">
        <f t="shared" si="42"/>
        <v>1.2396694214876033E-2</v>
      </c>
      <c r="BL107" s="564">
        <f t="shared" si="43"/>
        <v>-3</v>
      </c>
      <c r="BM107" s="564">
        <f t="shared" si="43"/>
        <v>3</v>
      </c>
      <c r="BN107" s="348"/>
      <c r="BO107" s="112"/>
      <c r="BP107" s="112"/>
      <c r="BQ107" s="152"/>
    </row>
    <row r="108" spans="1:106" s="364" customFormat="1" ht="12" customHeight="1">
      <c r="A108" s="364" t="s">
        <v>113</v>
      </c>
      <c r="B108" s="803" t="s">
        <v>3</v>
      </c>
      <c r="C108" s="363" t="s">
        <v>3</v>
      </c>
      <c r="D108" s="363" t="s">
        <v>3</v>
      </c>
      <c r="E108" s="363" t="s">
        <v>3</v>
      </c>
      <c r="F108" s="363" t="s">
        <v>3</v>
      </c>
      <c r="G108" s="363" t="s">
        <v>3</v>
      </c>
      <c r="H108" s="363" t="s">
        <v>3</v>
      </c>
      <c r="I108" s="363" t="s">
        <v>3</v>
      </c>
      <c r="J108" s="363" t="s">
        <v>3</v>
      </c>
      <c r="K108" s="363" t="s">
        <v>3</v>
      </c>
      <c r="L108" s="803" t="s">
        <v>3</v>
      </c>
      <c r="M108" s="363" t="s">
        <v>3</v>
      </c>
      <c r="N108" s="363" t="s">
        <v>3</v>
      </c>
      <c r="O108" s="363" t="s">
        <v>3</v>
      </c>
      <c r="P108" s="363" t="s">
        <v>3</v>
      </c>
      <c r="Q108" s="363" t="s">
        <v>3</v>
      </c>
      <c r="R108" s="363" t="s">
        <v>3</v>
      </c>
      <c r="S108" s="363" t="s">
        <v>3</v>
      </c>
      <c r="T108" s="363" t="s">
        <v>3</v>
      </c>
      <c r="U108" s="363" t="s">
        <v>3</v>
      </c>
      <c r="V108" s="803" t="s">
        <v>3</v>
      </c>
      <c r="W108" s="363" t="s">
        <v>3</v>
      </c>
      <c r="X108" s="363" t="s">
        <v>3</v>
      </c>
      <c r="Y108" s="363" t="s">
        <v>3</v>
      </c>
      <c r="Z108" s="363" t="s">
        <v>3</v>
      </c>
      <c r="AA108" s="363" t="s">
        <v>3</v>
      </c>
      <c r="AB108" s="363" t="s">
        <v>3</v>
      </c>
      <c r="AC108" s="363" t="s">
        <v>3</v>
      </c>
      <c r="AD108" s="363" t="s">
        <v>3</v>
      </c>
      <c r="AE108" s="363" t="s">
        <v>3</v>
      </c>
      <c r="AF108" s="803" t="s">
        <v>3</v>
      </c>
      <c r="AG108" s="363" t="s">
        <v>3</v>
      </c>
      <c r="AH108" s="363" t="s">
        <v>3</v>
      </c>
      <c r="AI108" s="363">
        <v>5</v>
      </c>
      <c r="AJ108" s="364">
        <v>5</v>
      </c>
      <c r="AK108" s="364">
        <v>4</v>
      </c>
      <c r="AL108" s="364">
        <v>6</v>
      </c>
      <c r="AM108" s="364">
        <v>6</v>
      </c>
      <c r="AN108" s="364">
        <v>6</v>
      </c>
      <c r="AO108" s="364">
        <v>6</v>
      </c>
      <c r="AP108" s="429">
        <v>6</v>
      </c>
      <c r="AQ108" s="364">
        <v>7</v>
      </c>
      <c r="AR108" s="364">
        <v>6</v>
      </c>
      <c r="AS108" s="364">
        <v>6</v>
      </c>
      <c r="AT108" s="364">
        <v>6</v>
      </c>
      <c r="AU108" s="364">
        <v>7</v>
      </c>
      <c r="AV108" s="364">
        <v>8</v>
      </c>
      <c r="AW108" s="364">
        <v>7</v>
      </c>
      <c r="AX108" s="364">
        <v>6</v>
      </c>
      <c r="AY108" s="364">
        <v>7</v>
      </c>
      <c r="AZ108" s="429">
        <v>7</v>
      </c>
      <c r="BA108" s="364">
        <v>7</v>
      </c>
      <c r="BB108" s="364">
        <v>10</v>
      </c>
      <c r="BC108" s="364">
        <v>10</v>
      </c>
      <c r="BD108" s="429">
        <v>10</v>
      </c>
      <c r="BE108" s="429">
        <v>17</v>
      </c>
      <c r="BF108" s="429">
        <v>17</v>
      </c>
      <c r="BG108" s="429">
        <v>14</v>
      </c>
      <c r="BH108" s="429">
        <v>16</v>
      </c>
      <c r="BI108" s="429">
        <v>16</v>
      </c>
      <c r="BJ108" s="410">
        <f t="shared" si="42"/>
        <v>0.14285714285714285</v>
      </c>
      <c r="BK108" s="410">
        <f t="shared" si="42"/>
        <v>0</v>
      </c>
      <c r="BL108" s="564">
        <f t="shared" si="43"/>
        <v>2</v>
      </c>
      <c r="BM108" s="564">
        <f t="shared" si="43"/>
        <v>0</v>
      </c>
      <c r="BN108" s="348"/>
      <c r="BO108" s="112"/>
      <c r="BP108" s="112"/>
      <c r="BQ108" s="152"/>
      <c r="BR108" s="112"/>
    </row>
    <row r="109" spans="1:106" ht="11.25" customHeight="1">
      <c r="A109" s="119" t="s">
        <v>130</v>
      </c>
      <c r="B109" s="227" t="s">
        <v>3</v>
      </c>
      <c r="C109" s="27" t="s">
        <v>3</v>
      </c>
      <c r="D109" s="27" t="s">
        <v>3</v>
      </c>
      <c r="E109" s="27" t="s">
        <v>3</v>
      </c>
      <c r="F109" s="27" t="s">
        <v>3</v>
      </c>
      <c r="G109" s="27" t="s">
        <v>3</v>
      </c>
      <c r="H109" s="27" t="s">
        <v>3</v>
      </c>
      <c r="I109" s="27" t="s">
        <v>3</v>
      </c>
      <c r="J109" s="27" t="s">
        <v>3</v>
      </c>
      <c r="K109" s="27" t="s">
        <v>3</v>
      </c>
      <c r="L109" s="227" t="s">
        <v>3</v>
      </c>
      <c r="M109" s="27" t="s">
        <v>3</v>
      </c>
      <c r="N109" s="27" t="s">
        <v>3</v>
      </c>
      <c r="O109" s="27" t="s">
        <v>3</v>
      </c>
      <c r="P109" s="27" t="s">
        <v>3</v>
      </c>
      <c r="Q109" s="27" t="s">
        <v>3</v>
      </c>
      <c r="R109" s="27" t="s">
        <v>3</v>
      </c>
      <c r="S109" s="40" t="s">
        <v>11</v>
      </c>
      <c r="T109" s="24">
        <v>5</v>
      </c>
      <c r="U109" s="24">
        <v>48</v>
      </c>
      <c r="V109" s="277">
        <v>85</v>
      </c>
      <c r="W109" s="24">
        <v>131</v>
      </c>
      <c r="X109" s="24">
        <v>119</v>
      </c>
      <c r="Y109" s="24">
        <v>164</v>
      </c>
      <c r="Z109" s="24">
        <v>206</v>
      </c>
      <c r="AA109" s="24">
        <v>272</v>
      </c>
      <c r="AB109" s="24">
        <v>327</v>
      </c>
      <c r="AC109" s="24">
        <v>325</v>
      </c>
      <c r="AD109" s="24">
        <v>349</v>
      </c>
      <c r="AE109" s="24">
        <v>323</v>
      </c>
      <c r="AF109" s="277">
        <v>327</v>
      </c>
      <c r="AG109" s="24">
        <v>323</v>
      </c>
      <c r="AH109" s="24">
        <v>295</v>
      </c>
      <c r="AI109" s="24">
        <v>305</v>
      </c>
      <c r="AJ109" s="24">
        <v>314</v>
      </c>
      <c r="AK109" s="24">
        <v>313</v>
      </c>
      <c r="AL109" s="24">
        <v>316</v>
      </c>
      <c r="AM109" s="23">
        <v>322</v>
      </c>
      <c r="AN109" s="65">
        <v>331</v>
      </c>
      <c r="AO109" s="49">
        <v>359</v>
      </c>
      <c r="AP109" s="776">
        <v>392</v>
      </c>
      <c r="AQ109" s="49">
        <v>441</v>
      </c>
      <c r="AR109" s="49">
        <v>420</v>
      </c>
      <c r="AS109" s="49">
        <v>384</v>
      </c>
      <c r="AT109" s="49">
        <v>322</v>
      </c>
      <c r="AU109" s="49">
        <v>385</v>
      </c>
      <c r="AV109" s="30">
        <f>111+268</f>
        <v>379</v>
      </c>
      <c r="AW109" s="30">
        <f>105+313</f>
        <v>418</v>
      </c>
      <c r="AX109" s="30">
        <v>411</v>
      </c>
      <c r="AY109" s="30">
        <v>325</v>
      </c>
      <c r="AZ109" s="270">
        <v>180</v>
      </c>
      <c r="BA109" s="348">
        <v>173</v>
      </c>
      <c r="BB109" s="348">
        <v>119</v>
      </c>
      <c r="BC109" s="348">
        <v>117</v>
      </c>
      <c r="BD109" s="358">
        <v>111</v>
      </c>
      <c r="BE109" s="358">
        <v>116</v>
      </c>
      <c r="BF109" s="358">
        <v>117</v>
      </c>
      <c r="BG109" s="358">
        <v>121</v>
      </c>
      <c r="BH109" s="358">
        <v>120</v>
      </c>
      <c r="BI109" s="358">
        <v>101</v>
      </c>
      <c r="BJ109" s="410">
        <f t="shared" si="42"/>
        <v>-8.2644628099173556E-3</v>
      </c>
      <c r="BK109" s="410">
        <f t="shared" si="42"/>
        <v>-0.15833333333333333</v>
      </c>
      <c r="BL109" s="564">
        <f t="shared" si="43"/>
        <v>-1</v>
      </c>
      <c r="BM109" s="564">
        <f t="shared" si="43"/>
        <v>-19</v>
      </c>
      <c r="BN109" s="348"/>
      <c r="BQ109" s="152"/>
      <c r="BR109" s="112"/>
    </row>
    <row r="110" spans="1:106" ht="11.25" customHeight="1">
      <c r="A110" s="285" t="s">
        <v>131</v>
      </c>
      <c r="B110" s="802" t="s">
        <v>3</v>
      </c>
      <c r="C110" s="41" t="s">
        <v>3</v>
      </c>
      <c r="D110" s="41" t="s">
        <v>3</v>
      </c>
      <c r="E110" s="41" t="s">
        <v>3</v>
      </c>
      <c r="F110" s="41" t="s">
        <v>3</v>
      </c>
      <c r="G110" s="41" t="s">
        <v>3</v>
      </c>
      <c r="H110" s="41" t="s">
        <v>3</v>
      </c>
      <c r="I110" s="41" t="s">
        <v>3</v>
      </c>
      <c r="J110" s="41" t="s">
        <v>3</v>
      </c>
      <c r="K110" s="41" t="s">
        <v>3</v>
      </c>
      <c r="L110" s="802" t="s">
        <v>3</v>
      </c>
      <c r="M110" s="41" t="s">
        <v>3</v>
      </c>
      <c r="N110" s="41" t="s">
        <v>3</v>
      </c>
      <c r="O110" s="41" t="s">
        <v>3</v>
      </c>
      <c r="P110" s="41" t="s">
        <v>3</v>
      </c>
      <c r="Q110" s="41" t="s">
        <v>3</v>
      </c>
      <c r="R110" s="41" t="s">
        <v>3</v>
      </c>
      <c r="S110" s="41" t="s">
        <v>3</v>
      </c>
      <c r="T110" s="41" t="s">
        <v>3</v>
      </c>
      <c r="U110" s="41" t="s">
        <v>3</v>
      </c>
      <c r="V110" s="802" t="s">
        <v>3</v>
      </c>
      <c r="W110" s="41" t="s">
        <v>3</v>
      </c>
      <c r="X110" s="41" t="s">
        <v>3</v>
      </c>
      <c r="Y110" s="41" t="s">
        <v>3</v>
      </c>
      <c r="Z110" s="41" t="s">
        <v>3</v>
      </c>
      <c r="AA110" s="41" t="s">
        <v>3</v>
      </c>
      <c r="AB110" s="41" t="s">
        <v>3</v>
      </c>
      <c r="AC110" s="41" t="s">
        <v>3</v>
      </c>
      <c r="AD110" s="41" t="s">
        <v>3</v>
      </c>
      <c r="AE110" s="41" t="s">
        <v>3</v>
      </c>
      <c r="AF110" s="802" t="s">
        <v>3</v>
      </c>
      <c r="AG110" s="41" t="s">
        <v>3</v>
      </c>
      <c r="AH110" s="41" t="s">
        <v>3</v>
      </c>
      <c r="AI110" s="41" t="s">
        <v>3</v>
      </c>
      <c r="AJ110" s="41" t="s">
        <v>3</v>
      </c>
      <c r="AK110" s="14">
        <v>204</v>
      </c>
      <c r="AL110" s="14">
        <v>188</v>
      </c>
      <c r="AM110" s="36">
        <v>188</v>
      </c>
      <c r="AN110" s="36">
        <v>202</v>
      </c>
      <c r="AO110" s="36">
        <v>233</v>
      </c>
      <c r="AP110" s="772">
        <v>196</v>
      </c>
      <c r="AQ110" s="36">
        <v>222</v>
      </c>
      <c r="AR110" s="36">
        <v>236</v>
      </c>
      <c r="AS110" s="36">
        <v>243</v>
      </c>
      <c r="AT110" s="36">
        <v>261</v>
      </c>
      <c r="AU110" s="36">
        <v>246</v>
      </c>
      <c r="AV110" s="83">
        <v>256</v>
      </c>
      <c r="AW110" s="172">
        <v>257.52774974772956</v>
      </c>
      <c r="AX110" s="271">
        <v>264.71052631578948</v>
      </c>
      <c r="AY110" s="271">
        <v>257</v>
      </c>
      <c r="AZ110" s="307">
        <v>274</v>
      </c>
      <c r="BA110" s="307">
        <v>322</v>
      </c>
      <c r="BB110" s="307">
        <v>311</v>
      </c>
      <c r="BC110" s="307">
        <v>295</v>
      </c>
      <c r="BD110" s="307">
        <v>289</v>
      </c>
      <c r="BE110" s="349">
        <v>299.97883948279917</v>
      </c>
      <c r="BF110" s="361">
        <v>306</v>
      </c>
      <c r="BG110" s="361">
        <v>313</v>
      </c>
      <c r="BH110" s="361">
        <v>314</v>
      </c>
      <c r="BI110" s="361">
        <v>278</v>
      </c>
      <c r="BJ110" s="410">
        <f t="shared" si="42"/>
        <v>3.1948881789137379E-3</v>
      </c>
      <c r="BK110" s="410">
        <f t="shared" si="42"/>
        <v>-0.11464968152866242</v>
      </c>
      <c r="BL110" s="564">
        <f t="shared" si="43"/>
        <v>1</v>
      </c>
      <c r="BM110" s="564">
        <f t="shared" si="43"/>
        <v>-36</v>
      </c>
      <c r="BN110" s="348"/>
      <c r="BQ110" s="152"/>
      <c r="BR110" s="112"/>
    </row>
    <row r="111" spans="1:106" ht="11.25" customHeight="1">
      <c r="A111" s="118" t="s">
        <v>31</v>
      </c>
      <c r="B111" s="394">
        <f t="shared" ref="B111:Q111" si="44">SUM(B105:B109)</f>
        <v>3</v>
      </c>
      <c r="C111" s="127">
        <f t="shared" si="44"/>
        <v>3</v>
      </c>
      <c r="D111" s="127">
        <f t="shared" si="44"/>
        <v>4</v>
      </c>
      <c r="E111" s="127">
        <f t="shared" si="44"/>
        <v>5</v>
      </c>
      <c r="F111" s="127">
        <f t="shared" si="44"/>
        <v>5</v>
      </c>
      <c r="G111" s="127">
        <f t="shared" si="44"/>
        <v>4</v>
      </c>
      <c r="H111" s="127">
        <f t="shared" si="44"/>
        <v>5</v>
      </c>
      <c r="I111" s="127">
        <f t="shared" si="44"/>
        <v>5</v>
      </c>
      <c r="J111" s="127">
        <f t="shared" si="44"/>
        <v>5</v>
      </c>
      <c r="K111" s="127">
        <f t="shared" si="44"/>
        <v>6</v>
      </c>
      <c r="L111" s="394">
        <f t="shared" si="44"/>
        <v>7</v>
      </c>
      <c r="M111" s="127">
        <f t="shared" si="44"/>
        <v>7</v>
      </c>
      <c r="N111" s="127">
        <f t="shared" si="44"/>
        <v>13</v>
      </c>
      <c r="O111" s="127">
        <f t="shared" si="44"/>
        <v>17</v>
      </c>
      <c r="P111" s="127">
        <f t="shared" si="44"/>
        <v>18</v>
      </c>
      <c r="Q111" s="127">
        <f t="shared" si="44"/>
        <v>23</v>
      </c>
      <c r="R111" s="127">
        <f>SUM(R105:R109)</f>
        <v>36</v>
      </c>
      <c r="S111" s="127">
        <f>SUM(S105:S109)</f>
        <v>34</v>
      </c>
      <c r="T111" s="127">
        <f>SUM(T105:T109)</f>
        <v>62</v>
      </c>
      <c r="U111" s="127">
        <f>SUM(U105:U109)</f>
        <v>112</v>
      </c>
      <c r="V111" s="394">
        <f t="shared" ref="V111:AE111" si="45">SUM(V105:V109)</f>
        <v>156</v>
      </c>
      <c r="W111" s="127">
        <f t="shared" si="45"/>
        <v>209</v>
      </c>
      <c r="X111" s="127">
        <f t="shared" si="45"/>
        <v>204</v>
      </c>
      <c r="Y111" s="127">
        <f t="shared" si="45"/>
        <v>355</v>
      </c>
      <c r="Z111" s="127">
        <f t="shared" si="45"/>
        <v>439</v>
      </c>
      <c r="AA111" s="127">
        <f t="shared" si="45"/>
        <v>520.88699999999994</v>
      </c>
      <c r="AB111" s="127">
        <f t="shared" si="45"/>
        <v>593</v>
      </c>
      <c r="AC111" s="127">
        <f t="shared" si="45"/>
        <v>604</v>
      </c>
      <c r="AD111" s="127">
        <f t="shared" si="45"/>
        <v>644</v>
      </c>
      <c r="AE111" s="127">
        <f t="shared" si="45"/>
        <v>637</v>
      </c>
      <c r="AF111" s="394">
        <f>SUM(AF105:AF109)</f>
        <v>658</v>
      </c>
      <c r="AG111" s="127">
        <f>SUM(AG105:AG109)</f>
        <v>704</v>
      </c>
      <c r="AH111" s="127">
        <f>SUM(AH105:AH109)</f>
        <v>718</v>
      </c>
      <c r="AI111" s="127">
        <f>SUM(AI105:AI109)</f>
        <v>779</v>
      </c>
      <c r="AJ111" s="127">
        <f>SUM(AJ105:AJ109)</f>
        <v>795</v>
      </c>
      <c r="AK111" s="127">
        <f t="shared" ref="AK111:AQ111" si="46">SUM(AK105:AK110)</f>
        <v>898</v>
      </c>
      <c r="AL111" s="127">
        <f t="shared" si="46"/>
        <v>867</v>
      </c>
      <c r="AM111" s="127">
        <f t="shared" si="46"/>
        <v>892</v>
      </c>
      <c r="AN111" s="127">
        <f t="shared" si="46"/>
        <v>929</v>
      </c>
      <c r="AO111" s="127">
        <f t="shared" si="46"/>
        <v>1034</v>
      </c>
      <c r="AP111" s="394">
        <f t="shared" si="46"/>
        <v>1242</v>
      </c>
      <c r="AQ111" s="127">
        <f t="shared" si="46"/>
        <v>1405</v>
      </c>
      <c r="AR111" s="127">
        <f t="shared" ref="AR111:BA111" si="47">SUM(AR105:AR110)</f>
        <v>1698</v>
      </c>
      <c r="AS111" s="127">
        <f t="shared" si="47"/>
        <v>2082</v>
      </c>
      <c r="AT111" s="127">
        <f t="shared" si="47"/>
        <v>1200</v>
      </c>
      <c r="AU111" s="127">
        <f>SUM(AU105:AU110)</f>
        <v>1302</v>
      </c>
      <c r="AV111" s="205">
        <f t="shared" si="47"/>
        <v>1315</v>
      </c>
      <c r="AW111" s="205">
        <f t="shared" si="47"/>
        <v>1319.4744539530689</v>
      </c>
      <c r="AX111" s="205">
        <f t="shared" si="47"/>
        <v>1409.7105263157896</v>
      </c>
      <c r="AY111" s="205">
        <f t="shared" si="47"/>
        <v>1211</v>
      </c>
      <c r="AZ111" s="395">
        <f t="shared" si="47"/>
        <v>1193</v>
      </c>
      <c r="BA111" s="350">
        <f t="shared" si="47"/>
        <v>1264</v>
      </c>
      <c r="BB111" s="350">
        <f t="shared" ref="BB111:BG111" si="48">SUM(BB105:BB110)</f>
        <v>1191</v>
      </c>
      <c r="BC111" s="350">
        <f t="shared" si="48"/>
        <v>1276</v>
      </c>
      <c r="BD111" s="396">
        <f t="shared" si="48"/>
        <v>1268</v>
      </c>
      <c r="BE111" s="396">
        <f t="shared" si="48"/>
        <v>1179.9788394827992</v>
      </c>
      <c r="BF111" s="396">
        <f t="shared" si="48"/>
        <v>1272</v>
      </c>
      <c r="BG111" s="396">
        <f t="shared" si="48"/>
        <v>1311</v>
      </c>
      <c r="BH111" s="396">
        <f t="shared" ref="BH111:BI111" si="49">SUM(BH105:BH110)</f>
        <v>1148</v>
      </c>
      <c r="BI111" s="396">
        <f t="shared" si="49"/>
        <v>1145</v>
      </c>
      <c r="BJ111" s="872">
        <f t="shared" si="42"/>
        <v>-0.12433257055682685</v>
      </c>
      <c r="BK111" s="872">
        <f t="shared" si="42"/>
        <v>-2.6132404181184671E-3</v>
      </c>
      <c r="BL111" s="567">
        <f t="shared" si="43"/>
        <v>-163</v>
      </c>
      <c r="BM111" s="567">
        <f t="shared" si="43"/>
        <v>-3</v>
      </c>
      <c r="BN111" s="349"/>
      <c r="BQ111" s="152"/>
      <c r="BR111" s="112"/>
    </row>
    <row r="112" spans="1:106" ht="6" customHeight="1">
      <c r="A112" s="115"/>
      <c r="L112" s="596"/>
      <c r="M112" s="11"/>
      <c r="N112" s="11"/>
      <c r="O112" s="11"/>
      <c r="P112" s="11"/>
      <c r="Q112" s="11"/>
      <c r="R112" s="11"/>
      <c r="S112" s="11"/>
      <c r="T112" s="11"/>
      <c r="U112" s="11"/>
      <c r="V112" s="596"/>
      <c r="W112" s="11"/>
      <c r="X112" s="11"/>
      <c r="Y112" s="11"/>
      <c r="Z112" s="11"/>
      <c r="AA112" s="11"/>
      <c r="AB112" s="11"/>
      <c r="AC112" s="11"/>
      <c r="AD112" s="11"/>
      <c r="AE112" s="11"/>
      <c r="AF112" s="596"/>
      <c r="AG112" s="11"/>
      <c r="AH112" s="11"/>
      <c r="AI112" s="11"/>
      <c r="AJ112" s="11"/>
      <c r="AK112" s="11"/>
      <c r="AL112" s="6"/>
      <c r="AM112" s="23"/>
      <c r="AN112" s="23"/>
      <c r="AO112" s="23"/>
      <c r="AP112" s="180"/>
      <c r="AQ112" s="23"/>
      <c r="AR112" s="23"/>
      <c r="AS112" s="23"/>
      <c r="AT112" s="23"/>
      <c r="AU112" s="23"/>
      <c r="AV112" s="152"/>
      <c r="AW112" s="152"/>
      <c r="AX112" s="152"/>
      <c r="AY112" s="152"/>
      <c r="AZ112" s="535"/>
      <c r="BA112" s="309"/>
      <c r="BB112" s="316"/>
      <c r="BC112" s="296"/>
      <c r="BD112" s="535"/>
      <c r="BE112" s="535"/>
      <c r="BF112" s="535"/>
      <c r="BG112" s="535"/>
      <c r="BH112" s="535"/>
      <c r="BI112" s="535"/>
      <c r="BJ112" s="871"/>
      <c r="BK112" s="871"/>
      <c r="BL112" s="565"/>
      <c r="BM112" s="565"/>
      <c r="BN112" s="316"/>
      <c r="BQ112" s="152"/>
      <c r="BR112" s="112"/>
    </row>
    <row r="113" spans="1:214" ht="11.25" customHeight="1">
      <c r="A113" s="116" t="s">
        <v>41</v>
      </c>
      <c r="B113" s="644"/>
      <c r="C113" s="183"/>
      <c r="D113" s="183"/>
      <c r="E113" s="183"/>
      <c r="F113" s="183"/>
      <c r="G113" s="183"/>
      <c r="H113" s="183"/>
      <c r="I113" s="183"/>
      <c r="J113" s="183"/>
      <c r="K113" s="183"/>
      <c r="L113" s="644"/>
      <c r="M113" s="183"/>
      <c r="N113" s="183"/>
      <c r="O113" s="183"/>
      <c r="P113" s="183"/>
      <c r="Q113" s="183"/>
      <c r="R113" s="183"/>
      <c r="S113" s="183"/>
      <c r="T113" s="183"/>
      <c r="U113" s="183"/>
      <c r="V113" s="644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644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644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644"/>
      <c r="BA113" s="183"/>
      <c r="BB113" s="183"/>
      <c r="BC113" s="183"/>
      <c r="BD113" s="183"/>
      <c r="BE113" s="183"/>
      <c r="BF113" s="644"/>
      <c r="BG113" s="644"/>
      <c r="BH113" s="644"/>
      <c r="BI113" s="644"/>
      <c r="BJ113" s="871"/>
      <c r="BK113" s="871"/>
      <c r="BL113" s="565"/>
      <c r="BM113" s="565"/>
      <c r="BN113" s="316"/>
      <c r="BQ113" s="152"/>
      <c r="BR113" s="112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</row>
    <row r="114" spans="1:214" ht="11.25" customHeight="1">
      <c r="A114" s="119" t="s">
        <v>132</v>
      </c>
      <c r="B114" s="227" t="s">
        <v>3</v>
      </c>
      <c r="C114" s="27" t="s">
        <v>3</v>
      </c>
      <c r="D114" s="27" t="s">
        <v>3</v>
      </c>
      <c r="E114" s="27" t="s">
        <v>3</v>
      </c>
      <c r="F114" s="27" t="s">
        <v>3</v>
      </c>
      <c r="G114" s="27" t="s">
        <v>3</v>
      </c>
      <c r="H114" s="27" t="s">
        <v>3</v>
      </c>
      <c r="I114" s="27" t="s">
        <v>3</v>
      </c>
      <c r="J114" s="27" t="s">
        <v>3</v>
      </c>
      <c r="K114" s="27" t="s">
        <v>3</v>
      </c>
      <c r="L114" s="227" t="s">
        <v>3</v>
      </c>
      <c r="M114" s="27" t="s">
        <v>3</v>
      </c>
      <c r="N114" s="27" t="s">
        <v>3</v>
      </c>
      <c r="O114" s="27" t="s">
        <v>3</v>
      </c>
      <c r="P114" s="27" t="s">
        <v>3</v>
      </c>
      <c r="Q114" s="27" t="s">
        <v>3</v>
      </c>
      <c r="R114" s="27" t="s">
        <v>3</v>
      </c>
      <c r="S114" s="27" t="s">
        <v>3</v>
      </c>
      <c r="T114" s="27" t="s">
        <v>3</v>
      </c>
      <c r="U114" s="27" t="s">
        <v>3</v>
      </c>
      <c r="V114" s="227" t="s">
        <v>3</v>
      </c>
      <c r="W114" s="12">
        <v>69</v>
      </c>
      <c r="X114" s="12">
        <v>16</v>
      </c>
      <c r="Y114" s="12">
        <v>13</v>
      </c>
      <c r="Z114" s="12">
        <v>13</v>
      </c>
      <c r="AA114" s="12">
        <v>12</v>
      </c>
      <c r="AB114" s="12">
        <v>9</v>
      </c>
      <c r="AC114" s="12">
        <v>10</v>
      </c>
      <c r="AD114" s="12">
        <v>11</v>
      </c>
      <c r="AE114" s="12">
        <v>11</v>
      </c>
      <c r="AF114" s="594">
        <v>14</v>
      </c>
      <c r="AG114" s="12">
        <v>14</v>
      </c>
      <c r="AH114" s="12">
        <v>17</v>
      </c>
      <c r="AI114" s="12">
        <v>17</v>
      </c>
      <c r="AJ114" s="12">
        <v>18</v>
      </c>
      <c r="AK114" s="12">
        <v>19</v>
      </c>
      <c r="AL114" s="12">
        <v>18</v>
      </c>
      <c r="AM114" s="23">
        <v>23</v>
      </c>
      <c r="AN114" s="6">
        <v>21</v>
      </c>
      <c r="AO114" s="6">
        <v>21</v>
      </c>
      <c r="AP114" s="179">
        <v>24</v>
      </c>
      <c r="AQ114" s="6">
        <v>25</v>
      </c>
      <c r="AR114" s="6">
        <v>23</v>
      </c>
      <c r="AS114" s="6">
        <v>23</v>
      </c>
      <c r="AT114" s="6">
        <v>23</v>
      </c>
      <c r="AU114" s="6">
        <v>22</v>
      </c>
      <c r="AV114" s="152">
        <v>24</v>
      </c>
      <c r="AW114" s="152">
        <v>24.378407851690298</v>
      </c>
      <c r="AX114" s="217">
        <v>27.489583333333336</v>
      </c>
      <c r="AY114" s="217">
        <v>28</v>
      </c>
      <c r="AZ114" s="217">
        <v>30</v>
      </c>
      <c r="BA114" s="365">
        <v>32</v>
      </c>
      <c r="BB114" s="365">
        <v>31</v>
      </c>
      <c r="BC114" s="365">
        <v>19</v>
      </c>
      <c r="BD114" s="365">
        <v>32</v>
      </c>
      <c r="BE114" s="365">
        <v>31</v>
      </c>
      <c r="BF114" s="365">
        <v>29</v>
      </c>
      <c r="BG114" s="365">
        <v>30</v>
      </c>
      <c r="BH114" s="365">
        <v>40</v>
      </c>
      <c r="BI114" s="365">
        <v>33</v>
      </c>
      <c r="BJ114" s="410">
        <f>(BH114-BG114)/BG114</f>
        <v>0.33333333333333331</v>
      </c>
      <c r="BK114" s="410">
        <f>(BI114-BH114)/BH114</f>
        <v>-0.17499999999999999</v>
      </c>
      <c r="BL114" s="564">
        <f>BH114-BG114</f>
        <v>10</v>
      </c>
      <c r="BM114" s="564">
        <f>BI114-BH114</f>
        <v>-7</v>
      </c>
      <c r="BN114" s="348"/>
      <c r="BQ114" s="152"/>
      <c r="BR114" s="112"/>
    </row>
    <row r="115" spans="1:214" ht="10.5" customHeight="1">
      <c r="A115" s="286" t="s">
        <v>134</v>
      </c>
      <c r="B115" s="225" t="s">
        <v>3</v>
      </c>
      <c r="C115" s="225" t="s">
        <v>3</v>
      </c>
      <c r="D115" s="225" t="s">
        <v>3</v>
      </c>
      <c r="E115" s="225" t="s">
        <v>3</v>
      </c>
      <c r="F115" s="225" t="s">
        <v>3</v>
      </c>
      <c r="G115" s="225" t="s">
        <v>3</v>
      </c>
      <c r="H115" s="225" t="s">
        <v>3</v>
      </c>
      <c r="I115" s="225" t="s">
        <v>3</v>
      </c>
      <c r="J115" s="225" t="s">
        <v>3</v>
      </c>
      <c r="K115" s="225" t="s">
        <v>3</v>
      </c>
      <c r="L115" s="225" t="s">
        <v>3</v>
      </c>
      <c r="M115" s="225" t="s">
        <v>3</v>
      </c>
      <c r="N115" s="225" t="s">
        <v>3</v>
      </c>
      <c r="O115" s="225" t="s">
        <v>3</v>
      </c>
      <c r="P115" s="225" t="s">
        <v>3</v>
      </c>
      <c r="Q115" s="225" t="s">
        <v>3</v>
      </c>
      <c r="R115" s="225" t="s">
        <v>3</v>
      </c>
      <c r="S115" s="225" t="s">
        <v>3</v>
      </c>
      <c r="T115" s="225" t="s">
        <v>3</v>
      </c>
      <c r="U115" s="225" t="s">
        <v>3</v>
      </c>
      <c r="V115" s="277">
        <v>5</v>
      </c>
      <c r="W115" s="277">
        <v>16</v>
      </c>
      <c r="X115" s="277">
        <v>16</v>
      </c>
      <c r="Y115" s="277">
        <v>8</v>
      </c>
      <c r="Z115" s="277">
        <v>3</v>
      </c>
      <c r="AA115" s="276" t="s">
        <v>3</v>
      </c>
      <c r="AB115" s="276" t="s">
        <v>3</v>
      </c>
      <c r="AC115" s="276" t="s">
        <v>3</v>
      </c>
      <c r="AD115" s="276" t="s">
        <v>3</v>
      </c>
      <c r="AE115" s="276" t="s">
        <v>3</v>
      </c>
      <c r="AF115" s="276" t="s">
        <v>3</v>
      </c>
      <c r="AG115" s="276" t="s">
        <v>3</v>
      </c>
      <c r="AH115" s="276" t="s">
        <v>3</v>
      </c>
      <c r="AI115" s="276" t="s">
        <v>3</v>
      </c>
      <c r="AJ115" s="276" t="s">
        <v>3</v>
      </c>
      <c r="AK115" s="276" t="s">
        <v>3</v>
      </c>
      <c r="AL115" s="276" t="s">
        <v>3</v>
      </c>
      <c r="AM115" s="276" t="s">
        <v>3</v>
      </c>
      <c r="AN115" s="276" t="s">
        <v>3</v>
      </c>
      <c r="AO115" s="276" t="s">
        <v>3</v>
      </c>
      <c r="AP115" s="276" t="s">
        <v>3</v>
      </c>
      <c r="AQ115" s="276" t="s">
        <v>3</v>
      </c>
      <c r="AR115" s="276" t="s">
        <v>3</v>
      </c>
      <c r="AS115" s="276" t="s">
        <v>3</v>
      </c>
      <c r="AT115" s="276" t="s">
        <v>3</v>
      </c>
      <c r="AU115" s="276" t="s">
        <v>3</v>
      </c>
      <c r="AV115" s="278" t="s">
        <v>3</v>
      </c>
      <c r="AW115" s="278">
        <v>1</v>
      </c>
      <c r="AX115" s="278">
        <v>1</v>
      </c>
      <c r="AY115" s="278">
        <v>3</v>
      </c>
      <c r="AZ115" s="278">
        <v>4</v>
      </c>
      <c r="BA115" s="366">
        <v>4</v>
      </c>
      <c r="BB115" s="366">
        <v>2</v>
      </c>
      <c r="BC115" s="366">
        <v>1</v>
      </c>
      <c r="BD115" s="366">
        <v>1</v>
      </c>
      <c r="BE115" s="366">
        <v>1</v>
      </c>
      <c r="BF115" s="305" t="s">
        <v>3</v>
      </c>
      <c r="BG115" s="305" t="s">
        <v>3</v>
      </c>
      <c r="BH115" s="305" t="s">
        <v>3</v>
      </c>
      <c r="BI115" s="305" t="s">
        <v>3</v>
      </c>
      <c r="BJ115" s="874" t="s">
        <v>10</v>
      </c>
      <c r="BK115" s="874" t="s">
        <v>10</v>
      </c>
      <c r="BL115" s="568" t="s">
        <v>10</v>
      </c>
      <c r="BM115" s="568" t="s">
        <v>10</v>
      </c>
      <c r="BN115" s="348"/>
      <c r="BQ115" s="152"/>
      <c r="BR115" s="112"/>
      <c r="BS115" s="1"/>
    </row>
    <row r="116" spans="1:214" ht="11.25" customHeight="1">
      <c r="A116" s="119" t="s">
        <v>133</v>
      </c>
      <c r="B116" s="225" t="s">
        <v>3</v>
      </c>
      <c r="C116" s="93" t="s">
        <v>3</v>
      </c>
      <c r="D116" s="93" t="s">
        <v>3</v>
      </c>
      <c r="E116" s="93" t="s">
        <v>3</v>
      </c>
      <c r="F116" s="93" t="s">
        <v>3</v>
      </c>
      <c r="G116" s="93" t="s">
        <v>3</v>
      </c>
      <c r="H116" s="93" t="s">
        <v>3</v>
      </c>
      <c r="I116" s="93" t="s">
        <v>3</v>
      </c>
      <c r="J116" s="93" t="s">
        <v>3</v>
      </c>
      <c r="K116" s="93" t="s">
        <v>3</v>
      </c>
      <c r="L116" s="225" t="s">
        <v>3</v>
      </c>
      <c r="M116" s="93" t="s">
        <v>3</v>
      </c>
      <c r="N116" s="93" t="s">
        <v>3</v>
      </c>
      <c r="O116" s="93" t="s">
        <v>3</v>
      </c>
      <c r="P116" s="93" t="s">
        <v>3</v>
      </c>
      <c r="Q116" s="93" t="s">
        <v>3</v>
      </c>
      <c r="R116" s="93" t="s">
        <v>3</v>
      </c>
      <c r="S116" s="93" t="s">
        <v>3</v>
      </c>
      <c r="T116" s="93">
        <v>36</v>
      </c>
      <c r="U116" s="41">
        <v>29</v>
      </c>
      <c r="V116" s="680">
        <v>54</v>
      </c>
      <c r="W116" s="14">
        <v>98</v>
      </c>
      <c r="X116" s="14">
        <v>66</v>
      </c>
      <c r="Y116" s="14">
        <v>35</v>
      </c>
      <c r="Z116" s="14">
        <v>51</v>
      </c>
      <c r="AA116" s="16">
        <v>40</v>
      </c>
      <c r="AB116" s="16">
        <v>41</v>
      </c>
      <c r="AC116" s="16">
        <v>34</v>
      </c>
      <c r="AD116" s="16">
        <v>37</v>
      </c>
      <c r="AE116" s="16">
        <v>31</v>
      </c>
      <c r="AF116" s="839">
        <v>38</v>
      </c>
      <c r="AG116" s="16">
        <v>43</v>
      </c>
      <c r="AH116" s="16">
        <v>43</v>
      </c>
      <c r="AI116" s="16">
        <v>50</v>
      </c>
      <c r="AJ116" s="16">
        <v>67</v>
      </c>
      <c r="AK116" s="16">
        <v>100</v>
      </c>
      <c r="AL116" s="16">
        <v>102</v>
      </c>
      <c r="AM116" s="16">
        <v>91</v>
      </c>
      <c r="AN116" s="16">
        <v>81</v>
      </c>
      <c r="AO116" s="16">
        <v>89</v>
      </c>
      <c r="AP116" s="839">
        <v>103</v>
      </c>
      <c r="AQ116" s="16">
        <v>113</v>
      </c>
      <c r="AR116" s="16">
        <v>101</v>
      </c>
      <c r="AS116" s="16">
        <v>97</v>
      </c>
      <c r="AT116" s="40">
        <v>60</v>
      </c>
      <c r="AU116" s="40">
        <v>67</v>
      </c>
      <c r="AV116" s="216">
        <v>58</v>
      </c>
      <c r="AW116" s="216">
        <v>89</v>
      </c>
      <c r="AX116" s="366">
        <v>49</v>
      </c>
      <c r="AY116" s="366">
        <v>144</v>
      </c>
      <c r="AZ116" s="366">
        <v>428</v>
      </c>
      <c r="BA116" s="366">
        <v>862</v>
      </c>
      <c r="BB116" s="366">
        <v>763</v>
      </c>
      <c r="BC116" s="366">
        <v>328</v>
      </c>
      <c r="BD116" s="366">
        <v>226</v>
      </c>
      <c r="BE116" s="366">
        <v>188</v>
      </c>
      <c r="BF116" s="366">
        <v>178</v>
      </c>
      <c r="BG116" s="366">
        <v>197</v>
      </c>
      <c r="BH116" s="366">
        <v>121</v>
      </c>
      <c r="BI116" s="366">
        <v>121</v>
      </c>
      <c r="BJ116" s="410">
        <f>(BH116-BG116)/BG116</f>
        <v>-0.38578680203045684</v>
      </c>
      <c r="BK116" s="410">
        <f>(BI116-BH116)/BH116</f>
        <v>0</v>
      </c>
      <c r="BL116" s="564">
        <f>BH116-BG116</f>
        <v>-76</v>
      </c>
      <c r="BM116" s="564">
        <f>BI116-BH116</f>
        <v>0</v>
      </c>
      <c r="BQ116" s="152"/>
      <c r="BR116" s="320"/>
      <c r="BS116" s="1"/>
    </row>
    <row r="117" spans="1:214" ht="11.25" customHeight="1">
      <c r="A117" s="118" t="s">
        <v>31</v>
      </c>
      <c r="B117" s="804" t="s">
        <v>3</v>
      </c>
      <c r="C117" s="433" t="s">
        <v>3</v>
      </c>
      <c r="D117" s="433" t="s">
        <v>3</v>
      </c>
      <c r="E117" s="433" t="s">
        <v>3</v>
      </c>
      <c r="F117" s="433" t="s">
        <v>3</v>
      </c>
      <c r="G117" s="433" t="s">
        <v>3</v>
      </c>
      <c r="H117" s="433" t="s">
        <v>3</v>
      </c>
      <c r="I117" s="433" t="s">
        <v>3</v>
      </c>
      <c r="J117" s="433" t="s">
        <v>3</v>
      </c>
      <c r="K117" s="433" t="s">
        <v>3</v>
      </c>
      <c r="L117" s="804" t="s">
        <v>3</v>
      </c>
      <c r="M117" s="433" t="s">
        <v>3</v>
      </c>
      <c r="N117" s="433" t="s">
        <v>3</v>
      </c>
      <c r="O117" s="433" t="s">
        <v>3</v>
      </c>
      <c r="P117" s="433" t="s">
        <v>3</v>
      </c>
      <c r="Q117" s="433" t="s">
        <v>3</v>
      </c>
      <c r="R117" s="433" t="s">
        <v>3</v>
      </c>
      <c r="S117" s="433" t="s">
        <v>3</v>
      </c>
      <c r="T117" s="132">
        <f t="shared" ref="T117:AG117" si="50">SUM(T114:T116)</f>
        <v>36</v>
      </c>
      <c r="U117" s="132">
        <f t="shared" si="50"/>
        <v>29</v>
      </c>
      <c r="V117" s="807">
        <f t="shared" si="50"/>
        <v>59</v>
      </c>
      <c r="W117" s="132">
        <f t="shared" si="50"/>
        <v>183</v>
      </c>
      <c r="X117" s="132">
        <f t="shared" si="50"/>
        <v>98</v>
      </c>
      <c r="Y117" s="132">
        <f t="shared" si="50"/>
        <v>56</v>
      </c>
      <c r="Z117" s="132">
        <f t="shared" si="50"/>
        <v>67</v>
      </c>
      <c r="AA117" s="132">
        <f t="shared" si="50"/>
        <v>52</v>
      </c>
      <c r="AB117" s="132">
        <f t="shared" si="50"/>
        <v>50</v>
      </c>
      <c r="AC117" s="132">
        <f t="shared" si="50"/>
        <v>44</v>
      </c>
      <c r="AD117" s="132">
        <f t="shared" si="50"/>
        <v>48</v>
      </c>
      <c r="AE117" s="132">
        <f t="shared" si="50"/>
        <v>42</v>
      </c>
      <c r="AF117" s="807">
        <f t="shared" si="50"/>
        <v>52</v>
      </c>
      <c r="AG117" s="132">
        <f t="shared" si="50"/>
        <v>57</v>
      </c>
      <c r="AH117" s="132">
        <f t="shared" ref="AH117:BB117" si="51">SUM(AH114:AH116)</f>
        <v>60</v>
      </c>
      <c r="AI117" s="132">
        <f t="shared" si="51"/>
        <v>67</v>
      </c>
      <c r="AJ117" s="132">
        <f t="shared" si="51"/>
        <v>85</v>
      </c>
      <c r="AK117" s="132">
        <f t="shared" si="51"/>
        <v>119</v>
      </c>
      <c r="AL117" s="132">
        <f t="shared" si="51"/>
        <v>120</v>
      </c>
      <c r="AM117" s="132">
        <f t="shared" si="51"/>
        <v>114</v>
      </c>
      <c r="AN117" s="132">
        <f t="shared" si="51"/>
        <v>102</v>
      </c>
      <c r="AO117" s="132">
        <f t="shared" si="51"/>
        <v>110</v>
      </c>
      <c r="AP117" s="807">
        <f t="shared" si="51"/>
        <v>127</v>
      </c>
      <c r="AQ117" s="132">
        <f t="shared" si="51"/>
        <v>138</v>
      </c>
      <c r="AR117" s="132">
        <f t="shared" si="51"/>
        <v>124</v>
      </c>
      <c r="AS117" s="132">
        <f t="shared" si="51"/>
        <v>120</v>
      </c>
      <c r="AT117" s="132">
        <f t="shared" si="51"/>
        <v>83</v>
      </c>
      <c r="AU117" s="132">
        <f t="shared" si="51"/>
        <v>89</v>
      </c>
      <c r="AV117" s="218">
        <f t="shared" si="51"/>
        <v>82</v>
      </c>
      <c r="AW117" s="218">
        <f t="shared" si="51"/>
        <v>114.3784078516903</v>
      </c>
      <c r="AX117" s="280">
        <f t="shared" si="51"/>
        <v>77.489583333333343</v>
      </c>
      <c r="AY117" s="280">
        <f t="shared" si="51"/>
        <v>175</v>
      </c>
      <c r="AZ117" s="280">
        <f t="shared" si="51"/>
        <v>462</v>
      </c>
      <c r="BA117" s="367">
        <f t="shared" si="51"/>
        <v>898</v>
      </c>
      <c r="BB117" s="367">
        <f t="shared" si="51"/>
        <v>796</v>
      </c>
      <c r="BC117" s="367">
        <f t="shared" ref="BC117:BI117" si="52">SUM(BC114:BC116)</f>
        <v>348</v>
      </c>
      <c r="BD117" s="367">
        <f t="shared" si="52"/>
        <v>259</v>
      </c>
      <c r="BE117" s="367">
        <f t="shared" si="52"/>
        <v>220</v>
      </c>
      <c r="BF117" s="367">
        <f t="shared" si="52"/>
        <v>207</v>
      </c>
      <c r="BG117" s="367">
        <f t="shared" si="52"/>
        <v>227</v>
      </c>
      <c r="BH117" s="367">
        <f t="shared" si="52"/>
        <v>161</v>
      </c>
      <c r="BI117" s="367">
        <f t="shared" si="52"/>
        <v>154</v>
      </c>
      <c r="BJ117" s="872">
        <f>(BH117-BG117)/BG117</f>
        <v>-0.29074889867841408</v>
      </c>
      <c r="BK117" s="872">
        <f>(BI117-BH117)/BH117</f>
        <v>-4.3478260869565216E-2</v>
      </c>
      <c r="BL117" s="567">
        <f>BH117-BG117</f>
        <v>-66</v>
      </c>
      <c r="BM117" s="567">
        <f>BI117-BH117</f>
        <v>-7</v>
      </c>
      <c r="BN117" s="349"/>
      <c r="BQ117" s="152"/>
      <c r="BR117" s="320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</row>
    <row r="118" spans="1:214" ht="11.25" customHeight="1">
      <c r="A118" s="118"/>
      <c r="B118" s="645"/>
      <c r="C118" s="109"/>
      <c r="D118" s="109"/>
      <c r="E118" s="109"/>
      <c r="F118" s="109"/>
      <c r="G118" s="109"/>
      <c r="H118" s="109"/>
      <c r="I118" s="109"/>
      <c r="J118" s="109"/>
      <c r="K118" s="109"/>
      <c r="L118" s="645"/>
      <c r="M118" s="109"/>
      <c r="N118" s="109"/>
      <c r="O118" s="109"/>
      <c r="P118" s="109"/>
      <c r="Q118" s="109"/>
      <c r="R118" s="109"/>
      <c r="S118" s="109"/>
      <c r="T118" s="109"/>
      <c r="U118" s="109"/>
      <c r="V118" s="645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645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645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645"/>
      <c r="BA118" s="109"/>
      <c r="BB118" s="109"/>
      <c r="BC118" s="109"/>
      <c r="BD118" s="109"/>
      <c r="BE118" s="109"/>
      <c r="BF118" s="645"/>
      <c r="BG118" s="645"/>
      <c r="BH118" s="645"/>
      <c r="BI118" s="645"/>
      <c r="BJ118" s="877"/>
      <c r="BK118" s="877"/>
      <c r="BL118" s="571"/>
      <c r="BM118" s="571"/>
      <c r="BN118" s="312"/>
      <c r="BQ118" s="152"/>
      <c r="BR118" s="320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</row>
    <row r="119" spans="1:214" ht="11.25" customHeight="1">
      <c r="A119" s="119" t="s">
        <v>135</v>
      </c>
      <c r="B119" s="805">
        <v>12</v>
      </c>
      <c r="C119" s="94">
        <v>14</v>
      </c>
      <c r="D119" s="94">
        <v>20</v>
      </c>
      <c r="E119" s="94">
        <v>34</v>
      </c>
      <c r="F119" s="94">
        <v>35</v>
      </c>
      <c r="G119" s="94">
        <v>32</v>
      </c>
      <c r="H119" s="94">
        <v>26</v>
      </c>
      <c r="I119" s="94">
        <v>33</v>
      </c>
      <c r="J119" s="94">
        <v>40</v>
      </c>
      <c r="K119" s="94">
        <v>53</v>
      </c>
      <c r="L119" s="277">
        <v>65</v>
      </c>
      <c r="M119" s="24">
        <v>68</v>
      </c>
      <c r="N119" s="24">
        <v>85</v>
      </c>
      <c r="O119" s="24">
        <v>174</v>
      </c>
      <c r="P119" s="24">
        <v>105</v>
      </c>
      <c r="Q119" s="24">
        <v>104</v>
      </c>
      <c r="R119" s="24">
        <v>180</v>
      </c>
      <c r="S119" s="24">
        <v>231</v>
      </c>
      <c r="T119" s="24">
        <v>271</v>
      </c>
      <c r="U119" s="24">
        <v>310</v>
      </c>
      <c r="V119" s="277">
        <v>378</v>
      </c>
      <c r="W119" s="24">
        <v>417</v>
      </c>
      <c r="X119" s="24">
        <v>442</v>
      </c>
      <c r="Y119" s="24">
        <v>515</v>
      </c>
      <c r="Z119" s="24">
        <v>462</v>
      </c>
      <c r="AA119" s="24">
        <v>468</v>
      </c>
      <c r="AB119" s="24">
        <v>421</v>
      </c>
      <c r="AC119" s="24">
        <v>394</v>
      </c>
      <c r="AD119" s="24">
        <v>233</v>
      </c>
      <c r="AE119" s="24">
        <v>392</v>
      </c>
      <c r="AF119" s="277">
        <v>391</v>
      </c>
      <c r="AG119" s="24">
        <v>436</v>
      </c>
      <c r="AH119" s="24">
        <v>540</v>
      </c>
      <c r="AI119" s="24">
        <v>490</v>
      </c>
      <c r="AJ119" s="24">
        <v>544</v>
      </c>
      <c r="AK119" s="24">
        <v>542</v>
      </c>
      <c r="AL119" s="24">
        <v>512</v>
      </c>
      <c r="AM119" s="98">
        <v>510</v>
      </c>
      <c r="AN119" s="98">
        <v>492</v>
      </c>
      <c r="AO119" s="98">
        <v>478</v>
      </c>
      <c r="AP119" s="675">
        <v>480</v>
      </c>
      <c r="AQ119" s="98">
        <v>501</v>
      </c>
      <c r="AR119" s="98">
        <v>516</v>
      </c>
      <c r="AS119" s="98">
        <v>575</v>
      </c>
      <c r="AT119" s="98">
        <v>615</v>
      </c>
      <c r="AU119" s="98">
        <v>644</v>
      </c>
      <c r="AV119" s="172">
        <v>679</v>
      </c>
      <c r="AW119" s="172">
        <v>756</v>
      </c>
      <c r="AX119" s="172">
        <v>875</v>
      </c>
      <c r="AY119" s="172">
        <v>989</v>
      </c>
      <c r="AZ119" s="269">
        <v>1077</v>
      </c>
      <c r="BA119" s="349">
        <v>1076</v>
      </c>
      <c r="BB119" s="349">
        <v>1077</v>
      </c>
      <c r="BC119" s="349">
        <v>1027</v>
      </c>
      <c r="BD119" s="361">
        <v>998</v>
      </c>
      <c r="BE119" s="361">
        <v>1035</v>
      </c>
      <c r="BF119" s="361">
        <v>980</v>
      </c>
      <c r="BG119" s="361">
        <v>913</v>
      </c>
      <c r="BH119" s="361">
        <v>912</v>
      </c>
      <c r="BI119" s="361">
        <v>1053</v>
      </c>
      <c r="BJ119" s="410">
        <f>(BH119-BG119)/BG119</f>
        <v>-1.0952902519167579E-3</v>
      </c>
      <c r="BK119" s="410">
        <f>(BI119-BH119)/BH119</f>
        <v>0.15460526315789475</v>
      </c>
      <c r="BL119" s="564">
        <f>BH119-BG119</f>
        <v>-1</v>
      </c>
      <c r="BM119" s="564">
        <f>BI119-BH119</f>
        <v>141</v>
      </c>
      <c r="BN119" s="348"/>
      <c r="BQ119" s="152"/>
      <c r="BR119" s="320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</row>
    <row r="120" spans="1:214" ht="11.25" customHeight="1">
      <c r="A120" s="119"/>
      <c r="B120" s="805"/>
      <c r="C120" s="94"/>
      <c r="D120" s="94"/>
      <c r="E120" s="94"/>
      <c r="F120" s="94"/>
      <c r="G120" s="94"/>
      <c r="H120" s="94"/>
      <c r="I120" s="94"/>
      <c r="J120" s="94"/>
      <c r="K120" s="94"/>
      <c r="L120" s="277"/>
      <c r="M120" s="24"/>
      <c r="N120" s="24"/>
      <c r="O120" s="24"/>
      <c r="P120" s="24"/>
      <c r="Q120" s="24"/>
      <c r="R120" s="24"/>
      <c r="S120" s="24"/>
      <c r="T120" s="24"/>
      <c r="U120" s="24"/>
      <c r="V120" s="277"/>
      <c r="W120" s="24"/>
      <c r="X120" s="24"/>
      <c r="Y120" s="24"/>
      <c r="Z120" s="24"/>
      <c r="AA120" s="24"/>
      <c r="AB120" s="24"/>
      <c r="AC120" s="24"/>
      <c r="AD120" s="24"/>
      <c r="AE120" s="24"/>
      <c r="AF120" s="277"/>
      <c r="AG120" s="24"/>
      <c r="AH120" s="24"/>
      <c r="AI120" s="24"/>
      <c r="AJ120" s="24"/>
      <c r="AK120" s="24"/>
      <c r="AL120" s="24"/>
      <c r="AM120" s="98"/>
      <c r="AN120" s="98"/>
      <c r="AO120" s="98"/>
      <c r="AP120" s="675"/>
      <c r="AQ120" s="98"/>
      <c r="AR120" s="98"/>
      <c r="AS120" s="98"/>
      <c r="AT120" s="98"/>
      <c r="AU120" s="98"/>
      <c r="AV120" s="172"/>
      <c r="AW120" s="172"/>
      <c r="AX120" s="172"/>
      <c r="AY120" s="172"/>
      <c r="AZ120" s="269"/>
      <c r="BA120" s="349"/>
      <c r="BB120" s="349"/>
      <c r="BC120" s="324"/>
      <c r="BD120" s="542"/>
      <c r="BE120" s="542"/>
      <c r="BF120" s="542"/>
      <c r="BG120" s="542"/>
      <c r="BH120" s="542"/>
      <c r="BI120" s="542"/>
      <c r="BJ120" s="410"/>
      <c r="BK120" s="410"/>
      <c r="BL120" s="564"/>
      <c r="BM120" s="564"/>
      <c r="BN120" s="348"/>
      <c r="BQ120" s="152"/>
      <c r="BR120" s="320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</row>
    <row r="121" spans="1:214" ht="11.25" customHeight="1">
      <c r="A121" s="110" t="s">
        <v>136</v>
      </c>
      <c r="B121" s="358">
        <v>13</v>
      </c>
      <c r="C121" s="348">
        <v>27</v>
      </c>
      <c r="D121" s="348">
        <v>39</v>
      </c>
      <c r="E121" s="348">
        <v>44</v>
      </c>
      <c r="F121" s="348">
        <v>53</v>
      </c>
      <c r="G121" s="348">
        <v>60</v>
      </c>
      <c r="H121" s="348">
        <v>68</v>
      </c>
      <c r="I121" s="348">
        <v>82</v>
      </c>
      <c r="J121" s="348">
        <v>116</v>
      </c>
      <c r="K121" s="348">
        <v>166</v>
      </c>
      <c r="L121" s="827">
        <v>174</v>
      </c>
      <c r="M121" s="518">
        <v>223</v>
      </c>
      <c r="N121" s="518">
        <v>343</v>
      </c>
      <c r="O121" s="518">
        <v>429</v>
      </c>
      <c r="P121" s="518">
        <v>439</v>
      </c>
      <c r="Q121" s="518">
        <v>603</v>
      </c>
      <c r="R121" s="518">
        <v>689</v>
      </c>
      <c r="S121" s="518">
        <v>834</v>
      </c>
      <c r="T121" s="518">
        <v>884</v>
      </c>
      <c r="U121" s="518">
        <v>1045</v>
      </c>
      <c r="V121" s="827">
        <v>1280</v>
      </c>
      <c r="W121" s="518">
        <v>1390</v>
      </c>
      <c r="X121" s="518">
        <v>1363</v>
      </c>
      <c r="Y121" s="518">
        <v>1384</v>
      </c>
      <c r="Z121" s="518">
        <v>1469</v>
      </c>
      <c r="AA121" s="518">
        <v>1661</v>
      </c>
      <c r="AB121" s="518">
        <v>1782</v>
      </c>
      <c r="AC121" s="518">
        <v>2025</v>
      </c>
      <c r="AD121" s="518">
        <v>2436</v>
      </c>
      <c r="AE121" s="518">
        <v>2650</v>
      </c>
      <c r="AF121" s="827">
        <v>2935</v>
      </c>
      <c r="AG121" s="518">
        <v>3440</v>
      </c>
      <c r="AH121" s="518">
        <v>3826</v>
      </c>
      <c r="AI121" s="518">
        <v>4026</v>
      </c>
      <c r="AJ121" s="518">
        <v>4123</v>
      </c>
      <c r="AK121" s="518">
        <v>4324</v>
      </c>
      <c r="AL121" s="518">
        <v>3919</v>
      </c>
      <c r="AM121" s="518">
        <v>4220</v>
      </c>
      <c r="AN121" s="518">
        <v>4082</v>
      </c>
      <c r="AO121" s="518">
        <v>4343</v>
      </c>
      <c r="AP121" s="827">
        <v>4369</v>
      </c>
      <c r="AQ121" s="518">
        <v>4441</v>
      </c>
      <c r="AR121" s="518">
        <v>4540</v>
      </c>
      <c r="AS121" s="518">
        <v>4561</v>
      </c>
      <c r="AT121" s="518">
        <v>4570</v>
      </c>
      <c r="AU121" s="518">
        <v>4784</v>
      </c>
      <c r="AV121" s="518">
        <v>5159</v>
      </c>
      <c r="AW121" s="349">
        <v>4864</v>
      </c>
      <c r="AX121" s="349">
        <v>4773</v>
      </c>
      <c r="AY121" s="349">
        <v>5092</v>
      </c>
      <c r="AZ121" s="361">
        <v>5392</v>
      </c>
      <c r="BA121" s="349">
        <v>5568</v>
      </c>
      <c r="BB121" s="349">
        <v>5727</v>
      </c>
      <c r="BC121" s="349">
        <v>5291</v>
      </c>
      <c r="BD121" s="361">
        <v>6301</v>
      </c>
      <c r="BE121" s="361">
        <v>5177</v>
      </c>
      <c r="BF121" s="361">
        <v>5381</v>
      </c>
      <c r="BG121" s="361">
        <v>5151</v>
      </c>
      <c r="BH121" s="361">
        <v>5172</v>
      </c>
      <c r="BI121" s="361">
        <v>3944</v>
      </c>
      <c r="BJ121" s="410">
        <f>(BH121-BG121)/BG121</f>
        <v>4.0768782760629008E-3</v>
      </c>
      <c r="BK121" s="410">
        <f>(BI121-BH121)/BH121</f>
        <v>-0.23743232791956689</v>
      </c>
      <c r="BL121" s="564">
        <f>BH121-BG121</f>
        <v>21</v>
      </c>
      <c r="BM121" s="564">
        <f>BI121-BH121</f>
        <v>-1228</v>
      </c>
      <c r="BN121" s="348"/>
      <c r="BQ121" s="152"/>
      <c r="BR121" s="320"/>
    </row>
    <row r="122" spans="1:214" ht="14.25" customHeight="1" thickBot="1">
      <c r="A122" s="118" t="s">
        <v>116</v>
      </c>
      <c r="B122" s="397">
        <f t="shared" ref="B122:L122" si="53">SUM(B102+B111+B119+B121)</f>
        <v>29</v>
      </c>
      <c r="C122" s="131">
        <f t="shared" si="53"/>
        <v>45</v>
      </c>
      <c r="D122" s="131">
        <f t="shared" si="53"/>
        <v>64</v>
      </c>
      <c r="E122" s="131">
        <f t="shared" si="53"/>
        <v>84</v>
      </c>
      <c r="F122" s="131">
        <f t="shared" si="53"/>
        <v>94</v>
      </c>
      <c r="G122" s="131">
        <f t="shared" si="53"/>
        <v>97</v>
      </c>
      <c r="H122" s="131">
        <f t="shared" si="53"/>
        <v>100</v>
      </c>
      <c r="I122" s="131">
        <f t="shared" si="53"/>
        <v>121</v>
      </c>
      <c r="J122" s="131">
        <f t="shared" si="53"/>
        <v>163</v>
      </c>
      <c r="K122" s="131">
        <f t="shared" si="53"/>
        <v>227</v>
      </c>
      <c r="L122" s="398">
        <f t="shared" si="53"/>
        <v>248</v>
      </c>
      <c r="M122" s="362">
        <f t="shared" ref="M122:S122" si="54">SUM(M96+M102+M111+M119+M121)</f>
        <v>308</v>
      </c>
      <c r="N122" s="362">
        <f t="shared" si="54"/>
        <v>453</v>
      </c>
      <c r="O122" s="362">
        <f t="shared" si="54"/>
        <v>637</v>
      </c>
      <c r="P122" s="131">
        <f t="shared" si="54"/>
        <v>578</v>
      </c>
      <c r="Q122" s="131">
        <f t="shared" si="54"/>
        <v>753</v>
      </c>
      <c r="R122" s="131">
        <f t="shared" si="54"/>
        <v>934</v>
      </c>
      <c r="S122" s="131">
        <f t="shared" si="54"/>
        <v>1131</v>
      </c>
      <c r="T122" s="131">
        <f t="shared" ref="T122:AN122" si="55">SUM(T96+T102+T111+T117+T119+T121)</f>
        <v>1288</v>
      </c>
      <c r="U122" s="131">
        <f t="shared" si="55"/>
        <v>1538</v>
      </c>
      <c r="V122" s="397">
        <f t="shared" si="55"/>
        <v>1917</v>
      </c>
      <c r="W122" s="131">
        <f t="shared" si="55"/>
        <v>2246</v>
      </c>
      <c r="X122" s="131">
        <f t="shared" si="55"/>
        <v>2157</v>
      </c>
      <c r="Y122" s="131">
        <f t="shared" si="55"/>
        <v>2358</v>
      </c>
      <c r="Z122" s="131">
        <f t="shared" si="55"/>
        <v>2491</v>
      </c>
      <c r="AA122" s="131">
        <f t="shared" si="55"/>
        <v>2757.8869999999997</v>
      </c>
      <c r="AB122" s="131">
        <f t="shared" si="55"/>
        <v>2904</v>
      </c>
      <c r="AC122" s="131">
        <f t="shared" si="55"/>
        <v>3124</v>
      </c>
      <c r="AD122" s="131">
        <f t="shared" si="55"/>
        <v>3415</v>
      </c>
      <c r="AE122" s="131">
        <f t="shared" si="55"/>
        <v>3781</v>
      </c>
      <c r="AF122" s="397">
        <f t="shared" si="55"/>
        <v>4103</v>
      </c>
      <c r="AG122" s="131">
        <f t="shared" si="55"/>
        <v>4713</v>
      </c>
      <c r="AH122" s="131">
        <f t="shared" si="55"/>
        <v>5232</v>
      </c>
      <c r="AI122" s="131">
        <f t="shared" si="55"/>
        <v>5452</v>
      </c>
      <c r="AJ122" s="131">
        <f t="shared" si="55"/>
        <v>5641</v>
      </c>
      <c r="AK122" s="131">
        <f t="shared" si="55"/>
        <v>5984</v>
      </c>
      <c r="AL122" s="131">
        <f t="shared" si="55"/>
        <v>5520</v>
      </c>
      <c r="AM122" s="131">
        <f t="shared" si="55"/>
        <v>5840</v>
      </c>
      <c r="AN122" s="131">
        <f t="shared" si="55"/>
        <v>5711</v>
      </c>
      <c r="AO122" s="131">
        <f t="shared" ref="AO122:BE122" si="56">AO96+AO99+AO102+AO111+AO117+AO119+AO121</f>
        <v>6268</v>
      </c>
      <c r="AP122" s="397">
        <f t="shared" si="56"/>
        <v>6564</v>
      </c>
      <c r="AQ122" s="131">
        <f t="shared" si="56"/>
        <v>6866</v>
      </c>
      <c r="AR122" s="131">
        <f t="shared" si="56"/>
        <v>7291</v>
      </c>
      <c r="AS122" s="131">
        <f t="shared" si="56"/>
        <v>7787</v>
      </c>
      <c r="AT122" s="131">
        <f t="shared" si="56"/>
        <v>6943</v>
      </c>
      <c r="AU122" s="131">
        <f t="shared" si="56"/>
        <v>7292</v>
      </c>
      <c r="AV122" s="131">
        <f t="shared" si="56"/>
        <v>7733</v>
      </c>
      <c r="AW122" s="131">
        <f t="shared" si="56"/>
        <v>7552.8528618047594</v>
      </c>
      <c r="AX122" s="131">
        <f t="shared" si="56"/>
        <v>7655.2001096491231</v>
      </c>
      <c r="AY122" s="131">
        <f t="shared" si="56"/>
        <v>8007</v>
      </c>
      <c r="AZ122" s="397">
        <f t="shared" si="56"/>
        <v>8705</v>
      </c>
      <c r="BA122" s="362">
        <f t="shared" si="56"/>
        <v>9369</v>
      </c>
      <c r="BB122" s="362">
        <f t="shared" si="56"/>
        <v>9348</v>
      </c>
      <c r="BC122" s="362">
        <f t="shared" si="56"/>
        <v>8479</v>
      </c>
      <c r="BD122" s="398">
        <f t="shared" si="56"/>
        <v>9353</v>
      </c>
      <c r="BE122" s="398">
        <f t="shared" si="56"/>
        <v>8161.9788394827992</v>
      </c>
      <c r="BF122" s="398">
        <f t="shared" ref="BF122:BG122" si="57">BF96+BF99+BF102+BF111+BF117+BF119+BF121</f>
        <v>8396</v>
      </c>
      <c r="BG122" s="398">
        <f t="shared" si="57"/>
        <v>8158</v>
      </c>
      <c r="BH122" s="398">
        <f t="shared" ref="BH122:BI122" si="58">BH96+BH99+BH102+BH111+BH117+BH119+BH121</f>
        <v>7934</v>
      </c>
      <c r="BI122" s="398">
        <f t="shared" si="58"/>
        <v>6834</v>
      </c>
      <c r="BJ122" s="875">
        <f>(BH122-BG122)/BG122</f>
        <v>-2.7457710223093897E-2</v>
      </c>
      <c r="BK122" s="875">
        <f>(BI122-BH122)/BH122</f>
        <v>-0.13864381144441643</v>
      </c>
      <c r="BL122" s="569">
        <f>BH122-BG122</f>
        <v>-224</v>
      </c>
      <c r="BM122" s="569">
        <f>BI122-BH122</f>
        <v>-1100</v>
      </c>
      <c r="BN122" s="349"/>
      <c r="BQ122" s="152"/>
      <c r="BR122" s="320"/>
      <c r="BS122" s="1"/>
    </row>
    <row r="123" spans="1:214" ht="11.25" customHeight="1">
      <c r="A123" s="115"/>
      <c r="C123" s="110"/>
      <c r="D123" s="110"/>
      <c r="E123" s="110"/>
      <c r="F123" s="110"/>
      <c r="G123" s="110"/>
      <c r="H123" s="110"/>
      <c r="I123" s="110"/>
      <c r="J123" s="110"/>
      <c r="K123" s="110"/>
      <c r="L123" s="643"/>
      <c r="M123" s="110"/>
      <c r="N123" s="110"/>
      <c r="O123" s="110"/>
      <c r="P123" s="110"/>
      <c r="Q123" s="110"/>
      <c r="R123" s="110"/>
      <c r="S123" s="110"/>
      <c r="T123" s="110"/>
      <c r="U123" s="110"/>
      <c r="V123" s="643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643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643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643"/>
      <c r="BA123" s="110"/>
      <c r="BB123" s="110"/>
      <c r="BC123" s="110"/>
      <c r="BD123" s="110"/>
      <c r="BE123" s="110"/>
      <c r="BF123" s="643"/>
      <c r="BG123" s="643"/>
      <c r="BH123" s="643"/>
      <c r="BI123" s="643"/>
      <c r="BJ123" s="871"/>
      <c r="BK123" s="871"/>
      <c r="BL123" s="572"/>
      <c r="BM123" s="572"/>
      <c r="BN123" s="314"/>
      <c r="BQ123" s="152"/>
      <c r="BR123" s="320"/>
      <c r="BS123" s="1"/>
    </row>
    <row r="124" spans="1:214" s="177" customFormat="1" ht="12" customHeight="1" thickBot="1">
      <c r="A124" s="399" t="s">
        <v>42</v>
      </c>
      <c r="B124" s="397">
        <f t="shared" ref="B124:AG124" si="59">SUM(B40+B51+B67+B92+B122)</f>
        <v>354</v>
      </c>
      <c r="C124" s="397">
        <f t="shared" si="59"/>
        <v>421</v>
      </c>
      <c r="D124" s="397">
        <f t="shared" si="59"/>
        <v>483</v>
      </c>
      <c r="E124" s="397">
        <f t="shared" si="59"/>
        <v>552</v>
      </c>
      <c r="F124" s="397">
        <f t="shared" si="59"/>
        <v>590</v>
      </c>
      <c r="G124" s="397">
        <f t="shared" si="59"/>
        <v>604</v>
      </c>
      <c r="H124" s="397">
        <f t="shared" si="59"/>
        <v>645.84</v>
      </c>
      <c r="I124" s="397">
        <f t="shared" si="59"/>
        <v>702</v>
      </c>
      <c r="J124" s="397">
        <f t="shared" si="59"/>
        <v>819.5</v>
      </c>
      <c r="K124" s="397">
        <f t="shared" si="59"/>
        <v>957</v>
      </c>
      <c r="L124" s="397">
        <f t="shared" si="59"/>
        <v>1097.3980000000001</v>
      </c>
      <c r="M124" s="397">
        <f t="shared" si="59"/>
        <v>1428.0340000000001</v>
      </c>
      <c r="N124" s="397">
        <f t="shared" si="59"/>
        <v>1825.3109999999999</v>
      </c>
      <c r="O124" s="397">
        <f t="shared" si="59"/>
        <v>2528.2049999999999</v>
      </c>
      <c r="P124" s="397">
        <f t="shared" si="59"/>
        <v>2603.2359999999999</v>
      </c>
      <c r="Q124" s="397">
        <f t="shared" si="59"/>
        <v>3126.9430000000002</v>
      </c>
      <c r="R124" s="397">
        <f t="shared" si="59"/>
        <v>3701.2039999999997</v>
      </c>
      <c r="S124" s="397">
        <f t="shared" si="59"/>
        <v>4155.9110000000001</v>
      </c>
      <c r="T124" s="397">
        <f t="shared" si="59"/>
        <v>4578.973</v>
      </c>
      <c r="U124" s="397">
        <f t="shared" si="59"/>
        <v>5162.3860000000004</v>
      </c>
      <c r="V124" s="397">
        <f t="shared" si="59"/>
        <v>6055.5599999999995</v>
      </c>
      <c r="W124" s="397">
        <f t="shared" si="59"/>
        <v>6435.357</v>
      </c>
      <c r="X124" s="397">
        <f t="shared" si="59"/>
        <v>6205.1459999999997</v>
      </c>
      <c r="Y124" s="397">
        <f t="shared" si="59"/>
        <v>6485.6270000000004</v>
      </c>
      <c r="Z124" s="397">
        <f t="shared" si="59"/>
        <v>6844.5039999999999</v>
      </c>
      <c r="AA124" s="397">
        <f t="shared" si="59"/>
        <v>7213.9739999999993</v>
      </c>
      <c r="AB124" s="397">
        <f t="shared" si="59"/>
        <v>7513.732</v>
      </c>
      <c r="AC124" s="397">
        <f t="shared" si="59"/>
        <v>8248.7960000000003</v>
      </c>
      <c r="AD124" s="397">
        <f t="shared" si="59"/>
        <v>9152.6859999999997</v>
      </c>
      <c r="AE124" s="397">
        <f t="shared" si="59"/>
        <v>10103.557000000001</v>
      </c>
      <c r="AF124" s="397">
        <f t="shared" si="59"/>
        <v>11123.168</v>
      </c>
      <c r="AG124" s="397">
        <f t="shared" si="59"/>
        <v>12581.498</v>
      </c>
      <c r="AH124" s="397">
        <f t="shared" ref="AH124:BG124" si="60">SUM(AH40+AH51+AH67+AH92+AH122)</f>
        <v>14089.548999999999</v>
      </c>
      <c r="AI124" s="397">
        <f t="shared" si="60"/>
        <v>14498.263999999999</v>
      </c>
      <c r="AJ124" s="397">
        <f t="shared" si="60"/>
        <v>15023.646000000001</v>
      </c>
      <c r="AK124" s="397">
        <f t="shared" si="60"/>
        <v>15703</v>
      </c>
      <c r="AL124" s="397">
        <f t="shared" si="60"/>
        <v>15856</v>
      </c>
      <c r="AM124" s="397">
        <f t="shared" si="60"/>
        <v>16918</v>
      </c>
      <c r="AN124" s="397">
        <f t="shared" si="60"/>
        <v>18632</v>
      </c>
      <c r="AO124" s="397">
        <f t="shared" si="60"/>
        <v>19564</v>
      </c>
      <c r="AP124" s="397">
        <f t="shared" si="60"/>
        <v>21008.609704131053</v>
      </c>
      <c r="AQ124" s="397">
        <f t="shared" si="60"/>
        <v>22467.569116926967</v>
      </c>
      <c r="AR124" s="397">
        <f t="shared" si="60"/>
        <v>27054.774949426836</v>
      </c>
      <c r="AS124" s="397">
        <f t="shared" si="60"/>
        <v>35444</v>
      </c>
      <c r="AT124" s="397">
        <f t="shared" si="60"/>
        <v>32057</v>
      </c>
      <c r="AU124" s="397">
        <f t="shared" si="60"/>
        <v>33408</v>
      </c>
      <c r="AV124" s="397">
        <f t="shared" si="60"/>
        <v>35633</v>
      </c>
      <c r="AW124" s="397">
        <f t="shared" si="60"/>
        <v>37032.101153376512</v>
      </c>
      <c r="AX124" s="397">
        <f t="shared" si="60"/>
        <v>40042.927129929063</v>
      </c>
      <c r="AY124" s="397">
        <f t="shared" si="60"/>
        <v>43542</v>
      </c>
      <c r="AZ124" s="397">
        <f t="shared" si="60"/>
        <v>45667</v>
      </c>
      <c r="BA124" s="398">
        <f t="shared" si="60"/>
        <v>47089</v>
      </c>
      <c r="BB124" s="398">
        <f t="shared" si="60"/>
        <v>48233</v>
      </c>
      <c r="BC124" s="398">
        <f t="shared" si="60"/>
        <v>47276</v>
      </c>
      <c r="BD124" s="398">
        <f t="shared" si="60"/>
        <v>48346</v>
      </c>
      <c r="BE124" s="398">
        <f t="shared" si="60"/>
        <v>49648.978839482799</v>
      </c>
      <c r="BF124" s="398">
        <f t="shared" si="60"/>
        <v>51469</v>
      </c>
      <c r="BG124" s="398">
        <f t="shared" si="60"/>
        <v>53620</v>
      </c>
      <c r="BH124" s="398">
        <f t="shared" ref="BH124:BI124" si="61">SUM(BH40+BH51+BH67+BH92+BH122)</f>
        <v>56958</v>
      </c>
      <c r="BI124" s="398">
        <f t="shared" si="61"/>
        <v>57954</v>
      </c>
      <c r="BJ124" s="875">
        <f>(BH124-BG124)/BG124</f>
        <v>6.2252890712420739E-2</v>
      </c>
      <c r="BK124" s="875">
        <f>(BI124-BH124)/BH124</f>
        <v>1.7486569050879596E-2</v>
      </c>
      <c r="BL124" s="569">
        <f>BH124-BG124</f>
        <v>3338</v>
      </c>
      <c r="BM124" s="569">
        <f>BI124-BH124</f>
        <v>996</v>
      </c>
      <c r="BN124" s="349"/>
      <c r="BO124" s="112"/>
      <c r="BP124" s="112"/>
      <c r="BQ124" s="152"/>
      <c r="BR124" s="391"/>
      <c r="BT124" s="392"/>
      <c r="BU124" s="392"/>
      <c r="BV124" s="392"/>
      <c r="BW124" s="392"/>
      <c r="BX124" s="392"/>
      <c r="BY124" s="392"/>
      <c r="BZ124" s="392"/>
      <c r="CA124" s="392"/>
      <c r="CB124" s="392"/>
      <c r="CC124" s="392"/>
      <c r="CD124" s="392"/>
      <c r="CE124" s="392"/>
      <c r="CF124" s="392"/>
      <c r="CG124" s="392"/>
      <c r="CH124" s="392"/>
      <c r="CI124" s="392"/>
      <c r="CJ124" s="392"/>
      <c r="CK124" s="392"/>
      <c r="CL124" s="392"/>
      <c r="CM124" s="392"/>
      <c r="CN124" s="392"/>
      <c r="CO124" s="392"/>
      <c r="CP124" s="392"/>
      <c r="CQ124" s="392"/>
      <c r="CR124" s="392"/>
      <c r="CS124" s="392"/>
      <c r="CT124" s="392"/>
      <c r="CU124" s="392"/>
      <c r="CV124" s="392"/>
      <c r="CW124" s="392"/>
      <c r="CX124" s="392"/>
      <c r="CY124" s="392"/>
      <c r="CZ124" s="392"/>
      <c r="DA124" s="392"/>
      <c r="DB124" s="392"/>
      <c r="DC124" s="392"/>
      <c r="DD124" s="392"/>
      <c r="DE124" s="392"/>
      <c r="DF124" s="392"/>
      <c r="DG124" s="392"/>
      <c r="DH124" s="392"/>
      <c r="DI124" s="392"/>
      <c r="DJ124" s="392"/>
      <c r="DK124" s="392"/>
      <c r="DL124" s="392"/>
      <c r="DM124" s="392"/>
      <c r="DN124" s="392"/>
      <c r="DO124" s="392"/>
      <c r="DP124" s="392"/>
      <c r="DQ124" s="392"/>
      <c r="DR124" s="392"/>
      <c r="DS124" s="392"/>
      <c r="DT124" s="392"/>
      <c r="DU124" s="392"/>
      <c r="DV124" s="392"/>
      <c r="DW124" s="392"/>
      <c r="DX124" s="392"/>
      <c r="DY124" s="392"/>
      <c r="DZ124" s="392"/>
      <c r="EA124" s="392"/>
      <c r="EB124" s="392"/>
      <c r="EC124" s="392"/>
      <c r="ED124" s="392"/>
      <c r="EE124" s="392"/>
      <c r="EF124" s="392"/>
      <c r="EG124" s="392"/>
      <c r="EH124" s="392"/>
      <c r="EI124" s="392"/>
      <c r="EJ124" s="392"/>
      <c r="EK124" s="392"/>
      <c r="EL124" s="392"/>
      <c r="EM124" s="392"/>
      <c r="EN124" s="392"/>
      <c r="EO124" s="392"/>
      <c r="EP124" s="392"/>
      <c r="EQ124" s="392"/>
      <c r="ER124" s="392"/>
      <c r="ES124" s="392"/>
      <c r="ET124" s="392"/>
      <c r="EU124" s="392"/>
      <c r="EV124" s="392"/>
      <c r="EW124" s="392"/>
      <c r="EX124" s="392"/>
      <c r="EY124" s="392"/>
      <c r="EZ124" s="392"/>
      <c r="FA124" s="392"/>
      <c r="FB124" s="392"/>
      <c r="FC124" s="392"/>
      <c r="FD124" s="392"/>
      <c r="FE124" s="392"/>
      <c r="FF124" s="392"/>
      <c r="FG124" s="392"/>
      <c r="FH124" s="392"/>
      <c r="FI124" s="392"/>
      <c r="FJ124" s="392"/>
      <c r="FK124" s="392"/>
      <c r="FL124" s="392"/>
      <c r="FM124" s="392"/>
      <c r="FN124" s="392"/>
      <c r="FO124" s="392"/>
      <c r="FP124" s="392"/>
      <c r="FQ124" s="392"/>
      <c r="FR124" s="392"/>
      <c r="FS124" s="392"/>
      <c r="FT124" s="392"/>
      <c r="FU124" s="392"/>
      <c r="FV124" s="392"/>
      <c r="FW124" s="392"/>
      <c r="FX124" s="392"/>
      <c r="FY124" s="392"/>
      <c r="FZ124" s="392"/>
      <c r="GA124" s="392"/>
      <c r="GB124" s="392"/>
      <c r="GC124" s="392"/>
      <c r="GD124" s="392"/>
      <c r="GE124" s="392"/>
      <c r="GF124" s="392"/>
      <c r="GG124" s="392"/>
      <c r="GH124" s="392"/>
      <c r="GI124" s="392"/>
      <c r="GJ124" s="392"/>
      <c r="GK124" s="392"/>
      <c r="GL124" s="392"/>
      <c r="GM124" s="392"/>
      <c r="GN124" s="392"/>
      <c r="GO124" s="392"/>
      <c r="GP124" s="392"/>
      <c r="GQ124" s="392"/>
      <c r="GR124" s="392"/>
      <c r="GS124" s="392"/>
      <c r="GT124" s="392"/>
      <c r="GU124" s="392"/>
      <c r="GV124" s="392"/>
      <c r="GW124" s="392"/>
      <c r="GX124" s="392"/>
      <c r="GY124" s="392"/>
      <c r="GZ124" s="392"/>
      <c r="HA124" s="392"/>
      <c r="HB124" s="392"/>
      <c r="HC124" s="392"/>
      <c r="HD124" s="392"/>
      <c r="HE124" s="392"/>
      <c r="HF124" s="392"/>
    </row>
    <row r="125" spans="1:214" ht="15.75" customHeight="1">
      <c r="A125" s="115"/>
      <c r="U125" s="8"/>
      <c r="V125" s="826"/>
      <c r="W125" s="8"/>
      <c r="X125" s="8"/>
      <c r="Y125" s="8"/>
      <c r="Z125" s="8"/>
      <c r="AA125" s="8"/>
      <c r="AB125" s="8"/>
      <c r="AC125" s="8"/>
      <c r="AD125" s="8"/>
      <c r="AE125" s="8"/>
      <c r="AF125" s="826"/>
      <c r="AG125" s="8"/>
      <c r="AH125" s="8"/>
      <c r="AI125" s="11"/>
      <c r="AJ125" s="11"/>
      <c r="AK125" s="11"/>
      <c r="AL125" s="6"/>
      <c r="AM125" s="23"/>
      <c r="AN125" s="23"/>
      <c r="AO125" s="23"/>
      <c r="AP125" s="180"/>
      <c r="AQ125" s="23"/>
      <c r="AR125" s="23"/>
      <c r="AS125" s="23"/>
      <c r="AT125" s="23"/>
      <c r="AU125" s="23"/>
      <c r="AV125" s="23"/>
      <c r="AW125" s="197"/>
      <c r="AX125" s="197"/>
      <c r="AY125" s="197"/>
      <c r="AZ125" s="535"/>
      <c r="BA125" s="309"/>
      <c r="BB125" s="316"/>
      <c r="BC125" s="296"/>
      <c r="BD125" s="535"/>
      <c r="BE125" s="535"/>
      <c r="BF125" s="535"/>
      <c r="BG125" s="535"/>
      <c r="BH125" s="535"/>
      <c r="BI125" s="535"/>
      <c r="BJ125" s="871"/>
      <c r="BK125" s="871"/>
      <c r="BL125" s="565"/>
      <c r="BM125" s="565"/>
      <c r="BN125" s="316"/>
      <c r="BQ125" s="152"/>
      <c r="BR125" s="320"/>
    </row>
    <row r="126" spans="1:214" ht="15.75" customHeight="1">
      <c r="A126" s="160" t="s">
        <v>43</v>
      </c>
      <c r="AV126" s="3"/>
      <c r="AW126" s="3"/>
      <c r="AX126" s="3"/>
      <c r="AY126" s="3"/>
      <c r="AZ126" s="178"/>
      <c r="BA126" s="3"/>
      <c r="BB126" s="3"/>
      <c r="BC126" s="3"/>
      <c r="BD126" s="3"/>
      <c r="BE126" s="3"/>
      <c r="BF126" s="178"/>
      <c r="BG126" s="178"/>
      <c r="BH126" s="178"/>
      <c r="BI126" s="178"/>
      <c r="BJ126" s="871"/>
      <c r="BK126" s="871"/>
      <c r="BL126" s="565"/>
      <c r="BM126" s="565"/>
      <c r="BN126" s="316"/>
      <c r="BQ126" s="152"/>
      <c r="BR126" s="320"/>
    </row>
    <row r="127" spans="1:214" ht="11.25" customHeight="1">
      <c r="A127" s="160"/>
      <c r="L127" s="828"/>
      <c r="M127" s="20"/>
      <c r="N127" s="20"/>
      <c r="O127" s="20"/>
      <c r="P127" s="20"/>
      <c r="Q127" s="20"/>
      <c r="R127" s="20"/>
      <c r="S127" s="20"/>
      <c r="T127" s="20"/>
      <c r="U127" s="20"/>
      <c r="V127" s="834"/>
      <c r="W127" s="20"/>
      <c r="X127" s="20"/>
      <c r="Y127" s="20"/>
      <c r="Z127" s="19"/>
      <c r="AA127" s="20"/>
      <c r="AB127" s="20"/>
      <c r="AC127" s="20"/>
      <c r="AD127" s="20"/>
      <c r="AE127" s="20"/>
      <c r="AF127" s="834"/>
      <c r="AG127" s="20"/>
      <c r="AH127" s="20"/>
      <c r="AI127" s="20"/>
      <c r="AJ127" s="20"/>
      <c r="AK127" s="20"/>
      <c r="AL127" s="20"/>
      <c r="AM127" s="23"/>
      <c r="AN127" s="23"/>
      <c r="AO127" s="87"/>
      <c r="AP127" s="224"/>
      <c r="AQ127" s="87"/>
      <c r="AR127" s="87"/>
      <c r="AS127" s="87"/>
      <c r="AT127" s="87"/>
      <c r="AU127" s="87"/>
      <c r="AV127" s="87"/>
      <c r="AW127" s="199"/>
      <c r="AX127" s="199"/>
      <c r="AY127" s="199"/>
      <c r="AZ127" s="544"/>
      <c r="BA127" s="308"/>
      <c r="BB127" s="314"/>
      <c r="BC127" s="294"/>
      <c r="BD127" s="544"/>
      <c r="BE127" s="544"/>
      <c r="BF127" s="544"/>
      <c r="BG127" s="544"/>
      <c r="BH127" s="544"/>
      <c r="BI127" s="544"/>
      <c r="BJ127" s="871"/>
      <c r="BK127" s="871"/>
      <c r="BL127" s="565"/>
      <c r="BM127" s="565"/>
      <c r="BN127" s="316"/>
      <c r="BQ127" s="152"/>
      <c r="BR127" s="320"/>
    </row>
    <row r="128" spans="1:214" ht="15.75" customHeight="1">
      <c r="A128" s="120" t="s">
        <v>67</v>
      </c>
      <c r="L128" s="828"/>
      <c r="M128" s="20"/>
      <c r="N128" s="20"/>
      <c r="O128" s="20"/>
      <c r="P128" s="20"/>
      <c r="Q128" s="20"/>
      <c r="R128" s="20"/>
      <c r="S128" s="20"/>
      <c r="T128" s="20"/>
      <c r="U128" s="20"/>
      <c r="V128" s="834"/>
      <c r="W128" s="20"/>
      <c r="X128" s="20"/>
      <c r="Y128" s="20"/>
      <c r="Z128" s="19"/>
      <c r="AA128" s="20"/>
      <c r="AB128" s="20"/>
      <c r="AC128" s="20"/>
      <c r="AD128" s="20"/>
      <c r="AE128" s="20"/>
      <c r="AF128" s="834"/>
      <c r="AG128" s="20"/>
      <c r="AH128" s="20"/>
      <c r="AI128" s="20"/>
      <c r="AJ128" s="20"/>
      <c r="AK128" s="20"/>
      <c r="AL128" s="20"/>
      <c r="AM128" s="23"/>
      <c r="AN128" s="23"/>
      <c r="AO128" s="23"/>
      <c r="AP128" s="180"/>
      <c r="AQ128" s="23"/>
      <c r="AR128" s="23"/>
      <c r="AS128" s="23"/>
      <c r="AT128" s="23"/>
      <c r="AU128" s="23"/>
      <c r="AV128" s="23"/>
      <c r="AW128" s="197"/>
      <c r="AX128" s="197"/>
      <c r="AY128" s="197"/>
      <c r="AZ128" s="535"/>
      <c r="BA128" s="309"/>
      <c r="BB128" s="316"/>
      <c r="BC128" s="296"/>
      <c r="BD128" s="535"/>
      <c r="BE128" s="535"/>
      <c r="BF128" s="535"/>
      <c r="BG128" s="535"/>
      <c r="BH128" s="535"/>
      <c r="BI128" s="535"/>
      <c r="BJ128" s="871"/>
      <c r="BK128" s="871"/>
      <c r="BL128" s="565"/>
      <c r="BM128" s="565"/>
      <c r="BN128" s="316"/>
      <c r="BQ128" s="152"/>
      <c r="BR128" s="320"/>
    </row>
    <row r="129" spans="1:71" ht="6" customHeight="1">
      <c r="A129" s="112"/>
      <c r="L129" s="826"/>
      <c r="M129" s="8"/>
      <c r="N129" s="8"/>
      <c r="O129" s="8"/>
      <c r="P129" s="8"/>
      <c r="Q129" s="8"/>
      <c r="R129" s="8"/>
      <c r="S129" s="8"/>
      <c r="T129" s="8"/>
      <c r="U129" s="8"/>
      <c r="V129" s="826"/>
      <c r="W129" s="8"/>
      <c r="X129" s="8"/>
      <c r="Y129" s="8"/>
      <c r="Z129" s="8"/>
      <c r="AA129" s="8"/>
      <c r="AB129" s="8"/>
      <c r="AC129" s="8"/>
      <c r="AD129" s="8"/>
      <c r="AE129" s="8"/>
      <c r="AF129" s="826"/>
      <c r="AG129" s="8"/>
      <c r="AH129" s="8"/>
      <c r="AI129" s="11"/>
      <c r="AJ129" s="11"/>
      <c r="AK129" s="11"/>
      <c r="AL129" s="6"/>
      <c r="AM129" s="23"/>
      <c r="AN129" s="23"/>
      <c r="AO129" s="23"/>
      <c r="AP129" s="180"/>
      <c r="AQ129" s="23"/>
      <c r="AR129" s="23"/>
      <c r="AS129" s="23"/>
      <c r="AT129" s="23"/>
      <c r="AU129" s="23"/>
      <c r="AV129" s="23"/>
      <c r="AW129" s="197"/>
      <c r="AX129" s="197"/>
      <c r="AY129" s="197"/>
      <c r="AZ129" s="535"/>
      <c r="BA129" s="309"/>
      <c r="BB129" s="316"/>
      <c r="BC129" s="296"/>
      <c r="BD129" s="535"/>
      <c r="BE129" s="535"/>
      <c r="BF129" s="535"/>
      <c r="BG129" s="535"/>
      <c r="BH129" s="535"/>
      <c r="BI129" s="535"/>
      <c r="BJ129" s="871"/>
      <c r="BK129" s="871"/>
      <c r="BL129" s="565"/>
      <c r="BM129" s="565"/>
      <c r="BN129" s="316"/>
      <c r="BQ129" s="152"/>
      <c r="BR129" s="320"/>
    </row>
    <row r="130" spans="1:71" ht="11.25" customHeight="1">
      <c r="A130" s="116" t="s">
        <v>44</v>
      </c>
      <c r="L130" s="826"/>
      <c r="M130" s="8"/>
      <c r="N130" s="8"/>
      <c r="O130" s="8"/>
      <c r="P130" s="8"/>
      <c r="Q130" s="8"/>
      <c r="R130" s="8"/>
      <c r="S130" s="8"/>
      <c r="T130" s="8"/>
      <c r="U130" s="8"/>
      <c r="V130" s="826"/>
      <c r="W130" s="8"/>
      <c r="X130" s="8"/>
      <c r="Y130" s="8"/>
      <c r="Z130" s="8"/>
      <c r="AA130" s="8"/>
      <c r="AB130" s="8"/>
      <c r="AC130" s="8"/>
      <c r="AD130" s="8"/>
      <c r="AE130" s="8"/>
      <c r="AF130" s="826"/>
      <c r="AG130" s="8"/>
      <c r="AH130" s="8"/>
      <c r="AI130" s="11"/>
      <c r="AJ130" s="11"/>
      <c r="AK130" s="11"/>
      <c r="AL130" s="6"/>
      <c r="AM130" s="23"/>
      <c r="AN130" s="23"/>
      <c r="AO130" s="23"/>
      <c r="AP130" s="180"/>
      <c r="AQ130" s="23"/>
      <c r="AR130" s="23"/>
      <c r="AS130" s="23"/>
      <c r="AT130" s="23"/>
      <c r="AU130" s="23"/>
      <c r="AV130" s="23"/>
      <c r="AW130" s="197"/>
      <c r="AX130" s="197"/>
      <c r="AY130" s="197"/>
      <c r="AZ130" s="535"/>
      <c r="BA130" s="309"/>
      <c r="BB130" s="316"/>
      <c r="BC130" s="296"/>
      <c r="BD130" s="535"/>
      <c r="BE130" s="535"/>
      <c r="BF130" s="535"/>
      <c r="BG130" s="535"/>
      <c r="BH130" s="535"/>
      <c r="BI130" s="535"/>
      <c r="BJ130" s="871"/>
      <c r="BK130" s="871"/>
      <c r="BL130" s="565"/>
      <c r="BM130" s="565"/>
      <c r="BN130" s="316"/>
      <c r="BQ130" s="152"/>
      <c r="BR130" s="320"/>
    </row>
    <row r="131" spans="1:71">
      <c r="A131" s="287" t="s">
        <v>137</v>
      </c>
      <c r="B131" s="593">
        <v>11</v>
      </c>
      <c r="C131" s="25">
        <v>12</v>
      </c>
      <c r="D131" s="25">
        <v>14</v>
      </c>
      <c r="E131" s="25">
        <v>16</v>
      </c>
      <c r="F131" s="25">
        <v>16</v>
      </c>
      <c r="G131" s="25">
        <v>17</v>
      </c>
      <c r="H131" s="25">
        <v>19</v>
      </c>
      <c r="I131" s="25">
        <v>21</v>
      </c>
      <c r="J131" s="25">
        <v>22</v>
      </c>
      <c r="K131" s="25">
        <v>27</v>
      </c>
      <c r="L131" s="826">
        <v>32</v>
      </c>
      <c r="M131" s="8">
        <v>37</v>
      </c>
      <c r="N131" s="8">
        <v>39</v>
      </c>
      <c r="O131" s="8">
        <v>43</v>
      </c>
      <c r="P131" s="8">
        <v>49</v>
      </c>
      <c r="Q131" s="8">
        <v>62</v>
      </c>
      <c r="R131" s="8">
        <v>75</v>
      </c>
      <c r="S131" s="8">
        <v>83</v>
      </c>
      <c r="T131" s="8">
        <v>91</v>
      </c>
      <c r="U131" s="8">
        <v>96</v>
      </c>
      <c r="V131" s="826">
        <v>113</v>
      </c>
      <c r="W131" s="8">
        <v>120</v>
      </c>
      <c r="X131" s="8">
        <v>128</v>
      </c>
      <c r="Y131" s="8">
        <v>145</v>
      </c>
      <c r="Z131" s="8">
        <v>164</v>
      </c>
      <c r="AA131" s="8">
        <v>169</v>
      </c>
      <c r="AB131" s="8">
        <v>184</v>
      </c>
      <c r="AC131" s="8">
        <v>193</v>
      </c>
      <c r="AD131" s="8">
        <v>218</v>
      </c>
      <c r="AE131" s="8">
        <v>235</v>
      </c>
      <c r="AF131" s="826">
        <v>256</v>
      </c>
      <c r="AG131" s="8">
        <v>285</v>
      </c>
      <c r="AH131" s="8">
        <v>274</v>
      </c>
      <c r="AI131" s="9">
        <v>347</v>
      </c>
      <c r="AJ131" s="9">
        <v>358</v>
      </c>
      <c r="AK131" s="9">
        <v>388</v>
      </c>
      <c r="AL131" s="9">
        <v>357</v>
      </c>
      <c r="AM131" s="33">
        <v>345</v>
      </c>
      <c r="AN131" s="33">
        <v>353</v>
      </c>
      <c r="AO131" s="33">
        <v>403</v>
      </c>
      <c r="AP131" s="715">
        <v>382</v>
      </c>
      <c r="AQ131" s="33">
        <v>417</v>
      </c>
      <c r="AR131" s="33">
        <v>413</v>
      </c>
      <c r="AS131" s="33">
        <v>429</v>
      </c>
      <c r="AT131" s="33">
        <v>451</v>
      </c>
      <c r="AU131" s="33">
        <v>474</v>
      </c>
      <c r="AV131" s="47">
        <v>538</v>
      </c>
      <c r="AW131" s="47">
        <v>605</v>
      </c>
      <c r="AX131" s="47">
        <v>660</v>
      </c>
      <c r="AY131" s="47">
        <v>704</v>
      </c>
      <c r="AZ131" s="281">
        <v>733</v>
      </c>
      <c r="BA131" s="434">
        <v>740</v>
      </c>
      <c r="BB131" s="434">
        <v>817</v>
      </c>
      <c r="BC131" s="434">
        <v>1077</v>
      </c>
      <c r="BD131" s="372">
        <v>1004</v>
      </c>
      <c r="BE131" s="372">
        <v>991</v>
      </c>
      <c r="BF131" s="372">
        <v>1042</v>
      </c>
      <c r="BG131" s="372">
        <v>1091</v>
      </c>
      <c r="BH131" s="372">
        <v>1349</v>
      </c>
      <c r="BI131" s="372">
        <v>1279</v>
      </c>
      <c r="BJ131" s="410">
        <f>(BH131-BG131)/BG131</f>
        <v>0.23648029330889092</v>
      </c>
      <c r="BK131" s="410">
        <f>(BI131-BH131)/BH131</f>
        <v>-5.1890289103039292E-2</v>
      </c>
      <c r="BL131" s="564">
        <f>BH131-BG131</f>
        <v>258</v>
      </c>
      <c r="BM131" s="564">
        <f>BI131-BH131</f>
        <v>-70</v>
      </c>
      <c r="BN131" s="348"/>
      <c r="BQ131" s="152"/>
      <c r="BR131" s="320"/>
    </row>
    <row r="132" spans="1:71" ht="11.25" customHeight="1">
      <c r="A132" s="115" t="s">
        <v>78</v>
      </c>
      <c r="B132" s="806" t="s">
        <v>3</v>
      </c>
      <c r="C132" s="142" t="s">
        <v>3</v>
      </c>
      <c r="D132" s="142" t="s">
        <v>3</v>
      </c>
      <c r="E132" s="142" t="s">
        <v>3</v>
      </c>
      <c r="F132" s="142" t="s">
        <v>3</v>
      </c>
      <c r="G132" s="142" t="s">
        <v>3</v>
      </c>
      <c r="H132" s="142" t="s">
        <v>3</v>
      </c>
      <c r="I132" s="142" t="s">
        <v>3</v>
      </c>
      <c r="J132" s="142" t="s">
        <v>3</v>
      </c>
      <c r="K132" s="142" t="s">
        <v>3</v>
      </c>
      <c r="L132" s="806" t="s">
        <v>3</v>
      </c>
      <c r="M132" s="142" t="s">
        <v>3</v>
      </c>
      <c r="N132" s="142" t="s">
        <v>3</v>
      </c>
      <c r="O132" s="142" t="s">
        <v>3</v>
      </c>
      <c r="P132" s="142" t="s">
        <v>3</v>
      </c>
      <c r="Q132" s="142" t="s">
        <v>3</v>
      </c>
      <c r="R132" s="142" t="s">
        <v>3</v>
      </c>
      <c r="S132" s="142" t="s">
        <v>3</v>
      </c>
      <c r="T132" s="142" t="s">
        <v>3</v>
      </c>
      <c r="U132" s="142" t="s">
        <v>3</v>
      </c>
      <c r="V132" s="806" t="s">
        <v>3</v>
      </c>
      <c r="W132" s="142" t="s">
        <v>3</v>
      </c>
      <c r="X132" s="142" t="s">
        <v>3</v>
      </c>
      <c r="Y132" s="142" t="s">
        <v>3</v>
      </c>
      <c r="Z132" s="142" t="s">
        <v>3</v>
      </c>
      <c r="AA132" s="142" t="s">
        <v>3</v>
      </c>
      <c r="AB132" s="142" t="s">
        <v>3</v>
      </c>
      <c r="AC132" s="142" t="s">
        <v>3</v>
      </c>
      <c r="AD132" s="142" t="s">
        <v>3</v>
      </c>
      <c r="AE132" s="142" t="s">
        <v>3</v>
      </c>
      <c r="AF132" s="806" t="s">
        <v>3</v>
      </c>
      <c r="AG132" s="142">
        <v>19</v>
      </c>
      <c r="AH132" s="11">
        <v>16</v>
      </c>
      <c r="AI132" s="170">
        <v>21</v>
      </c>
      <c r="AJ132" s="170">
        <v>20</v>
      </c>
      <c r="AK132" s="170">
        <v>22</v>
      </c>
      <c r="AL132" s="170">
        <v>22</v>
      </c>
      <c r="AM132" s="171">
        <v>25</v>
      </c>
      <c r="AN132" s="171">
        <v>26</v>
      </c>
      <c r="AO132" s="171">
        <v>26</v>
      </c>
      <c r="AP132" s="846">
        <v>29</v>
      </c>
      <c r="AQ132" s="171">
        <v>33</v>
      </c>
      <c r="AR132" s="171">
        <v>46</v>
      </c>
      <c r="AS132" s="171">
        <v>55</v>
      </c>
      <c r="AT132" s="49">
        <v>56</v>
      </c>
      <c r="AU132" s="49">
        <v>66</v>
      </c>
      <c r="AV132" s="30">
        <v>75</v>
      </c>
      <c r="AW132" s="30">
        <v>80</v>
      </c>
      <c r="AX132" s="30">
        <v>85</v>
      </c>
      <c r="AY132" s="30">
        <v>100</v>
      </c>
      <c r="AZ132" s="270">
        <v>102</v>
      </c>
      <c r="BA132" s="348">
        <v>119</v>
      </c>
      <c r="BB132" s="348">
        <v>109</v>
      </c>
      <c r="BC132" s="348">
        <v>109</v>
      </c>
      <c r="BD132" s="358">
        <v>95</v>
      </c>
      <c r="BE132" s="358">
        <v>102</v>
      </c>
      <c r="BF132" s="358">
        <v>110</v>
      </c>
      <c r="BG132" s="358">
        <v>117</v>
      </c>
      <c r="BH132" s="358">
        <v>124</v>
      </c>
      <c r="BI132" s="358">
        <v>125</v>
      </c>
      <c r="BJ132" s="410">
        <f>(BH132-BG132)/BG132</f>
        <v>5.9829059829059832E-2</v>
      </c>
      <c r="BK132" s="410">
        <f>(BI132-BH132)/BH132</f>
        <v>8.0645161290322578E-3</v>
      </c>
      <c r="BL132" s="564">
        <f>BH132-BG132</f>
        <v>7</v>
      </c>
      <c r="BM132" s="564">
        <f>BI132-BH132</f>
        <v>1</v>
      </c>
      <c r="BN132" s="348"/>
      <c r="BQ132" s="152"/>
      <c r="BR132" s="320"/>
    </row>
    <row r="133" spans="1:71" ht="11.25" customHeight="1">
      <c r="A133" s="119" t="s">
        <v>138</v>
      </c>
      <c r="B133" s="245">
        <v>9</v>
      </c>
      <c r="C133" s="50">
        <v>11</v>
      </c>
      <c r="D133" s="50">
        <v>12</v>
      </c>
      <c r="E133" s="50">
        <v>14</v>
      </c>
      <c r="F133" s="50">
        <v>15</v>
      </c>
      <c r="G133" s="50">
        <v>16</v>
      </c>
      <c r="H133" s="50">
        <v>16</v>
      </c>
      <c r="I133" s="50">
        <v>17</v>
      </c>
      <c r="J133" s="50">
        <v>19</v>
      </c>
      <c r="K133" s="50">
        <v>18</v>
      </c>
      <c r="L133" s="245">
        <v>21</v>
      </c>
      <c r="M133" s="50">
        <v>25</v>
      </c>
      <c r="N133" s="50">
        <v>27</v>
      </c>
      <c r="O133" s="50">
        <v>31</v>
      </c>
      <c r="P133" s="50">
        <v>28</v>
      </c>
      <c r="Q133" s="54">
        <v>33</v>
      </c>
      <c r="R133" s="54">
        <v>34</v>
      </c>
      <c r="S133" s="54">
        <v>41</v>
      </c>
      <c r="T133" s="54">
        <v>44</v>
      </c>
      <c r="U133" s="54">
        <v>49</v>
      </c>
      <c r="V133" s="835">
        <v>20</v>
      </c>
      <c r="W133" s="54">
        <v>56</v>
      </c>
      <c r="X133" s="54">
        <v>66</v>
      </c>
      <c r="Y133" s="54">
        <v>66</v>
      </c>
      <c r="Z133" s="54">
        <v>68</v>
      </c>
      <c r="AA133" s="54">
        <v>61</v>
      </c>
      <c r="AB133" s="54">
        <v>54</v>
      </c>
      <c r="AC133" s="54">
        <v>21</v>
      </c>
      <c r="AD133" s="54">
        <v>40</v>
      </c>
      <c r="AE133" s="103">
        <v>40</v>
      </c>
      <c r="AF133" s="702">
        <v>249</v>
      </c>
      <c r="AG133" s="103">
        <v>226</v>
      </c>
      <c r="AH133" s="103">
        <v>236</v>
      </c>
      <c r="AI133" s="103">
        <v>200</v>
      </c>
      <c r="AJ133" s="103">
        <v>106</v>
      </c>
      <c r="AK133" s="103">
        <v>193</v>
      </c>
      <c r="AL133" s="103">
        <v>144</v>
      </c>
      <c r="AM133" s="57">
        <v>137</v>
      </c>
      <c r="AN133" s="57">
        <v>137</v>
      </c>
      <c r="AO133" s="57">
        <v>142</v>
      </c>
      <c r="AP133" s="845">
        <v>159</v>
      </c>
      <c r="AQ133" s="57">
        <v>158</v>
      </c>
      <c r="AR133" s="328">
        <v>153</v>
      </c>
      <c r="AS133" s="328">
        <v>151</v>
      </c>
      <c r="AT133" s="328">
        <v>171</v>
      </c>
      <c r="AU133" s="328">
        <v>175</v>
      </c>
      <c r="AV133" s="328">
        <v>198</v>
      </c>
      <c r="AW133" s="328">
        <v>216</v>
      </c>
      <c r="AX133" s="328">
        <v>241</v>
      </c>
      <c r="AY133" s="328">
        <v>232</v>
      </c>
      <c r="AZ133" s="857">
        <v>230</v>
      </c>
      <c r="BA133" s="405">
        <v>194</v>
      </c>
      <c r="BB133" s="412" t="s">
        <v>3</v>
      </c>
      <c r="BC133" s="412" t="s">
        <v>3</v>
      </c>
      <c r="BD133" s="547" t="s">
        <v>3</v>
      </c>
      <c r="BE133" s="547" t="s">
        <v>3</v>
      </c>
      <c r="BF133" s="547" t="s">
        <v>3</v>
      </c>
      <c r="BG133" s="547" t="s">
        <v>3</v>
      </c>
      <c r="BH133" s="547" t="s">
        <v>3</v>
      </c>
      <c r="BI133" s="547" t="s">
        <v>3</v>
      </c>
      <c r="BJ133" s="874" t="s">
        <v>10</v>
      </c>
      <c r="BK133" s="874" t="s">
        <v>10</v>
      </c>
      <c r="BL133" s="568" t="s">
        <v>10</v>
      </c>
      <c r="BM133" s="568" t="s">
        <v>10</v>
      </c>
      <c r="BN133" s="407"/>
      <c r="BQ133" s="152"/>
      <c r="BR133" s="320"/>
    </row>
    <row r="134" spans="1:71" ht="11.25" customHeight="1">
      <c r="A134" s="118" t="s">
        <v>31</v>
      </c>
      <c r="B134" s="807">
        <f>SUM(B131:B133)</f>
        <v>20</v>
      </c>
      <c r="C134" s="132">
        <f t="shared" ref="C134:AQ134" si="62">SUM(C131:C133)</f>
        <v>23</v>
      </c>
      <c r="D134" s="132">
        <f t="shared" si="62"/>
        <v>26</v>
      </c>
      <c r="E134" s="132">
        <f t="shared" si="62"/>
        <v>30</v>
      </c>
      <c r="F134" s="132">
        <f t="shared" si="62"/>
        <v>31</v>
      </c>
      <c r="G134" s="132">
        <f t="shared" si="62"/>
        <v>33</v>
      </c>
      <c r="H134" s="132">
        <f t="shared" si="62"/>
        <v>35</v>
      </c>
      <c r="I134" s="132">
        <f t="shared" si="62"/>
        <v>38</v>
      </c>
      <c r="J134" s="132">
        <f>SUM(J131:J133)</f>
        <v>41</v>
      </c>
      <c r="K134" s="132">
        <f t="shared" si="62"/>
        <v>45</v>
      </c>
      <c r="L134" s="807">
        <f t="shared" si="62"/>
        <v>53</v>
      </c>
      <c r="M134" s="132">
        <f t="shared" si="62"/>
        <v>62</v>
      </c>
      <c r="N134" s="132">
        <f t="shared" si="62"/>
        <v>66</v>
      </c>
      <c r="O134" s="132">
        <f t="shared" si="62"/>
        <v>74</v>
      </c>
      <c r="P134" s="132">
        <f t="shared" si="62"/>
        <v>77</v>
      </c>
      <c r="Q134" s="132">
        <f t="shared" si="62"/>
        <v>95</v>
      </c>
      <c r="R134" s="132">
        <f t="shared" si="62"/>
        <v>109</v>
      </c>
      <c r="S134" s="132">
        <f t="shared" si="62"/>
        <v>124</v>
      </c>
      <c r="T134" s="132">
        <f t="shared" si="62"/>
        <v>135</v>
      </c>
      <c r="U134" s="132">
        <f t="shared" si="62"/>
        <v>145</v>
      </c>
      <c r="V134" s="807">
        <f t="shared" si="62"/>
        <v>133</v>
      </c>
      <c r="W134" s="132">
        <f t="shared" si="62"/>
        <v>176</v>
      </c>
      <c r="X134" s="132">
        <f t="shared" si="62"/>
        <v>194</v>
      </c>
      <c r="Y134" s="132">
        <f t="shared" si="62"/>
        <v>211</v>
      </c>
      <c r="Z134" s="132">
        <f t="shared" si="62"/>
        <v>232</v>
      </c>
      <c r="AA134" s="132">
        <f t="shared" si="62"/>
        <v>230</v>
      </c>
      <c r="AB134" s="132">
        <f t="shared" si="62"/>
        <v>238</v>
      </c>
      <c r="AC134" s="132">
        <f t="shared" si="62"/>
        <v>214</v>
      </c>
      <c r="AD134" s="132">
        <f t="shared" si="62"/>
        <v>258</v>
      </c>
      <c r="AE134" s="132">
        <f t="shared" si="62"/>
        <v>275</v>
      </c>
      <c r="AF134" s="807">
        <f t="shared" si="62"/>
        <v>505</v>
      </c>
      <c r="AG134" s="132">
        <f t="shared" si="62"/>
        <v>530</v>
      </c>
      <c r="AH134" s="132">
        <f t="shared" si="62"/>
        <v>526</v>
      </c>
      <c r="AI134" s="132">
        <f t="shared" si="62"/>
        <v>568</v>
      </c>
      <c r="AJ134" s="132">
        <f t="shared" si="62"/>
        <v>484</v>
      </c>
      <c r="AK134" s="132">
        <f t="shared" si="62"/>
        <v>603</v>
      </c>
      <c r="AL134" s="132">
        <f t="shared" si="62"/>
        <v>523</v>
      </c>
      <c r="AM134" s="132">
        <f t="shared" si="62"/>
        <v>507</v>
      </c>
      <c r="AN134" s="132">
        <f t="shared" si="62"/>
        <v>516</v>
      </c>
      <c r="AO134" s="132">
        <f t="shared" si="62"/>
        <v>571</v>
      </c>
      <c r="AP134" s="807">
        <f t="shared" si="62"/>
        <v>570</v>
      </c>
      <c r="AQ134" s="132">
        <f t="shared" si="62"/>
        <v>608</v>
      </c>
      <c r="AR134" s="132">
        <f t="shared" ref="AR134:BA134" si="63">SUM(AR131:AR133)</f>
        <v>612</v>
      </c>
      <c r="AS134" s="132">
        <f t="shared" si="63"/>
        <v>635</v>
      </c>
      <c r="AT134" s="132">
        <f t="shared" si="63"/>
        <v>678</v>
      </c>
      <c r="AU134" s="132">
        <f>SUM(AU131:AU133)</f>
        <v>715</v>
      </c>
      <c r="AV134" s="218">
        <f>SUM(AV131:AV133)</f>
        <v>811</v>
      </c>
      <c r="AW134" s="218">
        <f>SUM(AW131:AW133)</f>
        <v>901</v>
      </c>
      <c r="AX134" s="218">
        <f>SUM(AX131:AX133)</f>
        <v>986</v>
      </c>
      <c r="AY134" s="218">
        <f t="shared" si="63"/>
        <v>1036</v>
      </c>
      <c r="AZ134" s="280">
        <f>SUM(AZ131:AZ133)</f>
        <v>1065</v>
      </c>
      <c r="BA134" s="368">
        <f t="shared" si="63"/>
        <v>1053</v>
      </c>
      <c r="BB134" s="368">
        <f t="shared" ref="BB134:BG134" si="64">SUM(BB131:BB133)</f>
        <v>926</v>
      </c>
      <c r="BC134" s="368">
        <f t="shared" si="64"/>
        <v>1186</v>
      </c>
      <c r="BD134" s="367">
        <f t="shared" si="64"/>
        <v>1099</v>
      </c>
      <c r="BE134" s="367">
        <f t="shared" si="64"/>
        <v>1093</v>
      </c>
      <c r="BF134" s="367">
        <f t="shared" si="64"/>
        <v>1152</v>
      </c>
      <c r="BG134" s="367">
        <f t="shared" si="64"/>
        <v>1208</v>
      </c>
      <c r="BH134" s="367">
        <f t="shared" ref="BH134:BI134" si="65">SUM(BH131:BH133)</f>
        <v>1473</v>
      </c>
      <c r="BI134" s="367">
        <f t="shared" si="65"/>
        <v>1404</v>
      </c>
      <c r="BJ134" s="872">
        <f>(BH134-BG134)/BG134</f>
        <v>0.21937086092715233</v>
      </c>
      <c r="BK134" s="872">
        <f>(BI134-BH134)/BH134</f>
        <v>-4.684317718940937E-2</v>
      </c>
      <c r="BL134" s="567">
        <f>BH134-BG134</f>
        <v>265</v>
      </c>
      <c r="BM134" s="567">
        <f>BI134-BH134</f>
        <v>-69</v>
      </c>
      <c r="BN134" s="349"/>
      <c r="BQ134" s="152"/>
      <c r="BR134" s="320"/>
    </row>
    <row r="135" spans="1:71" ht="15.75" customHeight="1">
      <c r="A135" s="115"/>
      <c r="B135" s="179"/>
      <c r="C135" s="6"/>
      <c r="D135" s="6"/>
      <c r="E135" s="6"/>
      <c r="F135" s="6"/>
      <c r="G135" s="6"/>
      <c r="H135" s="6"/>
      <c r="I135" s="6"/>
      <c r="J135" s="6"/>
      <c r="K135" s="6"/>
      <c r="L135" s="179"/>
      <c r="M135" s="6"/>
      <c r="N135" s="6"/>
      <c r="O135" s="6"/>
      <c r="P135" s="6"/>
      <c r="Q135" s="6"/>
      <c r="R135" s="6"/>
      <c r="S135" s="6"/>
      <c r="T135" s="6"/>
      <c r="U135" s="6"/>
      <c r="V135" s="179"/>
      <c r="W135" s="6"/>
      <c r="X135" s="6"/>
      <c r="Y135" s="6"/>
      <c r="Z135" s="6"/>
      <c r="AA135" s="6"/>
      <c r="AB135" s="6"/>
      <c r="AC135" s="6"/>
      <c r="AD135" s="6"/>
      <c r="AE135" s="6"/>
      <c r="AF135" s="179"/>
      <c r="AG135" s="6"/>
      <c r="AH135" s="6"/>
      <c r="AI135" s="6"/>
      <c r="AJ135" s="6"/>
      <c r="AK135" s="6"/>
      <c r="AL135" s="6"/>
      <c r="AM135" s="6"/>
      <c r="AN135" s="6"/>
      <c r="AO135" s="6"/>
      <c r="AP135" s="179"/>
      <c r="AQ135" s="6"/>
      <c r="AR135" s="6"/>
      <c r="AS135" s="6"/>
      <c r="AT135" s="6"/>
      <c r="AU135" s="6"/>
      <c r="AV135" s="6"/>
      <c r="AW135" s="6"/>
      <c r="AX135" s="6"/>
      <c r="AY135" s="6"/>
      <c r="AZ135" s="179"/>
      <c r="BA135" s="6"/>
      <c r="BB135" s="6"/>
      <c r="BC135" s="6"/>
      <c r="BD135" s="6"/>
      <c r="BE135" s="6"/>
      <c r="BF135" s="179"/>
      <c r="BG135" s="179"/>
      <c r="BH135" s="179"/>
      <c r="BI135" s="179"/>
      <c r="BJ135" s="871"/>
      <c r="BK135" s="871"/>
      <c r="BL135" s="565"/>
      <c r="BM135" s="565"/>
      <c r="BN135" s="316"/>
      <c r="BQ135" s="152"/>
      <c r="BR135" s="320"/>
    </row>
    <row r="136" spans="1:71" ht="10.5" customHeight="1">
      <c r="A136" s="413" t="s">
        <v>111</v>
      </c>
      <c r="B136" s="306" t="s">
        <v>3</v>
      </c>
      <c r="C136" s="356" t="s">
        <v>3</v>
      </c>
      <c r="D136" s="356" t="s">
        <v>3</v>
      </c>
      <c r="E136" s="356" t="s">
        <v>3</v>
      </c>
      <c r="F136" s="356" t="s">
        <v>3</v>
      </c>
      <c r="G136" s="356" t="s">
        <v>3</v>
      </c>
      <c r="H136" s="356" t="s">
        <v>3</v>
      </c>
      <c r="I136" s="356" t="s">
        <v>3</v>
      </c>
      <c r="J136" s="356" t="s">
        <v>3</v>
      </c>
      <c r="K136" s="356" t="s">
        <v>3</v>
      </c>
      <c r="L136" s="306" t="s">
        <v>3</v>
      </c>
      <c r="M136" s="356" t="s">
        <v>3</v>
      </c>
      <c r="N136" s="356" t="s">
        <v>3</v>
      </c>
      <c r="O136" s="356" t="s">
        <v>3</v>
      </c>
      <c r="P136" s="356" t="s">
        <v>3</v>
      </c>
      <c r="Q136" s="356" t="s">
        <v>3</v>
      </c>
      <c r="R136" s="356" t="s">
        <v>3</v>
      </c>
      <c r="S136" s="356" t="s">
        <v>3</v>
      </c>
      <c r="T136" s="356" t="s">
        <v>3</v>
      </c>
      <c r="U136" s="356" t="s">
        <v>3</v>
      </c>
      <c r="V136" s="306" t="s">
        <v>3</v>
      </c>
      <c r="W136" s="356" t="s">
        <v>3</v>
      </c>
      <c r="X136" s="356" t="s">
        <v>3</v>
      </c>
      <c r="Y136" s="356" t="s">
        <v>3</v>
      </c>
      <c r="Z136" s="356" t="s">
        <v>3</v>
      </c>
      <c r="AA136" s="356" t="s">
        <v>3</v>
      </c>
      <c r="AB136" s="356" t="s">
        <v>3</v>
      </c>
      <c r="AC136" s="356" t="s">
        <v>3</v>
      </c>
      <c r="AD136" s="356" t="s">
        <v>3</v>
      </c>
      <c r="AE136" s="356" t="s">
        <v>3</v>
      </c>
      <c r="AF136" s="306" t="s">
        <v>3</v>
      </c>
      <c r="AG136" s="356" t="s">
        <v>3</v>
      </c>
      <c r="AH136" s="356" t="s">
        <v>3</v>
      </c>
      <c r="AI136" s="356" t="s">
        <v>3</v>
      </c>
      <c r="AJ136" s="356" t="s">
        <v>3</v>
      </c>
      <c r="AK136" s="356" t="s">
        <v>3</v>
      </c>
      <c r="AL136" s="356" t="s">
        <v>3</v>
      </c>
      <c r="AM136" s="356" t="s">
        <v>3</v>
      </c>
      <c r="AN136" s="356" t="s">
        <v>3</v>
      </c>
      <c r="AO136" s="356" t="s">
        <v>3</v>
      </c>
      <c r="AP136" s="306" t="s">
        <v>3</v>
      </c>
      <c r="AQ136" s="356" t="s">
        <v>3</v>
      </c>
      <c r="AR136" s="356" t="s">
        <v>3</v>
      </c>
      <c r="AS136" s="356" t="s">
        <v>3</v>
      </c>
      <c r="AT136" s="356" t="s">
        <v>3</v>
      </c>
      <c r="AU136" s="356" t="s">
        <v>3</v>
      </c>
      <c r="AV136" s="356" t="s">
        <v>3</v>
      </c>
      <c r="AW136" s="356" t="s">
        <v>3</v>
      </c>
      <c r="AX136" s="356" t="s">
        <v>3</v>
      </c>
      <c r="AY136" s="356" t="s">
        <v>3</v>
      </c>
      <c r="AZ136" s="306" t="s">
        <v>3</v>
      </c>
      <c r="BA136" s="309">
        <v>53</v>
      </c>
      <c r="BB136" s="309">
        <v>234</v>
      </c>
      <c r="BC136" s="309">
        <v>357</v>
      </c>
      <c r="BD136" s="365">
        <v>431</v>
      </c>
      <c r="BE136" s="365">
        <v>483</v>
      </c>
      <c r="BF136" s="365">
        <v>586</v>
      </c>
      <c r="BG136" s="365">
        <v>642</v>
      </c>
      <c r="BH136" s="365">
        <v>685</v>
      </c>
      <c r="BI136" s="365">
        <v>623</v>
      </c>
      <c r="BJ136" s="410">
        <f>(BH136-BG136)/BG136</f>
        <v>6.6978193146417439E-2</v>
      </c>
      <c r="BK136" s="410">
        <f>(BI136-BH136)/BH136</f>
        <v>-9.0510948905109495E-2</v>
      </c>
      <c r="BL136" s="564">
        <f>BH136-BG136</f>
        <v>43</v>
      </c>
      <c r="BM136" s="564">
        <f>BI136-BH136</f>
        <v>-62</v>
      </c>
      <c r="BN136" s="348"/>
      <c r="BQ136" s="152"/>
      <c r="BR136" s="320"/>
    </row>
    <row r="137" spans="1:71" ht="6" customHeight="1">
      <c r="A137" s="115"/>
      <c r="L137" s="594"/>
      <c r="M137" s="12"/>
      <c r="N137" s="12"/>
      <c r="O137" s="12"/>
      <c r="P137" s="12"/>
      <c r="Q137" s="12"/>
      <c r="R137" s="12"/>
      <c r="S137" s="12"/>
      <c r="T137" s="12"/>
      <c r="U137" s="12"/>
      <c r="V137" s="594"/>
      <c r="W137" s="12"/>
      <c r="X137" s="12"/>
      <c r="Y137" s="12"/>
      <c r="Z137" s="12"/>
      <c r="AA137" s="12"/>
      <c r="AB137" s="12"/>
      <c r="AC137" s="12"/>
      <c r="AD137" s="12"/>
      <c r="AE137" s="12"/>
      <c r="AF137" s="594"/>
      <c r="AG137" s="12"/>
      <c r="AH137" s="12"/>
      <c r="AI137" s="12"/>
      <c r="AJ137" s="12"/>
      <c r="AK137" s="12"/>
      <c r="AL137" s="12"/>
      <c r="AM137" s="23"/>
      <c r="AN137" s="23"/>
      <c r="AO137" s="23"/>
      <c r="AP137" s="180"/>
      <c r="AQ137" s="23"/>
      <c r="AR137" s="23"/>
      <c r="AS137" s="23"/>
      <c r="AT137" s="23"/>
      <c r="AU137" s="23"/>
      <c r="AV137" s="152"/>
      <c r="AW137" s="152"/>
      <c r="AX137" s="152"/>
      <c r="AY137" s="152"/>
      <c r="AZ137" s="535"/>
      <c r="BA137" s="309"/>
      <c r="BB137" s="316"/>
      <c r="BC137" s="296"/>
      <c r="BD137" s="535"/>
      <c r="BE137" s="535"/>
      <c r="BF137" s="535"/>
      <c r="BG137" s="535"/>
      <c r="BH137" s="535"/>
      <c r="BI137" s="535"/>
      <c r="BJ137" s="871"/>
      <c r="BK137" s="871"/>
      <c r="BL137" s="565"/>
      <c r="BM137" s="565"/>
      <c r="BN137" s="316"/>
      <c r="BQ137" s="152"/>
      <c r="BR137" s="320"/>
    </row>
    <row r="138" spans="1:71" ht="11.25" customHeight="1">
      <c r="A138" s="115" t="s">
        <v>23</v>
      </c>
      <c r="B138" s="593">
        <v>2</v>
      </c>
      <c r="C138" s="25">
        <v>3</v>
      </c>
      <c r="D138" s="25">
        <v>2</v>
      </c>
      <c r="E138" s="25">
        <v>3</v>
      </c>
      <c r="F138" s="25">
        <v>3</v>
      </c>
      <c r="G138" s="25">
        <v>3</v>
      </c>
      <c r="H138" s="25">
        <v>3</v>
      </c>
      <c r="I138" s="25">
        <v>3</v>
      </c>
      <c r="J138" s="25">
        <v>3</v>
      </c>
      <c r="K138" s="25">
        <v>4</v>
      </c>
      <c r="L138" s="594">
        <v>4</v>
      </c>
      <c r="M138" s="12">
        <v>4</v>
      </c>
      <c r="N138" s="12">
        <v>5</v>
      </c>
      <c r="O138" s="12">
        <v>6</v>
      </c>
      <c r="P138" s="12">
        <v>6</v>
      </c>
      <c r="Q138" s="12">
        <v>7</v>
      </c>
      <c r="R138" s="12">
        <v>8</v>
      </c>
      <c r="S138" s="12">
        <v>8</v>
      </c>
      <c r="T138" s="12">
        <v>9</v>
      </c>
      <c r="U138" s="12">
        <v>10</v>
      </c>
      <c r="V138" s="594">
        <v>12</v>
      </c>
      <c r="W138" s="12">
        <v>14</v>
      </c>
      <c r="X138" s="12">
        <v>15</v>
      </c>
      <c r="Y138" s="12">
        <v>15</v>
      </c>
      <c r="Z138" s="12">
        <v>18</v>
      </c>
      <c r="AA138" s="12">
        <v>22</v>
      </c>
      <c r="AB138" s="12">
        <v>26</v>
      </c>
      <c r="AC138" s="12">
        <v>27</v>
      </c>
      <c r="AD138" s="12">
        <v>33</v>
      </c>
      <c r="AE138" s="12">
        <v>34</v>
      </c>
      <c r="AF138" s="594">
        <v>36</v>
      </c>
      <c r="AG138" s="12">
        <v>37</v>
      </c>
      <c r="AH138" s="12">
        <v>39</v>
      </c>
      <c r="AI138" s="12">
        <v>38</v>
      </c>
      <c r="AJ138" s="12">
        <v>35</v>
      </c>
      <c r="AK138" s="12">
        <v>40</v>
      </c>
      <c r="AL138" s="62">
        <v>40</v>
      </c>
      <c r="AM138" s="62">
        <v>33</v>
      </c>
      <c r="AN138" s="62">
        <v>32</v>
      </c>
      <c r="AO138" s="62">
        <v>34</v>
      </c>
      <c r="AP138" s="778">
        <v>32</v>
      </c>
      <c r="AQ138" s="62">
        <v>38</v>
      </c>
      <c r="AR138" s="62">
        <v>36</v>
      </c>
      <c r="AS138" s="62">
        <v>37</v>
      </c>
      <c r="AT138" s="62">
        <v>39</v>
      </c>
      <c r="AU138" s="62">
        <v>40</v>
      </c>
      <c r="AV138" s="62">
        <v>39</v>
      </c>
      <c r="AW138" s="62">
        <v>40</v>
      </c>
      <c r="AX138" s="62">
        <v>42</v>
      </c>
      <c r="AY138" s="62">
        <v>45</v>
      </c>
      <c r="AZ138" s="778">
        <v>50</v>
      </c>
      <c r="BA138" s="369">
        <v>53</v>
      </c>
      <c r="BB138" s="369">
        <v>53</v>
      </c>
      <c r="BC138" s="369">
        <v>53</v>
      </c>
      <c r="BD138" s="548">
        <v>53</v>
      </c>
      <c r="BE138" s="548">
        <v>57</v>
      </c>
      <c r="BF138" s="548">
        <v>63</v>
      </c>
      <c r="BG138" s="548">
        <v>65</v>
      </c>
      <c r="BH138" s="548">
        <v>84</v>
      </c>
      <c r="BI138" s="548">
        <v>75</v>
      </c>
      <c r="BJ138" s="410">
        <f>(BH138-BG138)/BG138</f>
        <v>0.29230769230769232</v>
      </c>
      <c r="BK138" s="410">
        <f>(BI138-BH138)/BH138</f>
        <v>-0.10714285714285714</v>
      </c>
      <c r="BL138" s="564">
        <f>BH138-BG138</f>
        <v>19</v>
      </c>
      <c r="BM138" s="564">
        <f>BI138-BH138</f>
        <v>-9</v>
      </c>
      <c r="BN138" s="348"/>
      <c r="BQ138" s="152"/>
      <c r="BR138" s="320"/>
    </row>
    <row r="139" spans="1:71" ht="6" customHeight="1">
      <c r="A139" s="115"/>
      <c r="L139" s="594"/>
      <c r="M139" s="12"/>
      <c r="N139" s="12"/>
      <c r="O139" s="12"/>
      <c r="P139" s="12"/>
      <c r="Q139" s="12"/>
      <c r="R139" s="12"/>
      <c r="S139" s="12"/>
      <c r="T139" s="12"/>
      <c r="U139" s="12"/>
      <c r="V139" s="594"/>
      <c r="W139" s="12"/>
      <c r="X139" s="12"/>
      <c r="Y139" s="12"/>
      <c r="Z139" s="12"/>
      <c r="AA139" s="12"/>
      <c r="AB139" s="12"/>
      <c r="AC139" s="12"/>
      <c r="AD139" s="12"/>
      <c r="AE139" s="12"/>
      <c r="AF139" s="594"/>
      <c r="AG139" s="12"/>
      <c r="AH139" s="12"/>
      <c r="AI139" s="12"/>
      <c r="AJ139" s="12"/>
      <c r="AK139" s="12"/>
      <c r="AL139" s="12"/>
      <c r="AM139" s="23"/>
      <c r="AN139" s="23"/>
      <c r="AO139" s="23"/>
      <c r="AP139" s="180"/>
      <c r="AQ139" s="23"/>
      <c r="AR139" s="23"/>
      <c r="AS139" s="23"/>
      <c r="AT139" s="23"/>
      <c r="AU139" s="23"/>
      <c r="AV139" s="152"/>
      <c r="AW139" s="152"/>
      <c r="AX139" s="152"/>
      <c r="AY139" s="152"/>
      <c r="AZ139" s="535"/>
      <c r="BA139" s="309"/>
      <c r="BB139" s="316"/>
      <c r="BC139" s="296"/>
      <c r="BD139" s="535"/>
      <c r="BE139" s="535"/>
      <c r="BF139" s="535"/>
      <c r="BG139" s="535"/>
      <c r="BH139" s="535"/>
      <c r="BI139" s="535"/>
      <c r="BJ139" s="871"/>
      <c r="BK139" s="871"/>
      <c r="BL139" s="565"/>
      <c r="BM139" s="565"/>
      <c r="BN139" s="316"/>
      <c r="BQ139" s="152"/>
      <c r="BR139" s="320"/>
    </row>
    <row r="140" spans="1:71" s="177" customFormat="1">
      <c r="A140" s="181" t="s">
        <v>5</v>
      </c>
      <c r="B140" s="593">
        <v>13</v>
      </c>
      <c r="C140" s="593">
        <v>14</v>
      </c>
      <c r="D140" s="593">
        <v>14</v>
      </c>
      <c r="E140" s="593">
        <v>14</v>
      </c>
      <c r="F140" s="593">
        <v>15</v>
      </c>
      <c r="G140" s="593">
        <v>15</v>
      </c>
      <c r="H140" s="593">
        <v>5</v>
      </c>
      <c r="I140" s="593">
        <v>11</v>
      </c>
      <c r="J140" s="593">
        <v>20</v>
      </c>
      <c r="K140" s="593">
        <v>12</v>
      </c>
      <c r="L140" s="594">
        <v>30</v>
      </c>
      <c r="M140" s="594">
        <v>47</v>
      </c>
      <c r="N140" s="594">
        <v>22</v>
      </c>
      <c r="O140" s="594">
        <v>40</v>
      </c>
      <c r="P140" s="594">
        <v>70</v>
      </c>
      <c r="Q140" s="594">
        <v>69</v>
      </c>
      <c r="R140" s="594">
        <v>68</v>
      </c>
      <c r="S140" s="594">
        <v>71</v>
      </c>
      <c r="T140" s="594">
        <v>85</v>
      </c>
      <c r="U140" s="594">
        <v>89</v>
      </c>
      <c r="V140" s="594">
        <v>121</v>
      </c>
      <c r="W140" s="594">
        <v>45</v>
      </c>
      <c r="X140" s="594">
        <v>131</v>
      </c>
      <c r="Y140" s="594">
        <v>94</v>
      </c>
      <c r="Z140" s="594">
        <v>162</v>
      </c>
      <c r="AA140" s="594">
        <v>276</v>
      </c>
      <c r="AB140" s="594">
        <v>525</v>
      </c>
      <c r="AC140" s="594">
        <v>312</v>
      </c>
      <c r="AD140" s="594">
        <v>479</v>
      </c>
      <c r="AE140" s="594">
        <v>510</v>
      </c>
      <c r="AF140" s="594">
        <v>476</v>
      </c>
      <c r="AG140" s="594">
        <v>263</v>
      </c>
      <c r="AH140" s="594">
        <v>367</v>
      </c>
      <c r="AI140" s="594">
        <v>614</v>
      </c>
      <c r="AJ140" s="594">
        <v>397</v>
      </c>
      <c r="AK140" s="594">
        <v>696</v>
      </c>
      <c r="AL140" s="594">
        <v>538</v>
      </c>
      <c r="AM140" s="180">
        <v>716</v>
      </c>
      <c r="AN140" s="180">
        <v>584</v>
      </c>
      <c r="AO140" s="224">
        <v>522</v>
      </c>
      <c r="AP140" s="224">
        <v>660</v>
      </c>
      <c r="AQ140" s="224">
        <v>602</v>
      </c>
      <c r="AR140" s="269">
        <v>654</v>
      </c>
      <c r="AS140" s="269">
        <v>645</v>
      </c>
      <c r="AT140" s="269">
        <v>667</v>
      </c>
      <c r="AU140" s="269">
        <v>511</v>
      </c>
      <c r="AV140" s="269">
        <v>587</v>
      </c>
      <c r="AW140" s="269">
        <v>572.3551942421426</v>
      </c>
      <c r="AX140" s="269">
        <v>655.43877310099901</v>
      </c>
      <c r="AY140" s="269">
        <v>759</v>
      </c>
      <c r="AZ140" s="269">
        <v>866</v>
      </c>
      <c r="BA140" s="361">
        <v>985</v>
      </c>
      <c r="BB140" s="361">
        <v>1009</v>
      </c>
      <c r="BC140" s="361">
        <v>1015</v>
      </c>
      <c r="BD140" s="361">
        <v>1007.7563657153557</v>
      </c>
      <c r="BE140" s="361">
        <v>1013</v>
      </c>
      <c r="BF140" s="361">
        <v>1163</v>
      </c>
      <c r="BG140" s="361">
        <v>1020</v>
      </c>
      <c r="BH140" s="361">
        <v>1213</v>
      </c>
      <c r="BI140" s="361">
        <v>1191</v>
      </c>
      <c r="BJ140" s="410">
        <f>(BH140-BG140)/BG140</f>
        <v>0.1892156862745098</v>
      </c>
      <c r="BK140" s="410">
        <f>(BI140-BH140)/BH140</f>
        <v>-1.8136850783182192E-2</v>
      </c>
      <c r="BL140" s="564">
        <f>BH140-BG140</f>
        <v>193</v>
      </c>
      <c r="BM140" s="564">
        <f>BI140-BH140</f>
        <v>-22</v>
      </c>
      <c r="BN140" s="358"/>
      <c r="BO140" s="595"/>
      <c r="BP140" s="595"/>
      <c r="BQ140" s="217"/>
      <c r="BR140" s="429"/>
      <c r="BS140" s="595"/>
    </row>
    <row r="141" spans="1:71" ht="6" customHeight="1">
      <c r="A141" s="115"/>
      <c r="B141" s="593"/>
      <c r="C141" s="25"/>
      <c r="D141" s="25"/>
      <c r="E141" s="25"/>
      <c r="F141" s="25"/>
      <c r="G141" s="25"/>
      <c r="H141" s="25"/>
      <c r="I141" s="25"/>
      <c r="J141" s="25"/>
      <c r="K141" s="25"/>
      <c r="L141" s="594"/>
      <c r="M141" s="12"/>
      <c r="N141" s="12"/>
      <c r="O141" s="12"/>
      <c r="P141" s="12"/>
      <c r="Q141" s="12"/>
      <c r="R141" s="12"/>
      <c r="S141" s="12"/>
      <c r="T141" s="12"/>
      <c r="U141" s="12"/>
      <c r="V141" s="594"/>
      <c r="W141" s="12"/>
      <c r="X141" s="12"/>
      <c r="Y141" s="12"/>
      <c r="Z141" s="12"/>
      <c r="AA141" s="12"/>
      <c r="AB141" s="12"/>
      <c r="AC141" s="12"/>
      <c r="AD141" s="12"/>
      <c r="AE141" s="12"/>
      <c r="AF141" s="594"/>
      <c r="AG141" s="12"/>
      <c r="AH141" s="12"/>
      <c r="AI141" s="12"/>
      <c r="AJ141" s="12"/>
      <c r="AK141" s="12"/>
      <c r="AL141" s="12"/>
      <c r="AM141" s="23"/>
      <c r="AN141" s="23"/>
      <c r="AO141" s="87"/>
      <c r="AP141" s="224"/>
      <c r="AQ141" s="87"/>
      <c r="AR141" s="95"/>
      <c r="AS141" s="95"/>
      <c r="AT141" s="95"/>
      <c r="AU141" s="95"/>
      <c r="AV141" s="95"/>
      <c r="AW141" s="95"/>
      <c r="AX141" s="95"/>
      <c r="AY141" s="95"/>
      <c r="AZ141" s="269"/>
      <c r="BA141" s="349"/>
      <c r="BB141" s="312"/>
      <c r="BC141" s="324"/>
      <c r="BD141" s="542"/>
      <c r="BE141" s="542"/>
      <c r="BF141" s="542"/>
      <c r="BG141" s="542"/>
      <c r="BH141" s="542"/>
      <c r="BI141" s="542"/>
      <c r="BJ141" s="871"/>
      <c r="BK141" s="871"/>
      <c r="BL141" s="565"/>
      <c r="BM141" s="565"/>
      <c r="BN141" s="316"/>
      <c r="BQ141" s="152"/>
      <c r="BR141" s="320"/>
    </row>
    <row r="142" spans="1:71" s="320" customFormat="1" ht="12" customHeight="1">
      <c r="A142" s="413" t="s">
        <v>114</v>
      </c>
      <c r="B142" s="306" t="s">
        <v>3</v>
      </c>
      <c r="C142" s="356" t="s">
        <v>3</v>
      </c>
      <c r="D142" s="356" t="s">
        <v>3</v>
      </c>
      <c r="E142" s="356" t="s">
        <v>3</v>
      </c>
      <c r="F142" s="356" t="s">
        <v>3</v>
      </c>
      <c r="G142" s="356" t="s">
        <v>3</v>
      </c>
      <c r="H142" s="356" t="s">
        <v>3</v>
      </c>
      <c r="I142" s="356" t="s">
        <v>3</v>
      </c>
      <c r="J142" s="356" t="s">
        <v>3</v>
      </c>
      <c r="K142" s="356" t="s">
        <v>3</v>
      </c>
      <c r="L142" s="306" t="s">
        <v>3</v>
      </c>
      <c r="M142" s="356" t="s">
        <v>3</v>
      </c>
      <c r="N142" s="356" t="s">
        <v>3</v>
      </c>
      <c r="O142" s="356" t="s">
        <v>3</v>
      </c>
      <c r="P142" s="356" t="s">
        <v>3</v>
      </c>
      <c r="Q142" s="356" t="s">
        <v>3</v>
      </c>
      <c r="R142" s="356" t="s">
        <v>3</v>
      </c>
      <c r="S142" s="356" t="s">
        <v>3</v>
      </c>
      <c r="T142" s="356" t="s">
        <v>3</v>
      </c>
      <c r="U142" s="356" t="s">
        <v>3</v>
      </c>
      <c r="V142" s="306" t="s">
        <v>3</v>
      </c>
      <c r="W142" s="356" t="s">
        <v>3</v>
      </c>
      <c r="X142" s="356" t="s">
        <v>3</v>
      </c>
      <c r="Y142" s="356" t="s">
        <v>3</v>
      </c>
      <c r="Z142" s="356" t="s">
        <v>3</v>
      </c>
      <c r="AA142" s="356" t="s">
        <v>3</v>
      </c>
      <c r="AB142" s="356" t="s">
        <v>3</v>
      </c>
      <c r="AC142" s="356" t="s">
        <v>3</v>
      </c>
      <c r="AD142" s="356" t="s">
        <v>3</v>
      </c>
      <c r="AE142" s="356" t="s">
        <v>3</v>
      </c>
      <c r="AF142" s="840">
        <v>5</v>
      </c>
      <c r="AG142" s="414">
        <v>1</v>
      </c>
      <c r="AH142" s="414">
        <v>1</v>
      </c>
      <c r="AI142" s="414">
        <v>1</v>
      </c>
      <c r="AJ142" s="414">
        <v>1</v>
      </c>
      <c r="AK142" s="414">
        <v>2</v>
      </c>
      <c r="AL142" s="414">
        <v>2</v>
      </c>
      <c r="AM142" s="309">
        <v>1</v>
      </c>
      <c r="AN142" s="309">
        <v>2</v>
      </c>
      <c r="AO142" s="308">
        <v>1</v>
      </c>
      <c r="AP142" s="307">
        <v>3</v>
      </c>
      <c r="AQ142" s="308">
        <v>2</v>
      </c>
      <c r="AR142" s="349">
        <v>2</v>
      </c>
      <c r="AS142" s="349">
        <v>2</v>
      </c>
      <c r="AT142" s="349">
        <v>2</v>
      </c>
      <c r="AU142" s="349">
        <v>2</v>
      </c>
      <c r="AV142" s="349">
        <v>2</v>
      </c>
      <c r="AW142" s="349">
        <v>14</v>
      </c>
      <c r="AX142" s="349">
        <f>13+3</f>
        <v>16</v>
      </c>
      <c r="AY142" s="349">
        <f>13+3</f>
        <v>16</v>
      </c>
      <c r="AZ142" s="361">
        <f>13+4</f>
        <v>17</v>
      </c>
      <c r="BA142" s="349">
        <f>14+3</f>
        <v>17</v>
      </c>
      <c r="BB142" s="349">
        <v>17</v>
      </c>
      <c r="BC142" s="349">
        <f>15+3</f>
        <v>18</v>
      </c>
      <c r="BD142" s="361">
        <f>18+3</f>
        <v>21</v>
      </c>
      <c r="BE142" s="361">
        <v>18</v>
      </c>
      <c r="BF142" s="361">
        <v>19</v>
      </c>
      <c r="BG142" s="361">
        <v>19</v>
      </c>
      <c r="BH142" s="361">
        <v>20</v>
      </c>
      <c r="BI142" s="361">
        <v>16</v>
      </c>
      <c r="BJ142" s="410">
        <f>(BH142-BG142)/BG142</f>
        <v>5.2631578947368418E-2</v>
      </c>
      <c r="BK142" s="410">
        <f>(BI142-BH142)/BH142</f>
        <v>-0.2</v>
      </c>
      <c r="BL142" s="564">
        <f>BH142-BG142</f>
        <v>1</v>
      </c>
      <c r="BM142" s="564">
        <f>BI142-BH142</f>
        <v>-4</v>
      </c>
      <c r="BN142" s="348"/>
      <c r="BO142" s="112"/>
      <c r="BP142" s="112"/>
      <c r="BQ142" s="152"/>
    </row>
    <row r="143" spans="1:71" ht="6" customHeight="1">
      <c r="A143" s="115"/>
      <c r="B143" s="593"/>
      <c r="C143" s="25"/>
      <c r="D143" s="25"/>
      <c r="E143" s="25"/>
      <c r="F143" s="25"/>
      <c r="G143" s="25"/>
      <c r="H143" s="25"/>
      <c r="I143" s="25"/>
      <c r="J143" s="25"/>
      <c r="K143" s="25"/>
      <c r="L143" s="594"/>
      <c r="M143" s="322"/>
      <c r="N143" s="322"/>
      <c r="O143" s="322"/>
      <c r="P143" s="322"/>
      <c r="Q143" s="322"/>
      <c r="R143" s="322"/>
      <c r="S143" s="322"/>
      <c r="T143" s="322"/>
      <c r="U143" s="322"/>
      <c r="V143" s="594"/>
      <c r="W143" s="322"/>
      <c r="X143" s="322"/>
      <c r="Y143" s="322"/>
      <c r="Z143" s="322"/>
      <c r="AA143" s="322"/>
      <c r="AB143" s="322"/>
      <c r="AC143" s="322"/>
      <c r="AD143" s="322"/>
      <c r="AE143" s="322"/>
      <c r="AF143" s="594"/>
      <c r="AG143" s="322"/>
      <c r="AH143" s="322"/>
      <c r="AI143" s="322"/>
      <c r="AJ143" s="322"/>
      <c r="AK143" s="322"/>
      <c r="AL143" s="322"/>
      <c r="AM143" s="23"/>
      <c r="AN143" s="23"/>
      <c r="AO143" s="87"/>
      <c r="AP143" s="224"/>
      <c r="AQ143" s="87"/>
      <c r="AR143" s="323"/>
      <c r="AS143" s="323"/>
      <c r="AT143" s="323"/>
      <c r="AU143" s="323"/>
      <c r="AV143" s="323"/>
      <c r="AW143" s="323"/>
      <c r="AX143" s="323"/>
      <c r="AY143" s="323"/>
      <c r="AZ143" s="269"/>
      <c r="BA143" s="349"/>
      <c r="BB143" s="312"/>
      <c r="BC143" s="324"/>
      <c r="BD143" s="361"/>
      <c r="BE143" s="542"/>
      <c r="BF143" s="542"/>
      <c r="BG143" s="361"/>
      <c r="BH143" s="361"/>
      <c r="BI143" s="361"/>
      <c r="BJ143" s="871"/>
      <c r="BK143" s="871"/>
      <c r="BL143" s="565"/>
      <c r="BM143" s="565"/>
      <c r="BN143" s="316"/>
      <c r="BQ143" s="152"/>
      <c r="BR143" s="320"/>
    </row>
    <row r="144" spans="1:71" ht="11.25" customHeight="1">
      <c r="A144" s="119" t="s">
        <v>139</v>
      </c>
      <c r="B144" s="806" t="s">
        <v>3</v>
      </c>
      <c r="C144" s="142" t="s">
        <v>3</v>
      </c>
      <c r="D144" s="142" t="s">
        <v>3</v>
      </c>
      <c r="E144" s="142" t="s">
        <v>3</v>
      </c>
      <c r="F144" s="142" t="s">
        <v>3</v>
      </c>
      <c r="G144" s="142" t="s">
        <v>3</v>
      </c>
      <c r="H144" s="142" t="s">
        <v>3</v>
      </c>
      <c r="I144" s="142" t="s">
        <v>3</v>
      </c>
      <c r="J144" s="142" t="s">
        <v>3</v>
      </c>
      <c r="K144" s="142" t="s">
        <v>3</v>
      </c>
      <c r="L144" s="806" t="s">
        <v>3</v>
      </c>
      <c r="M144" s="142" t="s">
        <v>3</v>
      </c>
      <c r="N144" s="142" t="s">
        <v>3</v>
      </c>
      <c r="O144" s="142" t="s">
        <v>3</v>
      </c>
      <c r="P144" s="142" t="s">
        <v>3</v>
      </c>
      <c r="Q144" s="142" t="s">
        <v>3</v>
      </c>
      <c r="R144" s="142" t="s">
        <v>3</v>
      </c>
      <c r="S144" s="142" t="s">
        <v>3</v>
      </c>
      <c r="T144" s="142" t="s">
        <v>3</v>
      </c>
      <c r="U144" s="142" t="s">
        <v>3</v>
      </c>
      <c r="V144" s="806" t="s">
        <v>3</v>
      </c>
      <c r="W144" s="142" t="s">
        <v>3</v>
      </c>
      <c r="X144" s="142" t="s">
        <v>3</v>
      </c>
      <c r="Y144" s="142" t="s">
        <v>3</v>
      </c>
      <c r="Z144" s="142" t="s">
        <v>3</v>
      </c>
      <c r="AA144" s="142" t="s">
        <v>3</v>
      </c>
      <c r="AB144" s="142" t="s">
        <v>3</v>
      </c>
      <c r="AC144" s="142" t="s">
        <v>3</v>
      </c>
      <c r="AD144" s="142" t="s">
        <v>3</v>
      </c>
      <c r="AE144" s="142" t="s">
        <v>3</v>
      </c>
      <c r="AF144" s="594">
        <v>1</v>
      </c>
      <c r="AG144" s="12">
        <v>11</v>
      </c>
      <c r="AH144" s="12">
        <v>13</v>
      </c>
      <c r="AI144" s="12">
        <v>16</v>
      </c>
      <c r="AJ144" s="12">
        <v>14</v>
      </c>
      <c r="AK144" s="12">
        <v>13</v>
      </c>
      <c r="AL144" s="12">
        <v>14</v>
      </c>
      <c r="AM144" s="23">
        <v>15</v>
      </c>
      <c r="AN144" s="23">
        <v>17</v>
      </c>
      <c r="AO144" s="23">
        <v>18</v>
      </c>
      <c r="AP144" s="180">
        <v>18</v>
      </c>
      <c r="AQ144" s="23">
        <v>19</v>
      </c>
      <c r="AR144" s="23">
        <v>23</v>
      </c>
      <c r="AS144" s="23">
        <v>23</v>
      </c>
      <c r="AT144" s="23">
        <v>23</v>
      </c>
      <c r="AU144" s="23">
        <v>32</v>
      </c>
      <c r="AV144" s="152">
        <v>31</v>
      </c>
      <c r="AW144" s="152">
        <v>33</v>
      </c>
      <c r="AX144" s="217">
        <v>37</v>
      </c>
      <c r="AY144" s="217">
        <v>33</v>
      </c>
      <c r="AZ144" s="238" t="s">
        <v>3</v>
      </c>
      <c r="BA144" s="370" t="s">
        <v>3</v>
      </c>
      <c r="BB144" s="370" t="s">
        <v>3</v>
      </c>
      <c r="BC144" s="370" t="s">
        <v>3</v>
      </c>
      <c r="BD144" s="370" t="s">
        <v>3</v>
      </c>
      <c r="BE144" s="370" t="s">
        <v>3</v>
      </c>
      <c r="BF144" s="370" t="s">
        <v>3</v>
      </c>
      <c r="BG144" s="370" t="s">
        <v>3</v>
      </c>
      <c r="BH144" s="370" t="s">
        <v>3</v>
      </c>
      <c r="BI144" s="547" t="s">
        <v>3</v>
      </c>
      <c r="BJ144" s="874" t="s">
        <v>10</v>
      </c>
      <c r="BK144" s="874" t="s">
        <v>10</v>
      </c>
      <c r="BL144" s="568" t="s">
        <v>10</v>
      </c>
      <c r="BM144" s="568" t="s">
        <v>10</v>
      </c>
      <c r="BN144" s="407"/>
      <c r="BQ144" s="152"/>
      <c r="BR144" s="320"/>
    </row>
    <row r="145" spans="1:214" ht="6" customHeight="1">
      <c r="A145" s="115"/>
      <c r="L145" s="594"/>
      <c r="M145" s="12"/>
      <c r="N145" s="12"/>
      <c r="O145" s="12"/>
      <c r="P145" s="12"/>
      <c r="Q145" s="12"/>
      <c r="R145" s="12"/>
      <c r="S145" s="12"/>
      <c r="T145" s="12"/>
      <c r="U145" s="12"/>
      <c r="V145" s="594"/>
      <c r="W145" s="12"/>
      <c r="X145" s="12"/>
      <c r="Y145" s="12"/>
      <c r="Z145" s="12"/>
      <c r="AA145" s="12"/>
      <c r="AB145" s="12"/>
      <c r="AC145" s="12"/>
      <c r="AD145" s="12"/>
      <c r="AE145" s="12"/>
      <c r="AF145" s="594"/>
      <c r="AG145" s="12"/>
      <c r="AH145" s="12"/>
      <c r="AI145" s="12"/>
      <c r="AJ145" s="12"/>
      <c r="AK145" s="12"/>
      <c r="AL145" s="12"/>
      <c r="AM145" s="23"/>
      <c r="AN145" s="23"/>
      <c r="AO145" s="23"/>
      <c r="AP145" s="180"/>
      <c r="AQ145" s="23"/>
      <c r="AR145" s="23"/>
      <c r="AS145" s="23"/>
      <c r="AT145" s="23"/>
      <c r="AU145" s="23"/>
      <c r="AV145" s="23"/>
      <c r="AW145" s="197"/>
      <c r="AX145" s="197"/>
      <c r="AY145" s="197"/>
      <c r="AZ145" s="535"/>
      <c r="BA145" s="309"/>
      <c r="BB145" s="309"/>
      <c r="BC145" s="296"/>
      <c r="BD145" s="535"/>
      <c r="BE145" s="535"/>
      <c r="BF145" s="535"/>
      <c r="BG145" s="535"/>
      <c r="BH145" s="535"/>
      <c r="BI145" s="535"/>
      <c r="BJ145" s="410"/>
      <c r="BK145" s="410"/>
      <c r="BL145" s="566"/>
      <c r="BM145" s="566"/>
      <c r="BN145" s="309"/>
      <c r="BQ145" s="152"/>
      <c r="BR145" s="320"/>
    </row>
    <row r="146" spans="1:214" ht="10.5" customHeight="1">
      <c r="A146" s="119" t="s">
        <v>140</v>
      </c>
      <c r="B146" s="806" t="s">
        <v>3</v>
      </c>
      <c r="C146" s="142" t="s">
        <v>3</v>
      </c>
      <c r="D146" s="142" t="s">
        <v>3</v>
      </c>
      <c r="E146" s="142" t="s">
        <v>3</v>
      </c>
      <c r="F146" s="142" t="s">
        <v>3</v>
      </c>
      <c r="G146" s="142" t="s">
        <v>3</v>
      </c>
      <c r="H146" s="142" t="s">
        <v>3</v>
      </c>
      <c r="I146" s="142" t="s">
        <v>3</v>
      </c>
      <c r="J146" s="142" t="s">
        <v>3</v>
      </c>
      <c r="K146" s="142" t="s">
        <v>3</v>
      </c>
      <c r="L146" s="806" t="s">
        <v>3</v>
      </c>
      <c r="M146" s="142" t="s">
        <v>3</v>
      </c>
      <c r="N146" s="142" t="s">
        <v>3</v>
      </c>
      <c r="O146" s="142" t="s">
        <v>3</v>
      </c>
      <c r="P146" s="142" t="s">
        <v>3</v>
      </c>
      <c r="Q146" s="142" t="s">
        <v>3</v>
      </c>
      <c r="R146" s="142" t="s">
        <v>3</v>
      </c>
      <c r="S146" s="142" t="s">
        <v>3</v>
      </c>
      <c r="T146" s="142" t="s">
        <v>3</v>
      </c>
      <c r="U146" s="142" t="s">
        <v>3</v>
      </c>
      <c r="V146" s="806" t="s">
        <v>3</v>
      </c>
      <c r="W146" s="142" t="s">
        <v>3</v>
      </c>
      <c r="X146" s="142" t="s">
        <v>3</v>
      </c>
      <c r="Y146" s="142" t="s">
        <v>3</v>
      </c>
      <c r="Z146" s="142" t="s">
        <v>3</v>
      </c>
      <c r="AA146" s="142" t="s">
        <v>3</v>
      </c>
      <c r="AB146" s="142" t="s">
        <v>3</v>
      </c>
      <c r="AC146" s="142" t="s">
        <v>3</v>
      </c>
      <c r="AD146" s="142" t="s">
        <v>3</v>
      </c>
      <c r="AE146" s="142" t="s">
        <v>3</v>
      </c>
      <c r="AF146" s="806" t="s">
        <v>3</v>
      </c>
      <c r="AG146" s="142" t="s">
        <v>3</v>
      </c>
      <c r="AH146" s="142" t="s">
        <v>3</v>
      </c>
      <c r="AI146" s="142" t="s">
        <v>3</v>
      </c>
      <c r="AJ146" s="142" t="s">
        <v>3</v>
      </c>
      <c r="AK146" s="142" t="s">
        <v>3</v>
      </c>
      <c r="AL146" s="142" t="s">
        <v>3</v>
      </c>
      <c r="AM146" s="142" t="s">
        <v>3</v>
      </c>
      <c r="AN146" s="142" t="s">
        <v>3</v>
      </c>
      <c r="AO146" s="142" t="s">
        <v>3</v>
      </c>
      <c r="AP146" s="806" t="s">
        <v>3</v>
      </c>
      <c r="AQ146" s="142" t="s">
        <v>3</v>
      </c>
      <c r="AR146" s="142" t="s">
        <v>3</v>
      </c>
      <c r="AS146" s="142" t="s">
        <v>3</v>
      </c>
      <c r="AT146" s="142" t="s">
        <v>3</v>
      </c>
      <c r="AU146" s="142" t="s">
        <v>3</v>
      </c>
      <c r="AV146" s="142" t="s">
        <v>3</v>
      </c>
      <c r="AW146" s="142" t="s">
        <v>3</v>
      </c>
      <c r="AX146" s="142" t="s">
        <v>3</v>
      </c>
      <c r="AY146" s="142">
        <v>33</v>
      </c>
      <c r="AZ146" s="365">
        <v>123</v>
      </c>
      <c r="BA146" s="309">
        <v>173</v>
      </c>
      <c r="BB146" s="309">
        <v>228</v>
      </c>
      <c r="BC146" s="309">
        <v>235</v>
      </c>
      <c r="BD146" s="365">
        <v>247</v>
      </c>
      <c r="BE146" s="365">
        <v>245</v>
      </c>
      <c r="BF146" s="365">
        <v>251</v>
      </c>
      <c r="BG146" s="365">
        <v>261</v>
      </c>
      <c r="BH146" s="365">
        <v>256</v>
      </c>
      <c r="BI146" s="365">
        <v>262</v>
      </c>
      <c r="BJ146" s="410">
        <f>(BH146-BG146)/BG146</f>
        <v>-1.9157088122605363E-2</v>
      </c>
      <c r="BK146" s="410">
        <f>(BI146-BH146)/BH146</f>
        <v>2.34375E-2</v>
      </c>
      <c r="BL146" s="564">
        <f>BH146-BG146</f>
        <v>-5</v>
      </c>
      <c r="BM146" s="564">
        <f>BI146-BH146</f>
        <v>6</v>
      </c>
      <c r="BN146" s="348"/>
      <c r="BQ146" s="152"/>
      <c r="BR146" s="320"/>
    </row>
    <row r="147" spans="1:214" ht="6" customHeight="1">
      <c r="A147" s="115"/>
      <c r="L147" s="594"/>
      <c r="M147" s="12"/>
      <c r="N147" s="12"/>
      <c r="O147" s="12"/>
      <c r="P147" s="12"/>
      <c r="Q147" s="12"/>
      <c r="R147" s="12"/>
      <c r="S147" s="12"/>
      <c r="T147" s="12"/>
      <c r="U147" s="12"/>
      <c r="V147" s="594"/>
      <c r="W147" s="12"/>
      <c r="X147" s="12"/>
      <c r="Y147" s="12"/>
      <c r="Z147" s="12"/>
      <c r="AA147" s="12"/>
      <c r="AB147" s="12"/>
      <c r="AC147" s="12"/>
      <c r="AD147" s="12"/>
      <c r="AE147" s="12"/>
      <c r="AF147" s="594"/>
      <c r="AG147" s="12"/>
      <c r="AH147" s="12"/>
      <c r="AI147" s="12"/>
      <c r="AJ147" s="12"/>
      <c r="AK147" s="12"/>
      <c r="AL147" s="12"/>
      <c r="AM147" s="23"/>
      <c r="AN147" s="23"/>
      <c r="AO147" s="23"/>
      <c r="AP147" s="180"/>
      <c r="AQ147" s="23"/>
      <c r="AR147" s="23"/>
      <c r="AS147" s="23"/>
      <c r="AT147" s="23"/>
      <c r="AU147" s="23"/>
      <c r="AV147" s="23"/>
      <c r="AW147" s="197"/>
      <c r="AX147" s="197"/>
      <c r="AY147" s="197"/>
      <c r="AZ147" s="535"/>
      <c r="BA147" s="309"/>
      <c r="BB147" s="316"/>
      <c r="BC147" s="296"/>
      <c r="BD147" s="535"/>
      <c r="BE147" s="535"/>
      <c r="BF147" s="535"/>
      <c r="BG147" s="535"/>
      <c r="BH147" s="535"/>
      <c r="BI147" s="535"/>
      <c r="BJ147" s="871"/>
      <c r="BK147" s="871"/>
      <c r="BL147" s="565"/>
      <c r="BM147" s="565"/>
      <c r="BN147" s="316"/>
      <c r="BQ147" s="152"/>
      <c r="BR147" s="320"/>
    </row>
    <row r="148" spans="1:214" ht="11.25" customHeight="1">
      <c r="A148" s="116" t="s">
        <v>141</v>
      </c>
      <c r="L148" s="594"/>
      <c r="M148" s="12"/>
      <c r="N148" s="12"/>
      <c r="O148" s="12"/>
      <c r="P148" s="12"/>
      <c r="Q148" s="12"/>
      <c r="R148" s="12"/>
      <c r="S148" s="12"/>
      <c r="T148" s="12"/>
      <c r="U148" s="12"/>
      <c r="V148" s="594"/>
      <c r="W148" s="12"/>
      <c r="X148" s="12"/>
      <c r="Y148" s="12"/>
      <c r="Z148" s="12"/>
      <c r="AA148" s="12"/>
      <c r="AB148" s="12"/>
      <c r="AC148" s="12"/>
      <c r="AD148" s="12"/>
      <c r="AE148" s="12"/>
      <c r="AF148" s="594"/>
      <c r="AG148" s="12"/>
      <c r="AH148" s="12"/>
      <c r="AI148" s="12"/>
      <c r="AJ148" s="12"/>
      <c r="AK148" s="12"/>
      <c r="AL148" s="12"/>
      <c r="AM148" s="23"/>
      <c r="AN148" s="23"/>
      <c r="AO148" s="23"/>
      <c r="AP148" s="180"/>
      <c r="AQ148" s="23"/>
      <c r="AR148" s="23"/>
      <c r="AS148" s="23"/>
      <c r="AT148" s="23"/>
      <c r="AU148" s="23"/>
      <c r="AV148" s="23"/>
      <c r="AW148" s="197"/>
      <c r="AX148" s="197"/>
      <c r="AY148" s="197"/>
      <c r="AZ148" s="535"/>
      <c r="BA148" s="309"/>
      <c r="BB148" s="316"/>
      <c r="BC148" s="296"/>
      <c r="BD148" s="535"/>
      <c r="BE148" s="535"/>
      <c r="BF148" s="535"/>
      <c r="BG148" s="535"/>
      <c r="BH148" s="535"/>
      <c r="BI148" s="535"/>
      <c r="BJ148" s="871"/>
      <c r="BK148" s="871"/>
      <c r="BL148" s="565"/>
      <c r="BM148" s="565"/>
      <c r="BN148" s="316"/>
      <c r="BQ148" s="152"/>
      <c r="BR148" s="320"/>
    </row>
    <row r="149" spans="1:214" s="177" customFormat="1" ht="11.25" customHeight="1">
      <c r="A149" s="286" t="s">
        <v>142</v>
      </c>
      <c r="B149" s="775" t="s">
        <v>3</v>
      </c>
      <c r="C149" s="775" t="s">
        <v>3</v>
      </c>
      <c r="D149" s="775" t="s">
        <v>3</v>
      </c>
      <c r="E149" s="775" t="s">
        <v>3</v>
      </c>
      <c r="F149" s="775" t="s">
        <v>3</v>
      </c>
      <c r="G149" s="775" t="s">
        <v>3</v>
      </c>
      <c r="H149" s="775" t="s">
        <v>3</v>
      </c>
      <c r="I149" s="775" t="s">
        <v>3</v>
      </c>
      <c r="J149" s="775" t="s">
        <v>3</v>
      </c>
      <c r="K149" s="775" t="s">
        <v>3</v>
      </c>
      <c r="L149" s="775" t="s">
        <v>3</v>
      </c>
      <c r="M149" s="775" t="s">
        <v>3</v>
      </c>
      <c r="N149" s="775" t="s">
        <v>3</v>
      </c>
      <c r="O149" s="775" t="s">
        <v>3</v>
      </c>
      <c r="P149" s="775" t="s">
        <v>3</v>
      </c>
      <c r="Q149" s="775" t="s">
        <v>3</v>
      </c>
      <c r="R149" s="775" t="s">
        <v>3</v>
      </c>
      <c r="S149" s="594">
        <v>53</v>
      </c>
      <c r="T149" s="594">
        <v>58</v>
      </c>
      <c r="U149" s="594">
        <v>68</v>
      </c>
      <c r="V149" s="594">
        <v>86</v>
      </c>
      <c r="W149" s="594">
        <v>100</v>
      </c>
      <c r="X149" s="594">
        <v>119</v>
      </c>
      <c r="Y149" s="594">
        <v>132</v>
      </c>
      <c r="Z149" s="594">
        <v>141</v>
      </c>
      <c r="AA149" s="594">
        <v>152</v>
      </c>
      <c r="AB149" s="594">
        <v>164</v>
      </c>
      <c r="AC149" s="594">
        <v>170</v>
      </c>
      <c r="AD149" s="594">
        <v>187</v>
      </c>
      <c r="AE149" s="594">
        <v>197</v>
      </c>
      <c r="AF149" s="594">
        <v>212</v>
      </c>
      <c r="AG149" s="594">
        <v>237</v>
      </c>
      <c r="AH149" s="594">
        <v>276</v>
      </c>
      <c r="AI149" s="594">
        <v>326</v>
      </c>
      <c r="AJ149" s="594">
        <v>361</v>
      </c>
      <c r="AK149" s="594">
        <v>392</v>
      </c>
      <c r="AL149" s="594">
        <v>424</v>
      </c>
      <c r="AM149" s="179">
        <v>436</v>
      </c>
      <c r="AN149" s="179">
        <v>452</v>
      </c>
      <c r="AO149" s="179">
        <v>477</v>
      </c>
      <c r="AP149" s="179">
        <v>537</v>
      </c>
      <c r="AQ149" s="179">
        <v>445</v>
      </c>
      <c r="AR149" s="179">
        <v>471</v>
      </c>
      <c r="AS149" s="179">
        <v>503</v>
      </c>
      <c r="AT149" s="179">
        <v>494</v>
      </c>
      <c r="AU149" s="179">
        <v>519</v>
      </c>
      <c r="AV149" s="180">
        <v>556</v>
      </c>
      <c r="AW149" s="180">
        <v>593</v>
      </c>
      <c r="AX149" s="180">
        <v>642</v>
      </c>
      <c r="AY149" s="180">
        <v>725</v>
      </c>
      <c r="AZ149" s="365">
        <v>802</v>
      </c>
      <c r="BA149" s="365">
        <v>934</v>
      </c>
      <c r="BB149" s="358">
        <v>1057</v>
      </c>
      <c r="BC149" s="358">
        <v>1119</v>
      </c>
      <c r="BD149" s="358">
        <v>1169</v>
      </c>
      <c r="BE149" s="358">
        <v>1252</v>
      </c>
      <c r="BF149" s="358">
        <v>1310</v>
      </c>
      <c r="BG149" s="358">
        <v>1340</v>
      </c>
      <c r="BH149" s="358">
        <v>1340</v>
      </c>
      <c r="BI149" s="358">
        <v>1340</v>
      </c>
      <c r="BJ149" s="410">
        <f>(BH149-BE149)/BE149</f>
        <v>7.0287539936102233E-2</v>
      </c>
      <c r="BK149" s="410">
        <f>(BI149-BH149)/BH149</f>
        <v>0</v>
      </c>
      <c r="BL149" s="564">
        <f>BH149-BE149</f>
        <v>88</v>
      </c>
      <c r="BM149" s="564">
        <f>BI149-BH149</f>
        <v>0</v>
      </c>
      <c r="BN149" s="358"/>
      <c r="BO149" s="595"/>
      <c r="BP149" s="595"/>
      <c r="BQ149" s="217"/>
      <c r="BR149" s="391"/>
      <c r="HF149" s="392">
        <v>171</v>
      </c>
    </row>
    <row r="150" spans="1:214" s="177" customFormat="1" ht="11.25" customHeight="1">
      <c r="A150" s="181" t="s">
        <v>24</v>
      </c>
      <c r="B150" s="593">
        <v>2</v>
      </c>
      <c r="C150" s="593">
        <v>2</v>
      </c>
      <c r="D150" s="593">
        <v>2</v>
      </c>
      <c r="E150" s="593">
        <v>2</v>
      </c>
      <c r="F150" s="593">
        <v>2</v>
      </c>
      <c r="G150" s="593">
        <v>2</v>
      </c>
      <c r="H150" s="593">
        <v>3</v>
      </c>
      <c r="I150" s="593">
        <v>3</v>
      </c>
      <c r="J150" s="593">
        <v>4</v>
      </c>
      <c r="K150" s="593">
        <v>4</v>
      </c>
      <c r="L150" s="680">
        <v>5</v>
      </c>
      <c r="M150" s="680">
        <v>6</v>
      </c>
      <c r="N150" s="680">
        <v>6</v>
      </c>
      <c r="O150" s="680">
        <v>8</v>
      </c>
      <c r="P150" s="680">
        <v>9</v>
      </c>
      <c r="Q150" s="680">
        <v>11</v>
      </c>
      <c r="R150" s="680">
        <v>12</v>
      </c>
      <c r="S150" s="680">
        <v>13</v>
      </c>
      <c r="T150" s="680">
        <v>14</v>
      </c>
      <c r="U150" s="680">
        <v>18</v>
      </c>
      <c r="V150" s="680">
        <v>19</v>
      </c>
      <c r="W150" s="680">
        <v>21</v>
      </c>
      <c r="X150" s="680">
        <v>22</v>
      </c>
      <c r="Y150" s="680">
        <v>25</v>
      </c>
      <c r="Z150" s="680">
        <v>25</v>
      </c>
      <c r="AA150" s="680">
        <v>27</v>
      </c>
      <c r="AB150" s="680">
        <v>30</v>
      </c>
      <c r="AC150" s="680">
        <v>24</v>
      </c>
      <c r="AD150" s="680">
        <v>25</v>
      </c>
      <c r="AE150" s="680">
        <v>27</v>
      </c>
      <c r="AF150" s="680">
        <v>30</v>
      </c>
      <c r="AG150" s="680">
        <v>39</v>
      </c>
      <c r="AH150" s="680">
        <v>42</v>
      </c>
      <c r="AI150" s="680">
        <v>51</v>
      </c>
      <c r="AJ150" s="680">
        <v>58</v>
      </c>
      <c r="AK150" s="680">
        <v>68</v>
      </c>
      <c r="AL150" s="680">
        <v>67</v>
      </c>
      <c r="AM150" s="772">
        <v>71</v>
      </c>
      <c r="AN150" s="772">
        <v>70</v>
      </c>
      <c r="AO150" s="772">
        <v>78</v>
      </c>
      <c r="AP150" s="772">
        <v>79</v>
      </c>
      <c r="AQ150" s="773">
        <v>94</v>
      </c>
      <c r="AR150" s="773">
        <v>101</v>
      </c>
      <c r="AS150" s="773">
        <v>110</v>
      </c>
      <c r="AT150" s="772">
        <v>112</v>
      </c>
      <c r="AU150" s="772">
        <v>122</v>
      </c>
      <c r="AV150" s="772">
        <v>123</v>
      </c>
      <c r="AW150" s="224">
        <v>154</v>
      </c>
      <c r="AX150" s="224">
        <v>148</v>
      </c>
      <c r="AY150" s="307">
        <v>164</v>
      </c>
      <c r="AZ150" s="307">
        <v>141</v>
      </c>
      <c r="BA150" s="307">
        <v>146</v>
      </c>
      <c r="BB150" s="307">
        <v>173</v>
      </c>
      <c r="BC150" s="307">
        <v>176</v>
      </c>
      <c r="BD150" s="516">
        <v>198</v>
      </c>
      <c r="BE150" s="516">
        <v>223</v>
      </c>
      <c r="BF150" s="516">
        <v>236</v>
      </c>
      <c r="BG150" s="516">
        <v>255</v>
      </c>
      <c r="BH150" s="516">
        <v>261</v>
      </c>
      <c r="BI150" s="516">
        <v>261</v>
      </c>
      <c r="BJ150" s="410">
        <f>(BH150-BG150)/BG150</f>
        <v>2.3529411764705882E-2</v>
      </c>
      <c r="BK150" s="410">
        <f>(BI150-BH150)/BH150</f>
        <v>0</v>
      </c>
      <c r="BL150" s="564">
        <f>BH150-BG150</f>
        <v>6</v>
      </c>
      <c r="BM150" s="564">
        <f>BI150-BH150</f>
        <v>0</v>
      </c>
      <c r="BN150" s="358"/>
      <c r="BO150" s="595"/>
      <c r="BP150" s="595"/>
      <c r="BQ150" s="217"/>
      <c r="BR150" s="391"/>
    </row>
    <row r="151" spans="1:214" ht="11.25" customHeight="1">
      <c r="A151" s="118" t="s">
        <v>31</v>
      </c>
      <c r="B151" s="394">
        <f t="shared" ref="B151:Q151" si="66">SUM(B149:B150)</f>
        <v>2</v>
      </c>
      <c r="C151" s="127">
        <f t="shared" si="66"/>
        <v>2</v>
      </c>
      <c r="D151" s="127">
        <f t="shared" si="66"/>
        <v>2</v>
      </c>
      <c r="E151" s="127">
        <f t="shared" si="66"/>
        <v>2</v>
      </c>
      <c r="F151" s="127">
        <f t="shared" si="66"/>
        <v>2</v>
      </c>
      <c r="G151" s="127">
        <f t="shared" si="66"/>
        <v>2</v>
      </c>
      <c r="H151" s="127">
        <f t="shared" si="66"/>
        <v>3</v>
      </c>
      <c r="I151" s="127">
        <f t="shared" si="66"/>
        <v>3</v>
      </c>
      <c r="J151" s="127">
        <f t="shared" si="66"/>
        <v>4</v>
      </c>
      <c r="K151" s="127">
        <f t="shared" si="66"/>
        <v>4</v>
      </c>
      <c r="L151" s="394">
        <f t="shared" si="66"/>
        <v>5</v>
      </c>
      <c r="M151" s="127">
        <f t="shared" si="66"/>
        <v>6</v>
      </c>
      <c r="N151" s="127">
        <f t="shared" si="66"/>
        <v>6</v>
      </c>
      <c r="O151" s="127">
        <f t="shared" si="66"/>
        <v>8</v>
      </c>
      <c r="P151" s="127">
        <f t="shared" si="66"/>
        <v>9</v>
      </c>
      <c r="Q151" s="127">
        <f t="shared" si="66"/>
        <v>11</v>
      </c>
      <c r="R151" s="127">
        <f>SUM(R149:R150)</f>
        <v>12</v>
      </c>
      <c r="S151" s="127">
        <f>SUM(S149:S150)</f>
        <v>66</v>
      </c>
      <c r="T151" s="127">
        <f>SUM(T149:T150)</f>
        <v>72</v>
      </c>
      <c r="U151" s="127">
        <f>SUM(U149:U150)</f>
        <v>86</v>
      </c>
      <c r="V151" s="394">
        <f t="shared" ref="V151:AK151" si="67">SUM(V149:V150)</f>
        <v>105</v>
      </c>
      <c r="W151" s="127">
        <f t="shared" si="67"/>
        <v>121</v>
      </c>
      <c r="X151" s="127">
        <f t="shared" si="67"/>
        <v>141</v>
      </c>
      <c r="Y151" s="127">
        <f t="shared" si="67"/>
        <v>157</v>
      </c>
      <c r="Z151" s="127">
        <f t="shared" si="67"/>
        <v>166</v>
      </c>
      <c r="AA151" s="127">
        <f t="shared" si="67"/>
        <v>179</v>
      </c>
      <c r="AB151" s="127">
        <f t="shared" si="67"/>
        <v>194</v>
      </c>
      <c r="AC151" s="127">
        <f t="shared" si="67"/>
        <v>194</v>
      </c>
      <c r="AD151" s="127">
        <f t="shared" si="67"/>
        <v>212</v>
      </c>
      <c r="AE151" s="127">
        <f t="shared" si="67"/>
        <v>224</v>
      </c>
      <c r="AF151" s="394">
        <f t="shared" si="67"/>
        <v>242</v>
      </c>
      <c r="AG151" s="127">
        <f t="shared" si="67"/>
        <v>276</v>
      </c>
      <c r="AH151" s="127">
        <f t="shared" si="67"/>
        <v>318</v>
      </c>
      <c r="AI151" s="127">
        <f t="shared" si="67"/>
        <v>377</v>
      </c>
      <c r="AJ151" s="127">
        <f t="shared" si="67"/>
        <v>419</v>
      </c>
      <c r="AK151" s="127">
        <f t="shared" si="67"/>
        <v>460</v>
      </c>
      <c r="AL151" s="127">
        <f t="shared" ref="AL151:AT151" si="68">SUM(AL149:AL150)</f>
        <v>491</v>
      </c>
      <c r="AM151" s="127">
        <f t="shared" si="68"/>
        <v>507</v>
      </c>
      <c r="AN151" s="127">
        <f t="shared" si="68"/>
        <v>522</v>
      </c>
      <c r="AO151" s="127">
        <f t="shared" si="68"/>
        <v>555</v>
      </c>
      <c r="AP151" s="394">
        <f t="shared" si="68"/>
        <v>616</v>
      </c>
      <c r="AQ151" s="127">
        <f t="shared" si="68"/>
        <v>539</v>
      </c>
      <c r="AR151" s="127">
        <f t="shared" si="68"/>
        <v>572</v>
      </c>
      <c r="AS151" s="127">
        <f t="shared" si="68"/>
        <v>613</v>
      </c>
      <c r="AT151" s="127">
        <f t="shared" si="68"/>
        <v>606</v>
      </c>
      <c r="AU151" s="127">
        <f t="shared" ref="AU151:BA151" si="69">SUM(AU149:AU150)</f>
        <v>641</v>
      </c>
      <c r="AV151" s="205">
        <f t="shared" si="69"/>
        <v>679</v>
      </c>
      <c r="AW151" s="205">
        <f t="shared" si="69"/>
        <v>747</v>
      </c>
      <c r="AX151" s="205">
        <f t="shared" si="69"/>
        <v>790</v>
      </c>
      <c r="AY151" s="205">
        <f t="shared" si="69"/>
        <v>889</v>
      </c>
      <c r="AZ151" s="395">
        <f t="shared" si="69"/>
        <v>943</v>
      </c>
      <c r="BA151" s="350">
        <f t="shared" si="69"/>
        <v>1080</v>
      </c>
      <c r="BB151" s="350">
        <f t="shared" ref="BB151:BG151" si="70">SUM(BB149:BB150)</f>
        <v>1230</v>
      </c>
      <c r="BC151" s="350">
        <f t="shared" si="70"/>
        <v>1295</v>
      </c>
      <c r="BD151" s="640">
        <f t="shared" si="70"/>
        <v>1367</v>
      </c>
      <c r="BE151" s="640">
        <f>SUM(BE149:BE150)</f>
        <v>1475</v>
      </c>
      <c r="BF151" s="396">
        <f t="shared" si="70"/>
        <v>1546</v>
      </c>
      <c r="BG151" s="396">
        <f t="shared" si="70"/>
        <v>1595</v>
      </c>
      <c r="BH151" s="396">
        <f t="shared" ref="BH151:BI151" si="71">SUM(BH149:BH150)</f>
        <v>1601</v>
      </c>
      <c r="BI151" s="396">
        <f t="shared" si="71"/>
        <v>1601</v>
      </c>
      <c r="BJ151" s="872">
        <f>(BH151-BG151)/BG151</f>
        <v>3.761755485893417E-3</v>
      </c>
      <c r="BK151" s="872">
        <f>(BI151-BH151)/BH151</f>
        <v>0</v>
      </c>
      <c r="BL151" s="567">
        <f>BH151-BG151</f>
        <v>6</v>
      </c>
      <c r="BM151" s="567">
        <f>BI151-BH151</f>
        <v>0</v>
      </c>
      <c r="BN151" s="349"/>
      <c r="BQ151" s="152"/>
      <c r="BR151" s="320"/>
    </row>
    <row r="152" spans="1:214" ht="12.75" customHeight="1">
      <c r="A152" s="115"/>
      <c r="B152" s="646"/>
      <c r="C152" s="9"/>
      <c r="D152" s="9"/>
      <c r="E152" s="9"/>
      <c r="F152" s="9"/>
      <c r="G152" s="9"/>
      <c r="H152" s="9"/>
      <c r="I152" s="9"/>
      <c r="J152" s="9"/>
      <c r="K152" s="9"/>
      <c r="L152" s="646"/>
      <c r="M152" s="9"/>
      <c r="N152" s="9"/>
      <c r="O152" s="9"/>
      <c r="P152" s="9"/>
      <c r="Q152" s="9"/>
      <c r="R152" s="9"/>
      <c r="S152" s="9"/>
      <c r="T152" s="9"/>
      <c r="U152" s="9"/>
      <c r="V152" s="646"/>
      <c r="W152" s="9"/>
      <c r="X152" s="9"/>
      <c r="Y152" s="9"/>
      <c r="Z152" s="9"/>
      <c r="AA152" s="9"/>
      <c r="AB152" s="9"/>
      <c r="AC152" s="9"/>
      <c r="AD152" s="9"/>
      <c r="AE152" s="9"/>
      <c r="AF152" s="646"/>
      <c r="AG152" s="9"/>
      <c r="AH152" s="9"/>
      <c r="AI152" s="9"/>
      <c r="AJ152" s="9"/>
      <c r="AK152" s="9"/>
      <c r="AL152" s="9"/>
      <c r="AM152" s="9"/>
      <c r="AN152" s="9"/>
      <c r="AO152" s="9"/>
      <c r="AP152" s="646"/>
      <c r="AQ152" s="9"/>
      <c r="AR152" s="9"/>
      <c r="AS152" s="9"/>
      <c r="AT152" s="9"/>
      <c r="AU152" s="9"/>
      <c r="AV152" s="9"/>
      <c r="AW152" s="9"/>
      <c r="AX152" s="9"/>
      <c r="AY152" s="9"/>
      <c r="AZ152" s="646"/>
      <c r="BA152" s="9"/>
      <c r="BB152" s="9"/>
      <c r="BC152" s="9"/>
      <c r="BD152" s="9"/>
      <c r="BE152" s="9"/>
      <c r="BF152" s="646"/>
      <c r="BG152" s="646"/>
      <c r="BH152" s="646"/>
      <c r="BI152" s="646"/>
      <c r="BJ152" s="410"/>
      <c r="BK152" s="410"/>
      <c r="BL152" s="566"/>
      <c r="BM152" s="566"/>
      <c r="BN152" s="309"/>
      <c r="BQ152" s="152"/>
      <c r="BR152" s="320"/>
    </row>
    <row r="153" spans="1:214" s="177" customFormat="1" ht="11.25" customHeight="1">
      <c r="A153" s="286" t="s">
        <v>143</v>
      </c>
      <c r="B153" s="593">
        <v>3</v>
      </c>
      <c r="C153" s="593">
        <v>3</v>
      </c>
      <c r="D153" s="593">
        <v>4</v>
      </c>
      <c r="E153" s="593">
        <v>4</v>
      </c>
      <c r="F153" s="593">
        <v>4</v>
      </c>
      <c r="G153" s="593">
        <v>4</v>
      </c>
      <c r="H153" s="593">
        <v>5</v>
      </c>
      <c r="I153" s="593">
        <v>5</v>
      </c>
      <c r="J153" s="593">
        <v>6</v>
      </c>
      <c r="K153" s="593">
        <v>6</v>
      </c>
      <c r="L153" s="680">
        <v>6</v>
      </c>
      <c r="M153" s="680">
        <v>7</v>
      </c>
      <c r="N153" s="680">
        <v>8</v>
      </c>
      <c r="O153" s="680">
        <v>8</v>
      </c>
      <c r="P153" s="680">
        <v>9</v>
      </c>
      <c r="Q153" s="680">
        <v>10</v>
      </c>
      <c r="R153" s="680">
        <v>11</v>
      </c>
      <c r="S153" s="680">
        <v>13</v>
      </c>
      <c r="T153" s="680">
        <v>15</v>
      </c>
      <c r="U153" s="680">
        <v>9</v>
      </c>
      <c r="V153" s="680">
        <v>21</v>
      </c>
      <c r="W153" s="680">
        <v>19</v>
      </c>
      <c r="X153" s="680">
        <v>22</v>
      </c>
      <c r="Y153" s="680">
        <v>13</v>
      </c>
      <c r="Z153" s="680">
        <v>21</v>
      </c>
      <c r="AA153" s="680">
        <v>22</v>
      </c>
      <c r="AB153" s="680">
        <v>23</v>
      </c>
      <c r="AC153" s="680">
        <v>30</v>
      </c>
      <c r="AD153" s="680">
        <v>35</v>
      </c>
      <c r="AE153" s="680">
        <v>38</v>
      </c>
      <c r="AF153" s="680">
        <v>44</v>
      </c>
      <c r="AG153" s="680">
        <v>51</v>
      </c>
      <c r="AH153" s="680">
        <v>60</v>
      </c>
      <c r="AI153" s="680">
        <v>60</v>
      </c>
      <c r="AJ153" s="680">
        <v>63</v>
      </c>
      <c r="AK153" s="680">
        <v>69</v>
      </c>
      <c r="AL153" s="680">
        <v>50</v>
      </c>
      <c r="AM153" s="681">
        <v>75</v>
      </c>
      <c r="AN153" s="681">
        <v>67</v>
      </c>
      <c r="AO153" s="681">
        <v>65</v>
      </c>
      <c r="AP153" s="681">
        <v>69</v>
      </c>
      <c r="AQ153" s="681">
        <v>66</v>
      </c>
      <c r="AR153" s="681">
        <v>93</v>
      </c>
      <c r="AS153" s="681">
        <v>91</v>
      </c>
      <c r="AT153" s="681">
        <v>92</v>
      </c>
      <c r="AU153" s="681">
        <v>93</v>
      </c>
      <c r="AV153" s="682">
        <v>102</v>
      </c>
      <c r="AW153" s="269">
        <v>98.852348993288587</v>
      </c>
      <c r="AX153" s="269">
        <v>111.45061728395062</v>
      </c>
      <c r="AY153" s="269">
        <v>119</v>
      </c>
      <c r="AZ153" s="269">
        <v>115</v>
      </c>
      <c r="BA153" s="361">
        <v>159</v>
      </c>
      <c r="BB153" s="361">
        <v>152</v>
      </c>
      <c r="BC153" s="361">
        <v>163</v>
      </c>
      <c r="BD153" s="361">
        <v>162</v>
      </c>
      <c r="BE153" s="361">
        <v>186</v>
      </c>
      <c r="BF153" s="361">
        <v>181</v>
      </c>
      <c r="BG153" s="361">
        <v>202</v>
      </c>
      <c r="BH153" s="361">
        <v>178</v>
      </c>
      <c r="BI153" s="361">
        <v>191</v>
      </c>
      <c r="BJ153" s="410">
        <f>(BH153-BG153)/BG153</f>
        <v>-0.11881188118811881</v>
      </c>
      <c r="BK153" s="410">
        <f>(BI153-BH153)/BH153</f>
        <v>7.3033707865168537E-2</v>
      </c>
      <c r="BL153" s="564">
        <f>BH153-BG153</f>
        <v>-24</v>
      </c>
      <c r="BM153" s="564">
        <f>BI153-BH153</f>
        <v>13</v>
      </c>
      <c r="BN153" s="358"/>
      <c r="BO153" s="595"/>
      <c r="BP153" s="595"/>
      <c r="BQ153" s="217"/>
      <c r="BR153" s="391"/>
    </row>
    <row r="154" spans="1:214" s="177" customFormat="1" ht="12" customHeight="1" thickBot="1">
      <c r="A154" s="393" t="s">
        <v>45</v>
      </c>
      <c r="B154" s="397">
        <f>SUM(B134+B138+B140+B151+B153)</f>
        <v>40</v>
      </c>
      <c r="C154" s="397">
        <f t="shared" ref="C154:AE154" si="72">SUM(C134+C138+C140+C151+C153)</f>
        <v>45</v>
      </c>
      <c r="D154" s="397">
        <f t="shared" si="72"/>
        <v>48</v>
      </c>
      <c r="E154" s="397">
        <f t="shared" si="72"/>
        <v>53</v>
      </c>
      <c r="F154" s="397">
        <f t="shared" si="72"/>
        <v>55</v>
      </c>
      <c r="G154" s="397">
        <f t="shared" si="72"/>
        <v>57</v>
      </c>
      <c r="H154" s="397">
        <f>SUM(H134+H138+H140+H151+H153)</f>
        <v>51</v>
      </c>
      <c r="I154" s="397">
        <f t="shared" si="72"/>
        <v>60</v>
      </c>
      <c r="J154" s="397">
        <f t="shared" si="72"/>
        <v>74</v>
      </c>
      <c r="K154" s="397">
        <f>SUM(K134+K138+K140+K151+K153)</f>
        <v>71</v>
      </c>
      <c r="L154" s="397">
        <f t="shared" si="72"/>
        <v>98</v>
      </c>
      <c r="M154" s="397">
        <f t="shared" si="72"/>
        <v>126</v>
      </c>
      <c r="N154" s="397">
        <f t="shared" si="72"/>
        <v>107</v>
      </c>
      <c r="O154" s="397">
        <f t="shared" si="72"/>
        <v>136</v>
      </c>
      <c r="P154" s="397">
        <f t="shared" si="72"/>
        <v>171</v>
      </c>
      <c r="Q154" s="397">
        <f>SUM(Q134+Q138+Q140+Q151+Q153)</f>
        <v>192</v>
      </c>
      <c r="R154" s="397">
        <f t="shared" si="72"/>
        <v>208</v>
      </c>
      <c r="S154" s="397">
        <f t="shared" si="72"/>
        <v>282</v>
      </c>
      <c r="T154" s="397">
        <f>SUM(T134+T138+T140+T151+T153)</f>
        <v>316</v>
      </c>
      <c r="U154" s="397">
        <f t="shared" si="72"/>
        <v>339</v>
      </c>
      <c r="V154" s="397">
        <f t="shared" si="72"/>
        <v>392</v>
      </c>
      <c r="W154" s="397">
        <f t="shared" si="72"/>
        <v>375</v>
      </c>
      <c r="X154" s="397">
        <f t="shared" si="72"/>
        <v>503</v>
      </c>
      <c r="Y154" s="397">
        <f t="shared" si="72"/>
        <v>490</v>
      </c>
      <c r="Z154" s="397">
        <f t="shared" si="72"/>
        <v>599</v>
      </c>
      <c r="AA154" s="397">
        <f t="shared" si="72"/>
        <v>729</v>
      </c>
      <c r="AB154" s="397">
        <f t="shared" si="72"/>
        <v>1006</v>
      </c>
      <c r="AC154" s="397">
        <f>SUM(AC134+AC138+AC140+AC151+AC153)</f>
        <v>777</v>
      </c>
      <c r="AD154" s="397">
        <f t="shared" si="72"/>
        <v>1017</v>
      </c>
      <c r="AE154" s="397">
        <f t="shared" si="72"/>
        <v>1081</v>
      </c>
      <c r="AF154" s="397">
        <f>AF134+AF138+AF144+AF140+AF142+AF151+AF153</f>
        <v>1309</v>
      </c>
      <c r="AG154" s="397">
        <f t="shared" ref="AG154:AV154" si="73">AG134+AG138+AG144+AG140+AG142+AG151+AG153</f>
        <v>1169</v>
      </c>
      <c r="AH154" s="397">
        <f t="shared" si="73"/>
        <v>1324</v>
      </c>
      <c r="AI154" s="397">
        <f t="shared" si="73"/>
        <v>1674</v>
      </c>
      <c r="AJ154" s="397">
        <f t="shared" si="73"/>
        <v>1413</v>
      </c>
      <c r="AK154" s="397">
        <f t="shared" si="73"/>
        <v>1883</v>
      </c>
      <c r="AL154" s="397">
        <f t="shared" si="73"/>
        <v>1658</v>
      </c>
      <c r="AM154" s="397">
        <f>AM134+AM138+AM144+AM140+AM142+AM151+AM153</f>
        <v>1854</v>
      </c>
      <c r="AN154" s="397">
        <f t="shared" si="73"/>
        <v>1740</v>
      </c>
      <c r="AO154" s="397">
        <f t="shared" si="73"/>
        <v>1766</v>
      </c>
      <c r="AP154" s="397">
        <f t="shared" si="73"/>
        <v>1968</v>
      </c>
      <c r="AQ154" s="397">
        <f>AQ134+AQ138+AQ144+AQ140+AQ142+AQ151+AQ153</f>
        <v>1874</v>
      </c>
      <c r="AR154" s="397">
        <f t="shared" si="73"/>
        <v>1992</v>
      </c>
      <c r="AS154" s="397">
        <f t="shared" si="73"/>
        <v>2046</v>
      </c>
      <c r="AT154" s="397">
        <f t="shared" si="73"/>
        <v>2107</v>
      </c>
      <c r="AU154" s="397">
        <f t="shared" si="73"/>
        <v>2034</v>
      </c>
      <c r="AV154" s="397">
        <f t="shared" si="73"/>
        <v>2251</v>
      </c>
      <c r="AW154" s="397">
        <f>AW134+AW138+AW144+AW140+AW142+AW151+AW153</f>
        <v>2406.2075432354313</v>
      </c>
      <c r="AX154" s="397">
        <f>AX134+AX138+AX144+AX140+AX142+AX151+AX153</f>
        <v>2637.8893903849498</v>
      </c>
      <c r="AY154" s="397">
        <f>AY134+AY138+AY144+AY140+AY142+AY151+AY153+AY146</f>
        <v>2930</v>
      </c>
      <c r="AZ154" s="397">
        <f>AZ134+AZ138+AZ140+AZ142+AZ146+AZ151+AZ153</f>
        <v>3179</v>
      </c>
      <c r="BA154" s="398">
        <f t="shared" ref="BA154:BG154" si="74">BA134+BA138+BA140+BA142+BA146+BA151+BA153+BA136</f>
        <v>3573</v>
      </c>
      <c r="BB154" s="398">
        <f t="shared" si="74"/>
        <v>3849</v>
      </c>
      <c r="BC154" s="398">
        <f t="shared" si="74"/>
        <v>4322</v>
      </c>
      <c r="BD154" s="398">
        <f t="shared" si="74"/>
        <v>4387.756365715356</v>
      </c>
      <c r="BE154" s="398">
        <f t="shared" si="74"/>
        <v>4570</v>
      </c>
      <c r="BF154" s="398">
        <f t="shared" si="74"/>
        <v>4961</v>
      </c>
      <c r="BG154" s="398">
        <f t="shared" si="74"/>
        <v>5012</v>
      </c>
      <c r="BH154" s="398">
        <f t="shared" ref="BH154:BI154" si="75">BH134+BH138+BH140+BH142+BH146+BH151+BH153+BH136</f>
        <v>5510</v>
      </c>
      <c r="BI154" s="398">
        <f t="shared" si="75"/>
        <v>5363</v>
      </c>
      <c r="BJ154" s="875">
        <f>(BH154-BG154)/BG154</f>
        <v>9.9361532322426172E-2</v>
      </c>
      <c r="BK154" s="875">
        <f>(BI154-BH154)/BH154</f>
        <v>-2.6678765880217784E-2</v>
      </c>
      <c r="BL154" s="569">
        <f>BH154-BG154</f>
        <v>498</v>
      </c>
      <c r="BM154" s="569">
        <f>BI154-BH154</f>
        <v>-147</v>
      </c>
      <c r="BN154" s="349"/>
      <c r="BO154" s="112"/>
      <c r="BP154" s="112"/>
      <c r="BQ154" s="152"/>
      <c r="BR154" s="391"/>
    </row>
    <row r="155" spans="1:214" ht="11.25" customHeight="1">
      <c r="A155" s="115"/>
      <c r="B155" s="631"/>
      <c r="C155" s="39"/>
      <c r="D155" s="39"/>
      <c r="E155" s="39"/>
      <c r="F155" s="39"/>
      <c r="G155" s="39"/>
      <c r="H155" s="39"/>
      <c r="I155" s="39"/>
      <c r="J155" s="39"/>
      <c r="K155" s="39"/>
      <c r="L155" s="822"/>
      <c r="M155" s="8"/>
      <c r="N155" s="8"/>
      <c r="O155" s="8"/>
      <c r="P155" s="8"/>
      <c r="Q155" s="8"/>
      <c r="R155" s="8"/>
      <c r="S155" s="8"/>
      <c r="T155" s="8"/>
      <c r="U155" s="8"/>
      <c r="V155" s="826"/>
      <c r="W155" s="8"/>
      <c r="X155" s="8"/>
      <c r="Y155" s="8"/>
      <c r="Z155" s="8"/>
      <c r="AA155" s="8"/>
      <c r="AB155" s="8"/>
      <c r="AC155" s="8"/>
      <c r="AD155" s="8"/>
      <c r="AE155" s="8"/>
      <c r="AF155" s="826"/>
      <c r="AG155" s="8"/>
      <c r="AH155" s="8"/>
      <c r="AI155" s="11"/>
      <c r="AJ155" s="11"/>
      <c r="AK155" s="11"/>
      <c r="AL155" s="6"/>
      <c r="AM155" s="23"/>
      <c r="AN155" s="23"/>
      <c r="AO155" s="87"/>
      <c r="AP155" s="224"/>
      <c r="AQ155" s="87"/>
      <c r="AR155" s="87"/>
      <c r="AS155" s="87"/>
      <c r="AT155" s="87"/>
      <c r="AU155" s="87"/>
      <c r="AV155" s="87"/>
      <c r="AW155" s="199"/>
      <c r="AX155" s="199"/>
      <c r="AY155" s="199"/>
      <c r="AZ155" s="544"/>
      <c r="BA155" s="308"/>
      <c r="BB155" s="314"/>
      <c r="BC155" s="294"/>
      <c r="BD155" s="544"/>
      <c r="BE155" s="544"/>
      <c r="BF155" s="544"/>
      <c r="BG155" s="544"/>
      <c r="BH155" s="544"/>
      <c r="BI155" s="544"/>
      <c r="BJ155" s="871"/>
      <c r="BK155" s="871"/>
      <c r="BL155" s="565"/>
      <c r="BM155" s="565"/>
      <c r="BN155" s="316"/>
      <c r="BQ155" s="152"/>
      <c r="BR155" s="320"/>
    </row>
    <row r="156" spans="1:214">
      <c r="A156" s="159" t="s">
        <v>46</v>
      </c>
      <c r="B156" s="808"/>
      <c r="C156" s="34"/>
      <c r="D156" s="34"/>
      <c r="E156" s="34"/>
      <c r="F156" s="34"/>
      <c r="G156" s="34"/>
      <c r="H156" s="34"/>
      <c r="I156" s="34"/>
      <c r="J156" s="34"/>
      <c r="K156" s="34"/>
      <c r="L156" s="808"/>
      <c r="M156" s="34"/>
      <c r="N156" s="34"/>
      <c r="O156" s="34"/>
      <c r="P156" s="34"/>
      <c r="Q156" s="34"/>
      <c r="R156" s="34"/>
      <c r="S156" s="34"/>
      <c r="T156" s="34"/>
      <c r="U156" s="34"/>
      <c r="V156" s="808"/>
      <c r="W156" s="34"/>
      <c r="X156" s="34"/>
      <c r="Y156" s="34"/>
      <c r="Z156" s="34"/>
      <c r="AA156" s="34"/>
      <c r="AB156" s="34"/>
      <c r="AC156" s="34"/>
      <c r="AD156" s="34"/>
      <c r="AE156" s="34"/>
      <c r="AF156" s="808"/>
      <c r="AG156" s="34"/>
      <c r="AH156" s="34"/>
      <c r="AI156" s="34"/>
      <c r="AJ156" s="34"/>
      <c r="AK156" s="34"/>
      <c r="AL156" s="34"/>
      <c r="AM156" s="34"/>
      <c r="AN156" s="34"/>
      <c r="AO156" s="34"/>
      <c r="AP156" s="808"/>
      <c r="AQ156" s="34"/>
      <c r="AR156" s="34"/>
      <c r="AS156" s="34"/>
      <c r="AT156" s="34"/>
      <c r="AU156" s="34"/>
      <c r="AV156" s="34"/>
      <c r="AW156" s="34"/>
      <c r="AX156" s="34"/>
      <c r="AY156" s="34"/>
      <c r="AZ156" s="808"/>
      <c r="BA156" s="603"/>
      <c r="BB156" s="603"/>
      <c r="BC156" s="603"/>
      <c r="BD156" s="603"/>
      <c r="BE156" s="603"/>
      <c r="BF156" s="641"/>
      <c r="BG156" s="641"/>
      <c r="BH156" s="641"/>
      <c r="BI156" s="641"/>
      <c r="BJ156" s="808"/>
      <c r="BK156" s="808"/>
      <c r="BL156" s="565"/>
      <c r="BM156" s="565"/>
      <c r="BN156" s="316"/>
      <c r="BQ156" s="152"/>
      <c r="BR156" s="320"/>
    </row>
    <row r="157" spans="1:214" ht="6" customHeight="1">
      <c r="A157" s="115"/>
      <c r="B157" s="808"/>
      <c r="C157" s="34"/>
      <c r="D157" s="34"/>
      <c r="E157" s="34"/>
      <c r="F157" s="34"/>
      <c r="G157" s="34"/>
      <c r="H157" s="34"/>
      <c r="I157" s="34"/>
      <c r="J157" s="34"/>
      <c r="K157" s="34"/>
      <c r="L157" s="713"/>
      <c r="M157" s="8"/>
      <c r="N157" s="8"/>
      <c r="O157" s="8"/>
      <c r="P157" s="8"/>
      <c r="Q157" s="8"/>
      <c r="R157" s="8"/>
      <c r="S157" s="8"/>
      <c r="T157" s="8"/>
      <c r="U157" s="8"/>
      <c r="V157" s="826"/>
      <c r="W157" s="8"/>
      <c r="X157" s="8"/>
      <c r="Y157" s="8"/>
      <c r="Z157" s="8"/>
      <c r="AA157" s="8"/>
      <c r="AB157" s="8"/>
      <c r="AC157" s="8"/>
      <c r="AD157" s="8"/>
      <c r="AE157" s="8"/>
      <c r="AF157" s="826"/>
      <c r="AG157" s="8"/>
      <c r="AH157" s="8"/>
      <c r="AI157" s="11"/>
      <c r="AJ157" s="11"/>
      <c r="AK157" s="11"/>
      <c r="AL157" s="6"/>
      <c r="AM157" s="23"/>
      <c r="AN157" s="18"/>
      <c r="AO157" s="18"/>
      <c r="AP157" s="811"/>
      <c r="AQ157" s="18"/>
      <c r="AR157" s="18"/>
      <c r="AS157" s="18"/>
      <c r="AT157" s="18"/>
      <c r="AU157" s="18"/>
      <c r="AV157" s="194"/>
      <c r="AW157" s="203"/>
      <c r="AX157" s="203"/>
      <c r="AY157" s="203"/>
      <c r="AZ157" s="549"/>
      <c r="BA157" s="371"/>
      <c r="BB157" s="317"/>
      <c r="BC157" s="303"/>
      <c r="BD157" s="549"/>
      <c r="BE157" s="549"/>
      <c r="BF157" s="549"/>
      <c r="BG157" s="549"/>
      <c r="BH157" s="549"/>
      <c r="BI157" s="549"/>
      <c r="BJ157" s="871"/>
      <c r="BK157" s="871"/>
      <c r="BL157" s="565"/>
      <c r="BM157" s="565"/>
      <c r="BN157" s="316"/>
      <c r="BQ157" s="152"/>
      <c r="BR157" s="320"/>
    </row>
    <row r="158" spans="1:214" ht="12" customHeight="1">
      <c r="A158" s="116" t="s">
        <v>29</v>
      </c>
      <c r="B158" s="808"/>
      <c r="C158" s="34"/>
      <c r="D158" s="34"/>
      <c r="E158" s="34"/>
      <c r="F158" s="34"/>
      <c r="G158" s="34"/>
      <c r="H158" s="34"/>
      <c r="I158" s="34"/>
      <c r="J158" s="34"/>
      <c r="K158" s="34"/>
      <c r="L158" s="713"/>
      <c r="M158" s="8"/>
      <c r="N158" s="8"/>
      <c r="O158" s="8"/>
      <c r="P158" s="8"/>
      <c r="Q158" s="8"/>
      <c r="R158" s="8"/>
      <c r="S158" s="8"/>
      <c r="T158" s="8"/>
      <c r="U158" s="8"/>
      <c r="V158" s="826"/>
      <c r="W158" s="8"/>
      <c r="X158" s="8"/>
      <c r="Y158" s="8"/>
      <c r="Z158" s="8"/>
      <c r="AA158" s="8"/>
      <c r="AB158" s="8"/>
      <c r="AC158" s="8"/>
      <c r="AD158" s="8"/>
      <c r="AE158" s="8"/>
      <c r="AF158" s="826"/>
      <c r="AG158" s="8"/>
      <c r="AH158" s="8"/>
      <c r="AI158" s="11"/>
      <c r="AJ158" s="11"/>
      <c r="AK158" s="11"/>
      <c r="AL158" s="6"/>
      <c r="AM158" s="23"/>
      <c r="AN158" s="18"/>
      <c r="AO158" s="18"/>
      <c r="AP158" s="811"/>
      <c r="AQ158" s="18"/>
      <c r="AR158" s="18"/>
      <c r="AS158" s="18"/>
      <c r="AT158" s="18"/>
      <c r="AU158" s="18"/>
      <c r="AV158" s="219"/>
      <c r="AW158" s="219"/>
      <c r="AX158" s="219"/>
      <c r="AY158" s="219"/>
      <c r="AZ158" s="549"/>
      <c r="BA158" s="371"/>
      <c r="BB158" s="317"/>
      <c r="BC158" s="303"/>
      <c r="BD158" s="549"/>
      <c r="BE158" s="549"/>
      <c r="BF158" s="549"/>
      <c r="BG158" s="549"/>
      <c r="BH158" s="549"/>
      <c r="BI158" s="549"/>
      <c r="BJ158" s="871"/>
      <c r="BK158" s="871"/>
      <c r="BL158" s="565"/>
      <c r="BM158" s="565"/>
      <c r="BN158" s="316"/>
      <c r="BQ158" s="152"/>
      <c r="BR158" s="320"/>
    </row>
    <row r="159" spans="1:214" s="177" customFormat="1" ht="12" customHeight="1">
      <c r="A159" s="286" t="s">
        <v>144</v>
      </c>
      <c r="B159" s="712">
        <v>42</v>
      </c>
      <c r="C159" s="712">
        <v>54</v>
      </c>
      <c r="D159" s="712">
        <v>49</v>
      </c>
      <c r="E159" s="712">
        <v>66</v>
      </c>
      <c r="F159" s="712">
        <v>75</v>
      </c>
      <c r="G159" s="281">
        <v>108</v>
      </c>
      <c r="H159" s="281">
        <v>111</v>
      </c>
      <c r="I159" s="281">
        <v>121</v>
      </c>
      <c r="J159" s="281">
        <v>134</v>
      </c>
      <c r="K159" s="281">
        <v>153</v>
      </c>
      <c r="L159" s="713">
        <v>186</v>
      </c>
      <c r="M159" s="713">
        <v>211</v>
      </c>
      <c r="N159" s="713">
        <v>201</v>
      </c>
      <c r="O159" s="713">
        <v>85</v>
      </c>
      <c r="P159" s="713">
        <v>96</v>
      </c>
      <c r="Q159" s="713">
        <v>96</v>
      </c>
      <c r="R159" s="713">
        <v>102</v>
      </c>
      <c r="S159" s="713">
        <v>86</v>
      </c>
      <c r="T159" s="713">
        <v>51</v>
      </c>
      <c r="U159" s="713">
        <v>52</v>
      </c>
      <c r="V159" s="713">
        <v>60</v>
      </c>
      <c r="W159" s="713">
        <v>61</v>
      </c>
      <c r="X159" s="713">
        <v>129</v>
      </c>
      <c r="Y159" s="713">
        <v>157</v>
      </c>
      <c r="Z159" s="713">
        <v>135</v>
      </c>
      <c r="AA159" s="713">
        <v>151</v>
      </c>
      <c r="AB159" s="713">
        <v>162</v>
      </c>
      <c r="AC159" s="713">
        <v>129</v>
      </c>
      <c r="AD159" s="713">
        <v>156</v>
      </c>
      <c r="AE159" s="713">
        <v>158</v>
      </c>
      <c r="AF159" s="713">
        <v>161</v>
      </c>
      <c r="AG159" s="713">
        <v>181</v>
      </c>
      <c r="AH159" s="713">
        <v>194</v>
      </c>
      <c r="AI159" s="713">
        <v>221</v>
      </c>
      <c r="AJ159" s="713">
        <v>197</v>
      </c>
      <c r="AK159" s="713">
        <v>216</v>
      </c>
      <c r="AL159" s="713">
        <v>194</v>
      </c>
      <c r="AM159" s="714">
        <v>182</v>
      </c>
      <c r="AN159" s="714">
        <v>190</v>
      </c>
      <c r="AO159" s="714">
        <v>214</v>
      </c>
      <c r="AP159" s="714">
        <v>198</v>
      </c>
      <c r="AQ159" s="714">
        <v>229</v>
      </c>
      <c r="AR159" s="715">
        <v>220</v>
      </c>
      <c r="AS159" s="715">
        <v>184</v>
      </c>
      <c r="AT159" s="281">
        <v>256</v>
      </c>
      <c r="AU159" s="281">
        <v>255</v>
      </c>
      <c r="AV159" s="281">
        <v>295</v>
      </c>
      <c r="AW159" s="281">
        <v>258.59459459459458</v>
      </c>
      <c r="AX159" s="281">
        <v>310</v>
      </c>
      <c r="AY159" s="281">
        <v>304</v>
      </c>
      <c r="AZ159" s="281">
        <v>289</v>
      </c>
      <c r="BA159" s="372">
        <v>286</v>
      </c>
      <c r="BB159" s="372">
        <v>295</v>
      </c>
      <c r="BC159" s="372">
        <v>308</v>
      </c>
      <c r="BD159" s="372">
        <v>330</v>
      </c>
      <c r="BE159" s="372">
        <v>345</v>
      </c>
      <c r="BF159" s="372">
        <v>363</v>
      </c>
      <c r="BG159" s="372">
        <v>358</v>
      </c>
      <c r="BH159" s="372">
        <v>358</v>
      </c>
      <c r="BI159" s="372">
        <v>357</v>
      </c>
      <c r="BJ159" s="410">
        <f>(BH159-BG159)/BG159</f>
        <v>0</v>
      </c>
      <c r="BK159" s="410">
        <f>(BI159-BH159)/BH159</f>
        <v>-2.7932960893854749E-3</v>
      </c>
      <c r="BL159" s="564">
        <f>BH159-BG159</f>
        <v>0</v>
      </c>
      <c r="BM159" s="564">
        <f>BI159-BH159</f>
        <v>-1</v>
      </c>
      <c r="BN159" s="358"/>
      <c r="BO159" s="595"/>
      <c r="BP159" s="595"/>
      <c r="BQ159" s="217"/>
      <c r="BR159" s="391"/>
    </row>
    <row r="160" spans="1:214" ht="6" customHeight="1">
      <c r="A160" s="115"/>
      <c r="B160" s="808"/>
      <c r="C160" s="34"/>
      <c r="D160" s="34"/>
      <c r="E160" s="34"/>
      <c r="F160" s="34"/>
      <c r="G160" s="34"/>
      <c r="H160" s="34"/>
      <c r="I160" s="34"/>
      <c r="J160" s="34"/>
      <c r="K160" s="34"/>
      <c r="L160" s="713"/>
      <c r="M160" s="8"/>
      <c r="N160" s="8"/>
      <c r="O160" s="8"/>
      <c r="P160" s="8"/>
      <c r="Q160" s="8"/>
      <c r="R160" s="8"/>
      <c r="S160" s="8"/>
      <c r="T160" s="8"/>
      <c r="U160" s="8"/>
      <c r="V160" s="826"/>
      <c r="W160" s="8"/>
      <c r="X160" s="8"/>
      <c r="Y160" s="8"/>
      <c r="Z160" s="8"/>
      <c r="AA160" s="8"/>
      <c r="AB160" s="8"/>
      <c r="AC160" s="8"/>
      <c r="AD160" s="8"/>
      <c r="AE160" s="8"/>
      <c r="AF160" s="826"/>
      <c r="AG160" s="8"/>
      <c r="AH160" s="8"/>
      <c r="AI160" s="11"/>
      <c r="AJ160" s="11"/>
      <c r="AK160" s="11"/>
      <c r="AL160" s="6"/>
      <c r="AM160" s="23"/>
      <c r="AN160" s="18"/>
      <c r="AO160" s="18"/>
      <c r="AP160" s="811"/>
      <c r="AQ160" s="18"/>
      <c r="AR160" s="18"/>
      <c r="AS160" s="18"/>
      <c r="AT160" s="219"/>
      <c r="AU160" s="219"/>
      <c r="AV160" s="219"/>
      <c r="AW160" s="219"/>
      <c r="AX160" s="219"/>
      <c r="AY160" s="219"/>
      <c r="AZ160" s="549"/>
      <c r="BA160" s="371"/>
      <c r="BB160" s="317"/>
      <c r="BC160" s="303"/>
      <c r="BD160" s="549"/>
      <c r="BE160" s="549"/>
      <c r="BF160" s="549"/>
      <c r="BG160" s="549"/>
      <c r="BH160" s="549"/>
      <c r="BI160" s="549"/>
      <c r="BJ160" s="871"/>
      <c r="BK160" s="871"/>
      <c r="BL160" s="565"/>
      <c r="BM160" s="565"/>
      <c r="BN160" s="316"/>
      <c r="BQ160" s="152"/>
      <c r="BR160" s="320"/>
    </row>
    <row r="161" spans="1:70" ht="10.5" customHeight="1">
      <c r="A161" s="116" t="s">
        <v>49</v>
      </c>
      <c r="B161" s="808"/>
      <c r="C161" s="34"/>
      <c r="D161" s="34"/>
      <c r="E161" s="34"/>
      <c r="F161" s="34"/>
      <c r="G161" s="34"/>
      <c r="H161" s="34"/>
      <c r="I161" s="34"/>
      <c r="J161" s="34"/>
      <c r="K161" s="34"/>
      <c r="L161" s="713"/>
      <c r="M161" s="8"/>
      <c r="N161" s="8"/>
      <c r="O161" s="8"/>
      <c r="P161" s="8"/>
      <c r="Q161" s="8"/>
      <c r="R161" s="8"/>
      <c r="S161" s="8"/>
      <c r="T161" s="8"/>
      <c r="U161" s="8"/>
      <c r="V161" s="826"/>
      <c r="W161" s="8"/>
      <c r="X161" s="8"/>
      <c r="Y161" s="8"/>
      <c r="Z161" s="8"/>
      <c r="AA161" s="8"/>
      <c r="AB161" s="8"/>
      <c r="AC161" s="8"/>
      <c r="AD161" s="8"/>
      <c r="AE161" s="8"/>
      <c r="AF161" s="826"/>
      <c r="AG161" s="8"/>
      <c r="AH161" s="8"/>
      <c r="AI161" s="11"/>
      <c r="AJ161" s="11"/>
      <c r="AK161" s="11"/>
      <c r="AL161" s="6"/>
      <c r="AM161" s="23"/>
      <c r="AN161" s="18"/>
      <c r="AO161" s="18"/>
      <c r="AP161" s="811"/>
      <c r="AQ161" s="18"/>
      <c r="AR161" s="18"/>
      <c r="AS161" s="18"/>
      <c r="AT161" s="219"/>
      <c r="AU161" s="219"/>
      <c r="AV161" s="219"/>
      <c r="AW161" s="219"/>
      <c r="AX161" s="219"/>
      <c r="AY161" s="219"/>
      <c r="AZ161" s="549"/>
      <c r="BA161" s="371"/>
      <c r="BB161" s="317"/>
      <c r="BC161" s="303"/>
      <c r="BD161" s="549"/>
      <c r="BE161" s="549"/>
      <c r="BF161" s="549"/>
      <c r="BG161" s="549"/>
      <c r="BH161" s="549"/>
      <c r="BI161" s="549"/>
      <c r="BJ161" s="871"/>
      <c r="BK161" s="871"/>
      <c r="BL161" s="565"/>
      <c r="BM161" s="565"/>
      <c r="BN161" s="316"/>
      <c r="BQ161" s="152"/>
      <c r="BR161" s="320"/>
    </row>
    <row r="162" spans="1:70" ht="10.5" customHeight="1">
      <c r="A162" s="115" t="s">
        <v>75</v>
      </c>
      <c r="B162" s="225" t="s">
        <v>3</v>
      </c>
      <c r="C162" s="93" t="s">
        <v>3</v>
      </c>
      <c r="D162" s="93" t="s">
        <v>3</v>
      </c>
      <c r="E162" s="93" t="s">
        <v>3</v>
      </c>
      <c r="F162" s="93" t="s">
        <v>3</v>
      </c>
      <c r="G162" s="93" t="s">
        <v>3</v>
      </c>
      <c r="H162" s="93" t="s">
        <v>3</v>
      </c>
      <c r="I162" s="93" t="s">
        <v>3</v>
      </c>
      <c r="J162" s="93" t="s">
        <v>3</v>
      </c>
      <c r="K162" s="93" t="s">
        <v>3</v>
      </c>
      <c r="L162" s="225" t="s">
        <v>3</v>
      </c>
      <c r="M162" s="93" t="s">
        <v>3</v>
      </c>
      <c r="N162" s="93" t="s">
        <v>3</v>
      </c>
      <c r="O162" s="93" t="s">
        <v>3</v>
      </c>
      <c r="P162" s="93" t="s">
        <v>3</v>
      </c>
      <c r="Q162" s="93" t="s">
        <v>3</v>
      </c>
      <c r="R162" s="93" t="s">
        <v>3</v>
      </c>
      <c r="S162" s="93" t="s">
        <v>3</v>
      </c>
      <c r="T162" s="93">
        <v>4</v>
      </c>
      <c r="U162" s="35">
        <v>12</v>
      </c>
      <c r="V162" s="824">
        <v>16</v>
      </c>
      <c r="W162" s="35">
        <v>19</v>
      </c>
      <c r="X162" s="35">
        <v>17</v>
      </c>
      <c r="Y162" s="35">
        <v>15</v>
      </c>
      <c r="Z162" s="35">
        <v>14</v>
      </c>
      <c r="AA162" s="35">
        <v>13</v>
      </c>
      <c r="AB162" s="35">
        <v>14</v>
      </c>
      <c r="AC162" s="35">
        <v>13</v>
      </c>
      <c r="AD162" s="35">
        <v>14</v>
      </c>
      <c r="AE162" s="35">
        <v>13</v>
      </c>
      <c r="AF162" s="824">
        <v>21</v>
      </c>
      <c r="AG162" s="35">
        <v>22</v>
      </c>
      <c r="AH162" s="35">
        <v>28</v>
      </c>
      <c r="AI162" s="35">
        <v>25</v>
      </c>
      <c r="AJ162" s="35">
        <v>28</v>
      </c>
      <c r="AK162" s="35">
        <v>24</v>
      </c>
      <c r="AL162" s="35">
        <v>25</v>
      </c>
      <c r="AM162" s="49">
        <v>28</v>
      </c>
      <c r="AN162" s="129">
        <v>35</v>
      </c>
      <c r="AO162" s="129">
        <v>31</v>
      </c>
      <c r="AP162" s="847">
        <v>30</v>
      </c>
      <c r="AQ162" s="129">
        <v>25</v>
      </c>
      <c r="AR162" s="129">
        <v>36</v>
      </c>
      <c r="AS162" s="129">
        <v>34</v>
      </c>
      <c r="AT162" s="60">
        <v>42</v>
      </c>
      <c r="AU162" s="60">
        <v>41</v>
      </c>
      <c r="AV162" s="60">
        <v>48</v>
      </c>
      <c r="AW162" s="60">
        <v>46</v>
      </c>
      <c r="AX162" s="60">
        <v>52</v>
      </c>
      <c r="AY162" s="60">
        <v>47</v>
      </c>
      <c r="AZ162" s="335">
        <v>49</v>
      </c>
      <c r="BA162" s="284">
        <v>76</v>
      </c>
      <c r="BB162" s="284">
        <v>81</v>
      </c>
      <c r="BC162" s="284">
        <v>82</v>
      </c>
      <c r="BD162" s="305">
        <v>82</v>
      </c>
      <c r="BE162" s="305">
        <v>68</v>
      </c>
      <c r="BF162" s="305">
        <v>79</v>
      </c>
      <c r="BG162" s="305">
        <v>80</v>
      </c>
      <c r="BH162" s="305">
        <v>83</v>
      </c>
      <c r="BI162" s="305">
        <v>82</v>
      </c>
      <c r="BJ162" s="410">
        <f>(BH162-BG162)/BG162</f>
        <v>3.7499999999999999E-2</v>
      </c>
      <c r="BK162" s="410">
        <f>(BI162-BH162)/BH162</f>
        <v>-1.2048192771084338E-2</v>
      </c>
      <c r="BL162" s="564">
        <f>BH162-BG162</f>
        <v>3</v>
      </c>
      <c r="BM162" s="564">
        <f>BI162-BH162</f>
        <v>-1</v>
      </c>
      <c r="BN162" s="348"/>
      <c r="BQ162" s="152"/>
      <c r="BR162" s="320"/>
    </row>
    <row r="163" spans="1:70" ht="8.25" customHeight="1">
      <c r="A163" s="115"/>
      <c r="B163" s="225"/>
      <c r="C163" s="34"/>
      <c r="D163" s="34"/>
      <c r="E163" s="34"/>
      <c r="F163" s="34"/>
      <c r="G163" s="34"/>
      <c r="H163" s="34"/>
      <c r="I163" s="34"/>
      <c r="J163" s="34"/>
      <c r="K163" s="34"/>
      <c r="L163" s="713"/>
      <c r="M163" s="8"/>
      <c r="N163" s="8"/>
      <c r="O163" s="8"/>
      <c r="P163" s="8"/>
      <c r="Q163" s="8"/>
      <c r="R163" s="8"/>
      <c r="S163" s="8"/>
      <c r="T163" s="8"/>
      <c r="U163" s="8"/>
      <c r="V163" s="826"/>
      <c r="W163" s="8"/>
      <c r="X163" s="8"/>
      <c r="Y163" s="8"/>
      <c r="Z163" s="8"/>
      <c r="AA163" s="8"/>
      <c r="AB163" s="8"/>
      <c r="AC163" s="8"/>
      <c r="AD163" s="8"/>
      <c r="AE163" s="8"/>
      <c r="AF163" s="826"/>
      <c r="AG163" s="8"/>
      <c r="AH163" s="8"/>
      <c r="AI163" s="11"/>
      <c r="AJ163" s="11"/>
      <c r="AK163" s="11"/>
      <c r="AL163" s="6"/>
      <c r="AM163" s="23"/>
      <c r="AN163" s="18"/>
      <c r="AO163" s="18"/>
      <c r="AP163" s="811"/>
      <c r="AQ163" s="18"/>
      <c r="AR163" s="18"/>
      <c r="AS163" s="18"/>
      <c r="AT163" s="219"/>
      <c r="AU163" s="219"/>
      <c r="AV163" s="219"/>
      <c r="AW163" s="219"/>
      <c r="AX163" s="219"/>
      <c r="AY163" s="219"/>
      <c r="AZ163" s="549"/>
      <c r="BA163" s="371"/>
      <c r="BB163" s="317"/>
      <c r="BC163" s="303"/>
      <c r="BD163" s="549"/>
      <c r="BE163" s="549"/>
      <c r="BF163" s="549"/>
      <c r="BG163" s="549"/>
      <c r="BH163" s="549"/>
      <c r="BI163" s="549"/>
      <c r="BJ163" s="871"/>
      <c r="BK163" s="871"/>
      <c r="BL163" s="565"/>
      <c r="BM163" s="565"/>
      <c r="BN163" s="316"/>
      <c r="BQ163" s="152"/>
      <c r="BR163" s="320"/>
    </row>
    <row r="164" spans="1:70" ht="12" customHeight="1">
      <c r="A164" s="116" t="s">
        <v>41</v>
      </c>
      <c r="L164" s="596"/>
      <c r="M164" s="11"/>
      <c r="N164" s="11"/>
      <c r="O164" s="11"/>
      <c r="P164" s="11"/>
      <c r="Q164" s="11"/>
      <c r="R164" s="11"/>
      <c r="S164" s="11"/>
      <c r="T164" s="11"/>
      <c r="U164" s="11"/>
      <c r="V164" s="596"/>
      <c r="W164" s="11"/>
      <c r="X164" s="11"/>
      <c r="Y164" s="11"/>
      <c r="Z164" s="11"/>
      <c r="AA164" s="11"/>
      <c r="AB164" s="11"/>
      <c r="AC164" s="11"/>
      <c r="AD164" s="11"/>
      <c r="AE164" s="11"/>
      <c r="AF164" s="596"/>
      <c r="AG164" s="11"/>
      <c r="AH164" s="11"/>
      <c r="AI164" s="11"/>
      <c r="AJ164" s="11"/>
      <c r="AK164" s="11"/>
      <c r="AL164" s="6"/>
      <c r="AM164" s="23"/>
      <c r="AN164" s="49"/>
      <c r="AO164" s="57"/>
      <c r="AP164" s="845"/>
      <c r="AQ164" s="57"/>
      <c r="AR164" s="57"/>
      <c r="AS164" s="57"/>
      <c r="AT164" s="57"/>
      <c r="AU164" s="57"/>
      <c r="AV164" s="333"/>
      <c r="AW164" s="333"/>
      <c r="AX164" s="333"/>
      <c r="AY164" s="333"/>
      <c r="AZ164" s="542"/>
      <c r="BA164" s="349"/>
      <c r="BB164" s="349"/>
      <c r="BC164" s="324"/>
      <c r="BD164" s="542"/>
      <c r="BE164" s="542"/>
      <c r="BF164" s="542"/>
      <c r="BG164" s="542"/>
      <c r="BH164" s="542"/>
      <c r="BI164" s="542"/>
      <c r="BJ164" s="410"/>
      <c r="BK164" s="410"/>
      <c r="BL164" s="566"/>
      <c r="BM164" s="566"/>
      <c r="BN164" s="309"/>
      <c r="BQ164" s="152"/>
      <c r="BR164" s="320"/>
    </row>
    <row r="165" spans="1:70" ht="12" customHeight="1">
      <c r="A165" s="119" t="s">
        <v>145</v>
      </c>
      <c r="B165" s="593">
        <v>7</v>
      </c>
      <c r="C165" s="25">
        <v>8</v>
      </c>
      <c r="D165" s="25">
        <v>9</v>
      </c>
      <c r="E165" s="25">
        <v>11</v>
      </c>
      <c r="F165" s="25">
        <v>12</v>
      </c>
      <c r="G165" s="25">
        <v>13</v>
      </c>
      <c r="H165" s="25">
        <v>13</v>
      </c>
      <c r="I165" s="25">
        <v>14</v>
      </c>
      <c r="J165" s="25">
        <v>15</v>
      </c>
      <c r="K165" s="25">
        <v>16</v>
      </c>
      <c r="L165" s="596">
        <v>18</v>
      </c>
      <c r="M165" s="11">
        <v>19</v>
      </c>
      <c r="N165" s="11">
        <v>21</v>
      </c>
      <c r="O165" s="11">
        <v>22</v>
      </c>
      <c r="P165" s="11">
        <v>27</v>
      </c>
      <c r="Q165" s="11">
        <v>34</v>
      </c>
      <c r="R165" s="11">
        <v>36</v>
      </c>
      <c r="S165" s="11">
        <v>41</v>
      </c>
      <c r="T165" s="11">
        <v>38</v>
      </c>
      <c r="U165" s="11">
        <v>50</v>
      </c>
      <c r="V165" s="596">
        <v>67</v>
      </c>
      <c r="W165" s="11">
        <v>69</v>
      </c>
      <c r="X165" s="11">
        <v>80</v>
      </c>
      <c r="Y165" s="11">
        <v>78</v>
      </c>
      <c r="Z165" s="11">
        <v>89</v>
      </c>
      <c r="AA165" s="11">
        <v>94</v>
      </c>
      <c r="AB165" s="11">
        <v>94</v>
      </c>
      <c r="AC165" s="11">
        <v>95</v>
      </c>
      <c r="AD165" s="11">
        <v>99</v>
      </c>
      <c r="AE165" s="11">
        <v>109</v>
      </c>
      <c r="AF165" s="596">
        <v>113</v>
      </c>
      <c r="AG165" s="11">
        <v>118</v>
      </c>
      <c r="AH165" s="11">
        <v>130</v>
      </c>
      <c r="AI165" s="11">
        <v>142</v>
      </c>
      <c r="AJ165" s="11">
        <v>148</v>
      </c>
      <c r="AK165" s="11">
        <v>161</v>
      </c>
      <c r="AL165" s="6">
        <v>169</v>
      </c>
      <c r="AM165" s="23">
        <v>158</v>
      </c>
      <c r="AN165" s="49">
        <v>163</v>
      </c>
      <c r="AO165" s="49">
        <v>168</v>
      </c>
      <c r="AP165" s="776">
        <v>167</v>
      </c>
      <c r="AQ165" s="49">
        <v>178</v>
      </c>
      <c r="AR165" s="49">
        <v>186</v>
      </c>
      <c r="AS165" s="49">
        <v>198</v>
      </c>
      <c r="AT165" s="49">
        <v>201</v>
      </c>
      <c r="AU165" s="49">
        <v>212</v>
      </c>
      <c r="AV165" s="30">
        <v>220</v>
      </c>
      <c r="AW165" s="30">
        <v>227</v>
      </c>
      <c r="AX165" s="30">
        <v>235</v>
      </c>
      <c r="AY165" s="30">
        <v>274</v>
      </c>
      <c r="AZ165" s="270">
        <v>289</v>
      </c>
      <c r="BA165" s="348">
        <v>303</v>
      </c>
      <c r="BB165" s="348">
        <v>301</v>
      </c>
      <c r="BC165" s="348">
        <v>294</v>
      </c>
      <c r="BD165" s="358">
        <v>290</v>
      </c>
      <c r="BE165" s="358">
        <v>299</v>
      </c>
      <c r="BF165" s="365">
        <v>311</v>
      </c>
      <c r="BG165" s="358">
        <v>326</v>
      </c>
      <c r="BH165" s="358">
        <v>362</v>
      </c>
      <c r="BI165" s="358">
        <v>414</v>
      </c>
      <c r="BJ165" s="410">
        <f>(BI165-BH165)/BH165</f>
        <v>0.143646408839779</v>
      </c>
      <c r="BK165" s="410">
        <f>(BI165-BH165)/BH165</f>
        <v>0.143646408839779</v>
      </c>
      <c r="BL165" s="564">
        <f>BH165-BH165</f>
        <v>0</v>
      </c>
      <c r="BM165" s="564">
        <f>BI165-BI165</f>
        <v>0</v>
      </c>
      <c r="BN165" s="348"/>
      <c r="BQ165" s="152"/>
      <c r="BR165" s="320"/>
    </row>
    <row r="166" spans="1:70" ht="12" customHeight="1">
      <c r="A166" s="119" t="s">
        <v>146</v>
      </c>
      <c r="B166" s="225" t="s">
        <v>3</v>
      </c>
      <c r="C166" s="93" t="s">
        <v>3</v>
      </c>
      <c r="D166" s="93" t="s">
        <v>3</v>
      </c>
      <c r="E166" s="93" t="s">
        <v>3</v>
      </c>
      <c r="F166" s="93" t="s">
        <v>3</v>
      </c>
      <c r="G166" s="93" t="s">
        <v>3</v>
      </c>
      <c r="H166" s="93" t="s">
        <v>3</v>
      </c>
      <c r="I166" s="93" t="s">
        <v>3</v>
      </c>
      <c r="J166" s="93" t="s">
        <v>3</v>
      </c>
      <c r="K166" s="93" t="s">
        <v>3</v>
      </c>
      <c r="L166" s="225" t="s">
        <v>3</v>
      </c>
      <c r="M166" s="27" t="s">
        <v>3</v>
      </c>
      <c r="N166" s="27" t="s">
        <v>3</v>
      </c>
      <c r="O166" s="27" t="s">
        <v>3</v>
      </c>
      <c r="P166" s="35">
        <v>33</v>
      </c>
      <c r="Q166" s="35">
        <v>121</v>
      </c>
      <c r="R166" s="35">
        <v>136</v>
      </c>
      <c r="S166" s="35">
        <v>117</v>
      </c>
      <c r="T166" s="35">
        <v>79</v>
      </c>
      <c r="U166" s="35">
        <v>82</v>
      </c>
      <c r="V166" s="824">
        <v>132</v>
      </c>
      <c r="W166" s="35">
        <v>96</v>
      </c>
      <c r="X166" s="35">
        <v>65</v>
      </c>
      <c r="Y166" s="35">
        <v>44</v>
      </c>
      <c r="Z166" s="35">
        <v>32</v>
      </c>
      <c r="AA166" s="35">
        <v>25</v>
      </c>
      <c r="AB166" s="35">
        <v>24</v>
      </c>
      <c r="AC166" s="35">
        <v>23</v>
      </c>
      <c r="AD166" s="35">
        <v>21</v>
      </c>
      <c r="AE166" s="35">
        <v>19</v>
      </c>
      <c r="AF166" s="824">
        <v>16</v>
      </c>
      <c r="AG166" s="35">
        <v>14</v>
      </c>
      <c r="AH166" s="35">
        <v>15</v>
      </c>
      <c r="AI166" s="35">
        <v>13</v>
      </c>
      <c r="AJ166" s="35">
        <v>13</v>
      </c>
      <c r="AK166" s="35">
        <v>12</v>
      </c>
      <c r="AL166" s="35">
        <v>8</v>
      </c>
      <c r="AM166" s="49">
        <v>5</v>
      </c>
      <c r="AN166" s="49">
        <v>3</v>
      </c>
      <c r="AO166" s="49">
        <v>2</v>
      </c>
      <c r="AP166" s="776">
        <v>2</v>
      </c>
      <c r="AQ166" s="49">
        <v>2</v>
      </c>
      <c r="AR166" s="49">
        <v>2</v>
      </c>
      <c r="AS166" s="49">
        <v>1</v>
      </c>
      <c r="AT166" s="30">
        <v>1</v>
      </c>
      <c r="AU166" s="220" t="s">
        <v>3</v>
      </c>
      <c r="AV166" s="220" t="s">
        <v>3</v>
      </c>
      <c r="AW166" s="220" t="s">
        <v>3</v>
      </c>
      <c r="AX166" s="220" t="s">
        <v>3</v>
      </c>
      <c r="AY166" s="220" t="s">
        <v>3</v>
      </c>
      <c r="AZ166" s="858" t="s">
        <v>3</v>
      </c>
      <c r="BA166" s="373" t="s">
        <v>3</v>
      </c>
      <c r="BB166" s="373" t="s">
        <v>3</v>
      </c>
      <c r="BC166" s="373" t="s">
        <v>3</v>
      </c>
      <c r="BD166" s="550" t="s">
        <v>3</v>
      </c>
      <c r="BE166" s="550" t="s">
        <v>3</v>
      </c>
      <c r="BF166" s="550" t="s">
        <v>3</v>
      </c>
      <c r="BG166" s="550" t="s">
        <v>3</v>
      </c>
      <c r="BH166" s="550" t="s">
        <v>3</v>
      </c>
      <c r="BI166" s="550" t="s">
        <v>3</v>
      </c>
      <c r="BJ166" s="887" t="s">
        <v>10</v>
      </c>
      <c r="BK166" s="887" t="s">
        <v>10</v>
      </c>
      <c r="BL166" s="888" t="s">
        <v>10</v>
      </c>
      <c r="BM166" s="888" t="s">
        <v>10</v>
      </c>
      <c r="BN166" s="316"/>
      <c r="BQ166" s="152"/>
      <c r="BR166" s="320"/>
    </row>
    <row r="167" spans="1:70" ht="12" customHeight="1">
      <c r="A167" s="393" t="s">
        <v>31</v>
      </c>
      <c r="B167" s="809">
        <f>SUM(B165:B166)</f>
        <v>7</v>
      </c>
      <c r="C167" s="141">
        <f t="shared" ref="C167:BG167" si="76">SUM(C165:C166)</f>
        <v>8</v>
      </c>
      <c r="D167" s="141">
        <f t="shared" si="76"/>
        <v>9</v>
      </c>
      <c r="E167" s="141">
        <f t="shared" si="76"/>
        <v>11</v>
      </c>
      <c r="F167" s="141">
        <f t="shared" si="76"/>
        <v>12</v>
      </c>
      <c r="G167" s="141">
        <f t="shared" si="76"/>
        <v>13</v>
      </c>
      <c r="H167" s="141">
        <f t="shared" si="76"/>
        <v>13</v>
      </c>
      <c r="I167" s="141">
        <f t="shared" si="76"/>
        <v>14</v>
      </c>
      <c r="J167" s="141">
        <f t="shared" si="76"/>
        <v>15</v>
      </c>
      <c r="K167" s="141">
        <f t="shared" si="76"/>
        <v>16</v>
      </c>
      <c r="L167" s="809">
        <f t="shared" si="76"/>
        <v>18</v>
      </c>
      <c r="M167" s="141">
        <f t="shared" si="76"/>
        <v>19</v>
      </c>
      <c r="N167" s="141">
        <f t="shared" si="76"/>
        <v>21</v>
      </c>
      <c r="O167" s="141">
        <f t="shared" si="76"/>
        <v>22</v>
      </c>
      <c r="P167" s="141">
        <f t="shared" si="76"/>
        <v>60</v>
      </c>
      <c r="Q167" s="141">
        <f t="shared" si="76"/>
        <v>155</v>
      </c>
      <c r="R167" s="141">
        <f t="shared" si="76"/>
        <v>172</v>
      </c>
      <c r="S167" s="141">
        <f t="shared" si="76"/>
        <v>158</v>
      </c>
      <c r="T167" s="141">
        <f t="shared" si="76"/>
        <v>117</v>
      </c>
      <c r="U167" s="141">
        <f t="shared" si="76"/>
        <v>132</v>
      </c>
      <c r="V167" s="809">
        <f t="shared" si="76"/>
        <v>199</v>
      </c>
      <c r="W167" s="141">
        <f t="shared" si="76"/>
        <v>165</v>
      </c>
      <c r="X167" s="141">
        <f t="shared" si="76"/>
        <v>145</v>
      </c>
      <c r="Y167" s="141">
        <f t="shared" si="76"/>
        <v>122</v>
      </c>
      <c r="Z167" s="141">
        <f t="shared" si="76"/>
        <v>121</v>
      </c>
      <c r="AA167" s="141">
        <f t="shared" si="76"/>
        <v>119</v>
      </c>
      <c r="AB167" s="141">
        <f t="shared" si="76"/>
        <v>118</v>
      </c>
      <c r="AC167" s="141">
        <f t="shared" si="76"/>
        <v>118</v>
      </c>
      <c r="AD167" s="141">
        <f t="shared" si="76"/>
        <v>120</v>
      </c>
      <c r="AE167" s="141">
        <f t="shared" si="76"/>
        <v>128</v>
      </c>
      <c r="AF167" s="809">
        <f t="shared" si="76"/>
        <v>129</v>
      </c>
      <c r="AG167" s="141">
        <f t="shared" si="76"/>
        <v>132</v>
      </c>
      <c r="AH167" s="141">
        <f t="shared" si="76"/>
        <v>145</v>
      </c>
      <c r="AI167" s="141">
        <f t="shared" si="76"/>
        <v>155</v>
      </c>
      <c r="AJ167" s="141">
        <f t="shared" si="76"/>
        <v>161</v>
      </c>
      <c r="AK167" s="141">
        <f t="shared" si="76"/>
        <v>173</v>
      </c>
      <c r="AL167" s="141">
        <f t="shared" si="76"/>
        <v>177</v>
      </c>
      <c r="AM167" s="141">
        <f t="shared" si="76"/>
        <v>163</v>
      </c>
      <c r="AN167" s="141">
        <f t="shared" si="76"/>
        <v>166</v>
      </c>
      <c r="AO167" s="141">
        <f t="shared" si="76"/>
        <v>170</v>
      </c>
      <c r="AP167" s="809">
        <f t="shared" si="76"/>
        <v>169</v>
      </c>
      <c r="AQ167" s="141">
        <f t="shared" si="76"/>
        <v>180</v>
      </c>
      <c r="AR167" s="141">
        <f t="shared" si="76"/>
        <v>188</v>
      </c>
      <c r="AS167" s="141">
        <f t="shared" si="76"/>
        <v>199</v>
      </c>
      <c r="AT167" s="141">
        <f t="shared" si="76"/>
        <v>202</v>
      </c>
      <c r="AU167" s="141">
        <f t="shared" si="76"/>
        <v>212</v>
      </c>
      <c r="AV167" s="141">
        <f t="shared" si="76"/>
        <v>220</v>
      </c>
      <c r="AW167" s="141">
        <f t="shared" si="76"/>
        <v>227</v>
      </c>
      <c r="AX167" s="141">
        <f t="shared" si="76"/>
        <v>235</v>
      </c>
      <c r="AY167" s="141">
        <f t="shared" si="76"/>
        <v>274</v>
      </c>
      <c r="AZ167" s="809">
        <f t="shared" si="76"/>
        <v>289</v>
      </c>
      <c r="BA167" s="141">
        <f t="shared" si="76"/>
        <v>303</v>
      </c>
      <c r="BB167" s="141">
        <f t="shared" si="76"/>
        <v>301</v>
      </c>
      <c r="BC167" s="383">
        <f t="shared" si="76"/>
        <v>294</v>
      </c>
      <c r="BD167" s="384">
        <f t="shared" si="76"/>
        <v>290</v>
      </c>
      <c r="BE167" s="384">
        <f t="shared" si="76"/>
        <v>299</v>
      </c>
      <c r="BF167" s="384">
        <f t="shared" si="76"/>
        <v>311</v>
      </c>
      <c r="BG167" s="384">
        <f t="shared" si="76"/>
        <v>326</v>
      </c>
      <c r="BH167" s="384">
        <f t="shared" ref="BH167" si="77">SUM(BH165:BH166)</f>
        <v>362</v>
      </c>
      <c r="BI167" s="384">
        <f>SUM(BI165:BI166)</f>
        <v>414</v>
      </c>
      <c r="BJ167" s="872">
        <f>(BH167-BG167)/BG167</f>
        <v>0.11042944785276074</v>
      </c>
      <c r="BK167" s="872">
        <f>(BI167-BH167)/BH167</f>
        <v>0.143646408839779</v>
      </c>
      <c r="BL167" s="567">
        <f>BH167-BG167</f>
        <v>36</v>
      </c>
      <c r="BM167" s="567">
        <f>BI167-BH167</f>
        <v>52</v>
      </c>
      <c r="BN167" s="349"/>
      <c r="BQ167" s="152"/>
      <c r="BR167" s="320"/>
    </row>
    <row r="168" spans="1:70" ht="6" customHeight="1">
      <c r="A168" s="115"/>
      <c r="B168" s="808"/>
      <c r="C168" s="34"/>
      <c r="D168" s="34"/>
      <c r="E168" s="34"/>
      <c r="F168" s="34"/>
      <c r="G168" s="34"/>
      <c r="H168" s="34"/>
      <c r="I168" s="34"/>
      <c r="J168" s="34"/>
      <c r="K168" s="34"/>
      <c r="L168" s="713"/>
      <c r="M168" s="8"/>
      <c r="N168" s="8"/>
      <c r="O168" s="8"/>
      <c r="P168" s="8"/>
      <c r="Q168" s="8"/>
      <c r="R168" s="8"/>
      <c r="S168" s="8"/>
      <c r="T168" s="8"/>
      <c r="U168" s="8"/>
      <c r="V168" s="826"/>
      <c r="W168" s="8"/>
      <c r="X168" s="8"/>
      <c r="Y168" s="8"/>
      <c r="Z168" s="8"/>
      <c r="AA168" s="8"/>
      <c r="AB168" s="8"/>
      <c r="AC168" s="8"/>
      <c r="AD168" s="8"/>
      <c r="AE168" s="8"/>
      <c r="AF168" s="826"/>
      <c r="AG168" s="8"/>
      <c r="AH168" s="8"/>
      <c r="AI168" s="11"/>
      <c r="AJ168" s="11"/>
      <c r="AK168" s="11"/>
      <c r="AL168" s="6"/>
      <c r="AM168" s="23"/>
      <c r="AN168" s="18"/>
      <c r="AO168" s="18"/>
      <c r="AP168" s="811"/>
      <c r="AQ168" s="18"/>
      <c r="AR168" s="18"/>
      <c r="AS168" s="18"/>
      <c r="AT168" s="219"/>
      <c r="AU168" s="219"/>
      <c r="AV168" s="219"/>
      <c r="AW168" s="219"/>
      <c r="AX168" s="219"/>
      <c r="AY168" s="219"/>
      <c r="AZ168" s="549"/>
      <c r="BA168" s="371"/>
      <c r="BB168" s="317"/>
      <c r="BC168" s="303"/>
      <c r="BD168" s="551"/>
      <c r="BE168" s="549"/>
      <c r="BF168" s="549"/>
      <c r="BG168" s="551"/>
      <c r="BH168" s="551"/>
      <c r="BI168" s="551"/>
      <c r="BJ168" s="871"/>
      <c r="BK168" s="871"/>
      <c r="BL168" s="565"/>
      <c r="BM168" s="565"/>
      <c r="BN168" s="316"/>
      <c r="BQ168" s="152"/>
      <c r="BR168" s="320"/>
    </row>
    <row r="169" spans="1:70" ht="10.5" customHeight="1">
      <c r="A169" s="116" t="s">
        <v>76</v>
      </c>
      <c r="B169" s="641"/>
      <c r="C169" s="603"/>
      <c r="D169" s="603"/>
      <c r="E169" s="603"/>
      <c r="F169" s="603"/>
      <c r="G169" s="603"/>
      <c r="H169" s="603"/>
      <c r="I169" s="603"/>
      <c r="J169" s="603"/>
      <c r="K169" s="603"/>
      <c r="L169" s="641"/>
      <c r="M169" s="603"/>
      <c r="N169" s="603"/>
      <c r="O169" s="603"/>
      <c r="P169" s="603"/>
      <c r="Q169" s="603"/>
      <c r="R169" s="603"/>
      <c r="S169" s="603"/>
      <c r="T169" s="603"/>
      <c r="U169" s="603"/>
      <c r="V169" s="641"/>
      <c r="W169" s="603"/>
      <c r="X169" s="603"/>
      <c r="Y169" s="603"/>
      <c r="Z169" s="603"/>
      <c r="AA169" s="603"/>
      <c r="AB169" s="603"/>
      <c r="AC169" s="603"/>
      <c r="AD169" s="603"/>
      <c r="AE169" s="603"/>
      <c r="AF169" s="641"/>
      <c r="AG169" s="603"/>
      <c r="AH169" s="603"/>
      <c r="AI169" s="603"/>
      <c r="AJ169" s="603"/>
      <c r="AK169" s="603"/>
      <c r="AL169" s="603"/>
      <c r="AM169" s="603"/>
      <c r="AN169" s="603"/>
      <c r="AO169" s="603"/>
      <c r="AP169" s="641"/>
      <c r="AQ169" s="603"/>
      <c r="AR169" s="603"/>
      <c r="AS169" s="603"/>
      <c r="AT169" s="603"/>
      <c r="AU169" s="603"/>
      <c r="AV169" s="603"/>
      <c r="AW169" s="603"/>
      <c r="AX169" s="603"/>
      <c r="AY169" s="603"/>
      <c r="AZ169" s="641"/>
      <c r="BA169" s="603"/>
      <c r="BB169" s="603"/>
      <c r="BC169" s="603"/>
      <c r="BD169" s="603"/>
      <c r="BE169" s="603"/>
      <c r="BF169" s="641"/>
      <c r="BG169" s="641"/>
      <c r="BH169" s="641"/>
      <c r="BI169" s="641"/>
      <c r="BJ169" s="871"/>
      <c r="BK169" s="871"/>
      <c r="BL169" s="565"/>
      <c r="BM169" s="565"/>
      <c r="BN169" s="316"/>
      <c r="BQ169" s="152"/>
      <c r="BR169" s="320"/>
    </row>
    <row r="170" spans="1:70" ht="10.5" customHeight="1">
      <c r="A170" s="115" t="s">
        <v>77</v>
      </c>
      <c r="B170" s="810" t="s">
        <v>3</v>
      </c>
      <c r="C170" s="45" t="s">
        <v>3</v>
      </c>
      <c r="D170" s="45" t="s">
        <v>3</v>
      </c>
      <c r="E170" s="45" t="s">
        <v>3</v>
      </c>
      <c r="F170" s="45" t="s">
        <v>3</v>
      </c>
      <c r="G170" s="45" t="s">
        <v>3</v>
      </c>
      <c r="H170" s="45" t="s">
        <v>3</v>
      </c>
      <c r="I170" s="45" t="s">
        <v>3</v>
      </c>
      <c r="J170" s="45" t="s">
        <v>3</v>
      </c>
      <c r="K170" s="45" t="s">
        <v>3</v>
      </c>
      <c r="L170" s="810" t="s">
        <v>3</v>
      </c>
      <c r="M170" s="45" t="s">
        <v>3</v>
      </c>
      <c r="N170" s="45" t="s">
        <v>3</v>
      </c>
      <c r="O170" s="45" t="s">
        <v>3</v>
      </c>
      <c r="P170" s="45" t="s">
        <v>3</v>
      </c>
      <c r="Q170" s="45" t="s">
        <v>3</v>
      </c>
      <c r="R170" s="45" t="s">
        <v>3</v>
      </c>
      <c r="S170" s="45" t="s">
        <v>3</v>
      </c>
      <c r="T170" s="45" t="s">
        <v>3</v>
      </c>
      <c r="U170" s="45" t="s">
        <v>3</v>
      </c>
      <c r="V170" s="810" t="s">
        <v>3</v>
      </c>
      <c r="W170" s="45" t="s">
        <v>3</v>
      </c>
      <c r="X170" s="45" t="s">
        <v>3</v>
      </c>
      <c r="Y170" s="45" t="s">
        <v>3</v>
      </c>
      <c r="Z170" s="45" t="s">
        <v>3</v>
      </c>
      <c r="AA170" s="45" t="s">
        <v>3</v>
      </c>
      <c r="AB170" s="45" t="s">
        <v>3</v>
      </c>
      <c r="AC170" s="45" t="s">
        <v>3</v>
      </c>
      <c r="AD170" s="45" t="s">
        <v>3</v>
      </c>
      <c r="AE170" s="45" t="s">
        <v>3</v>
      </c>
      <c r="AF170" s="245" t="s">
        <v>11</v>
      </c>
      <c r="AG170" s="348">
        <v>1</v>
      </c>
      <c r="AH170" s="348">
        <v>2</v>
      </c>
      <c r="AI170" s="348">
        <v>2</v>
      </c>
      <c r="AJ170" s="348">
        <v>3</v>
      </c>
      <c r="AK170" s="348">
        <v>3</v>
      </c>
      <c r="AL170" s="348">
        <v>2</v>
      </c>
      <c r="AM170" s="348">
        <v>2</v>
      </c>
      <c r="AN170" s="284">
        <v>4</v>
      </c>
      <c r="AO170" s="284">
        <v>14</v>
      </c>
      <c r="AP170" s="305">
        <v>10</v>
      </c>
      <c r="AQ170" s="284">
        <v>12</v>
      </c>
      <c r="AR170" s="348">
        <v>8</v>
      </c>
      <c r="AS170" s="49">
        <v>12</v>
      </c>
      <c r="AT170" s="60">
        <v>11</v>
      </c>
      <c r="AU170" s="60">
        <v>13</v>
      </c>
      <c r="AV170" s="60">
        <v>15</v>
      </c>
      <c r="AW170" s="60">
        <v>16</v>
      </c>
      <c r="AX170" s="228">
        <v>18</v>
      </c>
      <c r="AY170" s="228">
        <v>19</v>
      </c>
      <c r="AZ170" s="335">
        <v>19</v>
      </c>
      <c r="BA170" s="305">
        <v>19</v>
      </c>
      <c r="BB170" s="305">
        <v>18</v>
      </c>
      <c r="BC170" s="305">
        <f>16</f>
        <v>16</v>
      </c>
      <c r="BD170" s="305">
        <v>19</v>
      </c>
      <c r="BE170" s="305">
        <v>16</v>
      </c>
      <c r="BF170" s="305">
        <v>20</v>
      </c>
      <c r="BG170" s="305">
        <v>21</v>
      </c>
      <c r="BH170" s="305">
        <f>2+24</f>
        <v>26</v>
      </c>
      <c r="BI170" s="305">
        <v>27</v>
      </c>
      <c r="BJ170" s="410">
        <f>(BH170-BG170)/BG170</f>
        <v>0.23809523809523808</v>
      </c>
      <c r="BK170" s="410">
        <f>(BI170-BH170)/BH170</f>
        <v>3.8461538461538464E-2</v>
      </c>
      <c r="BL170" s="564">
        <f>BH170-BG170</f>
        <v>5</v>
      </c>
      <c r="BM170" s="564">
        <f>BI170-BH170</f>
        <v>1</v>
      </c>
      <c r="BN170" s="348"/>
      <c r="BQ170" s="152"/>
      <c r="BR170" s="320"/>
    </row>
    <row r="171" spans="1:70" ht="6.75" customHeight="1">
      <c r="A171" s="115"/>
      <c r="B171" s="808"/>
      <c r="C171" s="34"/>
      <c r="D171" s="34"/>
      <c r="E171" s="34"/>
      <c r="F171" s="34"/>
      <c r="G171" s="34"/>
      <c r="H171" s="34"/>
      <c r="I171" s="34"/>
      <c r="J171" s="34"/>
      <c r="K171" s="34"/>
      <c r="L171" s="713"/>
      <c r="M171" s="8"/>
      <c r="N171" s="8"/>
      <c r="O171" s="8"/>
      <c r="P171" s="8"/>
      <c r="Q171" s="8"/>
      <c r="R171" s="8"/>
      <c r="S171" s="8"/>
      <c r="T171" s="8"/>
      <c r="U171" s="8"/>
      <c r="V171" s="826"/>
      <c r="W171" s="8"/>
      <c r="X171" s="8"/>
      <c r="Y171" s="8"/>
      <c r="Z171" s="8"/>
      <c r="AA171" s="8"/>
      <c r="AB171" s="8"/>
      <c r="AC171" s="8"/>
      <c r="AD171" s="8"/>
      <c r="AE171" s="8"/>
      <c r="AF171" s="826"/>
      <c r="AG171" s="8"/>
      <c r="AH171" s="8"/>
      <c r="AI171" s="11"/>
      <c r="AJ171" s="11"/>
      <c r="AK171" s="11"/>
      <c r="AL171" s="6"/>
      <c r="AM171" s="23"/>
      <c r="AN171" s="18"/>
      <c r="AO171" s="18"/>
      <c r="AP171" s="811"/>
      <c r="AQ171" s="18"/>
      <c r="AR171" s="18"/>
      <c r="AS171" s="18"/>
      <c r="AT171" s="219"/>
      <c r="AU171" s="219"/>
      <c r="AV171" s="219"/>
      <c r="AW171" s="219"/>
      <c r="AX171" s="219"/>
      <c r="AY171" s="219"/>
      <c r="AZ171" s="549"/>
      <c r="BA171" s="371"/>
      <c r="BB171" s="317"/>
      <c r="BC171" s="303"/>
      <c r="BD171" s="551"/>
      <c r="BE171" s="549"/>
      <c r="BF171" s="549"/>
      <c r="BG171" s="551"/>
      <c r="BH171" s="551"/>
      <c r="BI171" s="551"/>
      <c r="BJ171" s="871"/>
      <c r="BK171" s="871"/>
      <c r="BL171" s="565"/>
      <c r="BM171" s="565"/>
      <c r="BN171" s="316"/>
      <c r="BQ171" s="152"/>
      <c r="BR171" s="320"/>
    </row>
    <row r="172" spans="1:70" ht="11.25" customHeight="1">
      <c r="A172" s="119" t="s">
        <v>147</v>
      </c>
      <c r="B172" s="270">
        <v>7</v>
      </c>
      <c r="C172" s="30">
        <v>8</v>
      </c>
      <c r="D172" s="30">
        <v>9</v>
      </c>
      <c r="E172" s="30">
        <v>9</v>
      </c>
      <c r="F172" s="30">
        <v>10</v>
      </c>
      <c r="G172" s="30">
        <v>11</v>
      </c>
      <c r="H172" s="30">
        <v>8</v>
      </c>
      <c r="I172" s="30">
        <v>12</v>
      </c>
      <c r="J172" s="30">
        <v>9</v>
      </c>
      <c r="K172" s="30">
        <v>10</v>
      </c>
      <c r="L172" s="824">
        <v>11</v>
      </c>
      <c r="M172" s="35">
        <v>12</v>
      </c>
      <c r="N172" s="35">
        <v>13</v>
      </c>
      <c r="O172" s="35">
        <v>14</v>
      </c>
      <c r="P172" s="35">
        <v>15</v>
      </c>
      <c r="Q172" s="35">
        <v>17</v>
      </c>
      <c r="R172" s="35">
        <v>20</v>
      </c>
      <c r="S172" s="35">
        <v>23</v>
      </c>
      <c r="T172" s="35">
        <v>25</v>
      </c>
      <c r="U172" s="35">
        <v>27</v>
      </c>
      <c r="V172" s="824">
        <v>28</v>
      </c>
      <c r="W172" s="35">
        <v>29</v>
      </c>
      <c r="X172" s="35">
        <v>26</v>
      </c>
      <c r="Y172" s="35">
        <v>24</v>
      </c>
      <c r="Z172" s="35">
        <v>22</v>
      </c>
      <c r="AA172" s="35">
        <v>4</v>
      </c>
      <c r="AB172" s="18" t="s">
        <v>3</v>
      </c>
      <c r="AC172" s="18" t="s">
        <v>3</v>
      </c>
      <c r="AD172" s="18" t="s">
        <v>3</v>
      </c>
      <c r="AE172" s="18" t="s">
        <v>3</v>
      </c>
      <c r="AF172" s="811" t="s">
        <v>3</v>
      </c>
      <c r="AG172" s="18" t="s">
        <v>3</v>
      </c>
      <c r="AH172" s="18" t="s">
        <v>3</v>
      </c>
      <c r="AI172" s="18" t="s">
        <v>3</v>
      </c>
      <c r="AJ172" s="18" t="s">
        <v>3</v>
      </c>
      <c r="AK172" s="18" t="s">
        <v>3</v>
      </c>
      <c r="AL172" s="18" t="s">
        <v>3</v>
      </c>
      <c r="AM172" s="18" t="s">
        <v>3</v>
      </c>
      <c r="AN172" s="18" t="s">
        <v>3</v>
      </c>
      <c r="AO172" s="18" t="s">
        <v>3</v>
      </c>
      <c r="AP172" s="811" t="s">
        <v>3</v>
      </c>
      <c r="AQ172" s="18" t="s">
        <v>3</v>
      </c>
      <c r="AR172" s="18" t="s">
        <v>3</v>
      </c>
      <c r="AS172" s="18" t="s">
        <v>3</v>
      </c>
      <c r="AT172" s="219" t="s">
        <v>3</v>
      </c>
      <c r="AU172" s="219" t="s">
        <v>3</v>
      </c>
      <c r="AV172" s="219" t="s">
        <v>3</v>
      </c>
      <c r="AW172" s="219" t="s">
        <v>3</v>
      </c>
      <c r="AX172" s="219" t="s">
        <v>3</v>
      </c>
      <c r="AY172" s="219" t="s">
        <v>3</v>
      </c>
      <c r="AZ172" s="859" t="s">
        <v>3</v>
      </c>
      <c r="BA172" s="371" t="s">
        <v>3</v>
      </c>
      <c r="BB172" s="371" t="s">
        <v>3</v>
      </c>
      <c r="BC172" s="371" t="s">
        <v>3</v>
      </c>
      <c r="BD172" s="551" t="s">
        <v>3</v>
      </c>
      <c r="BE172" s="551" t="s">
        <v>3</v>
      </c>
      <c r="BF172" s="551" t="s">
        <v>3</v>
      </c>
      <c r="BG172" s="551" t="s">
        <v>3</v>
      </c>
      <c r="BH172" s="551" t="s">
        <v>3</v>
      </c>
      <c r="BI172" s="551" t="s">
        <v>3</v>
      </c>
      <c r="BJ172" s="874" t="s">
        <v>10</v>
      </c>
      <c r="BK172" s="874" t="s">
        <v>10</v>
      </c>
      <c r="BL172" s="568" t="s">
        <v>10</v>
      </c>
      <c r="BM172" s="568" t="s">
        <v>10</v>
      </c>
      <c r="BN172" s="309"/>
      <c r="BQ172" s="152"/>
      <c r="BR172" s="320"/>
    </row>
    <row r="173" spans="1:70" ht="6" customHeight="1">
      <c r="A173" s="115"/>
      <c r="B173" s="177"/>
      <c r="C173"/>
      <c r="D173"/>
      <c r="E173"/>
      <c r="F173"/>
      <c r="G173"/>
      <c r="H173"/>
      <c r="I173"/>
      <c r="J173"/>
      <c r="K173"/>
      <c r="L173" s="826"/>
      <c r="M173" s="8"/>
      <c r="N173" s="8"/>
      <c r="O173" s="8"/>
      <c r="P173" s="8"/>
      <c r="Q173" s="8"/>
      <c r="R173" s="8"/>
      <c r="S173" s="8"/>
      <c r="T173" s="8"/>
      <c r="U173" s="8"/>
      <c r="V173" s="826"/>
      <c r="W173" s="8"/>
      <c r="X173" s="8"/>
      <c r="Y173" s="8"/>
      <c r="Z173" s="8"/>
      <c r="AA173" s="8"/>
      <c r="AB173" s="8"/>
      <c r="AC173" s="8"/>
      <c r="AD173" s="8"/>
      <c r="AE173" s="8"/>
      <c r="AF173" s="826"/>
      <c r="AG173" s="8"/>
      <c r="AH173" s="8"/>
      <c r="AI173" s="11"/>
      <c r="AJ173" s="11"/>
      <c r="AK173" s="11"/>
      <c r="AL173" s="6"/>
      <c r="AM173" s="23"/>
      <c r="AN173" s="23"/>
      <c r="AO173" s="23"/>
      <c r="AP173" s="180"/>
      <c r="AQ173" s="23"/>
      <c r="AR173" s="23"/>
      <c r="AS173" s="23"/>
      <c r="AT173" s="152"/>
      <c r="AU173" s="152"/>
      <c r="AV173" s="152"/>
      <c r="AW173" s="152"/>
      <c r="AX173" s="152"/>
      <c r="AY173" s="152"/>
      <c r="AZ173" s="535"/>
      <c r="BA173" s="309"/>
      <c r="BB173" s="309"/>
      <c r="BC173" s="296"/>
      <c r="BD173" s="365"/>
      <c r="BE173" s="535"/>
      <c r="BF173" s="535"/>
      <c r="BG173" s="365"/>
      <c r="BH173" s="365"/>
      <c r="BI173" s="365"/>
      <c r="BJ173" s="410"/>
      <c r="BK173" s="410"/>
      <c r="BL173" s="566"/>
      <c r="BM173" s="566"/>
      <c r="BN173" s="309"/>
      <c r="BQ173" s="152"/>
      <c r="BR173" s="320"/>
    </row>
    <row r="174" spans="1:70" ht="11.25" customHeight="1">
      <c r="A174" s="119" t="s">
        <v>148</v>
      </c>
      <c r="B174" s="593">
        <v>1</v>
      </c>
      <c r="C174" s="25">
        <v>1</v>
      </c>
      <c r="D174" s="25">
        <v>1</v>
      </c>
      <c r="E174" s="25">
        <v>1</v>
      </c>
      <c r="F174" s="25">
        <v>1</v>
      </c>
      <c r="G174" s="25">
        <v>1</v>
      </c>
      <c r="H174" s="25">
        <v>1</v>
      </c>
      <c r="I174" s="25">
        <v>1</v>
      </c>
      <c r="J174" s="25">
        <v>2</v>
      </c>
      <c r="K174" s="25">
        <v>2</v>
      </c>
      <c r="L174" s="648">
        <v>2</v>
      </c>
      <c r="M174" s="75">
        <v>3</v>
      </c>
      <c r="N174" s="75">
        <v>3</v>
      </c>
      <c r="O174" s="75">
        <v>3</v>
      </c>
      <c r="P174" s="75">
        <v>3</v>
      </c>
      <c r="Q174" s="75">
        <v>1</v>
      </c>
      <c r="R174" s="75">
        <v>11</v>
      </c>
      <c r="S174" s="75">
        <v>13</v>
      </c>
      <c r="T174" s="75">
        <v>14</v>
      </c>
      <c r="U174" s="75">
        <v>15</v>
      </c>
      <c r="V174" s="648">
        <v>16</v>
      </c>
      <c r="W174" s="75">
        <v>18</v>
      </c>
      <c r="X174" s="75">
        <v>21</v>
      </c>
      <c r="Y174" s="75">
        <v>23</v>
      </c>
      <c r="Z174" s="75">
        <v>25</v>
      </c>
      <c r="AA174" s="75">
        <v>28</v>
      </c>
      <c r="AB174" s="75">
        <v>28</v>
      </c>
      <c r="AC174" s="75">
        <v>29</v>
      </c>
      <c r="AD174" s="75">
        <v>32</v>
      </c>
      <c r="AE174" s="75">
        <v>34</v>
      </c>
      <c r="AF174" s="648">
        <v>36</v>
      </c>
      <c r="AG174" s="75">
        <v>44</v>
      </c>
      <c r="AH174" s="75">
        <v>47</v>
      </c>
      <c r="AI174" s="75">
        <v>48</v>
      </c>
      <c r="AJ174" s="75">
        <v>47</v>
      </c>
      <c r="AK174" s="75">
        <v>50</v>
      </c>
      <c r="AL174" s="91">
        <v>50</v>
      </c>
      <c r="AM174" s="91">
        <v>53</v>
      </c>
      <c r="AN174" s="49">
        <v>59</v>
      </c>
      <c r="AO174" s="49">
        <v>61</v>
      </c>
      <c r="AP174" s="776">
        <v>62</v>
      </c>
      <c r="AQ174" s="49">
        <v>68</v>
      </c>
      <c r="AR174" s="49">
        <v>72</v>
      </c>
      <c r="AS174" s="49">
        <v>83</v>
      </c>
      <c r="AT174" s="30">
        <v>91</v>
      </c>
      <c r="AU174" s="30">
        <v>94</v>
      </c>
      <c r="AV174" s="30">
        <v>100</v>
      </c>
      <c r="AW174" s="30">
        <v>98</v>
      </c>
      <c r="AX174" s="30">
        <v>103</v>
      </c>
      <c r="AY174" s="30">
        <v>129</v>
      </c>
      <c r="AZ174" s="270">
        <v>167</v>
      </c>
      <c r="BA174" s="348">
        <v>188</v>
      </c>
      <c r="BB174" s="348">
        <v>203</v>
      </c>
      <c r="BC174" s="348">
        <f>222+1</f>
        <v>223</v>
      </c>
      <c r="BD174" s="358">
        <v>203</v>
      </c>
      <c r="BE174" s="358">
        <v>229</v>
      </c>
      <c r="BF174" s="358">
        <v>246</v>
      </c>
      <c r="BG174" s="358">
        <v>255</v>
      </c>
      <c r="BH174" s="358">
        <v>279</v>
      </c>
      <c r="BI174" s="358">
        <v>274</v>
      </c>
      <c r="BJ174" s="410">
        <f>(BH174-BG174)/BG174</f>
        <v>9.4117647058823528E-2</v>
      </c>
      <c r="BK174" s="410">
        <f>(BI174-BH174)/BH174</f>
        <v>-1.7921146953405017E-2</v>
      </c>
      <c r="BL174" s="564">
        <f>BH174-BG174</f>
        <v>24</v>
      </c>
      <c r="BM174" s="564">
        <f>BI174-BH174</f>
        <v>-5</v>
      </c>
      <c r="BN174" s="348"/>
      <c r="BQ174" s="152"/>
      <c r="BR174" s="320"/>
    </row>
    <row r="175" spans="1:70" ht="6" customHeight="1">
      <c r="A175" s="115"/>
      <c r="L175" s="596"/>
      <c r="M175" s="11"/>
      <c r="N175" s="11"/>
      <c r="O175" s="11"/>
      <c r="P175" s="11"/>
      <c r="Q175" s="11"/>
      <c r="R175" s="11"/>
      <c r="S175" s="11"/>
      <c r="T175" s="11"/>
      <c r="U175" s="11"/>
      <c r="V175" s="596"/>
      <c r="W175" s="11"/>
      <c r="X175" s="11"/>
      <c r="Y175" s="11"/>
      <c r="Z175" s="11"/>
      <c r="AA175" s="11"/>
      <c r="AB175" s="11"/>
      <c r="AC175" s="11"/>
      <c r="AD175" s="11"/>
      <c r="AE175" s="11"/>
      <c r="AF175" s="596"/>
      <c r="AG175" s="11"/>
      <c r="AH175" s="11"/>
      <c r="AI175" s="11"/>
      <c r="AJ175" s="11"/>
      <c r="AK175" s="11"/>
      <c r="AL175" s="6"/>
      <c r="AM175" s="23"/>
      <c r="AN175" s="49"/>
      <c r="AO175" s="49"/>
      <c r="AP175" s="776"/>
      <c r="AQ175" s="49"/>
      <c r="AR175" s="49"/>
      <c r="AS175" s="49"/>
      <c r="AT175" s="49"/>
      <c r="AU175" s="49"/>
      <c r="AV175" s="30"/>
      <c r="AW175" s="30"/>
      <c r="AX175" s="30"/>
      <c r="AY175" s="30"/>
      <c r="AZ175" s="537"/>
      <c r="BA175" s="348"/>
      <c r="BB175" s="313"/>
      <c r="BC175" s="295"/>
      <c r="BD175" s="358"/>
      <c r="BE175" s="537"/>
      <c r="BF175" s="537"/>
      <c r="BG175" s="358"/>
      <c r="BH175" s="358"/>
      <c r="BI175" s="358"/>
      <c r="BJ175" s="871"/>
      <c r="BK175" s="871"/>
      <c r="BL175" s="565"/>
      <c r="BM175" s="565"/>
      <c r="BN175" s="316"/>
      <c r="BQ175" s="152"/>
      <c r="BR175" s="320"/>
    </row>
    <row r="176" spans="1:70" ht="11.25" customHeight="1">
      <c r="A176" s="115" t="s">
        <v>25</v>
      </c>
      <c r="B176" s="593">
        <v>11</v>
      </c>
      <c r="C176" s="25">
        <v>14</v>
      </c>
      <c r="D176" s="25">
        <v>13</v>
      </c>
      <c r="E176" s="25">
        <v>15</v>
      </c>
      <c r="F176" s="25">
        <v>17</v>
      </c>
      <c r="G176" s="25">
        <v>17</v>
      </c>
      <c r="H176" s="25">
        <v>17</v>
      </c>
      <c r="I176" s="25">
        <v>18</v>
      </c>
      <c r="J176" s="25">
        <v>19</v>
      </c>
      <c r="K176" s="25">
        <v>20</v>
      </c>
      <c r="L176" s="596">
        <v>24</v>
      </c>
      <c r="M176" s="11">
        <v>27</v>
      </c>
      <c r="N176" s="11">
        <v>29</v>
      </c>
      <c r="O176" s="11">
        <v>34</v>
      </c>
      <c r="P176" s="11">
        <v>38</v>
      </c>
      <c r="Q176" s="11">
        <v>48</v>
      </c>
      <c r="R176" s="11">
        <v>53</v>
      </c>
      <c r="S176" s="11">
        <v>56</v>
      </c>
      <c r="T176" s="11">
        <v>64</v>
      </c>
      <c r="U176" s="11">
        <v>70</v>
      </c>
      <c r="V176" s="596">
        <v>76</v>
      </c>
      <c r="W176" s="11">
        <v>81</v>
      </c>
      <c r="X176" s="11">
        <v>80</v>
      </c>
      <c r="Y176" s="11">
        <v>82</v>
      </c>
      <c r="Z176" s="11">
        <v>87</v>
      </c>
      <c r="AA176" s="11">
        <v>94</v>
      </c>
      <c r="AB176" s="11">
        <v>93</v>
      </c>
      <c r="AC176" s="11">
        <v>92</v>
      </c>
      <c r="AD176" s="11">
        <v>101</v>
      </c>
      <c r="AE176" s="11">
        <v>100</v>
      </c>
      <c r="AF176" s="596">
        <v>108</v>
      </c>
      <c r="AG176" s="11">
        <v>114</v>
      </c>
      <c r="AH176" s="11">
        <v>129</v>
      </c>
      <c r="AI176" s="11">
        <v>133</v>
      </c>
      <c r="AJ176" s="11">
        <v>158</v>
      </c>
      <c r="AK176" s="11">
        <v>198</v>
      </c>
      <c r="AL176" s="62">
        <v>195</v>
      </c>
      <c r="AM176" s="62">
        <v>213</v>
      </c>
      <c r="AN176" s="49">
        <v>222</v>
      </c>
      <c r="AO176" s="49">
        <v>231</v>
      </c>
      <c r="AP176" s="776">
        <v>269</v>
      </c>
      <c r="AQ176" s="49">
        <v>296</v>
      </c>
      <c r="AR176" s="49">
        <v>336</v>
      </c>
      <c r="AS176" s="49">
        <v>351</v>
      </c>
      <c r="AT176" s="49">
        <v>364</v>
      </c>
      <c r="AU176" s="49">
        <v>362</v>
      </c>
      <c r="AV176" s="30">
        <v>363</v>
      </c>
      <c r="AW176" s="30">
        <v>372</v>
      </c>
      <c r="AX176" s="30">
        <v>391</v>
      </c>
      <c r="AY176" s="30">
        <v>434</v>
      </c>
      <c r="AZ176" s="270">
        <v>434</v>
      </c>
      <c r="BA176" s="348">
        <v>415</v>
      </c>
      <c r="BB176" s="348">
        <v>428</v>
      </c>
      <c r="BC176" s="348">
        <v>440</v>
      </c>
      <c r="BD176" s="358">
        <v>433</v>
      </c>
      <c r="BE176" s="358">
        <v>452</v>
      </c>
      <c r="BF176" s="358">
        <v>459</v>
      </c>
      <c r="BG176" s="358">
        <v>432</v>
      </c>
      <c r="BH176" s="358">
        <v>469</v>
      </c>
      <c r="BI176" s="358">
        <v>466</v>
      </c>
      <c r="BJ176" s="410">
        <f>(BH176-BG176)/BG176</f>
        <v>8.5648148148148154E-2</v>
      </c>
      <c r="BK176" s="410">
        <f>(BI176-BH176)/BH176</f>
        <v>-6.3965884861407248E-3</v>
      </c>
      <c r="BL176" s="564">
        <f>BH176-BG176</f>
        <v>37</v>
      </c>
      <c r="BM176" s="564">
        <f>BI176-BH176</f>
        <v>-3</v>
      </c>
      <c r="BN176" s="348"/>
      <c r="BQ176" s="152"/>
      <c r="BR176" s="320"/>
    </row>
    <row r="177" spans="1:70" ht="6" customHeight="1">
      <c r="A177" s="115"/>
      <c r="L177" s="596"/>
      <c r="M177" s="11"/>
      <c r="N177" s="11"/>
      <c r="O177" s="11"/>
      <c r="P177" s="11"/>
      <c r="Q177" s="11"/>
      <c r="R177" s="11"/>
      <c r="S177" s="11"/>
      <c r="T177" s="11"/>
      <c r="U177" s="11"/>
      <c r="V177" s="596"/>
      <c r="W177" s="11"/>
      <c r="X177" s="11"/>
      <c r="Y177" s="11"/>
      <c r="Z177" s="11"/>
      <c r="AA177" s="11"/>
      <c r="AB177" s="11"/>
      <c r="AC177" s="11"/>
      <c r="AD177" s="11"/>
      <c r="AE177" s="11"/>
      <c r="AF177" s="596"/>
      <c r="AG177" s="11"/>
      <c r="AH177" s="11"/>
      <c r="AI177" s="11"/>
      <c r="AJ177" s="11"/>
      <c r="AK177" s="11"/>
      <c r="AL177" s="6"/>
      <c r="AM177" s="23"/>
      <c r="AN177" s="49"/>
      <c r="AO177" s="57"/>
      <c r="AP177" s="845"/>
      <c r="AQ177" s="57"/>
      <c r="AR177" s="57"/>
      <c r="AS177" s="57"/>
      <c r="AT177" s="57"/>
      <c r="AU177" s="57"/>
      <c r="AV177" s="95"/>
      <c r="AW177" s="95"/>
      <c r="AX177" s="95"/>
      <c r="AY177" s="95"/>
      <c r="AZ177" s="542"/>
      <c r="BA177" s="349"/>
      <c r="BB177" s="312"/>
      <c r="BC177" s="324"/>
      <c r="BD177" s="361"/>
      <c r="BE177" s="542"/>
      <c r="BF177" s="542"/>
      <c r="BG177" s="361"/>
      <c r="BH177" s="361"/>
      <c r="BI177" s="361"/>
      <c r="BJ177" s="871"/>
      <c r="BK177" s="871"/>
      <c r="BL177" s="565"/>
      <c r="BM177" s="565"/>
      <c r="BN177" s="316"/>
      <c r="BQ177" s="152"/>
      <c r="BR177" s="320"/>
    </row>
    <row r="178" spans="1:70" ht="11.25" customHeight="1">
      <c r="A178" s="115" t="s">
        <v>26</v>
      </c>
      <c r="B178" s="227" t="s">
        <v>3</v>
      </c>
      <c r="C178" s="27" t="s">
        <v>3</v>
      </c>
      <c r="D178" s="25">
        <v>1</v>
      </c>
      <c r="E178" s="25">
        <v>2</v>
      </c>
      <c r="F178" s="25">
        <v>3</v>
      </c>
      <c r="G178" s="25">
        <v>3</v>
      </c>
      <c r="H178" s="25">
        <v>3</v>
      </c>
      <c r="I178" s="25">
        <v>3</v>
      </c>
      <c r="J178" s="25">
        <v>4</v>
      </c>
      <c r="K178" s="25">
        <v>4</v>
      </c>
      <c r="L178" s="596">
        <v>4</v>
      </c>
      <c r="M178" s="11">
        <v>5</v>
      </c>
      <c r="N178" s="11">
        <v>5</v>
      </c>
      <c r="O178" s="11">
        <v>5</v>
      </c>
      <c r="P178" s="11">
        <v>6</v>
      </c>
      <c r="Q178" s="11">
        <v>7</v>
      </c>
      <c r="R178" s="11">
        <v>8</v>
      </c>
      <c r="S178" s="11">
        <v>8</v>
      </c>
      <c r="T178" s="11">
        <v>9</v>
      </c>
      <c r="U178" s="11">
        <v>10</v>
      </c>
      <c r="V178" s="596">
        <v>11</v>
      </c>
      <c r="W178" s="11">
        <v>12</v>
      </c>
      <c r="X178" s="11">
        <v>11</v>
      </c>
      <c r="Y178" s="11">
        <v>12</v>
      </c>
      <c r="Z178" s="11">
        <v>11</v>
      </c>
      <c r="AA178" s="11">
        <v>12</v>
      </c>
      <c r="AB178" s="11">
        <v>12</v>
      </c>
      <c r="AC178" s="11">
        <v>12</v>
      </c>
      <c r="AD178" s="11">
        <v>13</v>
      </c>
      <c r="AE178" s="11">
        <v>14</v>
      </c>
      <c r="AF178" s="596">
        <v>15</v>
      </c>
      <c r="AG178" s="11">
        <v>17</v>
      </c>
      <c r="AH178" s="11">
        <v>17</v>
      </c>
      <c r="AI178" s="11">
        <v>18</v>
      </c>
      <c r="AJ178" s="11">
        <v>18</v>
      </c>
      <c r="AK178" s="11">
        <v>19</v>
      </c>
      <c r="AL178" s="6">
        <v>16</v>
      </c>
      <c r="AM178" s="23">
        <v>14</v>
      </c>
      <c r="AN178" s="23">
        <v>14</v>
      </c>
      <c r="AO178" s="23">
        <v>14</v>
      </c>
      <c r="AP178" s="180">
        <v>14</v>
      </c>
      <c r="AQ178" s="23">
        <v>15</v>
      </c>
      <c r="AR178" s="23">
        <v>17</v>
      </c>
      <c r="AS178" s="23">
        <v>17</v>
      </c>
      <c r="AT178" s="23">
        <v>18</v>
      </c>
      <c r="AU178" s="23">
        <v>19</v>
      </c>
      <c r="AV178" s="152">
        <v>20</v>
      </c>
      <c r="AW178" s="152">
        <v>20</v>
      </c>
      <c r="AX178" s="152">
        <v>21</v>
      </c>
      <c r="AY178" s="152">
        <v>22</v>
      </c>
      <c r="AZ178" s="217">
        <v>24</v>
      </c>
      <c r="BA178" s="309">
        <v>25</v>
      </c>
      <c r="BB178" s="309">
        <v>23</v>
      </c>
      <c r="BC178" s="309">
        <v>24</v>
      </c>
      <c r="BD178" s="365">
        <v>23</v>
      </c>
      <c r="BE178" s="365">
        <v>25</v>
      </c>
      <c r="BF178" s="365">
        <v>26</v>
      </c>
      <c r="BG178" s="365">
        <v>25</v>
      </c>
      <c r="BH178" s="365">
        <v>28</v>
      </c>
      <c r="BI178" s="365">
        <v>27</v>
      </c>
      <c r="BJ178" s="410">
        <f>(BH178-BG178)/BG178</f>
        <v>0.12</v>
      </c>
      <c r="BK178" s="410">
        <f>(BI178-BH178)/BH178</f>
        <v>-3.5714285714285712E-2</v>
      </c>
      <c r="BL178" s="564">
        <f>BH178-BG178</f>
        <v>3</v>
      </c>
      <c r="BM178" s="564">
        <f>BI178-BH178</f>
        <v>-1</v>
      </c>
      <c r="BN178" s="348"/>
      <c r="BQ178" s="152"/>
      <c r="BR178" s="320"/>
    </row>
    <row r="179" spans="1:70" ht="6" customHeight="1">
      <c r="A179" s="115"/>
      <c r="L179" s="596"/>
      <c r="M179" s="11"/>
      <c r="N179" s="11"/>
      <c r="O179" s="11"/>
      <c r="P179" s="11"/>
      <c r="Q179" s="11"/>
      <c r="R179" s="11"/>
      <c r="S179" s="11"/>
      <c r="T179" s="11"/>
      <c r="U179" s="11"/>
      <c r="V179" s="596"/>
      <c r="W179" s="11"/>
      <c r="X179" s="11"/>
      <c r="Y179" s="11"/>
      <c r="Z179" s="11"/>
      <c r="AA179" s="11"/>
      <c r="AB179" s="11"/>
      <c r="AC179" s="11"/>
      <c r="AD179" s="11"/>
      <c r="AE179" s="11"/>
      <c r="AF179" s="596"/>
      <c r="AG179" s="11"/>
      <c r="AH179" s="11"/>
      <c r="AI179" s="11"/>
      <c r="AJ179" s="11"/>
      <c r="AK179" s="11"/>
      <c r="AL179" s="6"/>
      <c r="AM179" s="23"/>
      <c r="AN179" s="23"/>
      <c r="AO179" s="23"/>
      <c r="AP179" s="180"/>
      <c r="AQ179" s="23"/>
      <c r="AR179" s="23"/>
      <c r="AS179" s="23"/>
      <c r="AT179" s="23"/>
      <c r="AU179" s="23"/>
      <c r="AV179" s="152"/>
      <c r="AW179" s="152"/>
      <c r="AX179" s="152"/>
      <c r="AY179" s="152"/>
      <c r="AZ179" s="535"/>
      <c r="BA179" s="309"/>
      <c r="BB179" s="316"/>
      <c r="BC179" s="296"/>
      <c r="BD179" s="365"/>
      <c r="BE179" s="535"/>
      <c r="BF179" s="535"/>
      <c r="BG179" s="365"/>
      <c r="BH179" s="365"/>
      <c r="BI179" s="365"/>
      <c r="BJ179" s="871"/>
      <c r="BK179" s="871"/>
      <c r="BL179" s="565"/>
      <c r="BM179" s="565"/>
      <c r="BN179" s="316"/>
      <c r="BQ179" s="152"/>
      <c r="BR179" s="320"/>
    </row>
    <row r="180" spans="1:70" ht="11.25" customHeight="1">
      <c r="A180" s="285" t="s">
        <v>149</v>
      </c>
      <c r="B180" s="593">
        <v>20</v>
      </c>
      <c r="C180" s="25">
        <v>21</v>
      </c>
      <c r="D180" s="25">
        <v>22</v>
      </c>
      <c r="E180" s="25">
        <v>24</v>
      </c>
      <c r="F180" s="25">
        <v>24</v>
      </c>
      <c r="G180" s="25">
        <v>26</v>
      </c>
      <c r="H180" s="25">
        <v>22</v>
      </c>
      <c r="I180" s="25">
        <v>27</v>
      </c>
      <c r="J180" s="25">
        <v>24</v>
      </c>
      <c r="K180" s="25">
        <v>25</v>
      </c>
      <c r="L180" s="596">
        <v>27</v>
      </c>
      <c r="M180" s="11">
        <v>28</v>
      </c>
      <c r="N180" s="11">
        <v>31</v>
      </c>
      <c r="O180" s="11">
        <v>33</v>
      </c>
      <c r="P180" s="11">
        <v>38</v>
      </c>
      <c r="Q180" s="11">
        <v>46</v>
      </c>
      <c r="R180" s="11">
        <v>51</v>
      </c>
      <c r="S180" s="11">
        <v>59</v>
      </c>
      <c r="T180" s="11">
        <v>65</v>
      </c>
      <c r="U180" s="11">
        <v>67</v>
      </c>
      <c r="V180" s="596">
        <v>80</v>
      </c>
      <c r="W180" s="11">
        <v>76</v>
      </c>
      <c r="X180" s="11">
        <v>67</v>
      </c>
      <c r="Y180" s="11">
        <v>62</v>
      </c>
      <c r="Z180" s="11">
        <v>57</v>
      </c>
      <c r="AA180" s="11">
        <v>50</v>
      </c>
      <c r="AB180" s="11">
        <v>46</v>
      </c>
      <c r="AC180" s="11">
        <v>43</v>
      </c>
      <c r="AD180" s="11">
        <v>43</v>
      </c>
      <c r="AE180" s="11">
        <v>44</v>
      </c>
      <c r="AF180" s="596">
        <v>43</v>
      </c>
      <c r="AG180" s="11">
        <v>45</v>
      </c>
      <c r="AH180" s="11">
        <v>46</v>
      </c>
      <c r="AI180" s="11">
        <v>48</v>
      </c>
      <c r="AJ180" s="11">
        <v>50</v>
      </c>
      <c r="AK180" s="11">
        <v>45</v>
      </c>
      <c r="AL180" s="6">
        <v>11</v>
      </c>
      <c r="AM180" s="64" t="s">
        <v>3</v>
      </c>
      <c r="AN180" s="18" t="s">
        <v>3</v>
      </c>
      <c r="AO180" s="18" t="s">
        <v>3</v>
      </c>
      <c r="AP180" s="811" t="s">
        <v>3</v>
      </c>
      <c r="AQ180" s="18" t="s">
        <v>3</v>
      </c>
      <c r="AR180" s="18" t="s">
        <v>3</v>
      </c>
      <c r="AS180" s="18" t="s">
        <v>3</v>
      </c>
      <c r="AT180" s="18" t="s">
        <v>3</v>
      </c>
      <c r="AU180" s="18" t="s">
        <v>3</v>
      </c>
      <c r="AV180" s="219" t="s">
        <v>3</v>
      </c>
      <c r="AW180" s="219" t="s">
        <v>3</v>
      </c>
      <c r="AX180" s="219" t="s">
        <v>3</v>
      </c>
      <c r="AY180" s="219" t="s">
        <v>3</v>
      </c>
      <c r="AZ180" s="859" t="s">
        <v>3</v>
      </c>
      <c r="BA180" s="371" t="s">
        <v>3</v>
      </c>
      <c r="BB180" s="371" t="s">
        <v>3</v>
      </c>
      <c r="BC180" s="371" t="s">
        <v>3</v>
      </c>
      <c r="BD180" s="551" t="s">
        <v>3</v>
      </c>
      <c r="BE180" s="551" t="s">
        <v>3</v>
      </c>
      <c r="BF180" s="551" t="s">
        <v>3</v>
      </c>
      <c r="BG180" s="551" t="s">
        <v>3</v>
      </c>
      <c r="BH180" s="551" t="s">
        <v>3</v>
      </c>
      <c r="BI180" s="551" t="s">
        <v>3</v>
      </c>
      <c r="BJ180" s="874" t="s">
        <v>10</v>
      </c>
      <c r="BK180" s="874" t="s">
        <v>10</v>
      </c>
      <c r="BL180" s="568" t="s">
        <v>10</v>
      </c>
      <c r="BM180" s="568" t="s">
        <v>10</v>
      </c>
      <c r="BN180" s="309"/>
      <c r="BQ180" s="152"/>
      <c r="BR180" s="320"/>
    </row>
    <row r="181" spans="1:70" ht="6" customHeight="1">
      <c r="A181" s="115"/>
      <c r="L181" s="596"/>
      <c r="M181" s="11"/>
      <c r="N181" s="11"/>
      <c r="O181" s="11"/>
      <c r="P181" s="11"/>
      <c r="Q181" s="11"/>
      <c r="R181" s="11"/>
      <c r="S181" s="11"/>
      <c r="T181" s="11"/>
      <c r="U181" s="11"/>
      <c r="V181" s="596"/>
      <c r="W181" s="11"/>
      <c r="X181" s="11"/>
      <c r="Y181" s="11"/>
      <c r="Z181" s="11"/>
      <c r="AA181" s="11"/>
      <c r="AB181" s="11"/>
      <c r="AC181" s="11"/>
      <c r="AD181" s="11"/>
      <c r="AE181" s="11"/>
      <c r="AF181" s="596"/>
      <c r="AG181" s="11"/>
      <c r="AH181" s="11"/>
      <c r="AI181" s="11"/>
      <c r="AJ181" s="11"/>
      <c r="AK181" s="11"/>
      <c r="AL181" s="6"/>
      <c r="AM181" s="23"/>
      <c r="AN181" s="23"/>
      <c r="AO181" s="23"/>
      <c r="AP181" s="180"/>
      <c r="AQ181" s="23"/>
      <c r="AR181" s="23"/>
      <c r="AS181" s="23"/>
      <c r="AT181" s="23"/>
      <c r="AU181" s="23"/>
      <c r="AV181" s="152"/>
      <c r="AW181" s="152"/>
      <c r="AX181" s="152"/>
      <c r="AY181" s="152"/>
      <c r="AZ181" s="535"/>
      <c r="BA181" s="309"/>
      <c r="BB181" s="309"/>
      <c r="BC181" s="296"/>
      <c r="BD181" s="365"/>
      <c r="BE181" s="365"/>
      <c r="BF181" s="365"/>
      <c r="BG181" s="365"/>
      <c r="BH181" s="365"/>
      <c r="BI181" s="365"/>
      <c r="BJ181" s="410"/>
      <c r="BK181" s="410"/>
      <c r="BL181" s="566"/>
      <c r="BM181" s="566"/>
      <c r="BN181" s="309"/>
      <c r="BQ181" s="152"/>
      <c r="BR181" s="320"/>
    </row>
    <row r="182" spans="1:70" ht="11.25" customHeight="1">
      <c r="A182" s="119" t="s">
        <v>150</v>
      </c>
      <c r="B182" s="593">
        <v>3</v>
      </c>
      <c r="C182" s="25">
        <v>3</v>
      </c>
      <c r="D182" s="25">
        <v>3</v>
      </c>
      <c r="E182" s="25">
        <v>2</v>
      </c>
      <c r="F182" s="25">
        <v>3</v>
      </c>
      <c r="G182" s="25">
        <v>3</v>
      </c>
      <c r="H182" s="25">
        <v>2</v>
      </c>
      <c r="I182" s="25">
        <v>3</v>
      </c>
      <c r="J182" s="25">
        <v>3</v>
      </c>
      <c r="K182" s="25">
        <v>3</v>
      </c>
      <c r="L182" s="686">
        <v>4</v>
      </c>
      <c r="M182" s="13">
        <v>5</v>
      </c>
      <c r="N182" s="13">
        <v>5</v>
      </c>
      <c r="O182" s="13">
        <v>5</v>
      </c>
      <c r="P182" s="13">
        <v>5</v>
      </c>
      <c r="Q182" s="13">
        <v>5</v>
      </c>
      <c r="R182" s="13">
        <v>6</v>
      </c>
      <c r="S182" s="13">
        <v>6</v>
      </c>
      <c r="T182" s="13">
        <v>6</v>
      </c>
      <c r="U182" s="13">
        <v>4</v>
      </c>
      <c r="V182" s="836" t="s">
        <v>11</v>
      </c>
      <c r="W182" s="43" t="s">
        <v>3</v>
      </c>
      <c r="X182" s="43" t="s">
        <v>3</v>
      </c>
      <c r="Y182" s="43" t="s">
        <v>3</v>
      </c>
      <c r="Z182" s="43" t="s">
        <v>3</v>
      </c>
      <c r="AA182" s="43" t="s">
        <v>3</v>
      </c>
      <c r="AB182" s="43" t="s">
        <v>3</v>
      </c>
      <c r="AC182" s="43" t="s">
        <v>3</v>
      </c>
      <c r="AD182" s="43" t="s">
        <v>3</v>
      </c>
      <c r="AE182" s="43" t="s">
        <v>3</v>
      </c>
      <c r="AF182" s="836" t="s">
        <v>3</v>
      </c>
      <c r="AG182" s="43" t="s">
        <v>3</v>
      </c>
      <c r="AH182" s="43" t="s">
        <v>3</v>
      </c>
      <c r="AI182" s="43" t="s">
        <v>3</v>
      </c>
      <c r="AJ182" s="43" t="s">
        <v>3</v>
      </c>
      <c r="AK182" s="43" t="s">
        <v>3</v>
      </c>
      <c r="AL182" s="43" t="s">
        <v>3</v>
      </c>
      <c r="AM182" s="43" t="s">
        <v>3</v>
      </c>
      <c r="AN182" s="43" t="s">
        <v>3</v>
      </c>
      <c r="AO182" s="43" t="s">
        <v>3</v>
      </c>
      <c r="AP182" s="836" t="s">
        <v>3</v>
      </c>
      <c r="AQ182" s="43" t="s">
        <v>3</v>
      </c>
      <c r="AR182" s="43" t="s">
        <v>3</v>
      </c>
      <c r="AS182" s="43" t="s">
        <v>3</v>
      </c>
      <c r="AT182" s="43" t="s">
        <v>3</v>
      </c>
      <c r="AU182" s="43" t="s">
        <v>3</v>
      </c>
      <c r="AV182" s="221" t="s">
        <v>3</v>
      </c>
      <c r="AW182" s="221" t="s">
        <v>3</v>
      </c>
      <c r="AX182" s="221" t="s">
        <v>3</v>
      </c>
      <c r="AY182" s="221" t="s">
        <v>3</v>
      </c>
      <c r="AZ182" s="256" t="s">
        <v>3</v>
      </c>
      <c r="BA182" s="375" t="s">
        <v>3</v>
      </c>
      <c r="BB182" s="375" t="s">
        <v>3</v>
      </c>
      <c r="BC182" s="375" t="s">
        <v>3</v>
      </c>
      <c r="BD182" s="550" t="s">
        <v>3</v>
      </c>
      <c r="BE182" s="550" t="s">
        <v>3</v>
      </c>
      <c r="BF182" s="550" t="s">
        <v>3</v>
      </c>
      <c r="BG182" s="550" t="s">
        <v>3</v>
      </c>
      <c r="BH182" s="551" t="s">
        <v>3</v>
      </c>
      <c r="BI182" s="551" t="s">
        <v>3</v>
      </c>
      <c r="BJ182" s="874" t="s">
        <v>10</v>
      </c>
      <c r="BK182" s="874" t="s">
        <v>10</v>
      </c>
      <c r="BL182" s="568" t="s">
        <v>10</v>
      </c>
      <c r="BM182" s="568" t="s">
        <v>10</v>
      </c>
      <c r="BN182" s="309"/>
      <c r="BQ182" s="152"/>
      <c r="BR182" s="320"/>
    </row>
    <row r="183" spans="1:70" ht="11.25" customHeight="1" thickBot="1">
      <c r="A183" s="118" t="s">
        <v>47</v>
      </c>
      <c r="B183" s="397">
        <f>B159+B167+B172+B174+B176+B180+B182</f>
        <v>91</v>
      </c>
      <c r="C183" s="131">
        <f>C159+C167+C172+C174+C176+C180+C182</f>
        <v>109</v>
      </c>
      <c r="D183" s="131">
        <f t="shared" ref="D183:S183" si="78">D159+D167+D172+D174+D176+D178+D180+D182</f>
        <v>107</v>
      </c>
      <c r="E183" s="131">
        <f t="shared" si="78"/>
        <v>130</v>
      </c>
      <c r="F183" s="131">
        <f t="shared" si="78"/>
        <v>145</v>
      </c>
      <c r="G183" s="131">
        <f t="shared" si="78"/>
        <v>182</v>
      </c>
      <c r="H183" s="131">
        <f t="shared" si="78"/>
        <v>177</v>
      </c>
      <c r="I183" s="131">
        <f t="shared" si="78"/>
        <v>199</v>
      </c>
      <c r="J183" s="131">
        <f t="shared" si="78"/>
        <v>210</v>
      </c>
      <c r="K183" s="131">
        <f t="shared" si="78"/>
        <v>233</v>
      </c>
      <c r="L183" s="397">
        <f t="shared" si="78"/>
        <v>276</v>
      </c>
      <c r="M183" s="131">
        <f t="shared" si="78"/>
        <v>310</v>
      </c>
      <c r="N183" s="131">
        <f t="shared" si="78"/>
        <v>308</v>
      </c>
      <c r="O183" s="131">
        <f t="shared" si="78"/>
        <v>201</v>
      </c>
      <c r="P183" s="131">
        <f t="shared" si="78"/>
        <v>261</v>
      </c>
      <c r="Q183" s="131">
        <f t="shared" si="78"/>
        <v>375</v>
      </c>
      <c r="R183" s="131">
        <f t="shared" si="78"/>
        <v>423</v>
      </c>
      <c r="S183" s="131">
        <f t="shared" si="78"/>
        <v>409</v>
      </c>
      <c r="T183" s="131">
        <f>T159+T162+T167+T172+T174+T176+T178+T180+T182</f>
        <v>355</v>
      </c>
      <c r="U183" s="131">
        <f>U159+U162+U167+U172+U174+U176+U178+U180+U182</f>
        <v>389</v>
      </c>
      <c r="V183" s="397">
        <f t="shared" ref="V183:AA183" si="79">V159+V162+V167+V172+V174+V176+V178+V180</f>
        <v>486</v>
      </c>
      <c r="W183" s="131">
        <f t="shared" si="79"/>
        <v>461</v>
      </c>
      <c r="X183" s="131">
        <f t="shared" si="79"/>
        <v>496</v>
      </c>
      <c r="Y183" s="131">
        <f t="shared" si="79"/>
        <v>497</v>
      </c>
      <c r="Z183" s="131">
        <f t="shared" si="79"/>
        <v>472</v>
      </c>
      <c r="AA183" s="131">
        <f t="shared" si="79"/>
        <v>471</v>
      </c>
      <c r="AB183" s="131">
        <f>AB159+AB162+AB167+AB174+AB176+AB178+AB180</f>
        <v>473</v>
      </c>
      <c r="AC183" s="131">
        <f>AC159+AC162+AC167+AC174+AC176+AC178+AC180</f>
        <v>436</v>
      </c>
      <c r="AD183" s="131">
        <f>AD159+AD162+AD167+AD174+AD176+AD178+AD180</f>
        <v>479</v>
      </c>
      <c r="AE183" s="131">
        <f>AE159+AE162+AE167+AE174+AE176+AE178+AE180</f>
        <v>491</v>
      </c>
      <c r="AF183" s="397">
        <f>AF159+AF162+AF167+AF174+AF176+AF178+AF180</f>
        <v>513</v>
      </c>
      <c r="AG183" s="131">
        <f t="shared" ref="AG183:AL183" si="80">AG159+AG162+AG167+AG170+AG174+AG176+AG178+AG180</f>
        <v>556</v>
      </c>
      <c r="AH183" s="131">
        <f t="shared" si="80"/>
        <v>608</v>
      </c>
      <c r="AI183" s="131">
        <f t="shared" si="80"/>
        <v>650</v>
      </c>
      <c r="AJ183" s="131">
        <f t="shared" si="80"/>
        <v>662</v>
      </c>
      <c r="AK183" s="131">
        <f t="shared" si="80"/>
        <v>728</v>
      </c>
      <c r="AL183" s="131">
        <f t="shared" si="80"/>
        <v>670</v>
      </c>
      <c r="AM183" s="131">
        <f t="shared" ref="AM183:BG183" si="81">AM159+AM162+AM167+AM170+AM174+AM176+AM178</f>
        <v>655</v>
      </c>
      <c r="AN183" s="131">
        <f t="shared" si="81"/>
        <v>690</v>
      </c>
      <c r="AO183" s="131">
        <f t="shared" si="81"/>
        <v>735</v>
      </c>
      <c r="AP183" s="397">
        <f t="shared" si="81"/>
        <v>752</v>
      </c>
      <c r="AQ183" s="131">
        <f t="shared" si="81"/>
        <v>825</v>
      </c>
      <c r="AR183" s="131">
        <f t="shared" si="81"/>
        <v>877</v>
      </c>
      <c r="AS183" s="131">
        <f t="shared" si="81"/>
        <v>880</v>
      </c>
      <c r="AT183" s="131">
        <f t="shared" si="81"/>
        <v>984</v>
      </c>
      <c r="AU183" s="131">
        <f t="shared" si="81"/>
        <v>996</v>
      </c>
      <c r="AV183" s="131">
        <f t="shared" si="81"/>
        <v>1061</v>
      </c>
      <c r="AW183" s="131">
        <f t="shared" si="81"/>
        <v>1037.5945945945946</v>
      </c>
      <c r="AX183" s="131">
        <f t="shared" si="81"/>
        <v>1130</v>
      </c>
      <c r="AY183" s="131">
        <f t="shared" si="81"/>
        <v>1229</v>
      </c>
      <c r="AZ183" s="397">
        <f t="shared" si="81"/>
        <v>1271</v>
      </c>
      <c r="BA183" s="131">
        <f t="shared" si="81"/>
        <v>1312</v>
      </c>
      <c r="BB183" s="131">
        <f t="shared" si="81"/>
        <v>1349</v>
      </c>
      <c r="BC183" s="362">
        <f t="shared" si="81"/>
        <v>1387</v>
      </c>
      <c r="BD183" s="398">
        <f t="shared" si="81"/>
        <v>1380</v>
      </c>
      <c r="BE183" s="398">
        <f t="shared" si="81"/>
        <v>1434</v>
      </c>
      <c r="BF183" s="398">
        <f t="shared" si="81"/>
        <v>1504</v>
      </c>
      <c r="BG183" s="398">
        <f t="shared" si="81"/>
        <v>1497</v>
      </c>
      <c r="BH183" s="398">
        <f t="shared" ref="BH183" si="82">BH159+BH162+BH167+BH170+BH174+BH176+BH178</f>
        <v>1605</v>
      </c>
      <c r="BI183" s="398">
        <f>BI159+BI162+BI167+BI170+BI174+BI176+BI178</f>
        <v>1647</v>
      </c>
      <c r="BJ183" s="875">
        <f>(BH183-BG183)/BG183</f>
        <v>7.2144288577154311E-2</v>
      </c>
      <c r="BK183" s="875">
        <f>(BI183-BH183)/BH183</f>
        <v>2.6168224299065422E-2</v>
      </c>
      <c r="BL183" s="569">
        <f>BH183-BG183</f>
        <v>108</v>
      </c>
      <c r="BM183" s="569">
        <f>BI183-BH183</f>
        <v>42</v>
      </c>
      <c r="BN183" s="349"/>
      <c r="BQ183" s="152"/>
      <c r="BR183" s="320"/>
    </row>
    <row r="184" spans="1:70" ht="13.5" customHeight="1">
      <c r="A184" s="115"/>
      <c r="L184" s="826"/>
      <c r="M184" s="8"/>
      <c r="N184" s="8"/>
      <c r="O184" s="8"/>
      <c r="P184" s="8"/>
      <c r="Q184" s="8"/>
      <c r="R184" s="8"/>
      <c r="S184" s="8"/>
      <c r="T184" s="8"/>
      <c r="U184" s="8"/>
      <c r="V184" s="826"/>
      <c r="W184" s="8"/>
      <c r="X184" s="8"/>
      <c r="Y184" s="8"/>
      <c r="Z184" s="8"/>
      <c r="AA184" s="8"/>
      <c r="AB184" s="8"/>
      <c r="AC184" s="8"/>
      <c r="AD184" s="8"/>
      <c r="AE184" s="8"/>
      <c r="AF184" s="826"/>
      <c r="AG184" s="8"/>
      <c r="AH184" s="8"/>
      <c r="AI184" s="11"/>
      <c r="AJ184" s="11"/>
      <c r="AK184" s="11"/>
      <c r="AL184" s="6"/>
      <c r="AM184" s="23"/>
      <c r="AN184" s="23"/>
      <c r="AO184" s="23"/>
      <c r="AP184" s="180"/>
      <c r="AQ184" s="23"/>
      <c r="AR184" s="23"/>
      <c r="AS184" s="23"/>
      <c r="AT184" s="23"/>
      <c r="AU184" s="23"/>
      <c r="AV184" s="23"/>
      <c r="AW184" s="197"/>
      <c r="AX184" s="197"/>
      <c r="AY184" s="197"/>
      <c r="AZ184" s="535"/>
      <c r="BA184" s="309"/>
      <c r="BB184" s="309"/>
      <c r="BC184" s="296"/>
      <c r="BD184" s="535"/>
      <c r="BE184" s="535"/>
      <c r="BF184" s="535"/>
      <c r="BG184" s="535"/>
      <c r="BH184" s="535"/>
      <c r="BI184" s="535"/>
      <c r="BJ184" s="410"/>
      <c r="BK184" s="410"/>
      <c r="BL184" s="566"/>
      <c r="BM184" s="566"/>
      <c r="BN184" s="309"/>
      <c r="BQ184" s="152"/>
      <c r="BR184" s="320"/>
    </row>
    <row r="185" spans="1:70" ht="11.25" customHeight="1">
      <c r="A185" s="159" t="s">
        <v>48</v>
      </c>
      <c r="B185" s="642"/>
      <c r="C185" s="10"/>
      <c r="D185" s="10"/>
      <c r="E185" s="10"/>
      <c r="F185" s="10"/>
      <c r="G185" s="10"/>
      <c r="H185" s="10"/>
      <c r="I185" s="10"/>
      <c r="J185" s="10"/>
      <c r="K185" s="10"/>
      <c r="L185" s="642"/>
      <c r="M185" s="10"/>
      <c r="N185" s="10"/>
      <c r="O185" s="10"/>
      <c r="P185" s="10"/>
      <c r="Q185" s="10"/>
      <c r="R185" s="10"/>
      <c r="S185" s="10"/>
      <c r="T185" s="10"/>
      <c r="U185" s="10"/>
      <c r="V185" s="642"/>
      <c r="W185" s="10"/>
      <c r="X185" s="10"/>
      <c r="Y185" s="10"/>
      <c r="Z185" s="10"/>
      <c r="AA185" s="10"/>
      <c r="AB185" s="10"/>
      <c r="AC185" s="10"/>
      <c r="AD185" s="10"/>
      <c r="AE185" s="10"/>
      <c r="AF185" s="642"/>
      <c r="AG185" s="10"/>
      <c r="AH185" s="10"/>
      <c r="AI185" s="10"/>
      <c r="AJ185" s="10"/>
      <c r="AK185" s="10"/>
      <c r="AL185" s="10"/>
      <c r="AM185" s="10"/>
      <c r="AN185" s="10"/>
      <c r="AO185" s="10"/>
      <c r="AP185" s="642"/>
      <c r="AQ185" s="10"/>
      <c r="AR185" s="10"/>
      <c r="AS185" s="10"/>
      <c r="AT185" s="10"/>
      <c r="AU185" s="10"/>
      <c r="AV185" s="10"/>
      <c r="AW185" s="10"/>
      <c r="AX185" s="10"/>
      <c r="AY185" s="10"/>
      <c r="AZ185" s="642"/>
      <c r="BA185" s="10"/>
      <c r="BB185" s="10"/>
      <c r="BC185" s="10"/>
      <c r="BD185" s="10"/>
      <c r="BE185" s="10"/>
      <c r="BF185" s="642"/>
      <c r="BG185" s="642"/>
      <c r="BH185" s="642"/>
      <c r="BI185" s="642"/>
      <c r="BJ185" s="642"/>
      <c r="BK185" s="642"/>
      <c r="BL185" s="884"/>
      <c r="BM185" s="566"/>
      <c r="BN185" s="309"/>
      <c r="BQ185" s="152"/>
      <c r="BR185" s="320"/>
    </row>
    <row r="186" spans="1:70" ht="11.25" customHeight="1">
      <c r="A186" s="159"/>
      <c r="L186" s="826"/>
      <c r="M186" s="8"/>
      <c r="N186" s="8"/>
      <c r="O186" s="8"/>
      <c r="P186" s="8"/>
      <c r="Q186" s="8"/>
      <c r="R186" s="8"/>
      <c r="S186" s="8"/>
      <c r="T186" s="8"/>
      <c r="U186" s="8"/>
      <c r="V186" s="826"/>
      <c r="W186" s="8"/>
      <c r="X186" s="8"/>
      <c r="Y186" s="8"/>
      <c r="Z186" s="8"/>
      <c r="AA186" s="8"/>
      <c r="AB186" s="8"/>
      <c r="AC186" s="8"/>
      <c r="AD186" s="8"/>
      <c r="AE186" s="8"/>
      <c r="AF186" s="826"/>
      <c r="AG186" s="8"/>
      <c r="AH186" s="8"/>
      <c r="AI186" s="11"/>
      <c r="AJ186" s="11"/>
      <c r="AK186" s="11"/>
      <c r="AL186" s="6"/>
      <c r="AM186" s="23"/>
      <c r="AN186" s="23"/>
      <c r="AO186" s="23"/>
      <c r="AP186" s="180"/>
      <c r="AQ186" s="23"/>
      <c r="AR186" s="23"/>
      <c r="AS186" s="23"/>
      <c r="AT186" s="23"/>
      <c r="AU186" s="23"/>
      <c r="AV186" s="152"/>
      <c r="AW186" s="152"/>
      <c r="AX186" s="152"/>
      <c r="AY186" s="152"/>
      <c r="AZ186" s="535"/>
      <c r="BA186" s="309"/>
      <c r="BB186" s="309"/>
      <c r="BC186" s="296"/>
      <c r="BD186" s="535"/>
      <c r="BE186" s="535"/>
      <c r="BF186" s="535"/>
      <c r="BG186" s="535"/>
      <c r="BH186" s="535"/>
      <c r="BI186" s="535"/>
      <c r="BJ186" s="410"/>
      <c r="BK186" s="410"/>
      <c r="BL186" s="566"/>
      <c r="BM186" s="566"/>
      <c r="BN186" s="309"/>
      <c r="BQ186" s="152"/>
      <c r="BR186" s="320"/>
    </row>
    <row r="187" spans="1:70" ht="14.25" customHeight="1">
      <c r="A187" s="119" t="s">
        <v>151</v>
      </c>
      <c r="B187" s="811" t="s">
        <v>3</v>
      </c>
      <c r="C187" s="18" t="s">
        <v>3</v>
      </c>
      <c r="D187" s="18" t="s">
        <v>3</v>
      </c>
      <c r="E187" s="18" t="s">
        <v>3</v>
      </c>
      <c r="F187" s="18" t="s">
        <v>3</v>
      </c>
      <c r="G187" s="18" t="s">
        <v>3</v>
      </c>
      <c r="H187" s="18" t="s">
        <v>3</v>
      </c>
      <c r="I187" s="18" t="s">
        <v>3</v>
      </c>
      <c r="J187" s="18" t="s">
        <v>3</v>
      </c>
      <c r="K187" s="18" t="s">
        <v>3</v>
      </c>
      <c r="L187" s="811" t="s">
        <v>3</v>
      </c>
      <c r="M187" s="18" t="s">
        <v>3</v>
      </c>
      <c r="N187" s="8">
        <v>1</v>
      </c>
      <c r="O187" s="8">
        <v>1</v>
      </c>
      <c r="P187" s="8">
        <v>1</v>
      </c>
      <c r="Q187" s="8">
        <v>1</v>
      </c>
      <c r="R187" s="8">
        <v>1</v>
      </c>
      <c r="S187" s="8">
        <v>2</v>
      </c>
      <c r="T187" s="8">
        <v>2</v>
      </c>
      <c r="U187" s="8">
        <v>1</v>
      </c>
      <c r="V187" s="826">
        <v>1</v>
      </c>
      <c r="W187" s="18" t="s">
        <v>11</v>
      </c>
      <c r="X187" s="18" t="s">
        <v>3</v>
      </c>
      <c r="Y187" s="18" t="s">
        <v>3</v>
      </c>
      <c r="Z187" s="18" t="s">
        <v>3</v>
      </c>
      <c r="AA187" s="18" t="s">
        <v>3</v>
      </c>
      <c r="AB187" s="18" t="s">
        <v>3</v>
      </c>
      <c r="AC187" s="18" t="s">
        <v>3</v>
      </c>
      <c r="AD187" s="18" t="s">
        <v>3</v>
      </c>
      <c r="AE187" s="18" t="s">
        <v>3</v>
      </c>
      <c r="AF187" s="811" t="s">
        <v>3</v>
      </c>
      <c r="AG187" s="18" t="s">
        <v>3</v>
      </c>
      <c r="AH187" s="18" t="s">
        <v>3</v>
      </c>
      <c r="AI187" s="18" t="s">
        <v>3</v>
      </c>
      <c r="AJ187" s="18" t="s">
        <v>3</v>
      </c>
      <c r="AK187" s="18" t="s">
        <v>3</v>
      </c>
      <c r="AL187" s="18" t="s">
        <v>3</v>
      </c>
      <c r="AM187" s="18" t="s">
        <v>3</v>
      </c>
      <c r="AN187" s="18" t="s">
        <v>3</v>
      </c>
      <c r="AO187" s="18" t="s">
        <v>3</v>
      </c>
      <c r="AP187" s="811" t="s">
        <v>3</v>
      </c>
      <c r="AQ187" s="18" t="s">
        <v>3</v>
      </c>
      <c r="AR187" s="18" t="s">
        <v>3</v>
      </c>
      <c r="AS187" s="18" t="s">
        <v>3</v>
      </c>
      <c r="AT187" s="18" t="s">
        <v>3</v>
      </c>
      <c r="AU187" s="18" t="s">
        <v>3</v>
      </c>
      <c r="AV187" s="219" t="s">
        <v>3</v>
      </c>
      <c r="AW187" s="219" t="s">
        <v>3</v>
      </c>
      <c r="AX187" s="219" t="s">
        <v>3</v>
      </c>
      <c r="AY187" s="219" t="s">
        <v>3</v>
      </c>
      <c r="AZ187" s="859" t="s">
        <v>3</v>
      </c>
      <c r="BA187" s="371" t="s">
        <v>3</v>
      </c>
      <c r="BB187" s="371" t="s">
        <v>3</v>
      </c>
      <c r="BC187" s="371" t="s">
        <v>3</v>
      </c>
      <c r="BD187" s="551" t="s">
        <v>3</v>
      </c>
      <c r="BE187" s="551" t="s">
        <v>3</v>
      </c>
      <c r="BF187" s="551" t="s">
        <v>3</v>
      </c>
      <c r="BG187" s="551" t="s">
        <v>3</v>
      </c>
      <c r="BH187" s="551" t="s">
        <v>3</v>
      </c>
      <c r="BI187" s="551" t="s">
        <v>3</v>
      </c>
      <c r="BJ187" s="874" t="s">
        <v>10</v>
      </c>
      <c r="BK187" s="874" t="s">
        <v>10</v>
      </c>
      <c r="BL187" s="568" t="s">
        <v>10</v>
      </c>
      <c r="BM187" s="568" t="s">
        <v>10</v>
      </c>
      <c r="BN187" s="309"/>
      <c r="BQ187" s="152"/>
      <c r="BR187" s="320"/>
    </row>
    <row r="188" spans="1:70" ht="11.25" customHeight="1">
      <c r="A188" s="115"/>
      <c r="L188" s="826"/>
      <c r="M188" s="8"/>
      <c r="N188" s="8"/>
      <c r="O188" s="8"/>
      <c r="P188" s="8"/>
      <c r="Q188" s="8"/>
      <c r="R188" s="8"/>
      <c r="S188" s="8"/>
      <c r="T188" s="8"/>
      <c r="U188" s="8"/>
      <c r="V188" s="826"/>
      <c r="W188" s="8"/>
      <c r="X188" s="8"/>
      <c r="Y188" s="8"/>
      <c r="Z188" s="8"/>
      <c r="AA188" s="8"/>
      <c r="AB188" s="8"/>
      <c r="AC188" s="8"/>
      <c r="AD188" s="8"/>
      <c r="AE188" s="8"/>
      <c r="AF188" s="826"/>
      <c r="AG188" s="8"/>
      <c r="AH188" s="8"/>
      <c r="AI188" s="11"/>
      <c r="AJ188" s="11"/>
      <c r="AK188" s="11"/>
      <c r="AL188" s="6"/>
      <c r="AM188" s="23"/>
      <c r="AN188" s="23"/>
      <c r="AO188" s="23"/>
      <c r="AP188" s="180"/>
      <c r="AQ188" s="23"/>
      <c r="AR188" s="23"/>
      <c r="AS188" s="23"/>
      <c r="AT188" s="23"/>
      <c r="AU188" s="23"/>
      <c r="AV188" s="152"/>
      <c r="AW188" s="152"/>
      <c r="AX188" s="152"/>
      <c r="AY188" s="152"/>
      <c r="AZ188" s="217"/>
      <c r="BA188" s="309"/>
      <c r="BB188" s="309"/>
      <c r="BC188" s="309"/>
      <c r="BD188" s="365"/>
      <c r="BE188" s="535"/>
      <c r="BF188" s="535"/>
      <c r="BG188" s="365"/>
      <c r="BH188" s="365"/>
      <c r="BI188" s="365"/>
      <c r="BJ188" s="410"/>
      <c r="BK188" s="410"/>
      <c r="BL188" s="566"/>
      <c r="BM188" s="566"/>
      <c r="BN188" s="309"/>
      <c r="BQ188" s="152"/>
      <c r="BR188" s="320"/>
    </row>
    <row r="189" spans="1:70" ht="12.75" customHeight="1">
      <c r="A189" s="119" t="s">
        <v>152</v>
      </c>
      <c r="B189" s="811" t="s">
        <v>3</v>
      </c>
      <c r="C189" s="18" t="s">
        <v>3</v>
      </c>
      <c r="D189" s="18" t="s">
        <v>3</v>
      </c>
      <c r="E189" s="18" t="s">
        <v>3</v>
      </c>
      <c r="F189" s="18" t="s">
        <v>3</v>
      </c>
      <c r="G189" s="18" t="s">
        <v>3</v>
      </c>
      <c r="H189" s="18" t="s">
        <v>3</v>
      </c>
      <c r="I189" s="18" t="s">
        <v>3</v>
      </c>
      <c r="J189" s="18" t="s">
        <v>3</v>
      </c>
      <c r="K189" s="18" t="s">
        <v>3</v>
      </c>
      <c r="L189" s="811" t="s">
        <v>3</v>
      </c>
      <c r="M189" s="18" t="s">
        <v>3</v>
      </c>
      <c r="N189" s="18" t="s">
        <v>3</v>
      </c>
      <c r="O189" s="18" t="s">
        <v>3</v>
      </c>
      <c r="P189" s="18" t="s">
        <v>3</v>
      </c>
      <c r="Q189" s="17" t="s">
        <v>11</v>
      </c>
      <c r="R189" s="11">
        <v>1</v>
      </c>
      <c r="S189" s="11">
        <v>2</v>
      </c>
      <c r="T189" s="11">
        <v>2</v>
      </c>
      <c r="U189" s="11">
        <v>3</v>
      </c>
      <c r="V189" s="596">
        <v>9</v>
      </c>
      <c r="W189" s="11">
        <v>6</v>
      </c>
      <c r="X189" s="18" t="s">
        <v>3</v>
      </c>
      <c r="Y189" s="18" t="s">
        <v>3</v>
      </c>
      <c r="Z189" s="18" t="s">
        <v>3</v>
      </c>
      <c r="AA189" s="18" t="s">
        <v>3</v>
      </c>
      <c r="AB189" s="18" t="s">
        <v>3</v>
      </c>
      <c r="AC189" s="18" t="s">
        <v>3</v>
      </c>
      <c r="AD189" s="18" t="s">
        <v>3</v>
      </c>
      <c r="AE189" s="18" t="s">
        <v>3</v>
      </c>
      <c r="AF189" s="811" t="s">
        <v>3</v>
      </c>
      <c r="AG189" s="18" t="s">
        <v>3</v>
      </c>
      <c r="AH189" s="18" t="s">
        <v>3</v>
      </c>
      <c r="AI189" s="18" t="s">
        <v>3</v>
      </c>
      <c r="AJ189" s="18" t="s">
        <v>3</v>
      </c>
      <c r="AK189" s="18" t="s">
        <v>3</v>
      </c>
      <c r="AL189" s="18" t="s">
        <v>3</v>
      </c>
      <c r="AM189" s="18" t="s">
        <v>3</v>
      </c>
      <c r="AN189" s="18" t="s">
        <v>3</v>
      </c>
      <c r="AO189" s="18" t="s">
        <v>3</v>
      </c>
      <c r="AP189" s="811" t="s">
        <v>3</v>
      </c>
      <c r="AQ189" s="18" t="s">
        <v>3</v>
      </c>
      <c r="AR189" s="18" t="s">
        <v>3</v>
      </c>
      <c r="AS189" s="18" t="s">
        <v>3</v>
      </c>
      <c r="AT189" s="18" t="s">
        <v>3</v>
      </c>
      <c r="AU189" s="18" t="s">
        <v>3</v>
      </c>
      <c r="AV189" s="219" t="s">
        <v>3</v>
      </c>
      <c r="AW189" s="219" t="s">
        <v>3</v>
      </c>
      <c r="AX189" s="219" t="s">
        <v>3</v>
      </c>
      <c r="AY189" s="219" t="s">
        <v>3</v>
      </c>
      <c r="AZ189" s="859" t="s">
        <v>3</v>
      </c>
      <c r="BA189" s="371" t="s">
        <v>3</v>
      </c>
      <c r="BB189" s="371" t="s">
        <v>3</v>
      </c>
      <c r="BC189" s="371" t="s">
        <v>3</v>
      </c>
      <c r="BD189" s="551" t="s">
        <v>3</v>
      </c>
      <c r="BE189" s="551" t="s">
        <v>3</v>
      </c>
      <c r="BF189" s="551" t="s">
        <v>3</v>
      </c>
      <c r="BG189" s="551" t="s">
        <v>3</v>
      </c>
      <c r="BH189" s="551" t="s">
        <v>3</v>
      </c>
      <c r="BI189" s="551" t="s">
        <v>3</v>
      </c>
      <c r="BJ189" s="874" t="s">
        <v>10</v>
      </c>
      <c r="BK189" s="874" t="s">
        <v>10</v>
      </c>
      <c r="BL189" s="568" t="s">
        <v>10</v>
      </c>
      <c r="BM189" s="568" t="s">
        <v>10</v>
      </c>
      <c r="BN189" s="309"/>
      <c r="BQ189" s="152"/>
      <c r="BR189" s="320"/>
    </row>
    <row r="190" spans="1:70" ht="11.25" customHeight="1">
      <c r="A190" s="115"/>
      <c r="L190" s="596"/>
      <c r="M190" s="11"/>
      <c r="N190" s="11"/>
      <c r="O190" s="11"/>
      <c r="P190" s="11"/>
      <c r="Q190" s="11"/>
      <c r="R190" s="11"/>
      <c r="S190" s="11"/>
      <c r="T190" s="11"/>
      <c r="U190" s="11"/>
      <c r="V190" s="596"/>
      <c r="W190" s="11"/>
      <c r="X190" s="11"/>
      <c r="Y190" s="11"/>
      <c r="Z190" s="11"/>
      <c r="AA190" s="11"/>
      <c r="AB190" s="11"/>
      <c r="AC190" s="11"/>
      <c r="AD190" s="11"/>
      <c r="AE190" s="11"/>
      <c r="AF190" s="596"/>
      <c r="AG190" s="11"/>
      <c r="AH190" s="11"/>
      <c r="AI190" s="11"/>
      <c r="AJ190" s="11"/>
      <c r="AK190" s="11"/>
      <c r="AL190" s="6"/>
      <c r="AM190" s="23"/>
      <c r="AN190" s="23"/>
      <c r="AO190" s="23"/>
      <c r="AP190" s="180"/>
      <c r="AQ190" s="23"/>
      <c r="AR190" s="23"/>
      <c r="AS190" s="23"/>
      <c r="AT190" s="23"/>
      <c r="AU190" s="23"/>
      <c r="AV190" s="152"/>
      <c r="AW190" s="152"/>
      <c r="AX190" s="152"/>
      <c r="AY190" s="152"/>
      <c r="AZ190" s="535"/>
      <c r="BA190" s="309"/>
      <c r="BB190" s="316"/>
      <c r="BC190" s="296"/>
      <c r="BD190" s="365"/>
      <c r="BE190" s="535"/>
      <c r="BF190" s="535"/>
      <c r="BG190" s="365"/>
      <c r="BH190" s="365"/>
      <c r="BI190" s="365"/>
      <c r="BJ190" s="871"/>
      <c r="BK190" s="871"/>
      <c r="BL190" s="565"/>
      <c r="BM190" s="565"/>
      <c r="BN190" s="316"/>
      <c r="BQ190" s="152"/>
      <c r="BR190" s="320"/>
    </row>
    <row r="191" spans="1:70" ht="13.5" customHeight="1">
      <c r="A191" s="116" t="s">
        <v>49</v>
      </c>
      <c r="L191" s="596"/>
      <c r="M191" s="11"/>
      <c r="N191" s="11"/>
      <c r="O191" s="11"/>
      <c r="P191" s="11"/>
      <c r="Q191" s="11"/>
      <c r="R191" s="11"/>
      <c r="S191" s="11"/>
      <c r="T191" s="11"/>
      <c r="U191" s="11"/>
      <c r="V191" s="596"/>
      <c r="W191" s="11"/>
      <c r="X191" s="11"/>
      <c r="Y191" s="11"/>
      <c r="Z191" s="11"/>
      <c r="AA191" s="11"/>
      <c r="AB191" s="11"/>
      <c r="AC191" s="11"/>
      <c r="AD191" s="11"/>
      <c r="AE191" s="11"/>
      <c r="AF191" s="596"/>
      <c r="AG191" s="11"/>
      <c r="AH191" s="11"/>
      <c r="AI191" s="11"/>
      <c r="AJ191" s="11"/>
      <c r="AK191" s="11"/>
      <c r="AL191" s="6"/>
      <c r="AM191" s="23"/>
      <c r="AN191" s="23"/>
      <c r="AO191" s="23"/>
      <c r="AP191" s="180"/>
      <c r="AQ191" s="23"/>
      <c r="AR191" s="23"/>
      <c r="AS191" s="23"/>
      <c r="AT191" s="23"/>
      <c r="AU191" s="23"/>
      <c r="AV191" s="152"/>
      <c r="AW191" s="152"/>
      <c r="AX191" s="152"/>
      <c r="AY191" s="152"/>
      <c r="AZ191" s="535"/>
      <c r="BA191" s="309"/>
      <c r="BB191" s="316"/>
      <c r="BC191" s="296"/>
      <c r="BD191" s="535"/>
      <c r="BE191" s="535"/>
      <c r="BF191" s="535"/>
      <c r="BG191" s="535"/>
      <c r="BH191" s="535"/>
      <c r="BI191" s="535"/>
      <c r="BJ191" s="871"/>
      <c r="BK191" s="871"/>
      <c r="BL191" s="565"/>
      <c r="BM191" s="565"/>
      <c r="BN191" s="316"/>
      <c r="BQ191" s="152"/>
      <c r="BR191" s="320"/>
    </row>
    <row r="192" spans="1:70" s="711" customFormat="1" ht="11.25" customHeight="1">
      <c r="A192" s="707" t="s">
        <v>153</v>
      </c>
      <c r="B192" s="593">
        <v>3</v>
      </c>
      <c r="C192" s="716">
        <v>3</v>
      </c>
      <c r="D192" s="716">
        <v>3</v>
      </c>
      <c r="E192" s="716">
        <v>4</v>
      </c>
      <c r="F192" s="716">
        <v>4</v>
      </c>
      <c r="G192" s="716">
        <v>5</v>
      </c>
      <c r="H192" s="716">
        <v>5</v>
      </c>
      <c r="I192" s="716">
        <v>5</v>
      </c>
      <c r="J192" s="716">
        <v>5</v>
      </c>
      <c r="K192" s="716">
        <v>6</v>
      </c>
      <c r="L192" s="594">
        <v>6</v>
      </c>
      <c r="M192" s="724">
        <v>6</v>
      </c>
      <c r="N192" s="724">
        <v>7</v>
      </c>
      <c r="O192" s="724">
        <v>6</v>
      </c>
      <c r="P192" s="724">
        <v>8</v>
      </c>
      <c r="Q192" s="724">
        <v>9</v>
      </c>
      <c r="R192" s="724">
        <v>9</v>
      </c>
      <c r="S192" s="724">
        <v>8</v>
      </c>
      <c r="T192" s="724">
        <v>7</v>
      </c>
      <c r="U192" s="724">
        <v>8</v>
      </c>
      <c r="V192" s="594">
        <v>14</v>
      </c>
      <c r="W192" s="724">
        <v>19</v>
      </c>
      <c r="X192" s="724">
        <v>20</v>
      </c>
      <c r="Y192" s="724">
        <v>27</v>
      </c>
      <c r="Z192" s="724">
        <v>38</v>
      </c>
      <c r="AA192" s="724">
        <v>40</v>
      </c>
      <c r="AB192" s="724">
        <v>48</v>
      </c>
      <c r="AC192" s="724">
        <v>52</v>
      </c>
      <c r="AD192" s="724">
        <v>20</v>
      </c>
      <c r="AE192" s="724">
        <v>22</v>
      </c>
      <c r="AF192" s="594">
        <v>23</v>
      </c>
      <c r="AG192" s="724">
        <v>27</v>
      </c>
      <c r="AH192" s="724">
        <v>23</v>
      </c>
      <c r="AI192" s="724">
        <v>33</v>
      </c>
      <c r="AJ192" s="724">
        <v>34</v>
      </c>
      <c r="AK192" s="724">
        <v>31</v>
      </c>
      <c r="AL192" s="724">
        <v>28</v>
      </c>
      <c r="AM192" s="725">
        <v>32</v>
      </c>
      <c r="AN192" s="725">
        <v>30</v>
      </c>
      <c r="AO192" s="725">
        <v>29</v>
      </c>
      <c r="AP192" s="776">
        <v>36</v>
      </c>
      <c r="AQ192" s="726">
        <v>39</v>
      </c>
      <c r="AR192" s="726">
        <v>44</v>
      </c>
      <c r="AS192" s="726">
        <v>44</v>
      </c>
      <c r="AT192" s="726">
        <v>68</v>
      </c>
      <c r="AU192" s="726">
        <v>63</v>
      </c>
      <c r="AV192" s="727">
        <v>61</v>
      </c>
      <c r="AW192" s="727">
        <v>62.768115942028992</v>
      </c>
      <c r="AX192" s="727">
        <v>67.352380952380955</v>
      </c>
      <c r="AY192" s="727">
        <v>67</v>
      </c>
      <c r="AZ192" s="270">
        <v>72</v>
      </c>
      <c r="BA192" s="639">
        <v>71</v>
      </c>
      <c r="BB192" s="639">
        <v>71</v>
      </c>
      <c r="BC192" s="639">
        <v>72</v>
      </c>
      <c r="BD192" s="639">
        <v>70</v>
      </c>
      <c r="BE192" s="639">
        <v>72</v>
      </c>
      <c r="BF192" s="639">
        <v>83</v>
      </c>
      <c r="BG192" s="358">
        <v>81</v>
      </c>
      <c r="BH192" s="358">
        <v>85</v>
      </c>
      <c r="BI192" s="358">
        <v>99</v>
      </c>
      <c r="BJ192" s="410">
        <f t="shared" ref="BJ192:BK195" si="83">(BH192-BG192)/BG192</f>
        <v>4.9382716049382713E-2</v>
      </c>
      <c r="BK192" s="410">
        <f t="shared" si="83"/>
        <v>0.16470588235294117</v>
      </c>
      <c r="BL192" s="564">
        <f t="shared" ref="BL192:BM195" si="84">BH192-BG192</f>
        <v>4</v>
      </c>
      <c r="BM192" s="564">
        <f t="shared" si="84"/>
        <v>14</v>
      </c>
      <c r="BN192" s="639"/>
      <c r="BO192" s="708"/>
      <c r="BP192" s="708"/>
      <c r="BQ192" s="709"/>
      <c r="BR192" s="710"/>
    </row>
    <row r="193" spans="1:70" ht="11.25" customHeight="1">
      <c r="A193" s="119" t="s">
        <v>154</v>
      </c>
      <c r="B193" s="806" t="s">
        <v>3</v>
      </c>
      <c r="C193" s="142" t="s">
        <v>3</v>
      </c>
      <c r="D193" s="142" t="s">
        <v>3</v>
      </c>
      <c r="E193" s="142" t="s">
        <v>3</v>
      </c>
      <c r="F193" s="142" t="s">
        <v>3</v>
      </c>
      <c r="G193" s="142" t="s">
        <v>3</v>
      </c>
      <c r="H193" s="142" t="s">
        <v>3</v>
      </c>
      <c r="I193" s="142" t="s">
        <v>3</v>
      </c>
      <c r="J193" s="142" t="s">
        <v>3</v>
      </c>
      <c r="K193" s="142" t="s">
        <v>3</v>
      </c>
      <c r="L193" s="829" t="s">
        <v>3</v>
      </c>
      <c r="M193" s="146" t="s">
        <v>3</v>
      </c>
      <c r="N193" s="146" t="s">
        <v>3</v>
      </c>
      <c r="O193" s="146" t="s">
        <v>3</v>
      </c>
      <c r="P193" s="146" t="s">
        <v>3</v>
      </c>
      <c r="Q193" s="146" t="s">
        <v>3</v>
      </c>
      <c r="R193" s="146" t="s">
        <v>3</v>
      </c>
      <c r="S193" s="146" t="s">
        <v>3</v>
      </c>
      <c r="T193" s="146" t="s">
        <v>3</v>
      </c>
      <c r="U193" s="146" t="s">
        <v>3</v>
      </c>
      <c r="V193" s="829" t="s">
        <v>3</v>
      </c>
      <c r="W193" s="146" t="s">
        <v>3</v>
      </c>
      <c r="X193" s="146" t="s">
        <v>3</v>
      </c>
      <c r="Y193" s="146" t="s">
        <v>3</v>
      </c>
      <c r="Z193" s="146" t="s">
        <v>3</v>
      </c>
      <c r="AA193" s="146" t="s">
        <v>3</v>
      </c>
      <c r="AB193" s="146" t="s">
        <v>3</v>
      </c>
      <c r="AC193" s="146" t="s">
        <v>3</v>
      </c>
      <c r="AD193" s="146">
        <v>27</v>
      </c>
      <c r="AE193" s="146">
        <v>43</v>
      </c>
      <c r="AF193" s="829">
        <v>41</v>
      </c>
      <c r="AG193" s="146">
        <v>44</v>
      </c>
      <c r="AH193" s="146">
        <v>44</v>
      </c>
      <c r="AI193" s="146">
        <v>39</v>
      </c>
      <c r="AJ193" s="146">
        <v>36</v>
      </c>
      <c r="AK193" s="146">
        <v>41</v>
      </c>
      <c r="AL193" s="146">
        <v>43</v>
      </c>
      <c r="AM193" s="42">
        <v>43</v>
      </c>
      <c r="AN193" s="42">
        <v>46</v>
      </c>
      <c r="AO193" s="142">
        <v>55</v>
      </c>
      <c r="AP193" s="835">
        <v>61</v>
      </c>
      <c r="AQ193" s="54">
        <v>71</v>
      </c>
      <c r="AR193" s="54">
        <v>66</v>
      </c>
      <c r="AS193" s="54">
        <v>68</v>
      </c>
      <c r="AT193" s="54">
        <v>76</v>
      </c>
      <c r="AU193" s="54">
        <v>71</v>
      </c>
      <c r="AV193" s="163">
        <v>81</v>
      </c>
      <c r="AW193" s="163">
        <v>86</v>
      </c>
      <c r="AX193" s="270">
        <v>80</v>
      </c>
      <c r="AY193" s="270">
        <v>83</v>
      </c>
      <c r="AZ193" s="270">
        <v>91</v>
      </c>
      <c r="BA193" s="358">
        <v>105</v>
      </c>
      <c r="BB193" s="358">
        <v>99</v>
      </c>
      <c r="BC193" s="358">
        <v>112</v>
      </c>
      <c r="BD193" s="358">
        <v>101</v>
      </c>
      <c r="BE193" s="358">
        <v>96</v>
      </c>
      <c r="BF193" s="358">
        <v>107</v>
      </c>
      <c r="BG193" s="358">
        <v>113</v>
      </c>
      <c r="BH193" s="358">
        <v>140</v>
      </c>
      <c r="BI193" s="358">
        <v>124</v>
      </c>
      <c r="BJ193" s="410">
        <f t="shared" si="83"/>
        <v>0.23893805309734514</v>
      </c>
      <c r="BK193" s="410">
        <f t="shared" si="83"/>
        <v>-0.11428571428571428</v>
      </c>
      <c r="BL193" s="564">
        <f t="shared" si="84"/>
        <v>27</v>
      </c>
      <c r="BM193" s="564">
        <f t="shared" si="84"/>
        <v>-16</v>
      </c>
      <c r="BN193" s="348"/>
      <c r="BQ193" s="152"/>
      <c r="BR193" s="320"/>
    </row>
    <row r="194" spans="1:70" ht="11.25" customHeight="1">
      <c r="A194" s="119" t="s">
        <v>4</v>
      </c>
      <c r="B194" s="593">
        <v>22</v>
      </c>
      <c r="C194" s="25">
        <v>24</v>
      </c>
      <c r="D194" s="25">
        <v>25</v>
      </c>
      <c r="E194" s="25">
        <v>27</v>
      </c>
      <c r="F194" s="25">
        <v>27</v>
      </c>
      <c r="G194" s="25">
        <v>31</v>
      </c>
      <c r="H194" s="25">
        <v>34</v>
      </c>
      <c r="I194" s="25">
        <v>36</v>
      </c>
      <c r="J194" s="25">
        <v>38</v>
      </c>
      <c r="K194" s="25">
        <v>43</v>
      </c>
      <c r="L194" s="680">
        <v>49</v>
      </c>
      <c r="M194" s="14">
        <v>55</v>
      </c>
      <c r="N194" s="14">
        <v>58</v>
      </c>
      <c r="O194" s="14">
        <v>62</v>
      </c>
      <c r="P194" s="14">
        <v>73</v>
      </c>
      <c r="Q194" s="14">
        <v>71</v>
      </c>
      <c r="R194" s="14">
        <v>84</v>
      </c>
      <c r="S194" s="14">
        <v>87</v>
      </c>
      <c r="T194" s="14">
        <v>92</v>
      </c>
      <c r="U194" s="14">
        <v>97</v>
      </c>
      <c r="V194" s="680">
        <v>103</v>
      </c>
      <c r="W194" s="14">
        <v>112</v>
      </c>
      <c r="X194" s="14">
        <v>129</v>
      </c>
      <c r="Y194" s="14">
        <v>145</v>
      </c>
      <c r="Z194" s="14">
        <v>159</v>
      </c>
      <c r="AA194" s="14">
        <v>196</v>
      </c>
      <c r="AB194" s="14">
        <v>204</v>
      </c>
      <c r="AC194" s="14">
        <v>231</v>
      </c>
      <c r="AD194" s="14">
        <v>251</v>
      </c>
      <c r="AE194" s="14">
        <v>305</v>
      </c>
      <c r="AF194" s="680">
        <v>320</v>
      </c>
      <c r="AG194" s="14">
        <v>354</v>
      </c>
      <c r="AH194" s="14">
        <v>389</v>
      </c>
      <c r="AI194" s="14">
        <v>453</v>
      </c>
      <c r="AJ194" s="14">
        <v>493</v>
      </c>
      <c r="AK194" s="14">
        <v>528</v>
      </c>
      <c r="AL194" s="14">
        <v>581</v>
      </c>
      <c r="AM194" s="36">
        <v>685</v>
      </c>
      <c r="AN194" s="36">
        <v>715</v>
      </c>
      <c r="AO194" s="36">
        <v>840</v>
      </c>
      <c r="AP194" s="681">
        <v>872</v>
      </c>
      <c r="AQ194" s="38">
        <v>999</v>
      </c>
      <c r="AR194" s="38">
        <v>1155</v>
      </c>
      <c r="AS194" s="38">
        <v>1145</v>
      </c>
      <c r="AT194" s="38">
        <v>1247</v>
      </c>
      <c r="AU194" s="38">
        <v>1402</v>
      </c>
      <c r="AV194" s="210">
        <v>1513</v>
      </c>
      <c r="AW194" s="95">
        <v>1789</v>
      </c>
      <c r="AX194" s="95">
        <v>1868</v>
      </c>
      <c r="AY194" s="95">
        <v>1984</v>
      </c>
      <c r="AZ194" s="269">
        <v>1954</v>
      </c>
      <c r="BA194" s="349">
        <v>2117</v>
      </c>
      <c r="BB194" s="349">
        <v>2332</v>
      </c>
      <c r="BC194" s="349">
        <v>2547</v>
      </c>
      <c r="BD194" s="361">
        <v>2683</v>
      </c>
      <c r="BE194" s="361">
        <v>3039</v>
      </c>
      <c r="BF194" s="361">
        <v>3192</v>
      </c>
      <c r="BG194" s="361">
        <v>3180</v>
      </c>
      <c r="BH194" s="361">
        <v>3409</v>
      </c>
      <c r="BI194" s="361">
        <v>3455</v>
      </c>
      <c r="BJ194" s="410">
        <f t="shared" si="83"/>
        <v>7.2012578616352199E-2</v>
      </c>
      <c r="BK194" s="410">
        <f t="shared" si="83"/>
        <v>1.3493693165151071E-2</v>
      </c>
      <c r="BL194" s="564">
        <f t="shared" si="84"/>
        <v>229</v>
      </c>
      <c r="BM194" s="564">
        <f t="shared" si="84"/>
        <v>46</v>
      </c>
      <c r="BN194" s="348"/>
      <c r="BQ194" s="152"/>
      <c r="BR194" s="320"/>
    </row>
    <row r="195" spans="1:70">
      <c r="A195" s="393" t="s">
        <v>31</v>
      </c>
      <c r="B195" s="394">
        <f t="shared" ref="B195:Q195" si="85">SUM(B192:B194)</f>
        <v>25</v>
      </c>
      <c r="C195" s="394">
        <f t="shared" si="85"/>
        <v>27</v>
      </c>
      <c r="D195" s="394">
        <f t="shared" si="85"/>
        <v>28</v>
      </c>
      <c r="E195" s="394">
        <f t="shared" si="85"/>
        <v>31</v>
      </c>
      <c r="F195" s="394">
        <f t="shared" si="85"/>
        <v>31</v>
      </c>
      <c r="G195" s="394">
        <f t="shared" si="85"/>
        <v>36</v>
      </c>
      <c r="H195" s="394">
        <f t="shared" si="85"/>
        <v>39</v>
      </c>
      <c r="I195" s="394">
        <f t="shared" si="85"/>
        <v>41</v>
      </c>
      <c r="J195" s="394">
        <f t="shared" si="85"/>
        <v>43</v>
      </c>
      <c r="K195" s="394">
        <f t="shared" si="85"/>
        <v>49</v>
      </c>
      <c r="L195" s="394">
        <f t="shared" si="85"/>
        <v>55</v>
      </c>
      <c r="M195" s="394">
        <f t="shared" si="85"/>
        <v>61</v>
      </c>
      <c r="N195" s="394">
        <f t="shared" si="85"/>
        <v>65</v>
      </c>
      <c r="O195" s="394">
        <f t="shared" si="85"/>
        <v>68</v>
      </c>
      <c r="P195" s="394">
        <f t="shared" si="85"/>
        <v>81</v>
      </c>
      <c r="Q195" s="394">
        <f t="shared" si="85"/>
        <v>80</v>
      </c>
      <c r="R195" s="394">
        <f>SUM(R192:R194)</f>
        <v>93</v>
      </c>
      <c r="S195" s="394">
        <f>SUM(S192:S194)</f>
        <v>95</v>
      </c>
      <c r="T195" s="394">
        <f>SUM(T192:T194)</f>
        <v>99</v>
      </c>
      <c r="U195" s="394">
        <f>SUM(U192:U194)</f>
        <v>105</v>
      </c>
      <c r="V195" s="394">
        <f t="shared" ref="V195:AE195" si="86">SUM(V192:V194)</f>
        <v>117</v>
      </c>
      <c r="W195" s="394">
        <f t="shared" si="86"/>
        <v>131</v>
      </c>
      <c r="X195" s="394">
        <f t="shared" si="86"/>
        <v>149</v>
      </c>
      <c r="Y195" s="394">
        <f t="shared" si="86"/>
        <v>172</v>
      </c>
      <c r="Z195" s="394">
        <f t="shared" si="86"/>
        <v>197</v>
      </c>
      <c r="AA195" s="394">
        <f t="shared" si="86"/>
        <v>236</v>
      </c>
      <c r="AB195" s="394">
        <f t="shared" si="86"/>
        <v>252</v>
      </c>
      <c r="AC195" s="394">
        <f t="shared" si="86"/>
        <v>283</v>
      </c>
      <c r="AD195" s="394">
        <f t="shared" si="86"/>
        <v>298</v>
      </c>
      <c r="AE195" s="394">
        <f t="shared" si="86"/>
        <v>370</v>
      </c>
      <c r="AF195" s="394">
        <f t="shared" ref="AF195:AN195" si="87">SUM(AF192:AF194)</f>
        <v>384</v>
      </c>
      <c r="AG195" s="394">
        <f t="shared" si="87"/>
        <v>425</v>
      </c>
      <c r="AH195" s="394">
        <f t="shared" si="87"/>
        <v>456</v>
      </c>
      <c r="AI195" s="394">
        <f t="shared" si="87"/>
        <v>525</v>
      </c>
      <c r="AJ195" s="394">
        <f t="shared" si="87"/>
        <v>563</v>
      </c>
      <c r="AK195" s="394">
        <f t="shared" si="87"/>
        <v>600</v>
      </c>
      <c r="AL195" s="394">
        <f t="shared" si="87"/>
        <v>652</v>
      </c>
      <c r="AM195" s="394">
        <f t="shared" si="87"/>
        <v>760</v>
      </c>
      <c r="AN195" s="394">
        <f t="shared" si="87"/>
        <v>791</v>
      </c>
      <c r="AO195" s="394">
        <f t="shared" ref="AO195:AT195" si="88">SUM(AO192:AO194)</f>
        <v>924</v>
      </c>
      <c r="AP195" s="394">
        <f t="shared" si="88"/>
        <v>969</v>
      </c>
      <c r="AQ195" s="394">
        <f t="shared" si="88"/>
        <v>1109</v>
      </c>
      <c r="AR195" s="394">
        <f t="shared" si="88"/>
        <v>1265</v>
      </c>
      <c r="AS195" s="394">
        <f t="shared" si="88"/>
        <v>1257</v>
      </c>
      <c r="AT195" s="394">
        <f t="shared" si="88"/>
        <v>1391</v>
      </c>
      <c r="AU195" s="394">
        <f t="shared" ref="AU195:BA195" si="89">SUM(AU194+AU193+AU192)</f>
        <v>1536</v>
      </c>
      <c r="AV195" s="395">
        <f t="shared" si="89"/>
        <v>1655</v>
      </c>
      <c r="AW195" s="395">
        <f t="shared" si="89"/>
        <v>1937.768115942029</v>
      </c>
      <c r="AX195" s="395">
        <f t="shared" si="89"/>
        <v>2015.3523809523811</v>
      </c>
      <c r="AY195" s="395">
        <f t="shared" si="89"/>
        <v>2134</v>
      </c>
      <c r="AZ195" s="395">
        <f t="shared" si="89"/>
        <v>2117</v>
      </c>
      <c r="BA195" s="396">
        <f t="shared" si="89"/>
        <v>2293</v>
      </c>
      <c r="BB195" s="396">
        <f t="shared" ref="BB195:BG195" si="90">SUM(BB194+BB193+BB192)</f>
        <v>2502</v>
      </c>
      <c r="BC195" s="396">
        <f t="shared" si="90"/>
        <v>2731</v>
      </c>
      <c r="BD195" s="396">
        <f t="shared" si="90"/>
        <v>2854</v>
      </c>
      <c r="BE195" s="396">
        <f t="shared" si="90"/>
        <v>3207</v>
      </c>
      <c r="BF195" s="396">
        <f t="shared" si="90"/>
        <v>3382</v>
      </c>
      <c r="BG195" s="396">
        <f t="shared" si="90"/>
        <v>3374</v>
      </c>
      <c r="BH195" s="396">
        <f t="shared" ref="BH195:BI195" si="91">SUM(BH194+BH193+BH192)</f>
        <v>3634</v>
      </c>
      <c r="BI195" s="396">
        <f t="shared" si="91"/>
        <v>3678</v>
      </c>
      <c r="BJ195" s="872">
        <f t="shared" si="83"/>
        <v>7.7059869590989927E-2</v>
      </c>
      <c r="BK195" s="872">
        <f t="shared" si="83"/>
        <v>1.2107870115575124E-2</v>
      </c>
      <c r="BL195" s="567">
        <f t="shared" si="84"/>
        <v>260</v>
      </c>
      <c r="BM195" s="567">
        <f t="shared" si="84"/>
        <v>44</v>
      </c>
      <c r="BN195" s="349"/>
      <c r="BQ195" s="152"/>
      <c r="BR195" s="320"/>
    </row>
    <row r="196" spans="1:70" s="177" customFormat="1" ht="11.25" customHeight="1">
      <c r="A196" s="115"/>
      <c r="B196" s="643"/>
      <c r="C196" s="110"/>
      <c r="D196" s="110"/>
      <c r="E196" s="110"/>
      <c r="F196" s="110"/>
      <c r="G196" s="110"/>
      <c r="H196" s="110"/>
      <c r="I196" s="110"/>
      <c r="J196" s="110"/>
      <c r="K196" s="110"/>
      <c r="L196" s="643"/>
      <c r="M196" s="110"/>
      <c r="N196" s="110"/>
      <c r="O196" s="110"/>
      <c r="P196" s="110"/>
      <c r="Q196" s="110"/>
      <c r="R196" s="110"/>
      <c r="S196" s="110"/>
      <c r="T196" s="110"/>
      <c r="U196" s="110"/>
      <c r="V196" s="643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643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643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643"/>
      <c r="BA196" s="110"/>
      <c r="BB196" s="110"/>
      <c r="BC196" s="110"/>
      <c r="BD196" s="110"/>
      <c r="BE196" s="110"/>
      <c r="BF196" s="643"/>
      <c r="BG196" s="643"/>
      <c r="BH196" s="643"/>
      <c r="BI196" s="643"/>
      <c r="BJ196" s="871"/>
      <c r="BK196" s="871"/>
      <c r="BL196" s="565"/>
      <c r="BM196" s="565"/>
      <c r="BN196" s="316"/>
      <c r="BO196" s="112"/>
      <c r="BP196" s="112"/>
      <c r="BQ196" s="152"/>
      <c r="BR196" s="391"/>
    </row>
    <row r="197" spans="1:70" ht="12" customHeight="1">
      <c r="A197" s="116" t="s">
        <v>34</v>
      </c>
      <c r="L197" s="596"/>
      <c r="M197" s="11"/>
      <c r="N197" s="11"/>
      <c r="O197" s="11"/>
      <c r="P197" s="11"/>
      <c r="Q197" s="11"/>
      <c r="R197" s="11"/>
      <c r="S197" s="11"/>
      <c r="T197" s="11"/>
      <c r="U197" s="11"/>
      <c r="V197" s="596"/>
      <c r="W197" s="11"/>
      <c r="X197" s="11"/>
      <c r="Y197" s="11"/>
      <c r="Z197" s="11"/>
      <c r="AA197" s="11"/>
      <c r="AB197" s="11"/>
      <c r="AC197" s="11"/>
      <c r="AD197" s="11"/>
      <c r="AE197" s="11"/>
      <c r="AF197" s="596"/>
      <c r="AG197" s="11"/>
      <c r="AH197" s="11"/>
      <c r="AI197" s="11"/>
      <c r="AJ197" s="11"/>
      <c r="AK197" s="11"/>
      <c r="AL197" s="6"/>
      <c r="AM197" s="23"/>
      <c r="AN197" s="23"/>
      <c r="AO197" s="23"/>
      <c r="AP197" s="180"/>
      <c r="AQ197" s="23"/>
      <c r="AR197" s="23"/>
      <c r="AS197" s="23"/>
      <c r="AT197" s="23"/>
      <c r="AU197" s="23"/>
      <c r="AV197" s="152"/>
      <c r="AW197" s="152"/>
      <c r="AX197" s="152"/>
      <c r="AY197" s="152"/>
      <c r="AZ197" s="535"/>
      <c r="BA197" s="309"/>
      <c r="BB197" s="316"/>
      <c r="BC197" s="296"/>
      <c r="BD197" s="535"/>
      <c r="BE197" s="535"/>
      <c r="BF197" s="535"/>
      <c r="BG197" s="535"/>
      <c r="BH197" s="535"/>
      <c r="BI197" s="535"/>
      <c r="BJ197" s="871"/>
      <c r="BK197" s="871"/>
      <c r="BL197" s="565"/>
      <c r="BM197" s="565"/>
      <c r="BN197" s="316"/>
      <c r="BQ197" s="152"/>
      <c r="BR197" s="320"/>
    </row>
    <row r="198" spans="1:70" ht="11.25" customHeight="1">
      <c r="A198" s="115" t="s">
        <v>12</v>
      </c>
      <c r="B198" s="593">
        <v>5</v>
      </c>
      <c r="C198" s="25">
        <v>5</v>
      </c>
      <c r="D198" s="25">
        <v>6</v>
      </c>
      <c r="E198" s="25">
        <v>6</v>
      </c>
      <c r="F198" s="25">
        <v>7</v>
      </c>
      <c r="G198" s="25">
        <v>7</v>
      </c>
      <c r="H198" s="25">
        <v>7</v>
      </c>
      <c r="I198" s="25">
        <v>8</v>
      </c>
      <c r="J198" s="25">
        <v>8</v>
      </c>
      <c r="K198" s="25">
        <v>8</v>
      </c>
      <c r="L198" s="594">
        <v>9</v>
      </c>
      <c r="M198" s="12">
        <v>11</v>
      </c>
      <c r="N198" s="12">
        <v>12</v>
      </c>
      <c r="O198" s="12">
        <v>12</v>
      </c>
      <c r="P198" s="12">
        <v>14</v>
      </c>
      <c r="Q198" s="12">
        <v>18</v>
      </c>
      <c r="R198" s="12">
        <v>21</v>
      </c>
      <c r="S198" s="12">
        <v>26</v>
      </c>
      <c r="T198" s="12">
        <v>36</v>
      </c>
      <c r="U198" s="12">
        <v>40</v>
      </c>
      <c r="V198" s="594">
        <v>49</v>
      </c>
      <c r="W198" s="12">
        <v>49</v>
      </c>
      <c r="X198" s="12">
        <v>43</v>
      </c>
      <c r="Y198" s="12">
        <v>43</v>
      </c>
      <c r="Z198" s="12">
        <v>42</v>
      </c>
      <c r="AA198" s="12">
        <v>41</v>
      </c>
      <c r="AB198" s="12">
        <v>41</v>
      </c>
      <c r="AC198" s="12">
        <v>43</v>
      </c>
      <c r="AD198" s="12">
        <v>43</v>
      </c>
      <c r="AE198" s="12">
        <v>45</v>
      </c>
      <c r="AF198" s="594">
        <v>47</v>
      </c>
      <c r="AG198" s="12">
        <v>53</v>
      </c>
      <c r="AH198" s="12">
        <v>56</v>
      </c>
      <c r="AI198" s="12">
        <v>62</v>
      </c>
      <c r="AJ198" s="12">
        <v>77</v>
      </c>
      <c r="AK198" s="12">
        <v>81</v>
      </c>
      <c r="AL198" s="12">
        <v>75</v>
      </c>
      <c r="AM198" s="23">
        <v>105</v>
      </c>
      <c r="AN198" s="49">
        <v>106</v>
      </c>
      <c r="AO198" s="49">
        <v>99</v>
      </c>
      <c r="AP198" s="776">
        <v>102</v>
      </c>
      <c r="AQ198" s="49">
        <v>112</v>
      </c>
      <c r="AR198" s="49">
        <v>122</v>
      </c>
      <c r="AS198" s="49">
        <v>117</v>
      </c>
      <c r="AT198" s="49">
        <v>129</v>
      </c>
      <c r="AU198" s="49">
        <v>136</v>
      </c>
      <c r="AV198" s="30">
        <v>136</v>
      </c>
      <c r="AW198" s="30">
        <v>148</v>
      </c>
      <c r="AX198" s="30">
        <v>170</v>
      </c>
      <c r="AY198" s="30">
        <v>153</v>
      </c>
      <c r="AZ198" s="270">
        <v>172</v>
      </c>
      <c r="BA198" s="348">
        <v>164</v>
      </c>
      <c r="BB198" s="348">
        <v>164</v>
      </c>
      <c r="BC198" s="348">
        <v>161</v>
      </c>
      <c r="BD198" s="358">
        <v>148</v>
      </c>
      <c r="BE198" s="358">
        <v>157</v>
      </c>
      <c r="BF198" s="358">
        <v>181</v>
      </c>
      <c r="BG198" s="358">
        <v>174</v>
      </c>
      <c r="BH198" s="358">
        <v>164</v>
      </c>
      <c r="BI198" s="358">
        <v>162</v>
      </c>
      <c r="BJ198" s="410">
        <f>(BH198-BG198)/BG198</f>
        <v>-5.7471264367816091E-2</v>
      </c>
      <c r="BK198" s="410">
        <f>(BI198-BH198)/BH198</f>
        <v>-1.2195121951219513E-2</v>
      </c>
      <c r="BL198" s="564">
        <f>BH198-BG198</f>
        <v>-10</v>
      </c>
      <c r="BM198" s="564">
        <f>BI198-BH198</f>
        <v>-2</v>
      </c>
      <c r="BN198" s="348"/>
      <c r="BQ198" s="152"/>
      <c r="BR198" s="320"/>
    </row>
    <row r="199" spans="1:70" ht="11.25" customHeight="1">
      <c r="A199" s="115"/>
      <c r="L199" s="594"/>
      <c r="M199" s="12"/>
      <c r="N199" s="12"/>
      <c r="O199" s="12"/>
      <c r="P199" s="12"/>
      <c r="Q199" s="12"/>
      <c r="R199" s="12"/>
      <c r="S199" s="12"/>
      <c r="T199" s="12"/>
      <c r="U199" s="12"/>
      <c r="V199" s="594"/>
      <c r="W199" s="12"/>
      <c r="X199" s="12"/>
      <c r="Y199" s="12"/>
      <c r="Z199" s="12"/>
      <c r="AA199" s="12"/>
      <c r="AB199" s="12"/>
      <c r="AC199" s="12"/>
      <c r="AD199" s="12"/>
      <c r="AE199" s="12"/>
      <c r="AF199" s="594"/>
      <c r="AG199" s="12"/>
      <c r="AH199" s="12"/>
      <c r="AI199" s="12"/>
      <c r="AJ199" s="12"/>
      <c r="AK199" s="12"/>
      <c r="AL199" s="12"/>
      <c r="AM199" s="23"/>
      <c r="AN199" s="49"/>
      <c r="AO199" s="49"/>
      <c r="AP199" s="776"/>
      <c r="AQ199" s="49"/>
      <c r="AR199" s="49"/>
      <c r="AS199" s="49"/>
      <c r="AT199" s="49"/>
      <c r="AU199" s="49"/>
      <c r="AV199" s="30"/>
      <c r="AW199" s="30"/>
      <c r="AX199" s="30"/>
      <c r="AY199" s="30"/>
      <c r="AZ199" s="537"/>
      <c r="BA199" s="348"/>
      <c r="BB199" s="348"/>
      <c r="BC199" s="295"/>
      <c r="BD199" s="537"/>
      <c r="BE199" s="537"/>
      <c r="BF199" s="537"/>
      <c r="BG199" s="537"/>
      <c r="BH199" s="537"/>
      <c r="BI199" s="537"/>
      <c r="BJ199" s="410"/>
      <c r="BK199" s="410"/>
      <c r="BL199" s="566"/>
      <c r="BM199" s="566"/>
      <c r="BN199" s="309"/>
      <c r="BQ199" s="152"/>
      <c r="BR199" s="320"/>
    </row>
    <row r="200" spans="1:70" ht="10.5" customHeight="1">
      <c r="A200" s="116" t="s">
        <v>163</v>
      </c>
      <c r="L200" s="594"/>
      <c r="M200" s="325"/>
      <c r="N200" s="325"/>
      <c r="O200" s="325"/>
      <c r="P200" s="325"/>
      <c r="Q200" s="325"/>
      <c r="R200" s="325"/>
      <c r="S200" s="325"/>
      <c r="T200" s="325"/>
      <c r="U200" s="325"/>
      <c r="V200" s="594"/>
      <c r="W200" s="325"/>
      <c r="X200" s="325"/>
      <c r="Y200" s="325"/>
      <c r="Z200" s="325"/>
      <c r="AA200" s="325"/>
      <c r="AB200" s="325"/>
      <c r="AC200" s="325"/>
      <c r="AD200" s="325"/>
      <c r="AE200" s="325"/>
      <c r="AF200" s="594"/>
      <c r="AG200" s="325"/>
      <c r="AH200" s="325"/>
      <c r="AI200" s="325"/>
      <c r="AJ200" s="325"/>
      <c r="AK200" s="325"/>
      <c r="AL200" s="325"/>
      <c r="AM200" s="23"/>
      <c r="AN200" s="49"/>
      <c r="AO200" s="49"/>
      <c r="AP200" s="776"/>
      <c r="AQ200" s="49"/>
      <c r="AR200" s="49"/>
      <c r="AS200" s="49"/>
      <c r="AT200" s="49"/>
      <c r="AU200" s="49"/>
      <c r="AV200" s="30"/>
      <c r="AW200" s="30"/>
      <c r="AX200" s="30"/>
      <c r="AY200" s="30"/>
      <c r="AZ200" s="537"/>
      <c r="BA200" s="348"/>
      <c r="BB200" s="348"/>
      <c r="BC200" s="295"/>
      <c r="BD200" s="537"/>
      <c r="BE200" s="537"/>
      <c r="BF200" s="537"/>
      <c r="BG200" s="537"/>
      <c r="BH200" s="537"/>
      <c r="BI200" s="537"/>
      <c r="BJ200" s="410"/>
      <c r="BK200" s="410"/>
      <c r="BL200" s="566"/>
      <c r="BM200" s="566"/>
      <c r="BN200" s="309"/>
      <c r="BQ200" s="152"/>
      <c r="BR200" s="320"/>
    </row>
    <row r="201" spans="1:70" ht="11.25" customHeight="1">
      <c r="A201" s="119" t="s">
        <v>155</v>
      </c>
      <c r="B201" s="245" t="s">
        <v>3</v>
      </c>
      <c r="C201" s="50" t="s">
        <v>3</v>
      </c>
      <c r="D201" s="50" t="s">
        <v>3</v>
      </c>
      <c r="E201" s="50" t="s">
        <v>3</v>
      </c>
      <c r="F201" s="50" t="s">
        <v>3</v>
      </c>
      <c r="G201" s="50" t="s">
        <v>3</v>
      </c>
      <c r="H201" s="50" t="s">
        <v>3</v>
      </c>
      <c r="I201" s="50" t="s">
        <v>3</v>
      </c>
      <c r="J201" s="50" t="s">
        <v>3</v>
      </c>
      <c r="K201" s="50" t="s">
        <v>3</v>
      </c>
      <c r="L201" s="245" t="s">
        <v>3</v>
      </c>
      <c r="M201" s="50" t="s">
        <v>3</v>
      </c>
      <c r="N201" s="50" t="s">
        <v>3</v>
      </c>
      <c r="O201" s="50" t="s">
        <v>3</v>
      </c>
      <c r="P201" s="50" t="s">
        <v>3</v>
      </c>
      <c r="Q201" s="50" t="s">
        <v>3</v>
      </c>
      <c r="R201" s="50" t="s">
        <v>3</v>
      </c>
      <c r="S201" s="50" t="s">
        <v>3</v>
      </c>
      <c r="T201" s="50" t="s">
        <v>3</v>
      </c>
      <c r="U201" s="325">
        <v>4</v>
      </c>
      <c r="V201" s="594">
        <v>6</v>
      </c>
      <c r="W201" s="325">
        <v>4</v>
      </c>
      <c r="X201" s="325">
        <v>5</v>
      </c>
      <c r="Y201" s="325">
        <v>4</v>
      </c>
      <c r="Z201" s="325">
        <v>5</v>
      </c>
      <c r="AA201" s="325">
        <v>6</v>
      </c>
      <c r="AB201" s="325">
        <v>5</v>
      </c>
      <c r="AC201" s="325">
        <v>5</v>
      </c>
      <c r="AD201" s="325">
        <v>5</v>
      </c>
      <c r="AE201" s="325">
        <v>5</v>
      </c>
      <c r="AF201" s="594">
        <v>5</v>
      </c>
      <c r="AG201" s="325">
        <v>5</v>
      </c>
      <c r="AH201" s="325">
        <v>5</v>
      </c>
      <c r="AI201" s="325">
        <v>6</v>
      </c>
      <c r="AJ201" s="325">
        <v>6</v>
      </c>
      <c r="AK201" s="325">
        <v>7</v>
      </c>
      <c r="AL201" s="325">
        <v>5</v>
      </c>
      <c r="AM201" s="23">
        <v>5</v>
      </c>
      <c r="AN201" s="49">
        <v>5</v>
      </c>
      <c r="AO201" s="49">
        <v>5</v>
      </c>
      <c r="AP201" s="776">
        <v>6</v>
      </c>
      <c r="AQ201" s="49">
        <v>6</v>
      </c>
      <c r="AR201" s="49">
        <v>7</v>
      </c>
      <c r="AS201" s="49">
        <v>7</v>
      </c>
      <c r="AT201" s="49">
        <v>8</v>
      </c>
      <c r="AU201" s="348">
        <v>7</v>
      </c>
      <c r="AV201" s="348">
        <v>8</v>
      </c>
      <c r="AW201" s="348">
        <v>8</v>
      </c>
      <c r="AX201" s="348">
        <v>8</v>
      </c>
      <c r="AY201" s="348">
        <v>8</v>
      </c>
      <c r="AZ201" s="358">
        <v>8</v>
      </c>
      <c r="BA201" s="348">
        <v>8</v>
      </c>
      <c r="BB201" s="348">
        <v>8</v>
      </c>
      <c r="BC201" s="348">
        <v>8</v>
      </c>
      <c r="BD201" s="358">
        <v>9</v>
      </c>
      <c r="BE201" s="358">
        <f>(9/93)*92</f>
        <v>8.9032258064516121</v>
      </c>
      <c r="BF201" s="358">
        <v>10</v>
      </c>
      <c r="BG201" s="358">
        <v>10</v>
      </c>
      <c r="BH201" s="358">
        <v>11</v>
      </c>
      <c r="BI201" s="358">
        <v>11</v>
      </c>
      <c r="BJ201" s="410">
        <f>(BH201-BG201)/BG201</f>
        <v>0.1</v>
      </c>
      <c r="BK201" s="410">
        <f>(BI201-BH201)/BH201</f>
        <v>0</v>
      </c>
      <c r="BL201" s="564">
        <f>BH201-BG201</f>
        <v>1</v>
      </c>
      <c r="BM201" s="564">
        <f>BI201-BH201</f>
        <v>0</v>
      </c>
      <c r="BN201" s="348"/>
      <c r="BQ201" s="152"/>
      <c r="BR201" s="320"/>
    </row>
    <row r="202" spans="1:70" ht="11.25" customHeight="1">
      <c r="A202" s="115"/>
      <c r="L202" s="594"/>
      <c r="M202" s="325"/>
      <c r="N202" s="325"/>
      <c r="O202" s="325"/>
      <c r="P202" s="325"/>
      <c r="Q202" s="325"/>
      <c r="R202" s="325"/>
      <c r="S202" s="325"/>
      <c r="T202" s="325"/>
      <c r="U202" s="325"/>
      <c r="V202" s="594"/>
      <c r="W202" s="325"/>
      <c r="X202" s="325"/>
      <c r="Y202" s="325"/>
      <c r="Z202" s="325"/>
      <c r="AA202" s="325"/>
      <c r="AB202" s="325"/>
      <c r="AC202" s="325"/>
      <c r="AD202" s="325"/>
      <c r="AE202" s="325"/>
      <c r="AF202" s="594"/>
      <c r="AG202" s="325"/>
      <c r="AH202" s="325"/>
      <c r="AI202" s="325"/>
      <c r="AJ202" s="325"/>
      <c r="AK202" s="325"/>
      <c r="AL202" s="325"/>
      <c r="AM202" s="23"/>
      <c r="AN202" s="49"/>
      <c r="AO202" s="49"/>
      <c r="AP202" s="776"/>
      <c r="AQ202" s="49"/>
      <c r="AR202" s="49"/>
      <c r="AS202" s="49"/>
      <c r="AT202" s="49"/>
      <c r="AU202" s="348"/>
      <c r="AV202" s="348"/>
      <c r="AW202" s="348"/>
      <c r="AX202" s="348"/>
      <c r="AY202" s="348"/>
      <c r="AZ202" s="358"/>
      <c r="BA202" s="348"/>
      <c r="BB202" s="348"/>
      <c r="BC202" s="348"/>
      <c r="BD202" s="537"/>
      <c r="BE202" s="537"/>
      <c r="BF202" s="537"/>
      <c r="BG202" s="537"/>
      <c r="BH202" s="537"/>
      <c r="BI202" s="537"/>
      <c r="BJ202" s="410"/>
      <c r="BK202" s="410"/>
      <c r="BL202" s="566"/>
      <c r="BM202" s="566"/>
      <c r="BN202" s="309"/>
      <c r="BQ202" s="152"/>
      <c r="BR202" s="320"/>
    </row>
    <row r="203" spans="1:70" ht="14.25" customHeight="1">
      <c r="A203" s="116" t="s">
        <v>123</v>
      </c>
      <c r="B203" s="812"/>
      <c r="C203" s="499"/>
      <c r="D203" s="499"/>
      <c r="E203" s="499"/>
      <c r="F203" s="499"/>
      <c r="G203" s="499"/>
      <c r="H203" s="499"/>
      <c r="I203" s="499"/>
      <c r="J203" s="499"/>
      <c r="K203" s="499"/>
      <c r="L203" s="830"/>
      <c r="M203" s="500"/>
      <c r="N203" s="500"/>
      <c r="O203" s="500"/>
      <c r="P203" s="500"/>
      <c r="Q203" s="500"/>
      <c r="R203" s="500"/>
      <c r="S203" s="500"/>
      <c r="T203" s="500"/>
      <c r="U203" s="500"/>
      <c r="V203" s="837"/>
      <c r="W203" s="500"/>
      <c r="X203" s="500"/>
      <c r="Y203" s="500"/>
      <c r="Z203" s="500"/>
      <c r="AA203" s="500"/>
      <c r="AB203" s="500"/>
      <c r="AC203" s="500"/>
      <c r="AD203" s="500"/>
      <c r="AE203" s="500"/>
      <c r="AF203" s="837"/>
      <c r="AG203" s="500"/>
      <c r="AH203" s="500"/>
      <c r="AI203" s="501"/>
      <c r="AJ203" s="501"/>
      <c r="AK203" s="501"/>
      <c r="AL203" s="502"/>
      <c r="AM203" s="502"/>
      <c r="AN203" s="503"/>
      <c r="AO203" s="503"/>
      <c r="AP203" s="848"/>
      <c r="AQ203" s="503"/>
      <c r="AR203" s="503"/>
      <c r="AS203" s="503"/>
      <c r="AT203" s="504"/>
      <c r="AU203" s="505"/>
      <c r="AV203" s="505"/>
      <c r="AW203" s="505"/>
      <c r="AX203" s="505"/>
      <c r="AY203" s="505"/>
      <c r="AZ203" s="860"/>
      <c r="BA203" s="505"/>
      <c r="BB203" s="506"/>
      <c r="BC203" s="506"/>
      <c r="BD203" s="552"/>
      <c r="BE203" s="552"/>
      <c r="BF203" s="552"/>
      <c r="BG203" s="552"/>
      <c r="BH203" s="552"/>
      <c r="BI203" s="552"/>
      <c r="BJ203" s="879"/>
      <c r="BK203" s="879"/>
      <c r="BL203" s="573"/>
      <c r="BM203" s="573"/>
      <c r="BN203" s="508"/>
      <c r="BQ203" s="152"/>
      <c r="BR203" s="320"/>
    </row>
    <row r="204" spans="1:70" s="506" customFormat="1" ht="12.75" customHeight="1">
      <c r="A204" s="130" t="s">
        <v>156</v>
      </c>
      <c r="B204" s="245" t="s">
        <v>3</v>
      </c>
      <c r="C204" s="50" t="s">
        <v>3</v>
      </c>
      <c r="D204" s="50" t="s">
        <v>3</v>
      </c>
      <c r="E204" s="50" t="s">
        <v>3</v>
      </c>
      <c r="F204" s="50" t="s">
        <v>3</v>
      </c>
      <c r="G204" s="50" t="s">
        <v>3</v>
      </c>
      <c r="H204" s="50" t="s">
        <v>3</v>
      </c>
      <c r="I204" s="50" t="s">
        <v>3</v>
      </c>
      <c r="J204" s="50" t="s">
        <v>3</v>
      </c>
      <c r="K204" s="50" t="s">
        <v>3</v>
      </c>
      <c r="L204" s="245" t="s">
        <v>3</v>
      </c>
      <c r="M204" s="50" t="s">
        <v>3</v>
      </c>
      <c r="N204" s="50" t="s">
        <v>3</v>
      </c>
      <c r="O204" s="50" t="s">
        <v>3</v>
      </c>
      <c r="P204" s="50" t="s">
        <v>3</v>
      </c>
      <c r="Q204" s="50" t="s">
        <v>3</v>
      </c>
      <c r="R204" s="50" t="s">
        <v>3</v>
      </c>
      <c r="S204" s="284" t="s">
        <v>3</v>
      </c>
      <c r="T204" s="35">
        <v>2</v>
      </c>
      <c r="U204" s="35">
        <v>3</v>
      </c>
      <c r="V204" s="824">
        <v>6</v>
      </c>
      <c r="W204" s="35">
        <v>7</v>
      </c>
      <c r="X204" s="35">
        <v>5</v>
      </c>
      <c r="Y204" s="35">
        <v>6</v>
      </c>
      <c r="Z204" s="35">
        <v>6</v>
      </c>
      <c r="AA204" s="35">
        <v>6</v>
      </c>
      <c r="AB204" s="35">
        <v>6</v>
      </c>
      <c r="AC204" s="35">
        <v>6</v>
      </c>
      <c r="AD204" s="35">
        <v>6</v>
      </c>
      <c r="AE204" s="35">
        <v>6</v>
      </c>
      <c r="AF204" s="824">
        <v>6</v>
      </c>
      <c r="AG204" s="35">
        <v>5</v>
      </c>
      <c r="AH204" s="35">
        <v>6</v>
      </c>
      <c r="AI204" s="35">
        <v>5</v>
      </c>
      <c r="AJ204" s="35">
        <v>6</v>
      </c>
      <c r="AK204" s="35">
        <v>8</v>
      </c>
      <c r="AL204" s="35">
        <v>5</v>
      </c>
      <c r="AM204" s="49">
        <v>5</v>
      </c>
      <c r="AN204" s="129">
        <v>5</v>
      </c>
      <c r="AO204" s="129">
        <v>5</v>
      </c>
      <c r="AP204" s="847">
        <v>6</v>
      </c>
      <c r="AQ204" s="129">
        <v>5</v>
      </c>
      <c r="AR204" s="129">
        <v>5</v>
      </c>
      <c r="AS204" s="129">
        <v>6</v>
      </c>
      <c r="AT204" s="331">
        <v>5</v>
      </c>
      <c r="AU204" s="348">
        <v>6</v>
      </c>
      <c r="AV204" s="284">
        <v>6</v>
      </c>
      <c r="AW204" s="284">
        <v>6</v>
      </c>
      <c r="AX204" s="284">
        <v>7</v>
      </c>
      <c r="AY204" s="284">
        <v>7</v>
      </c>
      <c r="AZ204" s="305">
        <v>8</v>
      </c>
      <c r="BA204" s="284">
        <v>7</v>
      </c>
      <c r="BB204" s="284">
        <v>7</v>
      </c>
      <c r="BC204" s="284">
        <v>9</v>
      </c>
      <c r="BD204" s="305">
        <v>9</v>
      </c>
      <c r="BE204" s="305">
        <v>9</v>
      </c>
      <c r="BF204" s="305">
        <v>9</v>
      </c>
      <c r="BG204" s="305">
        <v>8</v>
      </c>
      <c r="BH204" s="305">
        <v>8</v>
      </c>
      <c r="BI204" s="305">
        <v>8</v>
      </c>
      <c r="BJ204" s="410">
        <f>(BH204-BG204)/BG204</f>
        <v>0</v>
      </c>
      <c r="BK204" s="410">
        <f>(BI204-BH204)/BH204</f>
        <v>0</v>
      </c>
      <c r="BL204" s="564">
        <f>BH204-BG204</f>
        <v>0</v>
      </c>
      <c r="BM204" s="564">
        <f>BI204-BH204</f>
        <v>0</v>
      </c>
      <c r="BN204" s="348"/>
      <c r="BO204" s="112"/>
      <c r="BP204" s="112"/>
      <c r="BQ204" s="152"/>
      <c r="BR204" s="507"/>
    </row>
    <row r="205" spans="1:70" s="51" customFormat="1" ht="12.75" customHeight="1">
      <c r="A205" s="115"/>
      <c r="B205" s="808"/>
      <c r="C205" s="34"/>
      <c r="D205" s="34"/>
      <c r="E205" s="34"/>
      <c r="F205" s="34"/>
      <c r="G205" s="34"/>
      <c r="H205" s="34"/>
      <c r="I205" s="34"/>
      <c r="J205" s="34"/>
      <c r="K205" s="34"/>
      <c r="L205" s="713"/>
      <c r="M205" s="8"/>
      <c r="N205" s="8"/>
      <c r="O205" s="8"/>
      <c r="P205" s="8"/>
      <c r="Q205" s="8"/>
      <c r="R205" s="8"/>
      <c r="S205" s="510"/>
      <c r="T205" s="510"/>
      <c r="U205" s="510"/>
      <c r="V205" s="838"/>
      <c r="W205" s="510"/>
      <c r="X205" s="510"/>
      <c r="Y205" s="510"/>
      <c r="Z205" s="510"/>
      <c r="AA205" s="510"/>
      <c r="AB205" s="510"/>
      <c r="AC205" s="510"/>
      <c r="AD205" s="510"/>
      <c r="AE205" s="510"/>
      <c r="AF205" s="838"/>
      <c r="AG205" s="510"/>
      <c r="AH205" s="510"/>
      <c r="AI205" s="511"/>
      <c r="AJ205" s="511"/>
      <c r="AK205" s="511"/>
      <c r="AL205" s="296"/>
      <c r="AM205" s="296"/>
      <c r="AN205" s="303"/>
      <c r="AO205" s="303"/>
      <c r="AP205" s="549"/>
      <c r="AQ205" s="303"/>
      <c r="AR205" s="303"/>
      <c r="AS205" s="303"/>
      <c r="AT205" s="303"/>
      <c r="AU205" s="303"/>
      <c r="AV205" s="303"/>
      <c r="AW205" s="303"/>
      <c r="AX205" s="303"/>
      <c r="AY205" s="303"/>
      <c r="AZ205" s="549"/>
      <c r="BA205" s="303"/>
      <c r="BB205" s="317"/>
      <c r="BC205" s="303"/>
      <c r="BD205" s="549"/>
      <c r="BE205" s="549"/>
      <c r="BF205" s="549"/>
      <c r="BG205" s="549"/>
      <c r="BH205" s="549"/>
      <c r="BI205" s="549"/>
      <c r="BJ205" s="871"/>
      <c r="BK205" s="871"/>
      <c r="BL205" s="565"/>
      <c r="BM205" s="565"/>
      <c r="BN205" s="316"/>
      <c r="BO205" s="112"/>
      <c r="BP205" s="112"/>
      <c r="BQ205" s="152"/>
      <c r="BR205" s="513"/>
    </row>
    <row r="206" spans="1:70" ht="11.25" customHeight="1">
      <c r="A206" s="115" t="s">
        <v>19</v>
      </c>
      <c r="B206" s="775" t="s">
        <v>3</v>
      </c>
      <c r="C206" s="42" t="s">
        <v>3</v>
      </c>
      <c r="D206" s="42" t="s">
        <v>3</v>
      </c>
      <c r="E206" s="42" t="s">
        <v>3</v>
      </c>
      <c r="F206" s="42" t="s">
        <v>3</v>
      </c>
      <c r="G206" s="42" t="s">
        <v>3</v>
      </c>
      <c r="H206" s="42" t="s">
        <v>3</v>
      </c>
      <c r="I206" s="42" t="s">
        <v>3</v>
      </c>
      <c r="J206" s="42" t="s">
        <v>3</v>
      </c>
      <c r="K206" s="42" t="s">
        <v>3</v>
      </c>
      <c r="L206" s="777" t="s">
        <v>3</v>
      </c>
      <c r="M206" s="15" t="s">
        <v>3</v>
      </c>
      <c r="N206" s="15" t="s">
        <v>3</v>
      </c>
      <c r="O206" s="15" t="s">
        <v>3</v>
      </c>
      <c r="P206" s="15" t="s">
        <v>3</v>
      </c>
      <c r="Q206" s="15" t="s">
        <v>3</v>
      </c>
      <c r="R206" s="12">
        <v>4</v>
      </c>
      <c r="S206" s="12">
        <v>7</v>
      </c>
      <c r="T206" s="325">
        <v>7</v>
      </c>
      <c r="U206" s="12">
        <v>7</v>
      </c>
      <c r="V206" s="594">
        <v>10</v>
      </c>
      <c r="W206" s="12">
        <v>9</v>
      </c>
      <c r="X206" s="12">
        <v>9</v>
      </c>
      <c r="Y206" s="12">
        <v>9</v>
      </c>
      <c r="Z206" s="12">
        <v>10</v>
      </c>
      <c r="AA206" s="12">
        <v>12</v>
      </c>
      <c r="AB206" s="12">
        <v>13</v>
      </c>
      <c r="AC206" s="12">
        <v>13</v>
      </c>
      <c r="AD206" s="12">
        <v>14</v>
      </c>
      <c r="AE206" s="12">
        <v>16</v>
      </c>
      <c r="AF206" s="594">
        <v>15</v>
      </c>
      <c r="AG206" s="12">
        <v>17</v>
      </c>
      <c r="AH206" s="12">
        <v>19</v>
      </c>
      <c r="AI206" s="12">
        <v>20</v>
      </c>
      <c r="AJ206" s="12">
        <v>23</v>
      </c>
      <c r="AK206" s="12">
        <v>25</v>
      </c>
      <c r="AL206" s="62">
        <v>26</v>
      </c>
      <c r="AM206" s="62">
        <v>28</v>
      </c>
      <c r="AN206" s="49">
        <v>31</v>
      </c>
      <c r="AO206" s="49">
        <v>33</v>
      </c>
      <c r="AP206" s="776">
        <v>40</v>
      </c>
      <c r="AQ206" s="49">
        <v>42</v>
      </c>
      <c r="AR206" s="49">
        <v>43</v>
      </c>
      <c r="AS206" s="49">
        <v>46</v>
      </c>
      <c r="AT206" s="49">
        <v>50</v>
      </c>
      <c r="AU206" s="49">
        <v>55</v>
      </c>
      <c r="AV206" s="30">
        <v>52</v>
      </c>
      <c r="AW206" s="30">
        <v>53</v>
      </c>
      <c r="AX206" s="30">
        <v>57</v>
      </c>
      <c r="AY206" s="30">
        <v>63</v>
      </c>
      <c r="AZ206" s="270">
        <v>64</v>
      </c>
      <c r="BA206" s="348">
        <v>64</v>
      </c>
      <c r="BB206" s="348">
        <v>67</v>
      </c>
      <c r="BC206" s="348">
        <v>65</v>
      </c>
      <c r="BD206" s="358">
        <v>63</v>
      </c>
      <c r="BE206" s="358">
        <v>66</v>
      </c>
      <c r="BF206" s="358">
        <v>69</v>
      </c>
      <c r="BG206" s="358">
        <v>73</v>
      </c>
      <c r="BH206" s="358">
        <v>81</v>
      </c>
      <c r="BI206" s="358">
        <v>72</v>
      </c>
      <c r="BJ206" s="410">
        <f>(BH206-BG206)/BG206</f>
        <v>0.1095890410958904</v>
      </c>
      <c r="BK206" s="410">
        <f>(BI206-BH206)/BH206</f>
        <v>-0.1111111111111111</v>
      </c>
      <c r="BL206" s="564">
        <f>BH206-BG206</f>
        <v>8</v>
      </c>
      <c r="BM206" s="564">
        <f>BI206-BH206</f>
        <v>-9</v>
      </c>
      <c r="BN206" s="348"/>
      <c r="BQ206" s="152"/>
      <c r="BR206" s="320"/>
    </row>
    <row r="207" spans="1:70" ht="11.25" customHeight="1">
      <c r="A207" s="115"/>
      <c r="L207" s="277"/>
      <c r="M207" s="24"/>
      <c r="N207" s="24"/>
      <c r="O207" s="24"/>
      <c r="P207" s="24"/>
      <c r="Q207" s="24"/>
      <c r="R207" s="24"/>
      <c r="S207" s="24"/>
      <c r="T207" s="24"/>
      <c r="U207" s="24"/>
      <c r="V207" s="277"/>
      <c r="W207" s="24"/>
      <c r="X207" s="24"/>
      <c r="Y207" s="24"/>
      <c r="Z207" s="24"/>
      <c r="AA207" s="24"/>
      <c r="AB207" s="24"/>
      <c r="AC207" s="24"/>
      <c r="AD207" s="24"/>
      <c r="AE207" s="24"/>
      <c r="AF207" s="277"/>
      <c r="AG207" s="24"/>
      <c r="AH207" s="24"/>
      <c r="AI207" s="24"/>
      <c r="AJ207" s="24"/>
      <c r="AK207" s="24"/>
      <c r="AL207" s="24"/>
      <c r="AM207" s="87"/>
      <c r="AN207" s="49"/>
      <c r="AO207" s="49"/>
      <c r="AP207" s="776"/>
      <c r="AQ207" s="49"/>
      <c r="AR207" s="49"/>
      <c r="AS207" s="49"/>
      <c r="AT207" s="49"/>
      <c r="AU207" s="49"/>
      <c r="AV207" s="30"/>
      <c r="AW207" s="30"/>
      <c r="AX207" s="30"/>
      <c r="AY207" s="30"/>
      <c r="AZ207" s="537"/>
      <c r="BA207" s="348"/>
      <c r="BB207" s="313"/>
      <c r="BC207" s="348"/>
      <c r="BD207" s="537"/>
      <c r="BE207" s="537"/>
      <c r="BF207" s="537"/>
      <c r="BG207" s="537"/>
      <c r="BH207" s="537"/>
      <c r="BI207" s="537"/>
      <c r="BJ207" s="871"/>
      <c r="BK207" s="871"/>
      <c r="BL207" s="565"/>
      <c r="BM207" s="565"/>
      <c r="BN207" s="316"/>
      <c r="BQ207" s="152"/>
      <c r="BR207" s="320"/>
    </row>
    <row r="208" spans="1:70" ht="10.5" customHeight="1">
      <c r="A208" s="115" t="s">
        <v>15</v>
      </c>
      <c r="B208" s="593">
        <v>7</v>
      </c>
      <c r="C208" s="25">
        <v>8</v>
      </c>
      <c r="D208" s="25">
        <v>10</v>
      </c>
      <c r="E208" s="25">
        <v>11</v>
      </c>
      <c r="F208" s="25">
        <v>12</v>
      </c>
      <c r="G208" s="25">
        <v>14</v>
      </c>
      <c r="H208" s="25">
        <v>14</v>
      </c>
      <c r="I208" s="25">
        <v>14</v>
      </c>
      <c r="J208" s="25">
        <v>15</v>
      </c>
      <c r="K208" s="25">
        <v>16</v>
      </c>
      <c r="L208" s="594">
        <v>20</v>
      </c>
      <c r="M208" s="12">
        <v>22</v>
      </c>
      <c r="N208" s="12">
        <v>25</v>
      </c>
      <c r="O208" s="12">
        <v>27</v>
      </c>
      <c r="P208" s="12">
        <v>32</v>
      </c>
      <c r="Q208" s="12">
        <v>39</v>
      </c>
      <c r="R208" s="12">
        <v>44</v>
      </c>
      <c r="S208" s="12">
        <v>52</v>
      </c>
      <c r="T208" s="325">
        <v>59</v>
      </c>
      <c r="U208" s="12">
        <v>62</v>
      </c>
      <c r="V208" s="594">
        <v>69</v>
      </c>
      <c r="W208" s="12">
        <v>70</v>
      </c>
      <c r="X208" s="12">
        <v>68</v>
      </c>
      <c r="Y208" s="12">
        <v>65</v>
      </c>
      <c r="Z208" s="12">
        <v>66</v>
      </c>
      <c r="AA208" s="12">
        <v>65</v>
      </c>
      <c r="AB208" s="12">
        <v>62</v>
      </c>
      <c r="AC208" s="12">
        <v>66</v>
      </c>
      <c r="AD208" s="12">
        <v>69</v>
      </c>
      <c r="AE208" s="12">
        <v>65</v>
      </c>
      <c r="AF208" s="594">
        <v>71</v>
      </c>
      <c r="AG208" s="12">
        <v>74</v>
      </c>
      <c r="AH208" s="12">
        <v>85</v>
      </c>
      <c r="AI208" s="12">
        <v>86</v>
      </c>
      <c r="AJ208" s="12">
        <v>99</v>
      </c>
      <c r="AK208" s="12">
        <v>91</v>
      </c>
      <c r="AL208" s="12">
        <v>100</v>
      </c>
      <c r="AM208" s="23">
        <v>103</v>
      </c>
      <c r="AN208" s="49">
        <v>105</v>
      </c>
      <c r="AO208" s="57">
        <v>113</v>
      </c>
      <c r="AP208" s="845">
        <v>125</v>
      </c>
      <c r="AQ208" s="57">
        <v>139</v>
      </c>
      <c r="AR208" s="57">
        <v>162</v>
      </c>
      <c r="AS208" s="57">
        <v>166</v>
      </c>
      <c r="AT208" s="57">
        <v>183</v>
      </c>
      <c r="AU208" s="57">
        <v>189</v>
      </c>
      <c r="AV208" s="95">
        <v>201</v>
      </c>
      <c r="AW208" s="95">
        <v>214</v>
      </c>
      <c r="AX208" s="95">
        <v>231</v>
      </c>
      <c r="AY208" s="95">
        <v>265</v>
      </c>
      <c r="AZ208" s="269">
        <v>268</v>
      </c>
      <c r="BA208" s="349">
        <v>288</v>
      </c>
      <c r="BB208" s="349">
        <v>294</v>
      </c>
      <c r="BC208" s="349">
        <v>279</v>
      </c>
      <c r="BD208" s="361">
        <v>327</v>
      </c>
      <c r="BE208" s="361">
        <v>303</v>
      </c>
      <c r="BF208" s="361">
        <v>316</v>
      </c>
      <c r="BG208" s="361">
        <v>314</v>
      </c>
      <c r="BH208" s="361">
        <v>317</v>
      </c>
      <c r="BI208" s="361">
        <v>300</v>
      </c>
      <c r="BJ208" s="410">
        <f>(BH208-BG208)/BG208</f>
        <v>9.5541401273885346E-3</v>
      </c>
      <c r="BK208" s="410">
        <f>(BI208-BH208)/BH208</f>
        <v>-5.362776025236593E-2</v>
      </c>
      <c r="BL208" s="564">
        <f>BH208-BG208</f>
        <v>3</v>
      </c>
      <c r="BM208" s="564">
        <f>BI208-BH208</f>
        <v>-17</v>
      </c>
      <c r="BN208" s="348"/>
      <c r="BQ208" s="152"/>
      <c r="BR208" s="320"/>
    </row>
    <row r="209" spans="1:70" ht="11.25" customHeight="1">
      <c r="A209" s="115"/>
      <c r="B209" s="631"/>
      <c r="C209" s="39"/>
      <c r="D209" s="39"/>
      <c r="E209" s="39"/>
      <c r="F209" s="39"/>
      <c r="G209" s="39"/>
      <c r="H209" s="39"/>
      <c r="I209" s="39"/>
      <c r="J209" s="39"/>
      <c r="K209" s="39"/>
      <c r="L209" s="277"/>
      <c r="M209" s="24"/>
      <c r="N209" s="24"/>
      <c r="O209" s="24"/>
      <c r="P209" s="24"/>
      <c r="Q209" s="24"/>
      <c r="R209" s="24"/>
      <c r="S209" s="24"/>
      <c r="T209" s="24"/>
      <c r="U209" s="24"/>
      <c r="V209" s="277"/>
      <c r="W209" s="24"/>
      <c r="X209" s="24"/>
      <c r="Y209" s="24"/>
      <c r="Z209" s="24"/>
      <c r="AA209" s="24"/>
      <c r="AB209" s="24"/>
      <c r="AC209" s="24"/>
      <c r="AD209" s="24"/>
      <c r="AE209" s="24"/>
      <c r="AF209" s="277"/>
      <c r="AG209" s="24"/>
      <c r="AH209" s="24"/>
      <c r="AI209" s="24"/>
      <c r="AJ209" s="24"/>
      <c r="AK209" s="24"/>
      <c r="AL209" s="24"/>
      <c r="AM209" s="87"/>
      <c r="AN209" s="102"/>
      <c r="AO209" s="57"/>
      <c r="AP209" s="845"/>
      <c r="AQ209" s="57"/>
      <c r="AR209" s="57"/>
      <c r="AS209" s="57"/>
      <c r="AT209" s="57"/>
      <c r="AU209" s="57"/>
      <c r="AV209" s="95"/>
      <c r="AW209" s="95"/>
      <c r="AX209" s="95"/>
      <c r="AY209" s="95"/>
      <c r="AZ209" s="542"/>
      <c r="BA209" s="349"/>
      <c r="BB209" s="312"/>
      <c r="BC209" s="324"/>
      <c r="BD209" s="542"/>
      <c r="BE209" s="542"/>
      <c r="BF209" s="542"/>
      <c r="BG209" s="542"/>
      <c r="BH209" s="542"/>
      <c r="BI209" s="542"/>
      <c r="BJ209" s="871"/>
      <c r="BK209" s="871"/>
      <c r="BL209" s="565"/>
      <c r="BM209" s="565"/>
      <c r="BN209" s="316"/>
      <c r="BQ209" s="152"/>
      <c r="BR209" s="320"/>
    </row>
    <row r="210" spans="1:70" ht="14.25" customHeight="1">
      <c r="A210" s="119" t="s">
        <v>157</v>
      </c>
      <c r="B210" s="593">
        <v>2</v>
      </c>
      <c r="C210" s="25">
        <v>3</v>
      </c>
      <c r="D210" s="25">
        <v>3</v>
      </c>
      <c r="E210" s="25">
        <v>3</v>
      </c>
      <c r="F210" s="25">
        <v>3</v>
      </c>
      <c r="G210" s="25">
        <v>3</v>
      </c>
      <c r="H210" s="25">
        <v>3</v>
      </c>
      <c r="I210" s="25">
        <v>3</v>
      </c>
      <c r="J210" s="25">
        <v>4</v>
      </c>
      <c r="K210" s="25">
        <v>4</v>
      </c>
      <c r="L210" s="594">
        <v>4</v>
      </c>
      <c r="M210" s="12">
        <v>4</v>
      </c>
      <c r="N210" s="12">
        <v>5</v>
      </c>
      <c r="O210" s="12">
        <v>6</v>
      </c>
      <c r="P210" s="12">
        <v>7</v>
      </c>
      <c r="Q210" s="12">
        <v>8</v>
      </c>
      <c r="R210" s="12">
        <v>10</v>
      </c>
      <c r="S210" s="12">
        <v>11</v>
      </c>
      <c r="T210" s="325">
        <v>12</v>
      </c>
      <c r="U210" s="12">
        <v>12</v>
      </c>
      <c r="V210" s="594">
        <v>14</v>
      </c>
      <c r="W210" s="12">
        <v>16</v>
      </c>
      <c r="X210" s="12">
        <v>17</v>
      </c>
      <c r="Y210" s="12">
        <v>19</v>
      </c>
      <c r="Z210" s="12">
        <v>23</v>
      </c>
      <c r="AA210" s="12">
        <v>21</v>
      </c>
      <c r="AB210" s="12">
        <v>28</v>
      </c>
      <c r="AC210" s="12">
        <v>27</v>
      </c>
      <c r="AD210" s="12">
        <v>37</v>
      </c>
      <c r="AE210" s="12">
        <v>36</v>
      </c>
      <c r="AF210" s="594">
        <v>37</v>
      </c>
      <c r="AG210" s="12">
        <v>38</v>
      </c>
      <c r="AH210" s="12">
        <v>42</v>
      </c>
      <c r="AI210" s="12">
        <v>43</v>
      </c>
      <c r="AJ210" s="12">
        <v>43</v>
      </c>
      <c r="AK210" s="12">
        <v>43</v>
      </c>
      <c r="AL210" s="12">
        <v>39</v>
      </c>
      <c r="AM210" s="23">
        <v>40</v>
      </c>
      <c r="AN210" s="49">
        <v>40</v>
      </c>
      <c r="AO210" s="49">
        <v>44</v>
      </c>
      <c r="AP210" s="776">
        <v>47</v>
      </c>
      <c r="AQ210" s="49">
        <v>49</v>
      </c>
      <c r="AR210" s="49">
        <v>52</v>
      </c>
      <c r="AS210" s="49">
        <v>52</v>
      </c>
      <c r="AT210" s="49">
        <v>54</v>
      </c>
      <c r="AU210" s="49">
        <v>60</v>
      </c>
      <c r="AV210" s="30">
        <v>64</v>
      </c>
      <c r="AW210" s="30">
        <v>63</v>
      </c>
      <c r="AX210" s="30">
        <v>68</v>
      </c>
      <c r="AY210" s="30">
        <v>74</v>
      </c>
      <c r="AZ210" s="270">
        <v>78</v>
      </c>
      <c r="BA210" s="348">
        <v>79</v>
      </c>
      <c r="BB210" s="348">
        <v>81</v>
      </c>
      <c r="BC210" s="348">
        <v>82</v>
      </c>
      <c r="BD210" s="358">
        <v>83</v>
      </c>
      <c r="BE210" s="358">
        <v>82</v>
      </c>
      <c r="BF210" s="358">
        <v>87</v>
      </c>
      <c r="BG210" s="358">
        <v>92</v>
      </c>
      <c r="BH210" s="358">
        <v>92</v>
      </c>
      <c r="BI210" s="358">
        <v>88</v>
      </c>
      <c r="BJ210" s="410">
        <f>(BH210-BG210)/BG210</f>
        <v>0</v>
      </c>
      <c r="BK210" s="410">
        <f>(BI210-BH210)/BH210</f>
        <v>-4.3478260869565216E-2</v>
      </c>
      <c r="BL210" s="564">
        <f>BH210-BG210</f>
        <v>0</v>
      </c>
      <c r="BM210" s="564">
        <f>BI210-BH210</f>
        <v>-4</v>
      </c>
      <c r="BN210" s="348"/>
      <c r="BQ210" s="152"/>
      <c r="BR210" s="320"/>
    </row>
    <row r="211" spans="1:70" ht="11.25" customHeight="1">
      <c r="A211" s="115"/>
      <c r="B211" s="631"/>
      <c r="C211" s="39"/>
      <c r="D211" s="39"/>
      <c r="E211" s="39"/>
      <c r="F211" s="39"/>
      <c r="G211" s="39"/>
      <c r="H211" s="39"/>
      <c r="I211" s="39"/>
      <c r="J211" s="39"/>
      <c r="K211" s="39"/>
      <c r="L211" s="277"/>
      <c r="M211" s="24"/>
      <c r="N211" s="24"/>
      <c r="O211" s="24"/>
      <c r="P211" s="24"/>
      <c r="Q211" s="24"/>
      <c r="R211" s="24"/>
      <c r="S211" s="24"/>
      <c r="T211" s="24"/>
      <c r="U211" s="24"/>
      <c r="V211" s="277"/>
      <c r="W211" s="24"/>
      <c r="X211" s="24"/>
      <c r="Y211" s="24"/>
      <c r="Z211" s="24"/>
      <c r="AA211" s="24"/>
      <c r="AB211" s="24"/>
      <c r="AC211" s="24"/>
      <c r="AD211" s="24"/>
      <c r="AE211" s="24"/>
      <c r="AF211" s="277"/>
      <c r="AG211" s="24"/>
      <c r="AH211" s="24"/>
      <c r="AI211" s="24"/>
      <c r="AJ211" s="24"/>
      <c r="AK211" s="24"/>
      <c r="AL211" s="24"/>
      <c r="AM211" s="87"/>
      <c r="AN211" s="49"/>
      <c r="AO211" s="49"/>
      <c r="AP211" s="776"/>
      <c r="AQ211" s="49"/>
      <c r="AR211" s="49"/>
      <c r="AS211" s="49"/>
      <c r="AT211" s="49"/>
      <c r="AU211" s="49"/>
      <c r="AV211" s="30"/>
      <c r="AW211" s="30"/>
      <c r="AX211" s="30"/>
      <c r="AY211" s="30"/>
      <c r="AZ211" s="537"/>
      <c r="BA211" s="348"/>
      <c r="BB211" s="313"/>
      <c r="BC211" s="348"/>
      <c r="BD211" s="537"/>
      <c r="BE211" s="537"/>
      <c r="BF211" s="537"/>
      <c r="BG211" s="537"/>
      <c r="BH211" s="537"/>
      <c r="BI211" s="537"/>
      <c r="BJ211" s="871"/>
      <c r="BK211" s="871"/>
      <c r="BL211" s="565"/>
      <c r="BM211" s="565"/>
      <c r="BN211" s="316"/>
      <c r="BQ211" s="152"/>
      <c r="BR211" s="320"/>
    </row>
    <row r="212" spans="1:70" ht="12" customHeight="1">
      <c r="A212" s="116" t="s">
        <v>50</v>
      </c>
      <c r="B212" s="631"/>
      <c r="C212" s="39"/>
      <c r="D212" s="39"/>
      <c r="E212" s="39"/>
      <c r="F212" s="39"/>
      <c r="G212" s="39"/>
      <c r="H212" s="39"/>
      <c r="I212" s="39"/>
      <c r="J212" s="39"/>
      <c r="K212" s="39"/>
      <c r="L212" s="594"/>
      <c r="M212" s="12"/>
      <c r="N212" s="12"/>
      <c r="O212" s="12"/>
      <c r="P212" s="12"/>
      <c r="Q212" s="12"/>
      <c r="R212" s="12"/>
      <c r="S212" s="12"/>
      <c r="T212" s="325"/>
      <c r="U212" s="12"/>
      <c r="V212" s="594"/>
      <c r="W212" s="12"/>
      <c r="X212" s="12"/>
      <c r="Y212" s="12"/>
      <c r="Z212" s="12"/>
      <c r="AA212" s="12"/>
      <c r="AB212" s="12"/>
      <c r="AC212" s="12"/>
      <c r="AD212" s="12"/>
      <c r="AE212" s="12"/>
      <c r="AF212" s="594"/>
      <c r="AG212" s="12"/>
      <c r="AH212" s="12"/>
      <c r="AI212" s="12"/>
      <c r="AJ212" s="12"/>
      <c r="AK212" s="12"/>
      <c r="AL212" s="12"/>
      <c r="AM212" s="23"/>
      <c r="AN212" s="57"/>
      <c r="AO212" s="57"/>
      <c r="AP212" s="845"/>
      <c r="AQ212" s="57"/>
      <c r="AR212" s="57"/>
      <c r="AS212" s="57"/>
      <c r="AT212" s="57"/>
      <c r="AU212" s="57"/>
      <c r="AV212" s="95"/>
      <c r="AW212" s="95"/>
      <c r="AX212" s="95"/>
      <c r="AY212" s="95"/>
      <c r="AZ212" s="542"/>
      <c r="BA212" s="349"/>
      <c r="BB212" s="312"/>
      <c r="BC212" s="324"/>
      <c r="BD212" s="542"/>
      <c r="BE212" s="542"/>
      <c r="BF212" s="542"/>
      <c r="BG212" s="542"/>
      <c r="BH212" s="542"/>
      <c r="BI212" s="542"/>
      <c r="BJ212" s="871"/>
      <c r="BK212" s="871"/>
      <c r="BL212" s="565"/>
      <c r="BM212" s="565"/>
      <c r="BN212" s="316"/>
      <c r="BQ212" s="152"/>
      <c r="BR212" s="320"/>
    </row>
    <row r="213" spans="1:70" ht="11.25" customHeight="1">
      <c r="A213" s="115" t="s">
        <v>27</v>
      </c>
      <c r="B213" s="270">
        <v>1</v>
      </c>
      <c r="C213" s="25">
        <v>2</v>
      </c>
      <c r="D213" s="25">
        <v>2</v>
      </c>
      <c r="E213" s="25">
        <v>2</v>
      </c>
      <c r="F213" s="25">
        <v>2</v>
      </c>
      <c r="G213" s="25">
        <v>2</v>
      </c>
      <c r="H213" s="25">
        <v>2</v>
      </c>
      <c r="I213" s="25">
        <v>2</v>
      </c>
      <c r="J213" s="25">
        <v>3</v>
      </c>
      <c r="K213" s="25">
        <v>3</v>
      </c>
      <c r="L213" s="594">
        <v>3</v>
      </c>
      <c r="M213" s="12">
        <v>4</v>
      </c>
      <c r="N213" s="12">
        <v>4</v>
      </c>
      <c r="O213" s="12">
        <v>5</v>
      </c>
      <c r="P213" s="12">
        <v>5</v>
      </c>
      <c r="Q213" s="12">
        <v>6</v>
      </c>
      <c r="R213" s="12">
        <v>7</v>
      </c>
      <c r="S213" s="12">
        <v>9</v>
      </c>
      <c r="T213" s="325">
        <v>12</v>
      </c>
      <c r="U213" s="12">
        <v>13</v>
      </c>
      <c r="V213" s="594">
        <v>14</v>
      </c>
      <c r="W213" s="12">
        <v>14</v>
      </c>
      <c r="X213" s="12">
        <v>14</v>
      </c>
      <c r="Y213" s="12">
        <v>15</v>
      </c>
      <c r="Z213" s="12">
        <v>16</v>
      </c>
      <c r="AA213" s="12">
        <v>17</v>
      </c>
      <c r="AB213" s="12">
        <v>17</v>
      </c>
      <c r="AC213" s="12">
        <v>17</v>
      </c>
      <c r="AD213" s="12">
        <v>18</v>
      </c>
      <c r="AE213" s="12">
        <v>21</v>
      </c>
      <c r="AF213" s="594">
        <v>19</v>
      </c>
      <c r="AG213" s="12">
        <v>22</v>
      </c>
      <c r="AH213" s="12">
        <v>25</v>
      </c>
      <c r="AI213" s="12">
        <v>27</v>
      </c>
      <c r="AJ213" s="12">
        <v>26</v>
      </c>
      <c r="AK213" s="12">
        <v>26</v>
      </c>
      <c r="AL213" s="12">
        <v>28</v>
      </c>
      <c r="AM213" s="23">
        <v>28</v>
      </c>
      <c r="AN213" s="23">
        <v>30</v>
      </c>
      <c r="AO213" s="23">
        <v>31</v>
      </c>
      <c r="AP213" s="180">
        <v>34</v>
      </c>
      <c r="AQ213" s="23">
        <v>37</v>
      </c>
      <c r="AR213" s="23">
        <v>38</v>
      </c>
      <c r="AS213" s="23">
        <v>40</v>
      </c>
      <c r="AT213" s="23">
        <v>44</v>
      </c>
      <c r="AU213" s="23">
        <v>46</v>
      </c>
      <c r="AV213" s="152">
        <v>47</v>
      </c>
      <c r="AW213" s="30">
        <v>61</v>
      </c>
      <c r="AX213" s="152">
        <v>47</v>
      </c>
      <c r="AY213" s="152">
        <v>46</v>
      </c>
      <c r="AZ213" s="217">
        <v>52</v>
      </c>
      <c r="BA213" s="309">
        <v>53</v>
      </c>
      <c r="BB213" s="309">
        <v>52</v>
      </c>
      <c r="BC213" s="309">
        <v>49</v>
      </c>
      <c r="BD213" s="365">
        <v>50</v>
      </c>
      <c r="BE213" s="365">
        <v>52</v>
      </c>
      <c r="BF213" s="365">
        <v>56</v>
      </c>
      <c r="BG213" s="365">
        <v>59</v>
      </c>
      <c r="BH213" s="365">
        <v>63</v>
      </c>
      <c r="BI213" s="365">
        <v>85</v>
      </c>
      <c r="BJ213" s="410">
        <f>(BH213-BG213)/BG213</f>
        <v>6.7796610169491525E-2</v>
      </c>
      <c r="BK213" s="410">
        <f>(BI213-BH213)/BH213</f>
        <v>0.34920634920634919</v>
      </c>
      <c r="BL213" s="564">
        <f>BH213-BG213</f>
        <v>4</v>
      </c>
      <c r="BM213" s="564">
        <f>BI213-BH213</f>
        <v>22</v>
      </c>
      <c r="BN213" s="348"/>
      <c r="BQ213" s="152"/>
      <c r="BR213" s="320"/>
    </row>
    <row r="214" spans="1:70" ht="11.25" customHeight="1">
      <c r="A214" s="115"/>
      <c r="B214" s="813"/>
      <c r="C214" s="39"/>
      <c r="D214" s="39"/>
      <c r="E214" s="39"/>
      <c r="F214" s="39"/>
      <c r="G214" s="39"/>
      <c r="H214" s="39"/>
      <c r="I214" s="39"/>
      <c r="J214" s="39"/>
      <c r="K214" s="39"/>
      <c r="L214" s="277"/>
      <c r="M214" s="24"/>
      <c r="N214" s="24"/>
      <c r="O214" s="24"/>
      <c r="P214" s="24"/>
      <c r="Q214" s="24"/>
      <c r="R214" s="24"/>
      <c r="S214" s="24"/>
      <c r="T214" s="24"/>
      <c r="U214" s="24"/>
      <c r="V214" s="277"/>
      <c r="W214" s="24"/>
      <c r="X214" s="24"/>
      <c r="Y214" s="24"/>
      <c r="Z214" s="24"/>
      <c r="AA214" s="24"/>
      <c r="AB214" s="24"/>
      <c r="AC214" s="24"/>
      <c r="AD214" s="24"/>
      <c r="AE214" s="24"/>
      <c r="AF214" s="277"/>
      <c r="AG214" s="24"/>
      <c r="AH214" s="24"/>
      <c r="AI214" s="24"/>
      <c r="AJ214" s="24"/>
      <c r="AK214" s="24"/>
      <c r="AL214" s="24"/>
      <c r="AM214" s="87"/>
      <c r="AN214" s="87"/>
      <c r="AO214" s="87"/>
      <c r="AP214" s="224"/>
      <c r="AQ214" s="87"/>
      <c r="AR214" s="87"/>
      <c r="AS214" s="87"/>
      <c r="AT214" s="87"/>
      <c r="AU214" s="87"/>
      <c r="AV214" s="172"/>
      <c r="AW214" s="95"/>
      <c r="AX214" s="172"/>
      <c r="AY214" s="172"/>
      <c r="AZ214" s="544"/>
      <c r="BA214" s="308"/>
      <c r="BB214" s="314"/>
      <c r="BC214" s="294"/>
      <c r="BD214" s="544"/>
      <c r="BE214" s="544"/>
      <c r="BF214" s="544"/>
      <c r="BG214" s="544"/>
      <c r="BH214" s="544"/>
      <c r="BI214" s="544"/>
      <c r="BJ214" s="871"/>
      <c r="BK214" s="871"/>
      <c r="BL214" s="565"/>
      <c r="BM214" s="565"/>
      <c r="BN214" s="316"/>
      <c r="BQ214" s="152"/>
      <c r="BR214" s="320"/>
    </row>
    <row r="215" spans="1:70" ht="9.75" customHeight="1">
      <c r="A215" s="115" t="s">
        <v>20</v>
      </c>
      <c r="B215" s="269">
        <v>8</v>
      </c>
      <c r="C215" s="94">
        <v>10</v>
      </c>
      <c r="D215" s="94">
        <v>11</v>
      </c>
      <c r="E215" s="94">
        <v>13</v>
      </c>
      <c r="F215" s="94">
        <v>14</v>
      </c>
      <c r="G215" s="94">
        <v>15</v>
      </c>
      <c r="H215" s="94">
        <v>16</v>
      </c>
      <c r="I215" s="94">
        <v>17</v>
      </c>
      <c r="J215" s="94">
        <v>18</v>
      </c>
      <c r="K215" s="94">
        <v>19</v>
      </c>
      <c r="L215" s="680">
        <v>22</v>
      </c>
      <c r="M215" s="14">
        <v>23</v>
      </c>
      <c r="N215" s="14">
        <v>26</v>
      </c>
      <c r="O215" s="14">
        <v>30</v>
      </c>
      <c r="P215" s="14">
        <v>35</v>
      </c>
      <c r="Q215" s="14">
        <v>44</v>
      </c>
      <c r="R215" s="14">
        <v>51</v>
      </c>
      <c r="S215" s="14">
        <v>54</v>
      </c>
      <c r="T215" s="14">
        <v>61</v>
      </c>
      <c r="U215" s="14">
        <v>66</v>
      </c>
      <c r="V215" s="680">
        <v>74</v>
      </c>
      <c r="W215" s="14">
        <v>78</v>
      </c>
      <c r="X215" s="14">
        <v>79</v>
      </c>
      <c r="Y215" s="14">
        <v>90</v>
      </c>
      <c r="Z215" s="14">
        <v>92</v>
      </c>
      <c r="AA215" s="14">
        <v>103</v>
      </c>
      <c r="AB215" s="14">
        <v>104</v>
      </c>
      <c r="AC215" s="14">
        <v>108</v>
      </c>
      <c r="AD215" s="14">
        <v>126</v>
      </c>
      <c r="AE215" s="14">
        <v>140</v>
      </c>
      <c r="AF215" s="680">
        <v>154</v>
      </c>
      <c r="AG215" s="14">
        <v>180</v>
      </c>
      <c r="AH215" s="14">
        <v>229</v>
      </c>
      <c r="AI215" s="14">
        <v>240</v>
      </c>
      <c r="AJ215" s="14">
        <v>259</v>
      </c>
      <c r="AK215" s="14">
        <v>279</v>
      </c>
      <c r="AL215" s="14">
        <v>284</v>
      </c>
      <c r="AM215" s="36">
        <v>302</v>
      </c>
      <c r="AN215" s="36">
        <v>301</v>
      </c>
      <c r="AO215" s="36">
        <v>339</v>
      </c>
      <c r="AP215" s="772">
        <v>357</v>
      </c>
      <c r="AQ215" s="36">
        <v>419</v>
      </c>
      <c r="AR215" s="36">
        <v>478</v>
      </c>
      <c r="AS215" s="36">
        <v>469</v>
      </c>
      <c r="AT215" s="36">
        <v>708</v>
      </c>
      <c r="AU215" s="36">
        <v>865</v>
      </c>
      <c r="AV215" s="83">
        <v>872</v>
      </c>
      <c r="AW215" s="61">
        <v>829</v>
      </c>
      <c r="AX215" s="172">
        <v>879</v>
      </c>
      <c r="AY215" s="95">
        <v>952</v>
      </c>
      <c r="AZ215" s="269">
        <v>1003</v>
      </c>
      <c r="BA215" s="349">
        <v>1161</v>
      </c>
      <c r="BB215" s="349">
        <v>1180</v>
      </c>
      <c r="BC215" s="349">
        <v>1286</v>
      </c>
      <c r="BD215" s="361">
        <v>1295</v>
      </c>
      <c r="BE215" s="361">
        <v>1423</v>
      </c>
      <c r="BF215" s="361">
        <v>1633</v>
      </c>
      <c r="BG215" s="361">
        <v>1665</v>
      </c>
      <c r="BH215" s="361">
        <v>1543</v>
      </c>
      <c r="BI215" s="361">
        <v>1715</v>
      </c>
      <c r="BJ215" s="410">
        <f t="shared" ref="BJ215:BK218" si="92">(BH215-BG215)/BG215</f>
        <v>-7.3273273273273279E-2</v>
      </c>
      <c r="BK215" s="410">
        <f t="shared" si="92"/>
        <v>0.11147116007777058</v>
      </c>
      <c r="BL215" s="564">
        <f t="shared" ref="BL215:BM218" si="93">BH215-BG215</f>
        <v>-122</v>
      </c>
      <c r="BM215" s="564">
        <f t="shared" si="93"/>
        <v>172</v>
      </c>
      <c r="BN215" s="348"/>
      <c r="BQ215" s="152"/>
      <c r="BR215" s="320"/>
    </row>
    <row r="216" spans="1:70">
      <c r="A216" s="118" t="s">
        <v>51</v>
      </c>
      <c r="B216" s="814">
        <f t="shared" ref="B216:M216" si="94">SUM(B195+B198+B208+B210+B213+B215)</f>
        <v>48</v>
      </c>
      <c r="C216" s="28">
        <f t="shared" si="94"/>
        <v>55</v>
      </c>
      <c r="D216" s="28">
        <f t="shared" si="94"/>
        <v>60</v>
      </c>
      <c r="E216" s="28">
        <f t="shared" si="94"/>
        <v>66</v>
      </c>
      <c r="F216" s="28">
        <f t="shared" si="94"/>
        <v>69</v>
      </c>
      <c r="G216" s="28">
        <f t="shared" si="94"/>
        <v>77</v>
      </c>
      <c r="H216" s="28">
        <f t="shared" si="94"/>
        <v>81</v>
      </c>
      <c r="I216" s="28">
        <f t="shared" si="94"/>
        <v>85</v>
      </c>
      <c r="J216" s="28">
        <f t="shared" si="94"/>
        <v>91</v>
      </c>
      <c r="K216" s="28">
        <f t="shared" si="94"/>
        <v>99</v>
      </c>
      <c r="L216" s="814">
        <f t="shared" si="94"/>
        <v>113</v>
      </c>
      <c r="M216" s="28">
        <f t="shared" si="94"/>
        <v>125</v>
      </c>
      <c r="N216" s="28">
        <f>SUM(N187+N195+N198+N208+N210+N213+N215)</f>
        <v>138</v>
      </c>
      <c r="O216" s="28">
        <f>SUM(O187+O195+O198+O208+O210+O213+O215)</f>
        <v>149</v>
      </c>
      <c r="P216" s="28">
        <f>SUM(P187+P195+P198+P208+P210+P213+P215)</f>
        <v>175</v>
      </c>
      <c r="Q216" s="28">
        <f>SUM(Q187+Q195+Q198+Q208+Q210+Q213+Q215)</f>
        <v>196</v>
      </c>
      <c r="R216" s="28">
        <f>SUM(R187+R189+R195+R198+R206+R208+R210+R213+R215)</f>
        <v>232</v>
      </c>
      <c r="S216" s="28">
        <f>SUM(S187+S189+S195+S198+S206+S208+S210+S213+S215)</f>
        <v>258</v>
      </c>
      <c r="T216" s="28">
        <f>SUM(T187+T189+T195+T198+T206+T208+T210+T213+T215+T204)</f>
        <v>292</v>
      </c>
      <c r="U216" s="28">
        <f>SUM(U187+U189+U195+U198+U206+U208+U210+U213+U215+U201+U204)</f>
        <v>316</v>
      </c>
      <c r="V216" s="814">
        <f>SUM(V187+V189+V195+V198+V206+V208+V210+V213+V215+V201+V204)</f>
        <v>369</v>
      </c>
      <c r="W216" s="28">
        <f>SUM(W189+W195+W198+W206+W208+W210+W213+W215+W201+W204)</f>
        <v>384</v>
      </c>
      <c r="X216" s="28">
        <f>SUM(X195+X198+X206+X208+X210+X213+X215+X201+X204)</f>
        <v>389</v>
      </c>
      <c r="Y216" s="28">
        <f t="shared" ref="Y216:AA216" si="95">SUM(Y195+Y198+Y206+Y208+Y210+Y213+Y215+Y201+Y204)</f>
        <v>423</v>
      </c>
      <c r="Z216" s="28">
        <f t="shared" si="95"/>
        <v>457</v>
      </c>
      <c r="AA216" s="28">
        <f t="shared" si="95"/>
        <v>507</v>
      </c>
      <c r="AB216" s="28">
        <f t="shared" ref="AB216:BG216" si="96">SUM(AB195+AB198+AB201+AB206+AB208+AB210+AB213+AB215+AB204)</f>
        <v>528</v>
      </c>
      <c r="AC216" s="28">
        <f t="shared" si="96"/>
        <v>568</v>
      </c>
      <c r="AD216" s="28">
        <f t="shared" si="96"/>
        <v>616</v>
      </c>
      <c r="AE216" s="28">
        <f t="shared" si="96"/>
        <v>704</v>
      </c>
      <c r="AF216" s="814">
        <f t="shared" si="96"/>
        <v>738</v>
      </c>
      <c r="AG216" s="28">
        <f t="shared" si="96"/>
        <v>819</v>
      </c>
      <c r="AH216" s="28">
        <f t="shared" si="96"/>
        <v>923</v>
      </c>
      <c r="AI216" s="28">
        <f t="shared" si="96"/>
        <v>1014</v>
      </c>
      <c r="AJ216" s="28">
        <f t="shared" si="96"/>
        <v>1102</v>
      </c>
      <c r="AK216" s="28">
        <f t="shared" si="96"/>
        <v>1160</v>
      </c>
      <c r="AL216" s="28">
        <f t="shared" si="96"/>
        <v>1214</v>
      </c>
      <c r="AM216" s="28">
        <f t="shared" si="96"/>
        <v>1376</v>
      </c>
      <c r="AN216" s="28">
        <f t="shared" si="96"/>
        <v>1414</v>
      </c>
      <c r="AO216" s="28">
        <f t="shared" si="96"/>
        <v>1593</v>
      </c>
      <c r="AP216" s="814">
        <f t="shared" si="96"/>
        <v>1686</v>
      </c>
      <c r="AQ216" s="28">
        <f t="shared" si="96"/>
        <v>1918</v>
      </c>
      <c r="AR216" s="28">
        <f t="shared" si="96"/>
        <v>2172</v>
      </c>
      <c r="AS216" s="28">
        <f t="shared" si="96"/>
        <v>2160</v>
      </c>
      <c r="AT216" s="28">
        <f t="shared" si="96"/>
        <v>2572</v>
      </c>
      <c r="AU216" s="28">
        <f t="shared" si="96"/>
        <v>2900</v>
      </c>
      <c r="AV216" s="28">
        <f t="shared" si="96"/>
        <v>3041</v>
      </c>
      <c r="AW216" s="28">
        <f t="shared" si="96"/>
        <v>3319.768115942029</v>
      </c>
      <c r="AX216" s="28">
        <f t="shared" si="96"/>
        <v>3482.3523809523813</v>
      </c>
      <c r="AY216" s="28">
        <f t="shared" si="96"/>
        <v>3702</v>
      </c>
      <c r="AZ216" s="814">
        <f t="shared" si="96"/>
        <v>3770</v>
      </c>
      <c r="BA216" s="28">
        <f t="shared" si="96"/>
        <v>4117</v>
      </c>
      <c r="BB216" s="28">
        <f t="shared" si="96"/>
        <v>4355</v>
      </c>
      <c r="BC216" s="28">
        <f t="shared" si="96"/>
        <v>4670</v>
      </c>
      <c r="BD216" s="28">
        <f t="shared" si="96"/>
        <v>4838</v>
      </c>
      <c r="BE216" s="600">
        <f t="shared" si="96"/>
        <v>5307.9032258064517</v>
      </c>
      <c r="BF216" s="553">
        <f t="shared" si="96"/>
        <v>5743</v>
      </c>
      <c r="BG216" s="814">
        <f t="shared" si="96"/>
        <v>5769</v>
      </c>
      <c r="BH216" s="814">
        <f t="shared" ref="BH216:BI216" si="97">SUM(BH195+BH198+BH201+BH206+BH208+BH210+BH213+BH215+BH204)</f>
        <v>5913</v>
      </c>
      <c r="BI216" s="814">
        <f t="shared" si="97"/>
        <v>6119</v>
      </c>
      <c r="BJ216" s="872">
        <f t="shared" si="92"/>
        <v>2.4960998439937598E-2</v>
      </c>
      <c r="BK216" s="872">
        <f t="shared" si="92"/>
        <v>3.4838491459496024E-2</v>
      </c>
      <c r="BL216" s="567">
        <f t="shared" si="93"/>
        <v>144</v>
      </c>
      <c r="BM216" s="567">
        <f t="shared" si="93"/>
        <v>206</v>
      </c>
      <c r="BN216" s="349"/>
      <c r="BQ216" s="152"/>
      <c r="BR216" s="320"/>
    </row>
    <row r="217" spans="1:70" ht="12.75" customHeight="1">
      <c r="A217" s="120" t="s">
        <v>52</v>
      </c>
      <c r="B217" s="814">
        <f t="shared" ref="B217:M217" si="98">SUM(B216+B183+B154)</f>
        <v>179</v>
      </c>
      <c r="C217" s="28">
        <f t="shared" si="98"/>
        <v>209</v>
      </c>
      <c r="D217" s="28">
        <f t="shared" si="98"/>
        <v>215</v>
      </c>
      <c r="E217" s="28">
        <f t="shared" si="98"/>
        <v>249</v>
      </c>
      <c r="F217" s="28">
        <f t="shared" si="98"/>
        <v>269</v>
      </c>
      <c r="G217" s="28">
        <f t="shared" si="98"/>
        <v>316</v>
      </c>
      <c r="H217" s="28">
        <f t="shared" si="98"/>
        <v>309</v>
      </c>
      <c r="I217" s="28">
        <f t="shared" si="98"/>
        <v>344</v>
      </c>
      <c r="J217" s="28">
        <f t="shared" si="98"/>
        <v>375</v>
      </c>
      <c r="K217" s="28">
        <f t="shared" si="98"/>
        <v>403</v>
      </c>
      <c r="L217" s="814">
        <f t="shared" si="98"/>
        <v>487</v>
      </c>
      <c r="M217" s="28">
        <f t="shared" si="98"/>
        <v>561</v>
      </c>
      <c r="N217" s="28">
        <f t="shared" ref="N217:BE217" si="99">SUM(N154+N183+N216)</f>
        <v>553</v>
      </c>
      <c r="O217" s="28">
        <f t="shared" si="99"/>
        <v>486</v>
      </c>
      <c r="P217" s="28">
        <f t="shared" si="99"/>
        <v>607</v>
      </c>
      <c r="Q217" s="28">
        <f t="shared" si="99"/>
        <v>763</v>
      </c>
      <c r="R217" s="28">
        <f t="shared" si="99"/>
        <v>863</v>
      </c>
      <c r="S217" s="28">
        <f t="shared" si="99"/>
        <v>949</v>
      </c>
      <c r="T217" s="28">
        <f t="shared" si="99"/>
        <v>963</v>
      </c>
      <c r="U217" s="28">
        <f t="shared" si="99"/>
        <v>1044</v>
      </c>
      <c r="V217" s="814">
        <f t="shared" si="99"/>
        <v>1247</v>
      </c>
      <c r="W217" s="28">
        <f t="shared" si="99"/>
        <v>1220</v>
      </c>
      <c r="X217" s="28">
        <f t="shared" si="99"/>
        <v>1388</v>
      </c>
      <c r="Y217" s="28">
        <f t="shared" si="99"/>
        <v>1410</v>
      </c>
      <c r="Z217" s="28">
        <f t="shared" si="99"/>
        <v>1528</v>
      </c>
      <c r="AA217" s="28">
        <f t="shared" si="99"/>
        <v>1707</v>
      </c>
      <c r="AB217" s="28">
        <f t="shared" si="99"/>
        <v>2007</v>
      </c>
      <c r="AC217" s="28">
        <f t="shared" si="99"/>
        <v>1781</v>
      </c>
      <c r="AD217" s="28">
        <f t="shared" si="99"/>
        <v>2112</v>
      </c>
      <c r="AE217" s="28">
        <f t="shared" si="99"/>
        <v>2276</v>
      </c>
      <c r="AF217" s="814">
        <f t="shared" si="99"/>
        <v>2560</v>
      </c>
      <c r="AG217" s="28">
        <f t="shared" si="99"/>
        <v>2544</v>
      </c>
      <c r="AH217" s="28">
        <f t="shared" si="99"/>
        <v>2855</v>
      </c>
      <c r="AI217" s="28">
        <f t="shared" si="99"/>
        <v>3338</v>
      </c>
      <c r="AJ217" s="28">
        <f t="shared" si="99"/>
        <v>3177</v>
      </c>
      <c r="AK217" s="28">
        <f t="shared" si="99"/>
        <v>3771</v>
      </c>
      <c r="AL217" s="28">
        <f t="shared" si="99"/>
        <v>3542</v>
      </c>
      <c r="AM217" s="28">
        <f t="shared" si="99"/>
        <v>3885</v>
      </c>
      <c r="AN217" s="28">
        <f t="shared" si="99"/>
        <v>3844</v>
      </c>
      <c r="AO217" s="28">
        <f t="shared" si="99"/>
        <v>4094</v>
      </c>
      <c r="AP217" s="814">
        <f t="shared" si="99"/>
        <v>4406</v>
      </c>
      <c r="AQ217" s="28">
        <f t="shared" si="99"/>
        <v>4617</v>
      </c>
      <c r="AR217" s="28">
        <f t="shared" si="99"/>
        <v>5041</v>
      </c>
      <c r="AS217" s="28">
        <f t="shared" si="99"/>
        <v>5086</v>
      </c>
      <c r="AT217" s="28">
        <f t="shared" si="99"/>
        <v>5663</v>
      </c>
      <c r="AU217" s="28">
        <f t="shared" si="99"/>
        <v>5930</v>
      </c>
      <c r="AV217" s="28">
        <f t="shared" si="99"/>
        <v>6353</v>
      </c>
      <c r="AW217" s="28">
        <f t="shared" si="99"/>
        <v>6763.5702537720554</v>
      </c>
      <c r="AX217" s="28">
        <f t="shared" si="99"/>
        <v>7250.2417713373306</v>
      </c>
      <c r="AY217" s="28">
        <f t="shared" si="99"/>
        <v>7861</v>
      </c>
      <c r="AZ217" s="814">
        <f t="shared" si="99"/>
        <v>8220</v>
      </c>
      <c r="BA217" s="28">
        <f t="shared" si="99"/>
        <v>9002</v>
      </c>
      <c r="BB217" s="28">
        <f t="shared" si="99"/>
        <v>9553</v>
      </c>
      <c r="BC217" s="28">
        <f t="shared" si="99"/>
        <v>10379</v>
      </c>
      <c r="BD217" s="553">
        <f t="shared" si="99"/>
        <v>10605.756365715355</v>
      </c>
      <c r="BE217" s="553">
        <f t="shared" si="99"/>
        <v>11311.903225806451</v>
      </c>
      <c r="BF217" s="553">
        <f t="shared" ref="BF217:BG217" si="100">SUM(BF154+BF183+BF216)</f>
        <v>12208</v>
      </c>
      <c r="BG217" s="553">
        <f t="shared" si="100"/>
        <v>12278</v>
      </c>
      <c r="BH217" s="553">
        <f t="shared" ref="BH217:BI217" si="101">SUM(BH154+BH183+BH216)</f>
        <v>13028</v>
      </c>
      <c r="BI217" s="553">
        <f t="shared" si="101"/>
        <v>13129</v>
      </c>
      <c r="BJ217" s="872">
        <f t="shared" si="92"/>
        <v>6.1084867242221862E-2</v>
      </c>
      <c r="BK217" s="872">
        <f t="shared" si="92"/>
        <v>7.7525330058335895E-3</v>
      </c>
      <c r="BL217" s="567">
        <f t="shared" si="93"/>
        <v>750</v>
      </c>
      <c r="BM217" s="567">
        <f t="shared" si="93"/>
        <v>101</v>
      </c>
      <c r="BN217" s="349"/>
      <c r="BO217" s="512"/>
      <c r="BQ217" s="152"/>
      <c r="BR217" s="320"/>
    </row>
    <row r="218" spans="1:70" ht="11.25" customHeight="1" thickBot="1">
      <c r="A218" s="161" t="s">
        <v>53</v>
      </c>
      <c r="B218" s="815">
        <f t="shared" ref="B218:AT218" si="102">SUM(B124+B217)</f>
        <v>533</v>
      </c>
      <c r="C218" s="133">
        <f t="shared" si="102"/>
        <v>630</v>
      </c>
      <c r="D218" s="133">
        <f t="shared" si="102"/>
        <v>698</v>
      </c>
      <c r="E218" s="133">
        <f t="shared" si="102"/>
        <v>801</v>
      </c>
      <c r="F218" s="133">
        <f t="shared" si="102"/>
        <v>859</v>
      </c>
      <c r="G218" s="133">
        <f t="shared" si="102"/>
        <v>920</v>
      </c>
      <c r="H218" s="133">
        <f t="shared" si="102"/>
        <v>954.84</v>
      </c>
      <c r="I218" s="133">
        <f t="shared" si="102"/>
        <v>1046</v>
      </c>
      <c r="J218" s="133">
        <f t="shared" si="102"/>
        <v>1194.5</v>
      </c>
      <c r="K218" s="133">
        <f t="shared" si="102"/>
        <v>1360</v>
      </c>
      <c r="L218" s="815">
        <f t="shared" si="102"/>
        <v>1584.3980000000001</v>
      </c>
      <c r="M218" s="133">
        <f t="shared" si="102"/>
        <v>1989.0340000000001</v>
      </c>
      <c r="N218" s="133">
        <f t="shared" si="102"/>
        <v>2378.3109999999997</v>
      </c>
      <c r="O218" s="133">
        <f t="shared" si="102"/>
        <v>3014.2049999999999</v>
      </c>
      <c r="P218" s="133">
        <f t="shared" si="102"/>
        <v>3210.2359999999999</v>
      </c>
      <c r="Q218" s="133">
        <f t="shared" si="102"/>
        <v>3889.9430000000002</v>
      </c>
      <c r="R218" s="133">
        <f t="shared" si="102"/>
        <v>4564.2039999999997</v>
      </c>
      <c r="S218" s="133">
        <f t="shared" si="102"/>
        <v>5104.9110000000001</v>
      </c>
      <c r="T218" s="133">
        <f t="shared" si="102"/>
        <v>5541.973</v>
      </c>
      <c r="U218" s="133">
        <f t="shared" si="102"/>
        <v>6206.3860000000004</v>
      </c>
      <c r="V218" s="815">
        <f t="shared" si="102"/>
        <v>7302.5599999999995</v>
      </c>
      <c r="W218" s="133">
        <f t="shared" si="102"/>
        <v>7655.357</v>
      </c>
      <c r="X218" s="133">
        <f t="shared" si="102"/>
        <v>7593.1459999999997</v>
      </c>
      <c r="Y218" s="133">
        <f t="shared" si="102"/>
        <v>7895.6270000000004</v>
      </c>
      <c r="Z218" s="133">
        <f t="shared" si="102"/>
        <v>8372.5040000000008</v>
      </c>
      <c r="AA218" s="133">
        <f t="shared" si="102"/>
        <v>8920.9739999999983</v>
      </c>
      <c r="AB218" s="133">
        <f t="shared" si="102"/>
        <v>9520.732</v>
      </c>
      <c r="AC218" s="133">
        <f t="shared" si="102"/>
        <v>10029.796</v>
      </c>
      <c r="AD218" s="133">
        <f t="shared" si="102"/>
        <v>11264.686</v>
      </c>
      <c r="AE218" s="133">
        <f t="shared" si="102"/>
        <v>12379.557000000001</v>
      </c>
      <c r="AF218" s="815">
        <f t="shared" si="102"/>
        <v>13683.168</v>
      </c>
      <c r="AG218" s="133">
        <f t="shared" si="102"/>
        <v>15125.498</v>
      </c>
      <c r="AH218" s="133">
        <f t="shared" si="102"/>
        <v>16944.548999999999</v>
      </c>
      <c r="AI218" s="133">
        <f t="shared" si="102"/>
        <v>17836.263999999999</v>
      </c>
      <c r="AJ218" s="133">
        <f t="shared" si="102"/>
        <v>18200.646000000001</v>
      </c>
      <c r="AK218" s="133">
        <f t="shared" si="102"/>
        <v>19474</v>
      </c>
      <c r="AL218" s="133">
        <f t="shared" si="102"/>
        <v>19398</v>
      </c>
      <c r="AM218" s="133">
        <f t="shared" si="102"/>
        <v>20803</v>
      </c>
      <c r="AN218" s="133">
        <f t="shared" si="102"/>
        <v>22476</v>
      </c>
      <c r="AO218" s="133">
        <f t="shared" si="102"/>
        <v>23658</v>
      </c>
      <c r="AP218" s="815">
        <f t="shared" si="102"/>
        <v>25414.609704131053</v>
      </c>
      <c r="AQ218" s="133">
        <f t="shared" si="102"/>
        <v>27084.569116926967</v>
      </c>
      <c r="AR218" s="133">
        <f t="shared" si="102"/>
        <v>32095.774949426836</v>
      </c>
      <c r="AS218" s="133">
        <f t="shared" si="102"/>
        <v>40530</v>
      </c>
      <c r="AT218" s="133">
        <f t="shared" si="102"/>
        <v>37720</v>
      </c>
      <c r="AU218" s="133">
        <f t="shared" ref="AU218:BE218" si="103">AU217+AU124</f>
        <v>39338</v>
      </c>
      <c r="AV218" s="222">
        <f t="shared" si="103"/>
        <v>41986</v>
      </c>
      <c r="AW218" s="222">
        <f t="shared" si="103"/>
        <v>43795.671407148569</v>
      </c>
      <c r="AX218" s="222">
        <f t="shared" si="103"/>
        <v>47293.168901266392</v>
      </c>
      <c r="AY218" s="222">
        <f t="shared" si="103"/>
        <v>51403</v>
      </c>
      <c r="AZ218" s="861">
        <f t="shared" si="103"/>
        <v>53887</v>
      </c>
      <c r="BA218" s="376">
        <f t="shared" si="103"/>
        <v>56091</v>
      </c>
      <c r="BB218" s="376">
        <f t="shared" si="103"/>
        <v>57786</v>
      </c>
      <c r="BC218" s="376">
        <f t="shared" si="103"/>
        <v>57655</v>
      </c>
      <c r="BD218" s="554">
        <f t="shared" si="103"/>
        <v>58951.756365715351</v>
      </c>
      <c r="BE218" s="554">
        <f t="shared" si="103"/>
        <v>60960.882065289246</v>
      </c>
      <c r="BF218" s="554">
        <f t="shared" ref="BF218:BG218" si="104">BF217+BF124</f>
        <v>63677</v>
      </c>
      <c r="BG218" s="554">
        <f t="shared" si="104"/>
        <v>65898</v>
      </c>
      <c r="BH218" s="554">
        <f t="shared" ref="BH218:BI218" si="105">BH217+BH124</f>
        <v>69986</v>
      </c>
      <c r="BI218" s="554">
        <f t="shared" si="105"/>
        <v>71083</v>
      </c>
      <c r="BJ218" s="880">
        <f t="shared" si="92"/>
        <v>6.2035266624176758E-2</v>
      </c>
      <c r="BK218" s="880">
        <f t="shared" si="92"/>
        <v>1.5674563484125395E-2</v>
      </c>
      <c r="BL218" s="885">
        <f t="shared" si="93"/>
        <v>4088</v>
      </c>
      <c r="BM218" s="885">
        <f t="shared" si="93"/>
        <v>1097</v>
      </c>
      <c r="BN218" s="349"/>
      <c r="BO218" s="512"/>
      <c r="BQ218" s="152"/>
    </row>
    <row r="219" spans="1:70" ht="16" thickTop="1">
      <c r="A219" s="576" t="s">
        <v>161</v>
      </c>
      <c r="B219" s="642"/>
      <c r="C219" s="608">
        <f>(C218-B218)/B218</f>
        <v>0.18198874296435272</v>
      </c>
      <c r="D219" s="608">
        <f t="shared" ref="D219:BH219" si="106">(D218-C218)/C218</f>
        <v>0.10793650793650794</v>
      </c>
      <c r="E219" s="608">
        <f t="shared" si="106"/>
        <v>0.14756446991404013</v>
      </c>
      <c r="F219" s="608">
        <f t="shared" si="106"/>
        <v>7.2409488139825215E-2</v>
      </c>
      <c r="G219" s="608">
        <f t="shared" si="106"/>
        <v>7.1012805587892899E-2</v>
      </c>
      <c r="H219" s="608">
        <f t="shared" si="106"/>
        <v>3.7869565217391342E-2</v>
      </c>
      <c r="I219" s="608">
        <f t="shared" si="106"/>
        <v>9.547149260609103E-2</v>
      </c>
      <c r="J219" s="608">
        <f t="shared" si="106"/>
        <v>0.14196940726577437</v>
      </c>
      <c r="K219" s="608">
        <f t="shared" si="106"/>
        <v>0.13855169526998745</v>
      </c>
      <c r="L219" s="647">
        <f t="shared" si="106"/>
        <v>0.16499852941176479</v>
      </c>
      <c r="M219" s="608">
        <f t="shared" si="106"/>
        <v>0.2553878507799176</v>
      </c>
      <c r="N219" s="608">
        <f t="shared" si="106"/>
        <v>0.19571158662948929</v>
      </c>
      <c r="O219" s="608">
        <f t="shared" si="106"/>
        <v>0.26737209725725536</v>
      </c>
      <c r="P219" s="608">
        <f t="shared" si="106"/>
        <v>6.5035722520531927E-2</v>
      </c>
      <c r="Q219" s="608">
        <f t="shared" si="106"/>
        <v>0.21173116244413195</v>
      </c>
      <c r="R219" s="608">
        <f t="shared" si="106"/>
        <v>0.17333441646831316</v>
      </c>
      <c r="S219" s="608">
        <f t="shared" si="106"/>
        <v>0.11846687834286118</v>
      </c>
      <c r="T219" s="608">
        <f t="shared" si="106"/>
        <v>8.5615988212135313E-2</v>
      </c>
      <c r="U219" s="608">
        <f t="shared" si="106"/>
        <v>0.11988744802618137</v>
      </c>
      <c r="V219" s="647">
        <f t="shared" si="106"/>
        <v>0.17662033911522729</v>
      </c>
      <c r="W219" s="608">
        <f t="shared" si="106"/>
        <v>4.8311414079446183E-2</v>
      </c>
      <c r="X219" s="608">
        <f t="shared" si="106"/>
        <v>-8.126466211830519E-3</v>
      </c>
      <c r="Y219" s="608">
        <f t="shared" si="106"/>
        <v>3.9836057412830028E-2</v>
      </c>
      <c r="Z219" s="608">
        <f t="shared" si="106"/>
        <v>6.0397609968150773E-2</v>
      </c>
      <c r="AA219" s="608">
        <f t="shared" si="106"/>
        <v>6.5508478706011661E-2</v>
      </c>
      <c r="AB219" s="608">
        <f t="shared" si="106"/>
        <v>6.7230102901320157E-2</v>
      </c>
      <c r="AC219" s="608">
        <f t="shared" si="106"/>
        <v>5.3468997972004703E-2</v>
      </c>
      <c r="AD219" s="608">
        <f t="shared" si="106"/>
        <v>0.12312214525599517</v>
      </c>
      <c r="AE219" s="608">
        <f t="shared" si="106"/>
        <v>9.897044622459969E-2</v>
      </c>
      <c r="AF219" s="647">
        <f t="shared" si="106"/>
        <v>0.10530352580467935</v>
      </c>
      <c r="AG219" s="608">
        <f t="shared" si="106"/>
        <v>0.10540906901091911</v>
      </c>
      <c r="AH219" s="608">
        <f t="shared" si="106"/>
        <v>0.12026387494811738</v>
      </c>
      <c r="AI219" s="608">
        <f t="shared" si="106"/>
        <v>5.2625478553604478E-2</v>
      </c>
      <c r="AJ219" s="608">
        <f t="shared" si="106"/>
        <v>2.0429278238985556E-2</v>
      </c>
      <c r="AK219" s="608">
        <f t="shared" si="106"/>
        <v>6.9962022227123111E-2</v>
      </c>
      <c r="AL219" s="608">
        <f t="shared" si="106"/>
        <v>-3.902639416658108E-3</v>
      </c>
      <c r="AM219" s="608">
        <f t="shared" si="106"/>
        <v>7.2430147437880191E-2</v>
      </c>
      <c r="AN219" s="608">
        <f t="shared" si="106"/>
        <v>8.0421093111570446E-2</v>
      </c>
      <c r="AO219" s="608">
        <f t="shared" si="106"/>
        <v>5.2589428723972237E-2</v>
      </c>
      <c r="AP219" s="647">
        <f t="shared" si="106"/>
        <v>7.4250135435415213E-2</v>
      </c>
      <c r="AQ219" s="608">
        <f t="shared" si="106"/>
        <v>6.5708638937880981E-2</v>
      </c>
      <c r="AR219" s="608">
        <f t="shared" si="106"/>
        <v>0.18502069613387462</v>
      </c>
      <c r="AS219" s="608">
        <f t="shared" si="106"/>
        <v>0.2627830318433792</v>
      </c>
      <c r="AT219" s="608">
        <f t="shared" si="106"/>
        <v>-6.9331359486799901E-2</v>
      </c>
      <c r="AU219" s="608">
        <f t="shared" si="106"/>
        <v>4.2895015906680808E-2</v>
      </c>
      <c r="AV219" s="608">
        <f t="shared" si="106"/>
        <v>6.7314047485891509E-2</v>
      </c>
      <c r="AW219" s="608">
        <f t="shared" si="106"/>
        <v>4.3101781716490484E-2</v>
      </c>
      <c r="AX219" s="608">
        <f t="shared" si="106"/>
        <v>7.9859433175556743E-2</v>
      </c>
      <c r="AY219" s="608">
        <f t="shared" si="106"/>
        <v>8.690115706379653E-2</v>
      </c>
      <c r="AZ219" s="647">
        <f t="shared" si="106"/>
        <v>4.8324027780479742E-2</v>
      </c>
      <c r="BA219" s="608">
        <f t="shared" si="106"/>
        <v>4.0900402694527438E-2</v>
      </c>
      <c r="BB219" s="608">
        <f t="shared" si="106"/>
        <v>3.0218751671391132E-2</v>
      </c>
      <c r="BC219" s="608">
        <f t="shared" si="106"/>
        <v>-2.26698508289205E-3</v>
      </c>
      <c r="BD219" s="608">
        <f t="shared" si="106"/>
        <v>2.2491654942595637E-2</v>
      </c>
      <c r="BE219" s="608">
        <f t="shared" si="106"/>
        <v>3.4080845481685169E-2</v>
      </c>
      <c r="BF219" s="647">
        <f t="shared" si="106"/>
        <v>4.4555095705501521E-2</v>
      </c>
      <c r="BG219" s="647">
        <f t="shared" si="106"/>
        <v>3.4879155739120878E-2</v>
      </c>
      <c r="BH219" s="647">
        <f t="shared" si="106"/>
        <v>6.2035266624176758E-2</v>
      </c>
      <c r="BI219" s="647"/>
      <c r="BJ219" s="671"/>
      <c r="BK219" s="671"/>
      <c r="BL219" s="574"/>
      <c r="BM219" s="575"/>
      <c r="BN219" s="512"/>
      <c r="BP219"/>
    </row>
    <row r="220" spans="1:70" ht="14.25" customHeight="1">
      <c r="A220" s="150" t="s">
        <v>69</v>
      </c>
      <c r="B220" s="642"/>
      <c r="C220" s="10"/>
      <c r="D220" s="10"/>
      <c r="E220" s="10"/>
      <c r="F220" s="10"/>
      <c r="G220" s="10"/>
      <c r="H220" s="10"/>
      <c r="I220" s="10"/>
      <c r="J220" s="10"/>
      <c r="K220" s="10"/>
      <c r="L220" s="647">
        <f>SUM(C219:L219)/10</f>
        <v>0.11597727043136279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647">
        <f>SUM(M219:V219)/10</f>
        <v>0.16691634897960442</v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647">
        <f>SUM(W219:AF219)/10</f>
        <v>6.540223121132073E-2</v>
      </c>
      <c r="AG220" s="10"/>
      <c r="AH220" s="10"/>
      <c r="AI220" s="10"/>
      <c r="AJ220" s="10"/>
      <c r="AK220" s="10"/>
      <c r="AL220" s="10"/>
      <c r="AM220" s="10"/>
      <c r="AN220" s="10"/>
      <c r="AO220" s="10"/>
      <c r="AP220" s="647">
        <f>SUM(AG219:AP219)/10</f>
        <v>6.4447788827092969E-2</v>
      </c>
      <c r="AQ220" s="10"/>
      <c r="AR220" s="10"/>
      <c r="AS220" s="10"/>
      <c r="AT220" s="10"/>
      <c r="AU220" s="10"/>
      <c r="AV220" s="10"/>
      <c r="AW220" s="10"/>
      <c r="AX220" s="10"/>
      <c r="AY220" s="10"/>
      <c r="AZ220" s="647">
        <f>SUM(AQ219:AZ219)/10</f>
        <v>8.1257647055723067E-2</v>
      </c>
      <c r="BA220" s="10"/>
      <c r="BB220" s="10"/>
      <c r="BC220" s="10"/>
      <c r="BD220" s="10"/>
      <c r="BE220" s="10"/>
      <c r="BF220" s="642"/>
      <c r="BG220" s="642"/>
      <c r="BH220" s="642"/>
      <c r="BI220" s="642"/>
      <c r="BJ220" s="881"/>
      <c r="BK220" s="881"/>
      <c r="BN220" s="112"/>
      <c r="BP220"/>
    </row>
    <row r="221" spans="1:70" ht="13.5" customHeight="1">
      <c r="B221" s="816"/>
      <c r="C221" s="111"/>
      <c r="D221" s="111"/>
      <c r="E221" s="111"/>
      <c r="F221" s="111"/>
      <c r="G221" s="111"/>
      <c r="H221" s="111"/>
      <c r="I221" s="111"/>
      <c r="J221" s="111"/>
      <c r="K221" s="111"/>
      <c r="L221" s="816"/>
      <c r="M221" s="111"/>
      <c r="N221" s="111"/>
      <c r="O221" s="111"/>
      <c r="P221" s="111"/>
      <c r="Q221" s="111"/>
      <c r="R221" s="111"/>
      <c r="S221" s="111"/>
      <c r="T221" s="111"/>
      <c r="U221" s="111"/>
      <c r="V221" s="596"/>
      <c r="W221" s="6"/>
      <c r="X221" s="6"/>
      <c r="Y221" s="6"/>
      <c r="Z221" s="6"/>
      <c r="AA221" s="6"/>
      <c r="AB221" s="8"/>
      <c r="AC221" s="6"/>
      <c r="AD221" s="11"/>
      <c r="AE221" s="6"/>
      <c r="AF221" s="179"/>
      <c r="AG221" s="6"/>
      <c r="AH221" s="6"/>
      <c r="AI221" s="11"/>
      <c r="AJ221" s="11"/>
      <c r="AK221" s="11"/>
      <c r="AL221" s="6"/>
      <c r="AM221" s="23"/>
      <c r="AN221" s="23"/>
      <c r="AO221" s="23"/>
      <c r="AP221" s="180"/>
      <c r="AQ221" s="23"/>
      <c r="AR221" s="23"/>
      <c r="AS221" s="23"/>
      <c r="AT221" s="23"/>
      <c r="AU221" s="23"/>
      <c r="AV221" s="23"/>
      <c r="AW221" s="197"/>
      <c r="AX221" s="197"/>
      <c r="AY221" s="197"/>
      <c r="AZ221" s="862"/>
      <c r="BA221" s="309"/>
      <c r="BB221" s="316"/>
      <c r="BC221" s="296"/>
      <c r="BD221" s="535"/>
      <c r="BE221" s="535"/>
      <c r="BF221" s="535"/>
      <c r="BG221" s="535"/>
      <c r="BH221" s="535"/>
      <c r="BI221" s="535"/>
      <c r="BJ221" s="871"/>
      <c r="BK221" s="871"/>
    </row>
    <row r="222" spans="1:70" ht="11.25" customHeight="1">
      <c r="A222" s="115" t="s">
        <v>54</v>
      </c>
      <c r="B222" s="816" t="s">
        <v>70</v>
      </c>
      <c r="C222" s="114"/>
      <c r="L222" s="179"/>
      <c r="M222" s="6"/>
      <c r="N222" s="6"/>
      <c r="O222" s="6"/>
      <c r="P222" s="6"/>
      <c r="Q222" s="11"/>
      <c r="R222" s="6"/>
      <c r="S222" s="6"/>
      <c r="T222" s="6"/>
      <c r="U222" s="6"/>
      <c r="V222" s="179"/>
      <c r="W222" s="6"/>
      <c r="X222" s="6"/>
      <c r="Y222" s="6"/>
      <c r="Z222" s="6"/>
      <c r="AA222" s="6"/>
      <c r="AB222" s="6"/>
      <c r="AC222" s="6"/>
      <c r="AD222" s="6"/>
      <c r="AE222" s="6"/>
      <c r="AF222" s="179"/>
      <c r="AG222" s="6"/>
      <c r="AH222" s="6"/>
      <c r="AI222" s="6"/>
      <c r="AJ222" s="6"/>
      <c r="AK222" s="6"/>
      <c r="AL222" s="6"/>
      <c r="AM222" s="6"/>
      <c r="AN222" s="6"/>
      <c r="AO222" s="6"/>
      <c r="AP222" s="180"/>
      <c r="AQ222" s="111" t="s">
        <v>70</v>
      </c>
      <c r="AR222" s="23"/>
      <c r="AS222" s="23"/>
      <c r="AT222" s="23"/>
      <c r="AU222" s="23"/>
      <c r="AV222" s="23"/>
      <c r="AW222" s="197"/>
      <c r="AX222" s="197"/>
      <c r="AY222" s="197"/>
      <c r="AZ222" s="862"/>
      <c r="BA222" s="309"/>
      <c r="BB222" s="316"/>
      <c r="BC222" s="296"/>
      <c r="BD222" s="535"/>
      <c r="BE222" s="535"/>
      <c r="BF222" s="535"/>
      <c r="BG222" s="535"/>
      <c r="BH222" s="535"/>
      <c r="BI222" s="535"/>
      <c r="BJ222" s="871"/>
      <c r="BK222" s="871"/>
    </row>
    <row r="223" spans="1:70" ht="11.25" customHeight="1">
      <c r="A223" s="115" t="s">
        <v>58</v>
      </c>
      <c r="B223" s="286" t="s">
        <v>158</v>
      </c>
      <c r="C223" s="111"/>
      <c r="L223" s="179"/>
      <c r="M223" s="6"/>
      <c r="N223" s="6"/>
      <c r="O223" s="6"/>
      <c r="P223" s="6"/>
      <c r="Q223" s="11"/>
      <c r="R223" s="6"/>
      <c r="S223" s="6"/>
      <c r="T223" s="6"/>
      <c r="U223" s="6"/>
      <c r="V223" s="179"/>
      <c r="W223" s="6"/>
      <c r="X223" s="6"/>
      <c r="Y223" s="6"/>
      <c r="Z223" s="6"/>
      <c r="AA223" s="11"/>
      <c r="AB223" s="8"/>
      <c r="AC223" s="11"/>
      <c r="AD223" s="6"/>
      <c r="AE223" s="6"/>
      <c r="AF223" s="596"/>
      <c r="AG223" s="11"/>
      <c r="AH223" s="11"/>
      <c r="AI223" s="11"/>
      <c r="AJ223" s="11"/>
      <c r="AK223" s="11"/>
      <c r="AL223" s="6"/>
      <c r="AM223" s="23"/>
      <c r="AN223" s="23"/>
      <c r="AO223" s="23"/>
      <c r="AP223" s="180"/>
      <c r="AQ223" s="115" t="s">
        <v>74</v>
      </c>
      <c r="AR223" s="23"/>
      <c r="AS223" s="23"/>
      <c r="AT223" s="23"/>
      <c r="AU223" s="23"/>
      <c r="AV223" s="23"/>
      <c r="AW223" s="197"/>
      <c r="AX223" s="197"/>
      <c r="AY223" s="197"/>
      <c r="AZ223" s="862"/>
      <c r="BA223" s="309"/>
      <c r="BB223" s="316"/>
      <c r="BC223" s="296"/>
      <c r="BD223" s="535"/>
      <c r="BE223" s="535"/>
      <c r="BF223" s="535"/>
      <c r="BG223" s="535"/>
      <c r="BH223" s="535"/>
      <c r="BI223" s="535"/>
      <c r="BJ223" s="871"/>
      <c r="BK223" s="871"/>
    </row>
    <row r="224" spans="1:70" ht="11.25" customHeight="1">
      <c r="A224" s="115" t="s">
        <v>55</v>
      </c>
      <c r="B224" s="816"/>
      <c r="C224" s="111"/>
      <c r="D224" s="69"/>
      <c r="E224" s="69"/>
      <c r="F224" s="69"/>
      <c r="G224" s="69"/>
      <c r="H224" s="69"/>
      <c r="I224" s="69"/>
      <c r="J224" s="69"/>
      <c r="K224" s="69"/>
      <c r="L224" s="831"/>
      <c r="M224" s="106"/>
      <c r="N224"/>
      <c r="O224"/>
      <c r="P224"/>
      <c r="Q224"/>
      <c r="R224"/>
      <c r="S224"/>
      <c r="T224"/>
      <c r="U224"/>
      <c r="V224" s="177"/>
      <c r="W224"/>
      <c r="X224"/>
      <c r="Y224"/>
      <c r="Z224"/>
      <c r="AA224"/>
      <c r="AB224"/>
      <c r="AC224"/>
      <c r="AD224"/>
      <c r="AE224"/>
      <c r="AF224" s="177"/>
      <c r="AG224"/>
      <c r="AH224"/>
      <c r="AI224"/>
      <c r="AJ224"/>
      <c r="AK224"/>
      <c r="AL224"/>
      <c r="AM224"/>
      <c r="AN224"/>
      <c r="AO224"/>
      <c r="AP224" s="177"/>
      <c r="AQ224"/>
      <c r="AR224"/>
      <c r="AS224"/>
      <c r="AT224"/>
      <c r="AU224"/>
    </row>
    <row r="225" spans="1:67">
      <c r="A225" s="115"/>
      <c r="B225" s="816"/>
      <c r="C225" s="110"/>
      <c r="D225" s="69"/>
      <c r="E225" s="69"/>
      <c r="F225" s="69"/>
      <c r="G225" s="69"/>
      <c r="H225" s="69"/>
      <c r="I225" s="69"/>
      <c r="J225" s="69"/>
      <c r="K225" s="69"/>
      <c r="L225" s="831"/>
      <c r="M225" s="106"/>
      <c r="N225"/>
      <c r="O225"/>
      <c r="P225"/>
      <c r="Q225"/>
      <c r="R225"/>
      <c r="S225"/>
      <c r="T225"/>
      <c r="U225"/>
      <c r="V225" s="177"/>
      <c r="W225"/>
      <c r="X225"/>
      <c r="Y225"/>
      <c r="Z225"/>
      <c r="AA225"/>
      <c r="AB225"/>
      <c r="AC225"/>
      <c r="AD225"/>
      <c r="AE225"/>
      <c r="AF225" s="177"/>
      <c r="AG225"/>
      <c r="AH225"/>
      <c r="AI225"/>
      <c r="AJ225"/>
      <c r="AK225"/>
      <c r="AL225"/>
      <c r="AM225"/>
      <c r="AN225"/>
      <c r="AO225"/>
      <c r="AP225" s="177"/>
      <c r="AQ225"/>
      <c r="AR225"/>
      <c r="AS225"/>
      <c r="AT225"/>
      <c r="AU225"/>
    </row>
    <row r="226" spans="1:67" ht="11.25" customHeight="1">
      <c r="A226" s="289" t="s">
        <v>121</v>
      </c>
      <c r="B226" s="643"/>
      <c r="C226" s="110"/>
      <c r="L226" s="596"/>
      <c r="M226" s="6"/>
      <c r="N226" s="6"/>
      <c r="O226" s="6"/>
      <c r="P226" s="6"/>
      <c r="Q226" s="11"/>
      <c r="R226" s="6"/>
      <c r="S226" s="6"/>
      <c r="T226" s="6"/>
      <c r="U226" s="6"/>
      <c r="V226" s="596"/>
      <c r="W226" s="6"/>
      <c r="X226" s="6"/>
      <c r="Y226" s="6"/>
      <c r="Z226" s="6"/>
      <c r="AA226" s="11"/>
      <c r="AB226" s="8"/>
      <c r="AC226" s="11"/>
      <c r="AD226" s="11"/>
      <c r="AE226" s="6"/>
      <c r="AF226" s="596"/>
      <c r="AG226" s="11"/>
      <c r="AH226" s="11"/>
      <c r="AI226" s="11"/>
      <c r="AJ226" s="11"/>
      <c r="AK226" s="11"/>
      <c r="AL226" s="6"/>
      <c r="AM226" s="23"/>
      <c r="AN226" s="23"/>
      <c r="AO226" s="23"/>
      <c r="AP226" s="180"/>
      <c r="AQ226" s="23"/>
      <c r="AR226" s="23"/>
      <c r="AS226" s="23"/>
      <c r="AT226" s="23"/>
      <c r="AU226" s="23"/>
      <c r="AV226" s="23"/>
      <c r="AW226" s="197"/>
      <c r="AX226" s="197"/>
      <c r="AY226" s="197"/>
      <c r="AZ226" s="862"/>
      <c r="BA226" s="309"/>
      <c r="BB226" s="316"/>
      <c r="BC226" s="296"/>
      <c r="BD226" s="535"/>
      <c r="BE226" s="535"/>
      <c r="BF226" s="535"/>
      <c r="BG226" s="535"/>
      <c r="BH226" s="535"/>
      <c r="BI226" s="535"/>
      <c r="BJ226" s="871"/>
      <c r="BK226" s="871"/>
    </row>
    <row r="227" spans="1:67" ht="11.25" customHeight="1">
      <c r="A227" s="110" t="s">
        <v>63</v>
      </c>
      <c r="B227" s="643"/>
      <c r="C227" s="111"/>
      <c r="L227" s="596"/>
      <c r="M227" s="6"/>
      <c r="N227" s="6"/>
      <c r="O227" s="6"/>
      <c r="P227" s="6"/>
      <c r="Q227" s="11"/>
      <c r="R227" s="6"/>
      <c r="S227" s="6"/>
      <c r="T227" s="6"/>
      <c r="U227" s="6"/>
      <c r="V227" s="596"/>
      <c r="W227" s="6"/>
      <c r="X227" s="6"/>
      <c r="Y227" s="6"/>
      <c r="Z227" s="6"/>
      <c r="AA227" s="11"/>
      <c r="AB227" s="8"/>
      <c r="AC227" s="11"/>
      <c r="AD227" s="11"/>
      <c r="AE227" s="6"/>
      <c r="AF227" s="596"/>
      <c r="AG227" s="11"/>
      <c r="AH227" s="11"/>
      <c r="AI227" s="11"/>
      <c r="AJ227" s="11"/>
      <c r="AK227" s="11"/>
      <c r="AL227" s="6"/>
      <c r="AM227" s="23"/>
      <c r="AN227" s="23"/>
      <c r="AO227" s="23"/>
      <c r="AP227" s="180"/>
      <c r="AQ227" s="23"/>
      <c r="AR227" s="23"/>
      <c r="AS227" s="23"/>
      <c r="AT227" s="23"/>
      <c r="AU227" s="23"/>
      <c r="AV227" s="23"/>
      <c r="AW227" s="197"/>
      <c r="AX227" s="197"/>
      <c r="AY227" s="197"/>
      <c r="AZ227" s="862"/>
      <c r="BA227" s="309"/>
      <c r="BB227" s="316"/>
      <c r="BC227" s="296"/>
      <c r="BD227" s="535"/>
      <c r="BE227" s="535"/>
      <c r="BF227" s="535"/>
      <c r="BG227" s="535"/>
      <c r="BH227" s="535"/>
      <c r="BI227" s="535"/>
      <c r="BJ227" s="871"/>
      <c r="BK227" s="871"/>
    </row>
    <row r="228" spans="1:67" ht="11.25" customHeight="1">
      <c r="A228" s="115"/>
      <c r="B228" s="816"/>
      <c r="C228" s="111"/>
      <c r="L228" s="596"/>
      <c r="M228" s="6"/>
      <c r="N228" s="6"/>
      <c r="O228" s="6"/>
      <c r="P228" s="6"/>
      <c r="Q228" s="11"/>
      <c r="R228" s="6"/>
      <c r="S228" s="6"/>
      <c r="T228" s="6"/>
      <c r="U228" s="6"/>
      <c r="V228" s="596"/>
      <c r="W228" s="6"/>
      <c r="X228" s="6"/>
      <c r="Y228" s="6"/>
      <c r="Z228" s="6"/>
      <c r="AA228" s="11"/>
      <c r="AB228" s="8"/>
      <c r="AC228" s="11"/>
      <c r="AD228" s="11"/>
      <c r="AE228" s="6"/>
      <c r="AF228" s="596"/>
      <c r="AG228" s="11"/>
      <c r="AH228" s="11"/>
      <c r="AI228" s="11"/>
      <c r="AJ228" s="11"/>
      <c r="AK228" s="11"/>
      <c r="AL228" s="6"/>
      <c r="AM228" s="23"/>
      <c r="AN228" s="23"/>
      <c r="AO228" s="23"/>
      <c r="AP228" s="180"/>
      <c r="AQ228" s="23"/>
      <c r="AR228" s="23"/>
      <c r="AS228" s="149"/>
      <c r="AT228" s="149"/>
      <c r="AU228" s="149"/>
      <c r="AV228" s="149"/>
      <c r="AW228" s="198"/>
      <c r="AX228" s="198"/>
      <c r="AY228" s="198"/>
      <c r="AZ228" s="863"/>
      <c r="BA228" s="377"/>
      <c r="BB228" s="318"/>
      <c r="BC228" s="290"/>
      <c r="BD228" s="555"/>
      <c r="BE228" s="555"/>
      <c r="BF228" s="555"/>
      <c r="BG228" s="555"/>
      <c r="BH228" s="555"/>
      <c r="BI228" s="555"/>
      <c r="BJ228" s="871"/>
      <c r="BK228" s="871"/>
    </row>
    <row r="229" spans="1:67" ht="11.25" customHeight="1">
      <c r="A229" s="115"/>
      <c r="B229" s="817"/>
      <c r="C229" s="341"/>
      <c r="D229" s="341"/>
      <c r="E229" s="341"/>
      <c r="F229" s="341"/>
      <c r="G229" s="341"/>
      <c r="H229" s="341"/>
      <c r="I229" s="341"/>
      <c r="J229" s="341"/>
      <c r="K229" s="341"/>
      <c r="L229" s="817"/>
      <c r="M229" s="341"/>
      <c r="N229" s="341"/>
      <c r="O229" s="341"/>
      <c r="P229" s="341"/>
      <c r="Q229" s="341"/>
      <c r="R229" s="341"/>
      <c r="S229" s="341"/>
      <c r="T229" s="341"/>
      <c r="U229" s="341"/>
      <c r="V229" s="817"/>
      <c r="W229" s="341"/>
      <c r="X229" s="341"/>
      <c r="Y229" s="341"/>
      <c r="Z229" s="341"/>
      <c r="AA229" s="341"/>
      <c r="AB229" s="341"/>
      <c r="AC229" s="341"/>
      <c r="AD229" s="341"/>
      <c r="AE229" s="341"/>
      <c r="AF229" s="817"/>
      <c r="AG229" s="341"/>
      <c r="AH229" s="341"/>
      <c r="AI229" s="341"/>
      <c r="AJ229" s="341"/>
      <c r="AK229" s="341"/>
      <c r="AL229" s="341"/>
      <c r="AM229" s="341"/>
      <c r="AN229" s="341"/>
      <c r="AO229" s="341"/>
      <c r="AP229" s="817"/>
      <c r="AQ229" s="341"/>
      <c r="AR229" s="341"/>
      <c r="AS229" s="341"/>
      <c r="AT229" s="341"/>
      <c r="AU229" s="341"/>
      <c r="AV229" s="341"/>
      <c r="AW229" s="341"/>
      <c r="AX229" s="341"/>
      <c r="AY229" s="341"/>
      <c r="AZ229" s="817"/>
      <c r="BA229" s="378"/>
      <c r="BB229" s="382"/>
      <c r="BC229" s="458"/>
      <c r="BD229" s="556"/>
      <c r="BE229" s="556"/>
      <c r="BF229" s="556"/>
      <c r="BG229" s="556"/>
      <c r="BH229" s="556"/>
      <c r="BI229" s="556"/>
      <c r="BJ229" s="871"/>
      <c r="BK229" s="871"/>
      <c r="BO229" s="512"/>
    </row>
    <row r="230" spans="1:67" ht="11.25" customHeight="1">
      <c r="A230" s="55"/>
      <c r="B230" s="817"/>
      <c r="C230" s="341"/>
      <c r="D230" s="341"/>
      <c r="E230" s="341"/>
      <c r="F230" s="341"/>
      <c r="G230" s="341"/>
      <c r="H230" s="341"/>
      <c r="I230" s="341"/>
      <c r="J230" s="341"/>
      <c r="K230" s="341"/>
      <c r="L230" s="817"/>
      <c r="M230" s="341"/>
      <c r="N230" s="341"/>
      <c r="O230" s="341"/>
      <c r="P230" s="341"/>
      <c r="Q230" s="341"/>
      <c r="R230" s="341"/>
      <c r="S230" s="341"/>
      <c r="T230" s="341"/>
      <c r="U230" s="341"/>
      <c r="V230" s="817"/>
      <c r="W230" s="341"/>
      <c r="X230" s="341"/>
      <c r="Y230" s="341"/>
      <c r="Z230" s="341"/>
      <c r="AA230" s="341"/>
      <c r="AB230" s="341"/>
      <c r="AC230" s="341"/>
      <c r="AD230" s="341"/>
      <c r="AE230" s="341"/>
      <c r="AF230" s="817"/>
      <c r="AG230" s="341"/>
      <c r="AH230" s="341"/>
      <c r="AI230" s="341"/>
      <c r="AJ230" s="341"/>
      <c r="AK230" s="341"/>
      <c r="AL230" s="341"/>
      <c r="AM230" s="341"/>
      <c r="AN230" s="341"/>
      <c r="AO230" s="341"/>
      <c r="AP230" s="817"/>
      <c r="AQ230" s="341"/>
      <c r="AR230" s="341"/>
      <c r="AS230" s="341"/>
      <c r="AT230" s="341"/>
      <c r="AU230" s="341"/>
      <c r="AV230" s="341"/>
      <c r="AW230" s="341"/>
      <c r="AX230" s="341"/>
      <c r="AY230" s="341"/>
      <c r="AZ230" s="817"/>
      <c r="BA230" s="378"/>
      <c r="BB230" s="382"/>
      <c r="BC230" s="458"/>
      <c r="BD230" s="556"/>
      <c r="BE230" s="556"/>
      <c r="BF230" s="556"/>
      <c r="BG230" s="556"/>
      <c r="BH230" s="556"/>
      <c r="BI230" s="556"/>
      <c r="BJ230" s="871"/>
      <c r="BK230" s="871"/>
    </row>
    <row r="231" spans="1:67" ht="11.25" customHeight="1">
      <c r="A231" s="55"/>
      <c r="L231" s="596"/>
      <c r="M231" s="6"/>
      <c r="N231" s="6"/>
      <c r="O231" s="6"/>
      <c r="P231" s="6"/>
      <c r="Q231" s="11"/>
      <c r="R231" s="6"/>
      <c r="S231" s="6"/>
      <c r="T231" s="6"/>
      <c r="U231" s="6"/>
      <c r="V231" s="596"/>
      <c r="W231" s="6"/>
      <c r="X231" s="6"/>
      <c r="Y231" s="6"/>
      <c r="Z231" s="6"/>
      <c r="AA231" s="11"/>
      <c r="AB231" s="8"/>
      <c r="AC231" s="11"/>
      <c r="AD231" s="11"/>
      <c r="AE231" s="6"/>
      <c r="AF231" s="596"/>
      <c r="AG231" s="11"/>
      <c r="AH231" s="11"/>
      <c r="AI231" s="11"/>
      <c r="AJ231" s="11"/>
      <c r="AK231" s="11"/>
      <c r="AL231" s="6"/>
      <c r="AM231" s="23"/>
      <c r="AN231" s="23"/>
      <c r="AO231" s="23"/>
      <c r="AP231" s="180"/>
      <c r="AQ231" s="23"/>
      <c r="AR231" s="23"/>
      <c r="AS231" s="23"/>
      <c r="AT231" s="23"/>
      <c r="AU231" s="23"/>
      <c r="AV231" s="23"/>
      <c r="AW231" s="197"/>
      <c r="AX231" s="197"/>
      <c r="AY231" s="197"/>
      <c r="AZ231" s="862"/>
      <c r="BA231" s="309"/>
      <c r="BB231" s="316"/>
      <c r="BC231" s="296"/>
      <c r="BD231" s="535"/>
      <c r="BE231" s="535"/>
      <c r="BF231" s="535"/>
      <c r="BG231" s="535"/>
      <c r="BH231" s="535"/>
      <c r="BI231" s="535"/>
      <c r="BJ231" s="871"/>
      <c r="BK231" s="871"/>
    </row>
    <row r="232" spans="1:67" ht="11.25" customHeight="1">
      <c r="A232" s="55"/>
      <c r="L232" s="596"/>
      <c r="M232" s="6"/>
      <c r="N232" s="6"/>
      <c r="O232" s="6"/>
      <c r="P232" s="6"/>
      <c r="Q232" s="11"/>
      <c r="R232" s="6"/>
      <c r="S232" s="6"/>
      <c r="T232" s="6"/>
      <c r="U232" s="6"/>
      <c r="V232" s="596"/>
      <c r="W232" s="6"/>
      <c r="X232" s="6"/>
      <c r="Y232" s="6"/>
      <c r="Z232" s="6"/>
      <c r="AA232" s="11"/>
      <c r="AB232" s="8"/>
      <c r="AC232" s="11"/>
      <c r="AD232" s="11"/>
      <c r="AE232" s="6"/>
      <c r="AF232" s="596"/>
      <c r="AG232" s="11"/>
      <c r="AH232" s="11"/>
      <c r="AI232" s="11"/>
      <c r="AJ232" s="11"/>
      <c r="AK232" s="11"/>
      <c r="AL232" s="6"/>
      <c r="AM232" s="23"/>
      <c r="AN232" s="23"/>
      <c r="AO232" s="23"/>
      <c r="AP232" s="180"/>
      <c r="AQ232" s="23"/>
      <c r="AR232" s="23"/>
      <c r="AS232" s="23"/>
      <c r="AT232" s="23"/>
      <c r="AU232" s="23"/>
      <c r="AV232" s="23"/>
      <c r="AW232" s="197"/>
      <c r="AX232" s="197"/>
      <c r="AY232" s="197"/>
      <c r="AZ232" s="862"/>
      <c r="BA232" s="309"/>
      <c r="BB232" s="316"/>
      <c r="BC232" s="296"/>
      <c r="BD232" s="535"/>
      <c r="BE232" s="535"/>
      <c r="BF232" s="535"/>
      <c r="BG232" s="535"/>
      <c r="BH232" s="535"/>
      <c r="BI232" s="535"/>
      <c r="BJ232" s="871"/>
      <c r="BK232" s="871"/>
    </row>
    <row r="233" spans="1:67" ht="11.25" customHeight="1">
      <c r="A233" s="55"/>
      <c r="L233" s="596"/>
      <c r="M233" s="6"/>
      <c r="N233" s="6"/>
      <c r="O233" s="6"/>
      <c r="P233" s="6"/>
      <c r="Q233" s="11"/>
      <c r="R233" s="6"/>
      <c r="S233" s="6"/>
      <c r="T233" s="6"/>
      <c r="U233" s="6"/>
      <c r="V233" s="596"/>
      <c r="W233" s="6"/>
      <c r="X233" s="6"/>
      <c r="Y233" s="6"/>
      <c r="Z233" s="6"/>
      <c r="AA233" s="11"/>
      <c r="AB233" s="8"/>
      <c r="AC233" s="11"/>
      <c r="AD233" s="11"/>
      <c r="AE233" s="6"/>
      <c r="AF233" s="596"/>
      <c r="AG233" s="11"/>
      <c r="AH233" s="11"/>
      <c r="AI233" s="11"/>
      <c r="AJ233" s="11"/>
      <c r="AK233" s="11"/>
      <c r="AL233" s="6"/>
      <c r="AM233" s="23"/>
      <c r="AN233" s="23"/>
      <c r="AO233" s="23"/>
      <c r="AP233" s="180"/>
      <c r="AQ233" s="23"/>
      <c r="AR233" s="23"/>
      <c r="AS233" s="23"/>
      <c r="AT233" s="23"/>
      <c r="AU233" s="23"/>
      <c r="AV233" s="23"/>
      <c r="AW233" s="197"/>
      <c r="AX233" s="197"/>
      <c r="AY233" s="197"/>
      <c r="AZ233" s="862"/>
      <c r="BA233" s="309"/>
      <c r="BB233" s="316"/>
      <c r="BC233" s="296"/>
      <c r="BD233" s="535"/>
      <c r="BE233" s="535"/>
      <c r="BF233" s="535"/>
      <c r="BG233" s="535"/>
      <c r="BH233" s="535"/>
      <c r="BI233" s="535"/>
      <c r="BJ233" s="871"/>
      <c r="BK233" s="871"/>
    </row>
    <row r="234" spans="1:67" ht="11.25" customHeight="1">
      <c r="A234" s="55"/>
      <c r="L234" s="596"/>
      <c r="M234" s="6"/>
      <c r="N234" s="6"/>
      <c r="O234" s="6"/>
      <c r="P234" s="6"/>
      <c r="Q234" s="11"/>
      <c r="R234" s="6"/>
      <c r="S234" s="6"/>
      <c r="T234" s="6"/>
      <c r="U234" s="6"/>
      <c r="V234" s="596"/>
      <c r="W234" s="6"/>
      <c r="X234" s="6"/>
      <c r="Y234" s="6"/>
      <c r="Z234" s="6"/>
      <c r="AA234" s="11"/>
      <c r="AB234" s="8"/>
      <c r="AC234" s="11"/>
      <c r="AD234" s="11"/>
      <c r="AE234" s="6"/>
      <c r="AF234" s="596"/>
      <c r="AG234" s="11"/>
      <c r="AH234" s="11"/>
      <c r="AI234" s="11"/>
      <c r="AJ234" s="11"/>
      <c r="AK234" s="11"/>
      <c r="AL234" s="6"/>
      <c r="AM234" s="23"/>
      <c r="AN234" s="23"/>
      <c r="AO234" s="23"/>
      <c r="AP234" s="180"/>
      <c r="AQ234" s="23"/>
      <c r="AR234" s="23"/>
      <c r="AS234" s="23"/>
      <c r="AT234" s="23"/>
      <c r="AU234" s="23"/>
      <c r="AV234" s="23"/>
      <c r="AW234" s="197"/>
      <c r="AX234" s="197"/>
      <c r="AY234" s="197"/>
      <c r="AZ234" s="862"/>
      <c r="BA234" s="309"/>
      <c r="BB234" s="316"/>
      <c r="BC234" s="296"/>
      <c r="BD234" s="535"/>
      <c r="BE234" s="535"/>
      <c r="BF234" s="535"/>
      <c r="BG234" s="535"/>
      <c r="BH234" s="535"/>
      <c r="BI234" s="535"/>
      <c r="BJ234" s="871"/>
      <c r="BK234" s="871"/>
    </row>
    <row r="235" spans="1:67" ht="11.25" customHeight="1">
      <c r="A235" s="55"/>
      <c r="L235" s="596"/>
      <c r="M235" s="6"/>
      <c r="N235" s="6"/>
      <c r="O235" s="6"/>
      <c r="P235" s="6"/>
      <c r="Q235" s="11"/>
      <c r="R235" s="6"/>
      <c r="S235" s="6"/>
      <c r="T235" s="6"/>
      <c r="U235" s="6"/>
      <c r="V235" s="596"/>
      <c r="W235" s="6"/>
      <c r="X235" s="6"/>
      <c r="Y235" s="6"/>
      <c r="Z235" s="6"/>
      <c r="AA235" s="11"/>
      <c r="AB235" s="8"/>
      <c r="AC235" s="11"/>
      <c r="AD235" s="11"/>
      <c r="AE235" s="6"/>
      <c r="AF235" s="596"/>
      <c r="AG235" s="11"/>
      <c r="AH235" s="11"/>
      <c r="AI235" s="11"/>
      <c r="AJ235" s="11"/>
      <c r="AK235" s="11"/>
      <c r="AL235" s="6"/>
      <c r="AM235" s="23"/>
      <c r="AN235" s="23"/>
      <c r="AO235" s="23"/>
      <c r="AP235" s="180"/>
      <c r="AQ235" s="23"/>
      <c r="AR235" s="23"/>
      <c r="AS235" s="23"/>
      <c r="AT235" s="23"/>
      <c r="AU235" s="23"/>
      <c r="AV235" s="23"/>
      <c r="AW235" s="197"/>
      <c r="AX235" s="197"/>
      <c r="AY235" s="197"/>
      <c r="AZ235" s="862"/>
      <c r="BA235" s="309"/>
      <c r="BB235" s="316"/>
      <c r="BC235" s="296"/>
      <c r="BD235" s="535"/>
      <c r="BE235" s="535"/>
      <c r="BF235" s="535"/>
      <c r="BG235" s="535"/>
      <c r="BH235" s="535"/>
      <c r="BI235" s="535"/>
      <c r="BJ235" s="871"/>
      <c r="BK235" s="871"/>
    </row>
    <row r="236" spans="1:67" ht="11.25" customHeight="1">
      <c r="A236" s="55"/>
      <c r="L236" s="596"/>
      <c r="M236" s="6"/>
      <c r="N236" s="6"/>
      <c r="O236" s="6"/>
      <c r="P236" s="6"/>
      <c r="Q236" s="11"/>
      <c r="R236" s="6"/>
      <c r="S236" s="6"/>
      <c r="T236" s="6"/>
      <c r="U236" s="6"/>
      <c r="V236" s="596"/>
      <c r="W236" s="6"/>
      <c r="X236" s="6"/>
      <c r="Y236" s="6"/>
      <c r="Z236" s="6"/>
      <c r="AA236" s="11"/>
      <c r="AB236" s="8"/>
      <c r="AC236" s="11"/>
      <c r="AD236" s="11"/>
      <c r="AE236" s="6"/>
      <c r="AF236" s="596"/>
      <c r="AG236" s="11"/>
      <c r="AH236" s="11"/>
      <c r="AI236" s="11"/>
      <c r="AJ236" s="11"/>
      <c r="AK236" s="11"/>
      <c r="AL236" s="6"/>
      <c r="AM236" s="23"/>
      <c r="AN236" s="23"/>
      <c r="AO236" s="23"/>
      <c r="AP236" s="180"/>
      <c r="AQ236" s="23"/>
      <c r="AR236" s="23"/>
      <c r="AS236" s="23"/>
      <c r="AT236" s="23"/>
      <c r="AU236" s="23"/>
      <c r="AV236" s="23"/>
      <c r="AW236" s="197"/>
      <c r="AX236" s="197"/>
      <c r="AY236" s="197"/>
      <c r="AZ236" s="862"/>
      <c r="BA236" s="309"/>
      <c r="BB236" s="316"/>
      <c r="BC236" s="296"/>
      <c r="BD236" s="535"/>
      <c r="BE236" s="535"/>
      <c r="BF236" s="535"/>
      <c r="BG236" s="535"/>
      <c r="BH236" s="535"/>
      <c r="BI236" s="535"/>
      <c r="BJ236" s="871"/>
      <c r="BK236" s="871"/>
    </row>
    <row r="237" spans="1:67" ht="11.25" customHeight="1">
      <c r="A237" s="55"/>
      <c r="L237" s="596"/>
      <c r="M237" s="6"/>
      <c r="N237" s="6"/>
      <c r="O237" s="6"/>
      <c r="P237" s="6"/>
      <c r="Q237" s="11"/>
      <c r="R237" s="6"/>
      <c r="S237" s="6"/>
      <c r="T237" s="6"/>
      <c r="U237" s="6"/>
      <c r="V237" s="596"/>
      <c r="W237" s="6"/>
      <c r="X237" s="6"/>
      <c r="Y237" s="6"/>
      <c r="Z237" s="6"/>
      <c r="AA237" s="11"/>
      <c r="AB237" s="8"/>
      <c r="AC237" s="11"/>
      <c r="AD237" s="11"/>
      <c r="AE237" s="6"/>
      <c r="AF237" s="596"/>
      <c r="AG237" s="11"/>
      <c r="AH237" s="11"/>
      <c r="AI237" s="11"/>
      <c r="AJ237" s="11"/>
      <c r="AK237" s="11"/>
      <c r="AL237" s="6"/>
      <c r="AM237" s="23"/>
      <c r="AN237" s="23"/>
      <c r="AO237" s="23"/>
      <c r="AP237" s="180"/>
      <c r="AQ237" s="23"/>
      <c r="AR237" s="23"/>
      <c r="AS237" s="23"/>
      <c r="AT237" s="23"/>
      <c r="AU237" s="23"/>
      <c r="AV237" s="23"/>
      <c r="AW237" s="197"/>
      <c r="AX237" s="197"/>
      <c r="AY237" s="197"/>
      <c r="AZ237" s="862"/>
      <c r="BA237" s="309"/>
      <c r="BB237" s="316"/>
      <c r="BC237" s="296"/>
      <c r="BD237" s="535"/>
      <c r="BE237" s="535"/>
      <c r="BF237" s="535"/>
      <c r="BG237" s="535"/>
      <c r="BH237" s="535"/>
      <c r="BI237" s="535"/>
      <c r="BJ237" s="871"/>
      <c r="BK237" s="871"/>
    </row>
    <row r="238" spans="1:67" ht="11.25" customHeight="1">
      <c r="A238" s="55"/>
      <c r="L238" s="596"/>
      <c r="M238" s="6"/>
      <c r="N238" s="6"/>
      <c r="O238" s="6"/>
      <c r="P238" s="6"/>
      <c r="Q238" s="11"/>
      <c r="R238" s="6"/>
      <c r="S238" s="6"/>
      <c r="T238" s="6"/>
      <c r="U238" s="6"/>
      <c r="V238" s="596"/>
      <c r="W238" s="6"/>
      <c r="X238" s="6"/>
      <c r="Y238" s="6"/>
      <c r="Z238" s="6"/>
      <c r="AA238" s="11"/>
      <c r="AB238" s="8"/>
      <c r="AC238" s="11"/>
      <c r="AD238" s="11"/>
      <c r="AE238" s="6"/>
      <c r="AF238" s="596"/>
      <c r="AG238" s="11"/>
      <c r="AH238" s="11"/>
      <c r="AI238" s="11"/>
      <c r="AJ238" s="11"/>
      <c r="AK238" s="11"/>
      <c r="AL238" s="6"/>
      <c r="AM238" s="23"/>
      <c r="AN238" s="23"/>
      <c r="AO238" s="23"/>
      <c r="AP238" s="180"/>
      <c r="AQ238" s="23"/>
      <c r="AR238" s="23"/>
      <c r="AS238" s="23"/>
      <c r="AT238" s="23"/>
      <c r="AU238" s="23"/>
      <c r="AV238" s="23"/>
      <c r="AW238" s="197"/>
      <c r="AX238" s="197"/>
      <c r="AY238" s="197"/>
      <c r="AZ238" s="862"/>
      <c r="BA238" s="309"/>
      <c r="BB238" s="316"/>
      <c r="BC238" s="296"/>
      <c r="BD238" s="535"/>
      <c r="BE238" s="535"/>
      <c r="BF238" s="535"/>
      <c r="BG238" s="535"/>
      <c r="BH238" s="535"/>
      <c r="BI238" s="535"/>
      <c r="BJ238" s="871"/>
      <c r="BK238" s="871"/>
    </row>
    <row r="239" spans="1:67" ht="11.25" customHeight="1">
      <c r="A239" s="55"/>
      <c r="L239" s="596"/>
      <c r="M239" s="6"/>
      <c r="N239" s="6"/>
      <c r="O239" s="6"/>
      <c r="P239" s="6"/>
      <c r="Q239" s="11"/>
      <c r="R239" s="6"/>
      <c r="S239" s="6"/>
      <c r="T239" s="6"/>
      <c r="U239" s="6"/>
      <c r="V239" s="596"/>
      <c r="W239" s="6"/>
      <c r="X239" s="6"/>
      <c r="Y239" s="6"/>
      <c r="Z239" s="6"/>
      <c r="AA239" s="11"/>
      <c r="AB239" s="8"/>
      <c r="AC239" s="11"/>
      <c r="AD239" s="11"/>
      <c r="AE239" s="6"/>
      <c r="AF239" s="596"/>
      <c r="AG239" s="11"/>
      <c r="AH239" s="11"/>
      <c r="AI239" s="11"/>
      <c r="AJ239" s="11"/>
      <c r="AK239" s="11"/>
      <c r="AL239" s="6"/>
      <c r="AM239" s="23"/>
      <c r="AN239" s="23"/>
      <c r="AO239" s="23"/>
      <c r="AP239" s="180"/>
      <c r="AQ239" s="23"/>
      <c r="AR239" s="23"/>
      <c r="AS239" s="23"/>
      <c r="AT239" s="23"/>
      <c r="AU239" s="23"/>
      <c r="AV239" s="23"/>
      <c r="AW239" s="197"/>
      <c r="AX239" s="197"/>
      <c r="AY239" s="197"/>
      <c r="AZ239" s="862"/>
      <c r="BA239" s="309"/>
      <c r="BB239" s="316"/>
      <c r="BC239" s="296"/>
      <c r="BD239" s="535"/>
      <c r="BE239" s="535"/>
      <c r="BF239" s="535"/>
      <c r="BG239" s="535"/>
      <c r="BH239" s="535"/>
      <c r="BI239" s="535"/>
      <c r="BJ239" s="871"/>
      <c r="BK239" s="871"/>
    </row>
    <row r="240" spans="1:67" ht="11.25" customHeight="1">
      <c r="A240" s="55"/>
      <c r="L240" s="596"/>
      <c r="M240" s="6"/>
      <c r="N240" s="6"/>
      <c r="O240" s="6"/>
      <c r="P240" s="6"/>
      <c r="Q240" s="11"/>
      <c r="R240" s="6"/>
      <c r="S240" s="6"/>
      <c r="T240" s="6"/>
      <c r="U240" s="6"/>
      <c r="V240" s="596"/>
      <c r="W240" s="6"/>
      <c r="X240" s="6"/>
      <c r="Y240" s="6"/>
      <c r="Z240" s="6"/>
      <c r="AA240" s="11"/>
      <c r="AB240" s="8"/>
      <c r="AC240" s="11"/>
      <c r="AD240" s="11"/>
      <c r="AE240" s="6"/>
      <c r="AF240" s="596"/>
      <c r="AG240" s="11"/>
      <c r="AH240" s="11"/>
      <c r="AI240" s="11"/>
      <c r="AJ240" s="11"/>
      <c r="AK240" s="11"/>
      <c r="AL240" s="6"/>
      <c r="AM240" s="23"/>
      <c r="AN240" s="23"/>
      <c r="AO240" s="23"/>
      <c r="AP240" s="180"/>
      <c r="AQ240" s="23"/>
      <c r="AR240" s="23"/>
      <c r="AS240" s="23"/>
      <c r="AT240" s="23"/>
      <c r="AU240" s="23"/>
      <c r="AV240" s="23"/>
      <c r="AW240" s="197"/>
      <c r="AX240" s="197"/>
      <c r="AY240" s="197"/>
      <c r="AZ240" s="862"/>
      <c r="BA240" s="309"/>
      <c r="BB240" s="316"/>
      <c r="BC240" s="296"/>
      <c r="BD240" s="535"/>
      <c r="BE240" s="535"/>
      <c r="BF240" s="535"/>
      <c r="BG240" s="535"/>
      <c r="BH240" s="535"/>
      <c r="BI240" s="535"/>
      <c r="BJ240" s="871"/>
      <c r="BK240" s="871"/>
    </row>
    <row r="241" spans="1:65" ht="11.25" customHeight="1">
      <c r="A241" s="55"/>
      <c r="L241" s="596"/>
      <c r="M241" s="6"/>
      <c r="N241" s="6"/>
      <c r="O241" s="6"/>
      <c r="P241" s="6"/>
      <c r="Q241" s="11"/>
      <c r="R241" s="6"/>
      <c r="S241" s="6"/>
      <c r="T241" s="6"/>
      <c r="U241" s="6"/>
      <c r="V241" s="596"/>
      <c r="W241" s="6"/>
      <c r="X241" s="6"/>
      <c r="Y241" s="6"/>
      <c r="Z241" s="6"/>
      <c r="AA241" s="11"/>
      <c r="AB241" s="8"/>
      <c r="AC241" s="11"/>
      <c r="AD241" s="11"/>
      <c r="AE241" s="6"/>
      <c r="AF241" s="596"/>
      <c r="AG241" s="11"/>
      <c r="AH241" s="11"/>
      <c r="AI241" s="11"/>
      <c r="AJ241" s="11"/>
      <c r="AK241" s="11"/>
      <c r="AL241" s="6"/>
      <c r="AM241" s="23"/>
      <c r="AN241" s="23"/>
      <c r="AO241" s="23"/>
      <c r="AP241" s="180"/>
      <c r="AQ241" s="23"/>
      <c r="AR241" s="23"/>
      <c r="AS241" s="23"/>
      <c r="AT241" s="23"/>
      <c r="AU241" s="23"/>
      <c r="AV241" s="23"/>
      <c r="AW241" s="197"/>
      <c r="AX241" s="197"/>
      <c r="AY241" s="197"/>
      <c r="AZ241" s="862"/>
      <c r="BA241" s="309"/>
      <c r="BB241" s="316"/>
      <c r="BC241" s="296"/>
      <c r="BD241" s="535"/>
      <c r="BE241" s="535"/>
      <c r="BF241" s="535"/>
      <c r="BG241" s="535"/>
      <c r="BH241" s="535"/>
      <c r="BI241" s="535"/>
      <c r="BJ241" s="871"/>
      <c r="BK241" s="871"/>
    </row>
    <row r="242" spans="1:65" ht="11.25" customHeight="1">
      <c r="A242" s="55"/>
      <c r="L242" s="596"/>
      <c r="M242" s="6"/>
      <c r="N242" s="6"/>
      <c r="O242" s="6"/>
      <c r="P242" s="6"/>
      <c r="Q242" s="11"/>
      <c r="R242" s="6"/>
      <c r="S242" s="6"/>
      <c r="T242" s="6"/>
      <c r="U242" s="6"/>
      <c r="V242" s="596"/>
      <c r="W242" s="6"/>
      <c r="X242" s="6"/>
      <c r="Y242" s="6"/>
      <c r="Z242" s="6"/>
      <c r="AA242" s="11"/>
      <c r="AB242" s="8"/>
      <c r="AC242" s="11"/>
      <c r="AD242" s="11"/>
      <c r="AE242" s="6"/>
      <c r="AF242" s="596"/>
      <c r="AG242" s="11"/>
      <c r="AH242" s="11"/>
      <c r="AI242" s="11"/>
      <c r="AJ242" s="11"/>
      <c r="AK242" s="11"/>
      <c r="AL242" s="6"/>
      <c r="AM242" s="23"/>
      <c r="AN242" s="23"/>
      <c r="AO242" s="23"/>
      <c r="AP242" s="180"/>
      <c r="AQ242" s="23"/>
      <c r="AR242" s="23"/>
      <c r="AS242" s="23"/>
      <c r="AT242" s="23"/>
      <c r="AU242" s="23"/>
      <c r="AV242" s="23"/>
      <c r="AW242" s="197"/>
      <c r="AX242" s="197"/>
      <c r="AY242" s="197"/>
      <c r="AZ242" s="862"/>
      <c r="BA242" s="309"/>
      <c r="BB242" s="316"/>
      <c r="BC242" s="296"/>
      <c r="BD242" s="535"/>
      <c r="BE242" s="535"/>
      <c r="BF242" s="535"/>
      <c r="BG242" s="535"/>
      <c r="BH242" s="535"/>
      <c r="BI242" s="535"/>
      <c r="BJ242" s="527"/>
      <c r="BK242" s="527"/>
      <c r="BL242" s="580"/>
      <c r="BM242" s="580"/>
    </row>
    <row r="243" spans="1:65" ht="11.25" customHeight="1">
      <c r="A243" s="55"/>
      <c r="L243" s="596"/>
      <c r="M243" s="6"/>
      <c r="N243" s="6"/>
      <c r="O243" s="6"/>
      <c r="P243" s="6"/>
      <c r="Q243" s="11"/>
      <c r="R243" s="6"/>
      <c r="S243" s="6"/>
      <c r="T243" s="6"/>
      <c r="U243" s="6"/>
      <c r="V243" s="596"/>
      <c r="W243" s="6"/>
      <c r="X243" s="6"/>
      <c r="Y243" s="6"/>
      <c r="Z243" s="6"/>
      <c r="AA243" s="11"/>
      <c r="AB243" s="8"/>
      <c r="AC243" s="11"/>
      <c r="AD243" s="11"/>
      <c r="AE243" s="6"/>
      <c r="AF243" s="596"/>
      <c r="AG243" s="11"/>
      <c r="AH243" s="11"/>
      <c r="AI243" s="11"/>
      <c r="AJ243" s="11"/>
      <c r="AK243" s="11"/>
      <c r="AL243" s="6"/>
      <c r="AM243" s="23"/>
      <c r="AN243" s="23"/>
      <c r="AO243" s="23"/>
      <c r="AP243" s="180"/>
      <c r="AQ243" s="23"/>
      <c r="AR243" s="23"/>
      <c r="AS243" s="23"/>
      <c r="AT243" s="23"/>
      <c r="AU243" s="23"/>
      <c r="AV243" s="23"/>
      <c r="AW243" s="197"/>
      <c r="AX243" s="197"/>
      <c r="AY243" s="197"/>
      <c r="AZ243" s="862"/>
      <c r="BA243" s="309"/>
      <c r="BB243" s="316"/>
      <c r="BC243" s="296"/>
      <c r="BD243" s="535"/>
      <c r="BE243" s="535"/>
      <c r="BF243" s="535"/>
      <c r="BG243" s="535"/>
      <c r="BH243" s="535"/>
      <c r="BI243" s="535"/>
      <c r="BJ243" s="527"/>
      <c r="BK243" s="527"/>
      <c r="BL243" s="580"/>
      <c r="BM243" s="580"/>
    </row>
    <row r="244" spans="1:65" ht="11.25" customHeight="1">
      <c r="A244" s="55"/>
      <c r="L244" s="596"/>
      <c r="M244" s="6"/>
      <c r="N244" s="6"/>
      <c r="O244" s="6"/>
      <c r="P244" s="6"/>
      <c r="Q244" s="11"/>
      <c r="R244" s="6"/>
      <c r="S244" s="6"/>
      <c r="T244" s="6"/>
      <c r="U244" s="6"/>
      <c r="V244" s="596"/>
      <c r="W244" s="6"/>
      <c r="X244" s="6"/>
      <c r="Y244" s="6"/>
      <c r="Z244" s="6"/>
      <c r="AA244" s="11"/>
      <c r="AB244" s="8"/>
      <c r="AC244" s="11"/>
      <c r="AD244" s="11"/>
      <c r="AE244" s="6"/>
      <c r="AF244" s="596"/>
      <c r="AG244" s="11"/>
      <c r="AH244" s="11"/>
      <c r="AI244" s="11"/>
      <c r="AJ244" s="11"/>
      <c r="AK244" s="11"/>
      <c r="AL244" s="6"/>
      <c r="AM244" s="23"/>
      <c r="AN244" s="23"/>
      <c r="AO244" s="23"/>
      <c r="AP244" s="180"/>
      <c r="AQ244" s="23"/>
      <c r="AR244" s="23"/>
      <c r="AS244" s="23"/>
      <c r="AT244" s="23"/>
      <c r="AU244" s="23"/>
      <c r="AV244" s="23"/>
      <c r="AW244" s="197"/>
      <c r="AX244" s="197"/>
      <c r="AY244" s="197"/>
      <c r="AZ244" s="862"/>
      <c r="BA244" s="309"/>
      <c r="BB244" s="316"/>
      <c r="BC244" s="296"/>
      <c r="BD244" s="535"/>
      <c r="BE244" s="535"/>
      <c r="BF244" s="535"/>
      <c r="BG244" s="535"/>
      <c r="BH244" s="535"/>
      <c r="BI244" s="535"/>
      <c r="BJ244" s="527"/>
      <c r="BK244" s="527"/>
      <c r="BL244" s="580"/>
      <c r="BM244" s="580"/>
    </row>
    <row r="245" spans="1:65" ht="11.25" customHeight="1">
      <c r="A245" s="55"/>
      <c r="L245" s="596"/>
      <c r="M245" s="6"/>
      <c r="N245" s="6"/>
      <c r="O245" s="6"/>
      <c r="P245" s="6"/>
      <c r="Q245" s="11"/>
      <c r="R245" s="6"/>
      <c r="S245" s="6"/>
      <c r="T245" s="6"/>
      <c r="U245" s="6"/>
      <c r="V245" s="596"/>
      <c r="W245" s="6"/>
      <c r="X245" s="6"/>
      <c r="Y245" s="6"/>
      <c r="Z245" s="6"/>
      <c r="AA245" s="11"/>
      <c r="AB245" s="8"/>
      <c r="AC245" s="11"/>
      <c r="AD245" s="11"/>
      <c r="AE245" s="6"/>
      <c r="AF245" s="596"/>
      <c r="AG245" s="11"/>
      <c r="AH245" s="11"/>
      <c r="AI245" s="11"/>
      <c r="AJ245" s="11"/>
      <c r="AK245" s="11"/>
      <c r="AL245" s="6"/>
      <c r="AM245" s="23"/>
      <c r="AN245" s="23"/>
      <c r="AO245" s="23"/>
      <c r="AP245" s="180"/>
      <c r="AQ245" s="23"/>
      <c r="AR245" s="23"/>
      <c r="AS245" s="23"/>
      <c r="AT245" s="23"/>
      <c r="AU245" s="23"/>
      <c r="AV245" s="23"/>
      <c r="AW245" s="197"/>
      <c r="AX245" s="197"/>
      <c r="AY245" s="197"/>
      <c r="AZ245" s="862"/>
      <c r="BA245" s="309"/>
      <c r="BB245" s="316"/>
      <c r="BC245" s="296"/>
      <c r="BD245" s="535"/>
      <c r="BE245" s="535"/>
      <c r="BF245" s="535"/>
      <c r="BG245" s="535"/>
      <c r="BH245" s="535"/>
      <c r="BI245" s="535"/>
      <c r="BJ245" s="527"/>
      <c r="BK245" s="527"/>
      <c r="BL245" s="581"/>
      <c r="BM245" s="581"/>
    </row>
    <row r="246" spans="1:65" ht="11.25" customHeight="1">
      <c r="A246" s="55"/>
      <c r="L246" s="596"/>
      <c r="M246" s="6"/>
      <c r="N246" s="6"/>
      <c r="O246" s="6"/>
      <c r="P246" s="6"/>
      <c r="Q246" s="11"/>
      <c r="R246" s="6"/>
      <c r="S246" s="6"/>
      <c r="T246" s="6"/>
      <c r="U246" s="6"/>
      <c r="V246" s="596"/>
      <c r="W246" s="6"/>
      <c r="X246" s="6"/>
      <c r="Y246" s="6"/>
      <c r="Z246" s="6"/>
      <c r="AA246" s="11"/>
      <c r="AB246" s="8"/>
      <c r="AC246" s="11"/>
      <c r="AD246" s="11"/>
      <c r="AE246" s="6"/>
      <c r="AF246" s="596"/>
      <c r="AG246" s="11"/>
      <c r="AH246" s="11"/>
      <c r="AI246" s="11"/>
      <c r="AJ246" s="11"/>
      <c r="AK246" s="11"/>
      <c r="AL246" s="6"/>
      <c r="AM246" s="23"/>
      <c r="AN246" s="23"/>
      <c r="AO246" s="23"/>
      <c r="AP246" s="180"/>
      <c r="AQ246" s="23"/>
      <c r="AR246" s="23"/>
      <c r="AS246" s="23"/>
      <c r="AT246" s="23"/>
      <c r="AU246" s="23"/>
      <c r="AV246" s="23"/>
      <c r="AW246" s="197"/>
      <c r="AX246" s="197"/>
      <c r="AY246" s="197"/>
      <c r="AZ246" s="862"/>
      <c r="BA246" s="309"/>
      <c r="BB246" s="316"/>
      <c r="BC246" s="296"/>
      <c r="BD246" s="535"/>
      <c r="BE246" s="535"/>
      <c r="BF246" s="535"/>
      <c r="BG246" s="535"/>
      <c r="BH246" s="535"/>
      <c r="BI246" s="535"/>
      <c r="BJ246" s="871"/>
      <c r="BK246" s="871"/>
    </row>
    <row r="247" spans="1:65" ht="10.5" customHeight="1">
      <c r="A247" s="55"/>
      <c r="L247" s="596"/>
      <c r="M247" s="6"/>
      <c r="N247" s="6"/>
      <c r="O247" s="6"/>
      <c r="P247" s="6"/>
      <c r="Q247" s="11"/>
      <c r="R247" s="6"/>
      <c r="S247" s="6"/>
      <c r="T247" s="6"/>
      <c r="U247" s="6"/>
      <c r="V247" s="596"/>
      <c r="W247" s="6"/>
      <c r="X247" s="6"/>
      <c r="Y247" s="6"/>
      <c r="Z247" s="6"/>
      <c r="AA247" s="11"/>
      <c r="AB247" s="8"/>
      <c r="AC247" s="11"/>
      <c r="AD247" s="11"/>
      <c r="AE247" s="6"/>
      <c r="AF247" s="596"/>
      <c r="AG247" s="11"/>
      <c r="AH247" s="11"/>
      <c r="AI247" s="11"/>
      <c r="AJ247" s="11"/>
      <c r="AK247" s="11"/>
      <c r="AL247" s="6"/>
      <c r="AM247" s="23"/>
      <c r="AN247" s="23"/>
      <c r="AO247" s="23"/>
      <c r="AP247" s="180"/>
      <c r="AQ247" s="23"/>
      <c r="AR247" s="23"/>
      <c r="AS247" s="23"/>
      <c r="AT247" s="23"/>
      <c r="AU247" s="23"/>
      <c r="AV247" s="23"/>
      <c r="AW247" s="197"/>
      <c r="AX247" s="197"/>
      <c r="AY247" s="197"/>
      <c r="AZ247" s="862"/>
      <c r="BA247" s="309"/>
      <c r="BB247" s="316"/>
      <c r="BC247" s="296"/>
      <c r="BD247" s="535"/>
      <c r="BE247" s="535"/>
      <c r="BF247" s="535"/>
      <c r="BG247" s="535"/>
      <c r="BH247" s="535"/>
      <c r="BI247" s="535"/>
      <c r="BJ247" s="871"/>
      <c r="BK247" s="871"/>
    </row>
    <row r="248" spans="1:65" ht="11.25" customHeight="1">
      <c r="A248" s="55"/>
      <c r="L248" s="596"/>
      <c r="M248" s="6"/>
      <c r="N248" s="6"/>
      <c r="O248" s="6"/>
      <c r="P248" s="6"/>
      <c r="Q248" s="11"/>
      <c r="R248" s="6"/>
      <c r="S248" s="6"/>
      <c r="T248" s="6"/>
      <c r="U248" s="6"/>
      <c r="V248" s="596"/>
      <c r="W248" s="6"/>
      <c r="X248" s="6"/>
      <c r="Y248" s="6"/>
      <c r="Z248" s="6"/>
      <c r="AA248" s="11"/>
      <c r="AB248" s="8"/>
      <c r="AC248" s="11"/>
      <c r="AD248" s="11"/>
      <c r="AE248" s="6"/>
      <c r="AF248" s="596"/>
      <c r="AG248" s="11"/>
      <c r="AH248" s="11"/>
      <c r="AI248" s="11"/>
      <c r="AJ248" s="11"/>
      <c r="AK248" s="11"/>
      <c r="AL248" s="6"/>
      <c r="AM248" s="23"/>
      <c r="AN248" s="23"/>
      <c r="AO248" s="23"/>
      <c r="AP248" s="180"/>
      <c r="AQ248" s="23"/>
      <c r="AR248" s="23"/>
      <c r="AS248" s="23"/>
      <c r="AT248" s="23"/>
      <c r="AU248" s="23"/>
      <c r="AV248" s="23"/>
      <c r="AW248" s="197"/>
      <c r="AX248" s="197"/>
      <c r="AY248" s="197"/>
      <c r="AZ248" s="862"/>
      <c r="BA248" s="309"/>
      <c r="BB248" s="316"/>
      <c r="BC248" s="296"/>
      <c r="BD248" s="535"/>
      <c r="BE248" s="535"/>
      <c r="BF248" s="535"/>
      <c r="BG248" s="535"/>
      <c r="BH248" s="535"/>
      <c r="BI248" s="535"/>
      <c r="BJ248" s="871"/>
      <c r="BK248" s="871"/>
    </row>
    <row r="249" spans="1:65" ht="11.25" customHeight="1">
      <c r="A249" s="55"/>
    </row>
    <row r="250" spans="1:65">
      <c r="AM250" s="23"/>
      <c r="AN250" s="23"/>
      <c r="AO250" s="23"/>
      <c r="AP250" s="180"/>
      <c r="AQ250" s="23"/>
      <c r="AR250" s="23"/>
      <c r="AS250" s="23"/>
      <c r="AT250" s="23"/>
      <c r="AU250" s="23"/>
      <c r="AV250" s="23"/>
      <c r="AW250" s="197"/>
      <c r="AX250" s="197"/>
      <c r="AY250" s="197"/>
      <c r="AZ250" s="862"/>
      <c r="BA250" s="309"/>
      <c r="BB250" s="316"/>
      <c r="BC250" s="296"/>
      <c r="BD250" s="535"/>
      <c r="BE250" s="535"/>
      <c r="BF250" s="535"/>
      <c r="BG250" s="535"/>
      <c r="BH250" s="535"/>
      <c r="BI250" s="535"/>
    </row>
    <row r="251" spans="1:65">
      <c r="AM251" s="23"/>
      <c r="AN251" s="23"/>
      <c r="AO251" s="23"/>
      <c r="AP251" s="180"/>
      <c r="AQ251" s="23"/>
      <c r="AR251" s="23"/>
      <c r="AS251" s="23"/>
      <c r="AT251" s="23"/>
      <c r="AU251" s="23"/>
      <c r="AV251" s="23"/>
      <c r="AW251" s="197"/>
      <c r="AX251" s="197"/>
      <c r="AY251" s="197"/>
      <c r="AZ251" s="862"/>
      <c r="BA251" s="309"/>
      <c r="BB251" s="316"/>
      <c r="BC251" s="296"/>
      <c r="BD251" s="535"/>
      <c r="BE251" s="535"/>
      <c r="BF251" s="535"/>
      <c r="BG251" s="535"/>
      <c r="BH251" s="535"/>
      <c r="BI251" s="535"/>
    </row>
    <row r="252" spans="1:65">
      <c r="AM252" s="23"/>
      <c r="AN252" s="23"/>
      <c r="AO252" s="23"/>
      <c r="AP252" s="180"/>
      <c r="AQ252" s="23"/>
      <c r="AR252" s="23"/>
      <c r="AS252" s="23"/>
      <c r="AT252" s="23"/>
      <c r="AU252" s="23"/>
      <c r="AV252" s="23"/>
      <c r="AW252" s="197"/>
      <c r="AX252" s="197"/>
      <c r="AY252" s="197"/>
      <c r="AZ252" s="862"/>
      <c r="BA252" s="309"/>
      <c r="BB252" s="316"/>
      <c r="BC252" s="296"/>
      <c r="BD252" s="535"/>
      <c r="BE252" s="535"/>
      <c r="BF252" s="535"/>
      <c r="BG252" s="535"/>
      <c r="BH252" s="535"/>
      <c r="BI252" s="535"/>
    </row>
    <row r="253" spans="1:65">
      <c r="AM253" s="23"/>
      <c r="AN253" s="23"/>
      <c r="AO253" s="23"/>
      <c r="AP253" s="180"/>
      <c r="AQ253" s="23"/>
      <c r="AR253" s="23"/>
      <c r="AS253" s="23"/>
      <c r="AT253" s="23"/>
      <c r="AU253" s="23"/>
      <c r="AV253" s="23"/>
      <c r="AW253" s="197"/>
      <c r="AX253" s="197"/>
      <c r="AY253" s="197"/>
      <c r="AZ253" s="862"/>
      <c r="BA253" s="309"/>
      <c r="BB253" s="316"/>
      <c r="BC253" s="296"/>
      <c r="BD253" s="535"/>
      <c r="BE253" s="535"/>
      <c r="BF253" s="535"/>
      <c r="BG253" s="535"/>
      <c r="BH253" s="535"/>
      <c r="BI253" s="535"/>
    </row>
    <row r="254" spans="1:65">
      <c r="AM254" s="23"/>
      <c r="AN254" s="23"/>
      <c r="AO254" s="23"/>
      <c r="AP254" s="180"/>
      <c r="AQ254" s="23"/>
      <c r="AR254" s="23"/>
      <c r="AS254" s="23"/>
      <c r="AT254" s="23"/>
      <c r="AU254" s="23"/>
      <c r="AV254" s="23"/>
      <c r="AW254" s="197"/>
      <c r="AX254" s="197"/>
      <c r="AY254" s="197"/>
      <c r="AZ254" s="862"/>
      <c r="BA254" s="309"/>
      <c r="BB254" s="316"/>
      <c r="BC254" s="296"/>
      <c r="BD254" s="535"/>
      <c r="BE254" s="535"/>
      <c r="BF254" s="535"/>
      <c r="BG254" s="535"/>
      <c r="BH254" s="535"/>
      <c r="BI254" s="535"/>
    </row>
    <row r="255" spans="1:65">
      <c r="AM255" s="23"/>
      <c r="AN255" s="23"/>
      <c r="AO255" s="23"/>
      <c r="AP255" s="180"/>
      <c r="AQ255" s="23"/>
      <c r="AR255" s="23"/>
      <c r="AS255" s="23"/>
      <c r="AT255" s="23"/>
      <c r="AU255" s="23"/>
      <c r="AV255" s="23"/>
      <c r="AW255" s="197"/>
      <c r="AX255" s="197"/>
      <c r="AY255" s="197"/>
      <c r="AZ255" s="862"/>
      <c r="BA255" s="309"/>
      <c r="BB255" s="316"/>
      <c r="BC255" s="296"/>
      <c r="BD255" s="535"/>
      <c r="BE255" s="535"/>
      <c r="BF255" s="535"/>
      <c r="BG255" s="535"/>
      <c r="BH255" s="535"/>
      <c r="BI255" s="535"/>
    </row>
    <row r="256" spans="1:65">
      <c r="AM256" s="23"/>
      <c r="AN256" s="23"/>
      <c r="AO256" s="23"/>
      <c r="AP256" s="180"/>
      <c r="AQ256" s="23"/>
      <c r="AR256" s="23"/>
      <c r="AS256" s="23"/>
      <c r="AT256" s="23"/>
      <c r="AU256" s="23"/>
      <c r="AV256" s="23"/>
      <c r="AW256" s="197"/>
      <c r="AX256" s="197"/>
      <c r="AY256" s="197"/>
      <c r="AZ256" s="862"/>
      <c r="BA256" s="309"/>
      <c r="BB256" s="316"/>
      <c r="BC256" s="296"/>
      <c r="BD256" s="535"/>
      <c r="BE256" s="535"/>
      <c r="BF256" s="535"/>
      <c r="BG256" s="535"/>
      <c r="BH256" s="535"/>
      <c r="BI256" s="535"/>
    </row>
    <row r="257" spans="39:61">
      <c r="AM257" s="23"/>
      <c r="AN257" s="23"/>
      <c r="AO257" s="23"/>
      <c r="AP257" s="180"/>
      <c r="AQ257" s="23"/>
      <c r="AR257" s="23"/>
      <c r="AS257" s="23"/>
      <c r="AT257" s="23"/>
      <c r="AU257" s="23"/>
      <c r="AV257" s="23"/>
      <c r="AW257" s="197"/>
      <c r="AX257" s="197"/>
      <c r="AY257" s="197"/>
      <c r="AZ257" s="862"/>
      <c r="BA257" s="309"/>
      <c r="BB257" s="316"/>
      <c r="BC257" s="296"/>
      <c r="BD257" s="535"/>
      <c r="BE257" s="535"/>
      <c r="BF257" s="535"/>
      <c r="BG257" s="535"/>
      <c r="BH257" s="535"/>
      <c r="BI257" s="535"/>
    </row>
    <row r="258" spans="39:61">
      <c r="AM258" s="23"/>
      <c r="AN258" s="23"/>
      <c r="AO258" s="23"/>
      <c r="AP258" s="180"/>
      <c r="AQ258" s="23"/>
      <c r="AR258" s="23"/>
      <c r="AS258" s="23"/>
      <c r="AT258" s="23"/>
      <c r="AU258" s="23"/>
      <c r="AV258" s="23"/>
      <c r="AW258" s="197"/>
      <c r="AX258" s="197"/>
      <c r="AY258" s="197"/>
      <c r="AZ258" s="862"/>
      <c r="BA258" s="309"/>
      <c r="BB258" s="316"/>
      <c r="BC258" s="296"/>
      <c r="BD258" s="535"/>
      <c r="BE258" s="535"/>
      <c r="BF258" s="535"/>
      <c r="BG258" s="535"/>
      <c r="BH258" s="535"/>
      <c r="BI258" s="535"/>
    </row>
    <row r="259" spans="39:61">
      <c r="AM259" s="23"/>
      <c r="AN259" s="23"/>
      <c r="AO259" s="23"/>
      <c r="AP259" s="180"/>
      <c r="AQ259" s="23"/>
      <c r="AR259" s="23"/>
      <c r="AS259" s="23"/>
      <c r="AT259" s="23"/>
      <c r="AU259" s="23"/>
      <c r="AV259" s="23"/>
      <c r="AW259" s="197"/>
      <c r="AX259" s="197"/>
      <c r="AY259" s="197"/>
      <c r="AZ259" s="862"/>
      <c r="BA259" s="309"/>
      <c r="BB259" s="316"/>
      <c r="BC259" s="296"/>
      <c r="BD259" s="535"/>
      <c r="BE259" s="535"/>
      <c r="BF259" s="535"/>
      <c r="BG259" s="535"/>
      <c r="BH259" s="535"/>
      <c r="BI259" s="535"/>
    </row>
    <row r="260" spans="39:61">
      <c r="AM260" s="23"/>
      <c r="AN260" s="23"/>
      <c r="AO260" s="23"/>
      <c r="AP260" s="180"/>
      <c r="AQ260" s="23"/>
      <c r="AR260" s="23"/>
      <c r="AS260" s="23"/>
      <c r="AT260" s="23"/>
      <c r="AU260" s="23"/>
      <c r="AV260" s="23"/>
      <c r="AW260" s="197"/>
      <c r="AX260" s="197"/>
      <c r="AY260" s="197"/>
      <c r="AZ260" s="862"/>
      <c r="BA260" s="309"/>
      <c r="BB260" s="316"/>
      <c r="BC260" s="296"/>
      <c r="BD260" s="535"/>
      <c r="BE260" s="535"/>
      <c r="BF260" s="535"/>
      <c r="BG260" s="535"/>
      <c r="BH260" s="535"/>
      <c r="BI260" s="535"/>
    </row>
    <row r="261" spans="39:61">
      <c r="AM261" s="23"/>
      <c r="AN261" s="23"/>
      <c r="AO261" s="23"/>
      <c r="AP261" s="180"/>
      <c r="AQ261" s="23"/>
      <c r="AR261" s="23"/>
      <c r="AS261" s="23"/>
      <c r="AT261" s="23"/>
      <c r="AU261" s="23"/>
      <c r="AV261" s="23"/>
      <c r="AW261" s="197"/>
      <c r="AX261" s="197"/>
      <c r="AY261" s="197"/>
      <c r="AZ261" s="862"/>
      <c r="BA261" s="309"/>
      <c r="BB261" s="316"/>
      <c r="BC261" s="296"/>
      <c r="BD261" s="535"/>
      <c r="BE261" s="535"/>
      <c r="BF261" s="535"/>
      <c r="BG261" s="535"/>
      <c r="BH261" s="535"/>
      <c r="BI261" s="535"/>
    </row>
    <row r="262" spans="39:61">
      <c r="AM262" s="23"/>
      <c r="AN262" s="23"/>
      <c r="AO262" s="23"/>
      <c r="AP262" s="180"/>
      <c r="AQ262" s="23"/>
      <c r="AR262" s="23"/>
      <c r="AS262" s="23"/>
      <c r="AT262" s="23"/>
      <c r="AU262" s="23"/>
      <c r="AV262" s="23"/>
      <c r="AW262" s="197"/>
      <c r="AX262" s="197"/>
      <c r="AY262" s="197"/>
      <c r="AZ262" s="862"/>
      <c r="BA262" s="309"/>
      <c r="BB262" s="316"/>
      <c r="BC262" s="296"/>
      <c r="BD262" s="535"/>
      <c r="BE262" s="535"/>
      <c r="BF262" s="535"/>
      <c r="BG262" s="535"/>
      <c r="BH262" s="535"/>
      <c r="BI262" s="535"/>
    </row>
    <row r="263" spans="39:61">
      <c r="AM263" s="23"/>
      <c r="AN263" s="23"/>
      <c r="AO263" s="23"/>
      <c r="AP263" s="180"/>
      <c r="AQ263" s="23"/>
      <c r="AR263" s="23"/>
      <c r="AS263" s="23"/>
      <c r="AT263" s="23"/>
      <c r="AU263" s="23"/>
      <c r="AV263" s="23"/>
      <c r="AW263" s="197"/>
      <c r="AX263" s="197"/>
      <c r="AY263" s="197"/>
      <c r="AZ263" s="862"/>
      <c r="BA263" s="309"/>
      <c r="BB263" s="316"/>
      <c r="BC263" s="296"/>
      <c r="BD263" s="535"/>
      <c r="BE263" s="535"/>
      <c r="BF263" s="535"/>
      <c r="BG263" s="535"/>
      <c r="BH263" s="535"/>
      <c r="BI263" s="535"/>
    </row>
    <row r="264" spans="39:61">
      <c r="AM264" s="23"/>
      <c r="AN264" s="23"/>
      <c r="AO264" s="23"/>
      <c r="AP264" s="180"/>
      <c r="AQ264" s="23"/>
      <c r="AR264" s="23"/>
      <c r="AS264" s="23"/>
      <c r="AT264" s="23"/>
      <c r="AU264" s="23"/>
      <c r="AV264" s="23"/>
      <c r="AW264" s="197"/>
      <c r="AX264" s="197"/>
      <c r="AY264" s="197"/>
      <c r="AZ264" s="862"/>
      <c r="BA264" s="309"/>
      <c r="BB264" s="316"/>
      <c r="BC264" s="296"/>
      <c r="BD264" s="535"/>
      <c r="BE264" s="535"/>
      <c r="BF264" s="535"/>
      <c r="BG264" s="535"/>
      <c r="BH264" s="535"/>
      <c r="BI264" s="535"/>
    </row>
    <row r="265" spans="39:61">
      <c r="AM265" s="23"/>
      <c r="AN265" s="23"/>
      <c r="AO265" s="23"/>
      <c r="AP265" s="180"/>
      <c r="AQ265" s="23"/>
      <c r="AR265" s="23"/>
      <c r="AS265" s="23"/>
      <c r="AT265" s="23"/>
      <c r="AU265" s="23"/>
      <c r="AV265" s="23"/>
      <c r="AW265" s="197"/>
      <c r="AX265" s="197"/>
      <c r="AY265" s="197"/>
      <c r="AZ265" s="862"/>
      <c r="BA265" s="309"/>
      <c r="BB265" s="316"/>
      <c r="BC265" s="296"/>
      <c r="BD265" s="535"/>
      <c r="BE265" s="535"/>
      <c r="BF265" s="535"/>
      <c r="BG265" s="535"/>
      <c r="BH265" s="535"/>
      <c r="BI265" s="535"/>
    </row>
    <row r="266" spans="39:61">
      <c r="AM266" s="23"/>
      <c r="AN266" s="23"/>
      <c r="AO266" s="23"/>
      <c r="AP266" s="180"/>
      <c r="AQ266" s="23"/>
      <c r="AR266" s="23"/>
      <c r="AS266" s="23"/>
      <c r="AT266" s="23"/>
      <c r="AU266" s="23"/>
      <c r="AV266" s="23"/>
      <c r="AW266" s="197"/>
      <c r="AX266" s="197"/>
      <c r="AY266" s="197"/>
      <c r="AZ266" s="862"/>
      <c r="BA266" s="309"/>
      <c r="BB266" s="316"/>
      <c r="BC266" s="296"/>
      <c r="BD266" s="535"/>
      <c r="BE266" s="535"/>
      <c r="BF266" s="535"/>
      <c r="BG266" s="535"/>
      <c r="BH266" s="535"/>
      <c r="BI266" s="535"/>
    </row>
    <row r="267" spans="39:61">
      <c r="AM267" s="23"/>
      <c r="AN267" s="23"/>
      <c r="AO267" s="23"/>
      <c r="AP267" s="180"/>
      <c r="AQ267" s="23"/>
      <c r="AR267" s="23"/>
      <c r="AS267" s="23"/>
      <c r="AT267" s="23"/>
      <c r="AU267" s="23"/>
      <c r="AV267" s="23"/>
      <c r="AW267" s="197"/>
      <c r="AX267" s="197"/>
      <c r="AY267" s="197"/>
      <c r="AZ267" s="862"/>
      <c r="BA267" s="309"/>
      <c r="BB267" s="316"/>
      <c r="BC267" s="296"/>
      <c r="BD267" s="535"/>
      <c r="BE267" s="535"/>
      <c r="BF267" s="535"/>
      <c r="BG267" s="535"/>
      <c r="BH267" s="535"/>
      <c r="BI267" s="535"/>
    </row>
    <row r="268" spans="39:61">
      <c r="AM268" s="23"/>
      <c r="AN268" s="23"/>
      <c r="AO268" s="23"/>
      <c r="AP268" s="180"/>
      <c r="AQ268" s="23"/>
      <c r="AR268" s="23"/>
      <c r="AS268" s="23"/>
      <c r="AT268" s="23"/>
      <c r="AU268" s="23"/>
      <c r="AV268" s="23"/>
      <c r="AW268" s="197"/>
      <c r="AX268" s="197"/>
      <c r="AY268" s="197"/>
      <c r="AZ268" s="862"/>
      <c r="BA268" s="309"/>
      <c r="BB268" s="316"/>
      <c r="BC268" s="296"/>
      <c r="BD268" s="535"/>
      <c r="BE268" s="535"/>
      <c r="BF268" s="535"/>
      <c r="BG268" s="535"/>
      <c r="BH268" s="535"/>
      <c r="BI268" s="535"/>
    </row>
    <row r="269" spans="39:61">
      <c r="AM269" s="23"/>
      <c r="AN269" s="23"/>
      <c r="AO269" s="23"/>
      <c r="AP269" s="180"/>
      <c r="AQ269" s="23"/>
      <c r="AR269" s="23"/>
      <c r="AS269" s="23"/>
      <c r="AT269" s="23"/>
      <c r="AU269" s="23"/>
      <c r="AV269" s="23"/>
      <c r="AW269" s="197"/>
      <c r="AX269" s="197"/>
      <c r="AY269" s="197"/>
      <c r="AZ269" s="862"/>
      <c r="BA269" s="309"/>
      <c r="BB269" s="316"/>
      <c r="BC269" s="296"/>
      <c r="BD269" s="535"/>
      <c r="BE269" s="535"/>
      <c r="BF269" s="535"/>
      <c r="BG269" s="535"/>
      <c r="BH269" s="535"/>
      <c r="BI269" s="535"/>
    </row>
    <row r="270" spans="39:61">
      <c r="AM270" s="23"/>
      <c r="AN270" s="23"/>
      <c r="AO270" s="23"/>
      <c r="AP270" s="180"/>
      <c r="AQ270" s="23"/>
      <c r="AR270" s="23"/>
      <c r="AS270" s="23"/>
      <c r="AT270" s="23"/>
      <c r="AU270" s="23"/>
      <c r="AV270" s="23"/>
      <c r="AW270" s="197"/>
      <c r="AX270" s="197"/>
      <c r="AY270" s="197"/>
      <c r="AZ270" s="862"/>
      <c r="BA270" s="309"/>
      <c r="BB270" s="316"/>
      <c r="BC270" s="296"/>
      <c r="BD270" s="535"/>
      <c r="BE270" s="535"/>
      <c r="BF270" s="535"/>
      <c r="BG270" s="535"/>
      <c r="BH270" s="535"/>
      <c r="BI270" s="535"/>
    </row>
    <row r="271" spans="39:61">
      <c r="AM271" s="23"/>
      <c r="AN271" s="23"/>
      <c r="AO271" s="23"/>
      <c r="AP271" s="180"/>
      <c r="AQ271" s="23"/>
      <c r="AR271" s="23"/>
      <c r="AS271" s="23"/>
      <c r="AT271" s="23"/>
      <c r="AU271" s="23"/>
      <c r="AV271" s="23"/>
      <c r="AW271" s="197"/>
      <c r="AX271" s="197"/>
      <c r="AY271" s="197"/>
      <c r="AZ271" s="862"/>
      <c r="BA271" s="309"/>
      <c r="BB271" s="316"/>
      <c r="BC271" s="296"/>
      <c r="BD271" s="535"/>
      <c r="BE271" s="535"/>
      <c r="BF271" s="535"/>
      <c r="BG271" s="535"/>
      <c r="BH271" s="535"/>
      <c r="BI271" s="535"/>
    </row>
    <row r="272" spans="39:61">
      <c r="AM272" s="23"/>
      <c r="AN272" s="23"/>
      <c r="AO272" s="23"/>
      <c r="AP272" s="180"/>
      <c r="AQ272" s="23"/>
      <c r="AR272" s="23"/>
      <c r="AS272" s="23"/>
      <c r="AT272" s="23"/>
      <c r="AU272" s="23"/>
      <c r="AV272" s="23"/>
      <c r="AW272" s="197"/>
      <c r="AX272" s="197"/>
      <c r="AY272" s="197"/>
      <c r="AZ272" s="862"/>
      <c r="BA272" s="309"/>
      <c r="BB272" s="316"/>
      <c r="BC272" s="296"/>
      <c r="BD272" s="535"/>
      <c r="BE272" s="535"/>
      <c r="BF272" s="535"/>
      <c r="BG272" s="535"/>
      <c r="BH272" s="535"/>
      <c r="BI272" s="535"/>
    </row>
    <row r="273" spans="39:61">
      <c r="AM273" s="23"/>
      <c r="AN273" s="23"/>
      <c r="AO273" s="23"/>
      <c r="AP273" s="180"/>
      <c r="AQ273" s="23"/>
      <c r="AR273" s="23"/>
      <c r="AS273" s="23"/>
      <c r="AT273" s="23"/>
      <c r="AU273" s="23"/>
      <c r="AV273" s="23"/>
      <c r="AW273" s="197"/>
      <c r="AX273" s="197"/>
      <c r="AY273" s="197"/>
      <c r="AZ273" s="862"/>
      <c r="BA273" s="309"/>
      <c r="BB273" s="316"/>
      <c r="BC273" s="296"/>
      <c r="BD273" s="535"/>
      <c r="BE273" s="535"/>
      <c r="BF273" s="535"/>
      <c r="BG273" s="535"/>
      <c r="BH273" s="535"/>
      <c r="BI273" s="535"/>
    </row>
    <row r="274" spans="39:61">
      <c r="AM274" s="23"/>
      <c r="AN274" s="23"/>
      <c r="AO274" s="23"/>
      <c r="AP274" s="180"/>
      <c r="AQ274" s="23"/>
      <c r="AR274" s="23"/>
      <c r="AS274" s="23"/>
      <c r="AT274" s="23"/>
      <c r="AU274" s="23"/>
      <c r="AV274" s="23"/>
      <c r="AW274" s="197"/>
      <c r="AX274" s="197"/>
      <c r="AY274" s="197"/>
      <c r="AZ274" s="862"/>
      <c r="BA274" s="309"/>
      <c r="BB274" s="316"/>
      <c r="BC274" s="296"/>
      <c r="BD274" s="535"/>
      <c r="BE274" s="535"/>
      <c r="BF274" s="535"/>
      <c r="BG274" s="535"/>
      <c r="BH274" s="535"/>
      <c r="BI274" s="535"/>
    </row>
    <row r="275" spans="39:61">
      <c r="AM275" s="23"/>
      <c r="AN275" s="23"/>
      <c r="AO275" s="23"/>
      <c r="AP275" s="180"/>
      <c r="AQ275" s="23"/>
      <c r="AR275" s="23"/>
      <c r="AS275" s="23"/>
      <c r="AT275" s="23"/>
      <c r="AU275" s="23"/>
      <c r="AV275" s="23"/>
      <c r="AW275" s="197"/>
      <c r="AX275" s="197"/>
      <c r="AY275" s="197"/>
      <c r="AZ275" s="862"/>
      <c r="BA275" s="309"/>
      <c r="BB275" s="316"/>
      <c r="BC275" s="296"/>
      <c r="BD275" s="535"/>
      <c r="BE275" s="535"/>
      <c r="BF275" s="535"/>
      <c r="BG275" s="535"/>
      <c r="BH275" s="535"/>
      <c r="BI275" s="535"/>
    </row>
    <row r="276" spans="39:61">
      <c r="AM276" s="23"/>
      <c r="AN276" s="23"/>
      <c r="AO276" s="23"/>
      <c r="AP276" s="180"/>
      <c r="AQ276" s="23"/>
      <c r="AR276" s="23"/>
      <c r="AS276" s="23"/>
      <c r="AT276" s="23"/>
      <c r="AU276" s="23"/>
      <c r="AV276" s="23"/>
      <c r="AW276" s="197"/>
      <c r="AX276" s="197"/>
      <c r="AY276" s="197"/>
      <c r="AZ276" s="862"/>
      <c r="BA276" s="309"/>
      <c r="BB276" s="316"/>
      <c r="BC276" s="296"/>
      <c r="BD276" s="535"/>
      <c r="BE276" s="535"/>
      <c r="BF276" s="535"/>
      <c r="BG276" s="535"/>
      <c r="BH276" s="535"/>
      <c r="BI276" s="535"/>
    </row>
    <row r="277" spans="39:61">
      <c r="AM277" s="23"/>
      <c r="AN277" s="23"/>
      <c r="AO277" s="23"/>
      <c r="AP277" s="180"/>
      <c r="AQ277" s="23"/>
      <c r="AR277" s="23"/>
      <c r="AS277" s="23"/>
      <c r="AT277" s="23"/>
      <c r="AU277" s="23"/>
      <c r="AV277" s="23"/>
      <c r="AW277" s="197"/>
      <c r="AX277" s="197"/>
      <c r="AY277" s="197"/>
      <c r="AZ277" s="862"/>
      <c r="BA277" s="309"/>
      <c r="BB277" s="316"/>
      <c r="BC277" s="296"/>
      <c r="BD277" s="535"/>
      <c r="BE277" s="535"/>
      <c r="BF277" s="535"/>
      <c r="BG277" s="535"/>
      <c r="BH277" s="535"/>
      <c r="BI277" s="535"/>
    </row>
    <row r="278" spans="39:61">
      <c r="AM278" s="23"/>
      <c r="AN278" s="23"/>
      <c r="AO278" s="23"/>
      <c r="AP278" s="180"/>
      <c r="AQ278" s="23"/>
      <c r="AR278" s="23"/>
      <c r="AS278" s="23"/>
      <c r="AT278" s="23"/>
      <c r="AU278" s="23"/>
      <c r="AV278" s="23"/>
      <c r="AW278" s="197"/>
      <c r="AX278" s="197"/>
      <c r="AY278" s="197"/>
      <c r="AZ278" s="862"/>
      <c r="BA278" s="309"/>
      <c r="BB278" s="316"/>
      <c r="BC278" s="296"/>
      <c r="BD278" s="535"/>
      <c r="BE278" s="535"/>
      <c r="BF278" s="535"/>
      <c r="BG278" s="535"/>
      <c r="BH278" s="535"/>
      <c r="BI278" s="535"/>
    </row>
    <row r="279" spans="39:61">
      <c r="AM279" s="23"/>
      <c r="AN279" s="23"/>
      <c r="AO279" s="23"/>
      <c r="AP279" s="180"/>
      <c r="AQ279" s="23"/>
      <c r="AR279" s="23"/>
      <c r="AS279" s="23"/>
      <c r="AT279" s="23"/>
      <c r="AU279" s="23"/>
      <c r="AV279" s="23"/>
      <c r="AW279" s="197"/>
      <c r="AX279" s="197"/>
      <c r="AY279" s="197"/>
      <c r="AZ279" s="862"/>
      <c r="BA279" s="309"/>
      <c r="BB279" s="316"/>
      <c r="BC279" s="296"/>
      <c r="BD279" s="535"/>
      <c r="BE279" s="535"/>
      <c r="BF279" s="535"/>
      <c r="BG279" s="535"/>
      <c r="BH279" s="535"/>
      <c r="BI279" s="535"/>
    </row>
    <row r="280" spans="39:61">
      <c r="AM280" s="23"/>
      <c r="AN280" s="23"/>
      <c r="AO280" s="23"/>
      <c r="AP280" s="180"/>
      <c r="AQ280" s="23"/>
      <c r="AR280" s="23"/>
      <c r="AS280" s="23"/>
      <c r="AT280" s="23"/>
      <c r="AU280" s="23"/>
      <c r="AV280" s="23"/>
      <c r="AW280" s="197"/>
      <c r="AX280" s="197"/>
      <c r="AY280" s="197"/>
      <c r="AZ280" s="862"/>
      <c r="BA280" s="309"/>
      <c r="BB280" s="316"/>
      <c r="BC280" s="296"/>
      <c r="BD280" s="535"/>
      <c r="BE280" s="535"/>
      <c r="BF280" s="535"/>
      <c r="BG280" s="535"/>
      <c r="BH280" s="535"/>
      <c r="BI280" s="535"/>
    </row>
    <row r="281" spans="39:61">
      <c r="AM281" s="23"/>
      <c r="AN281" s="23"/>
      <c r="AO281" s="23"/>
      <c r="AP281" s="180"/>
      <c r="AQ281" s="23"/>
      <c r="AR281" s="23"/>
      <c r="AS281" s="23"/>
      <c r="AT281" s="23"/>
      <c r="AU281" s="23"/>
      <c r="AV281" s="23"/>
      <c r="AW281" s="197"/>
      <c r="AX281" s="197"/>
      <c r="AY281" s="197"/>
      <c r="AZ281" s="862"/>
      <c r="BA281" s="309"/>
      <c r="BB281" s="316"/>
      <c r="BC281" s="296"/>
      <c r="BD281" s="535"/>
      <c r="BE281" s="535"/>
      <c r="BF281" s="535"/>
      <c r="BG281" s="535"/>
      <c r="BH281" s="535"/>
      <c r="BI281" s="535"/>
    </row>
    <row r="282" spans="39:61">
      <c r="AM282" s="23"/>
      <c r="AN282" s="23"/>
      <c r="AO282" s="23"/>
      <c r="AP282" s="180"/>
      <c r="AQ282" s="23"/>
      <c r="AR282" s="23"/>
      <c r="AS282" s="23"/>
      <c r="AT282" s="23"/>
      <c r="AU282" s="23"/>
      <c r="AV282" s="23"/>
      <c r="AW282" s="197"/>
      <c r="AX282" s="197"/>
      <c r="AY282" s="197"/>
      <c r="AZ282" s="862"/>
      <c r="BA282" s="309"/>
      <c r="BB282" s="316"/>
      <c r="BC282" s="296"/>
      <c r="BD282" s="535"/>
      <c r="BE282" s="535"/>
      <c r="BF282" s="535"/>
      <c r="BG282" s="535"/>
      <c r="BH282" s="535"/>
      <c r="BI282" s="535"/>
    </row>
    <row r="283" spans="39:61">
      <c r="AM283" s="23"/>
      <c r="AN283" s="23"/>
      <c r="AO283" s="23"/>
      <c r="AP283" s="180"/>
      <c r="AQ283" s="23"/>
      <c r="AR283" s="23"/>
      <c r="AS283" s="23"/>
      <c r="AT283" s="23"/>
      <c r="AU283" s="23"/>
      <c r="AV283" s="23"/>
      <c r="AW283" s="197"/>
      <c r="AX283" s="197"/>
      <c r="AY283" s="197"/>
      <c r="AZ283" s="862"/>
      <c r="BA283" s="309"/>
      <c r="BB283" s="316"/>
      <c r="BC283" s="296"/>
      <c r="BD283" s="535"/>
      <c r="BE283" s="535"/>
      <c r="BF283" s="535"/>
      <c r="BG283" s="535"/>
      <c r="BH283" s="535"/>
      <c r="BI283" s="535"/>
    </row>
    <row r="284" spans="39:61">
      <c r="AM284" s="23"/>
      <c r="AN284" s="23"/>
      <c r="AO284" s="23"/>
      <c r="AP284" s="180"/>
      <c r="AQ284" s="23"/>
      <c r="AR284" s="23"/>
      <c r="AS284" s="23"/>
      <c r="AT284" s="23"/>
      <c r="AU284" s="23"/>
      <c r="AV284" s="23"/>
      <c r="AW284" s="197"/>
      <c r="AX284" s="197"/>
      <c r="AY284" s="197"/>
      <c r="AZ284" s="862"/>
      <c r="BA284" s="309"/>
      <c r="BB284" s="316"/>
      <c r="BC284" s="296"/>
      <c r="BD284" s="535"/>
      <c r="BE284" s="535"/>
      <c r="BF284" s="535"/>
      <c r="BG284" s="535"/>
      <c r="BH284" s="535"/>
      <c r="BI284" s="535"/>
    </row>
    <row r="285" spans="39:61">
      <c r="AM285" s="23"/>
      <c r="AN285" s="23"/>
      <c r="AO285" s="23"/>
      <c r="AP285" s="180"/>
      <c r="AQ285" s="23"/>
      <c r="AR285" s="23"/>
      <c r="AS285" s="23"/>
      <c r="AT285" s="23"/>
      <c r="AU285" s="23"/>
      <c r="AV285" s="23"/>
      <c r="AW285" s="197"/>
      <c r="AX285" s="197"/>
      <c r="AY285" s="197"/>
      <c r="AZ285" s="862"/>
      <c r="BA285" s="309"/>
      <c r="BB285" s="316"/>
      <c r="BC285" s="296"/>
      <c r="BD285" s="535"/>
      <c r="BE285" s="535"/>
      <c r="BF285" s="535"/>
      <c r="BG285" s="535"/>
      <c r="BH285" s="535"/>
      <c r="BI285" s="535"/>
    </row>
    <row r="286" spans="39:61">
      <c r="AM286" s="23"/>
      <c r="AN286" s="23"/>
      <c r="AO286" s="23"/>
      <c r="AP286" s="180"/>
      <c r="AQ286" s="23"/>
      <c r="AR286" s="23"/>
      <c r="AS286" s="23"/>
      <c r="AT286" s="23"/>
      <c r="AU286" s="23"/>
      <c r="AV286" s="23"/>
      <c r="AW286" s="197"/>
      <c r="AX286" s="197"/>
      <c r="AY286" s="197"/>
      <c r="AZ286" s="862"/>
      <c r="BA286" s="309"/>
      <c r="BB286" s="316"/>
      <c r="BC286" s="296"/>
      <c r="BD286" s="535"/>
      <c r="BE286" s="535"/>
      <c r="BF286" s="535"/>
      <c r="BG286" s="535"/>
      <c r="BH286" s="535"/>
      <c r="BI286" s="535"/>
    </row>
    <row r="287" spans="39:61">
      <c r="AM287" s="23"/>
      <c r="AN287" s="23"/>
      <c r="AO287" s="23"/>
      <c r="AP287" s="180"/>
      <c r="AQ287" s="23"/>
      <c r="AR287" s="23"/>
      <c r="AS287" s="23"/>
      <c r="AT287" s="23"/>
      <c r="AU287" s="23"/>
      <c r="AV287" s="23"/>
      <c r="AW287" s="197"/>
      <c r="AX287" s="197"/>
      <c r="AY287" s="197"/>
      <c r="AZ287" s="862"/>
      <c r="BA287" s="309"/>
      <c r="BB287" s="316"/>
      <c r="BC287" s="296"/>
      <c r="BD287" s="535"/>
      <c r="BE287" s="535"/>
      <c r="BF287" s="535"/>
      <c r="BG287" s="535"/>
      <c r="BH287" s="535"/>
      <c r="BI287" s="535"/>
    </row>
    <row r="288" spans="39:61">
      <c r="AM288" s="23"/>
      <c r="AN288" s="23"/>
      <c r="AO288" s="23"/>
      <c r="AP288" s="180"/>
      <c r="AQ288" s="23"/>
      <c r="AR288" s="23"/>
      <c r="AS288" s="23"/>
      <c r="AT288" s="23"/>
      <c r="AU288" s="23"/>
      <c r="AV288" s="23"/>
      <c r="AW288" s="197"/>
      <c r="AX288" s="197"/>
      <c r="AY288" s="197"/>
      <c r="AZ288" s="862"/>
      <c r="BA288" s="309"/>
      <c r="BB288" s="316"/>
      <c r="BC288" s="296"/>
      <c r="BD288" s="535"/>
      <c r="BE288" s="535"/>
      <c r="BF288" s="535"/>
      <c r="BG288" s="535"/>
      <c r="BH288" s="535"/>
      <c r="BI288" s="535"/>
    </row>
    <row r="289" spans="39:61">
      <c r="AM289" s="23"/>
      <c r="AN289" s="23"/>
      <c r="AO289" s="23"/>
      <c r="AP289" s="180"/>
      <c r="AQ289" s="23"/>
      <c r="AR289" s="23"/>
      <c r="AS289" s="23"/>
      <c r="AT289" s="23"/>
      <c r="AU289" s="23"/>
      <c r="AV289" s="23"/>
      <c r="AW289" s="197"/>
      <c r="AX289" s="197"/>
      <c r="AY289" s="197"/>
      <c r="AZ289" s="862"/>
      <c r="BA289" s="309"/>
      <c r="BB289" s="316"/>
      <c r="BC289" s="296"/>
      <c r="BD289" s="535"/>
      <c r="BE289" s="535"/>
      <c r="BF289" s="535"/>
      <c r="BG289" s="535"/>
      <c r="BH289" s="535"/>
      <c r="BI289" s="535"/>
    </row>
    <row r="290" spans="39:61">
      <c r="AM290" s="23"/>
      <c r="AN290" s="23"/>
      <c r="AO290" s="23"/>
      <c r="AP290" s="180"/>
      <c r="AQ290" s="23"/>
      <c r="AR290" s="23"/>
      <c r="AS290" s="23"/>
      <c r="AT290" s="23"/>
      <c r="AU290" s="23"/>
      <c r="AV290" s="23"/>
      <c r="AW290" s="197"/>
      <c r="AX290" s="197"/>
      <c r="AY290" s="197"/>
      <c r="AZ290" s="862"/>
      <c r="BA290" s="309"/>
      <c r="BB290" s="316"/>
      <c r="BC290" s="296"/>
      <c r="BD290" s="535"/>
      <c r="BE290" s="535"/>
      <c r="BF290" s="535"/>
      <c r="BG290" s="535"/>
      <c r="BH290" s="535"/>
      <c r="BI290" s="535"/>
    </row>
    <row r="291" spans="39:61">
      <c r="AM291" s="23"/>
      <c r="AN291" s="23"/>
      <c r="AO291" s="23"/>
      <c r="AP291" s="180"/>
      <c r="AQ291" s="23"/>
      <c r="AR291" s="23"/>
      <c r="AS291" s="23"/>
      <c r="AT291" s="23"/>
      <c r="AU291" s="23"/>
      <c r="AV291" s="23"/>
      <c r="AW291" s="197"/>
      <c r="AX291" s="197"/>
      <c r="AY291" s="197"/>
      <c r="AZ291" s="862"/>
      <c r="BA291" s="309"/>
      <c r="BB291" s="316"/>
      <c r="BC291" s="296"/>
      <c r="BD291" s="535"/>
      <c r="BE291" s="535"/>
      <c r="BF291" s="535"/>
      <c r="BG291" s="535"/>
      <c r="BH291" s="535"/>
      <c r="BI291" s="535"/>
    </row>
    <row r="292" spans="39:61">
      <c r="AM292" s="23"/>
      <c r="AN292" s="23"/>
      <c r="AO292" s="23"/>
      <c r="AP292" s="180"/>
      <c r="AQ292" s="23"/>
      <c r="AR292" s="23"/>
      <c r="AS292" s="23"/>
      <c r="AT292" s="23"/>
      <c r="AU292" s="23"/>
      <c r="AV292" s="23"/>
      <c r="AW292" s="197"/>
      <c r="AX292" s="197"/>
      <c r="AY292" s="197"/>
      <c r="AZ292" s="862"/>
      <c r="BA292" s="309"/>
      <c r="BB292" s="316"/>
      <c r="BC292" s="296"/>
      <c r="BD292" s="535"/>
      <c r="BE292" s="535"/>
      <c r="BF292" s="535"/>
      <c r="BG292" s="535"/>
      <c r="BH292" s="535"/>
      <c r="BI292" s="535"/>
    </row>
    <row r="293" spans="39:61">
      <c r="AM293" s="23"/>
      <c r="AN293" s="23"/>
      <c r="AO293" s="23"/>
      <c r="AP293" s="180"/>
      <c r="AQ293" s="23"/>
      <c r="AR293" s="23"/>
      <c r="AS293" s="23"/>
      <c r="AT293" s="23"/>
      <c r="AU293" s="23"/>
      <c r="AV293" s="23"/>
      <c r="AW293" s="197"/>
      <c r="AX293" s="197"/>
      <c r="AY293" s="197"/>
      <c r="AZ293" s="862"/>
      <c r="BA293" s="309"/>
      <c r="BB293" s="316"/>
      <c r="BC293" s="296"/>
      <c r="BD293" s="535"/>
      <c r="BE293" s="535"/>
      <c r="BF293" s="535"/>
      <c r="BG293" s="535"/>
      <c r="BH293" s="535"/>
      <c r="BI293" s="535"/>
    </row>
    <row r="294" spans="39:61">
      <c r="AM294" s="23"/>
      <c r="AN294" s="23"/>
      <c r="AO294" s="23"/>
      <c r="AP294" s="180"/>
      <c r="AQ294" s="23"/>
      <c r="AR294" s="23"/>
      <c r="AS294" s="23"/>
      <c r="AT294" s="23"/>
      <c r="AU294" s="23"/>
      <c r="AV294" s="23"/>
      <c r="AW294" s="197"/>
      <c r="AX294" s="197"/>
      <c r="AY294" s="197"/>
      <c r="AZ294" s="862"/>
      <c r="BA294" s="309"/>
      <c r="BB294" s="316"/>
      <c r="BC294" s="296"/>
      <c r="BD294" s="535"/>
      <c r="BE294" s="535"/>
      <c r="BF294" s="535"/>
      <c r="BG294" s="535"/>
      <c r="BH294" s="535"/>
      <c r="BI294" s="535"/>
    </row>
    <row r="295" spans="39:61">
      <c r="AM295" s="23"/>
      <c r="AN295" s="23"/>
      <c r="AO295" s="23"/>
      <c r="AP295" s="180"/>
      <c r="AQ295" s="23"/>
      <c r="AR295" s="23"/>
      <c r="AS295" s="23"/>
      <c r="AT295" s="23"/>
      <c r="AU295" s="23"/>
      <c r="AV295" s="23"/>
      <c r="AW295" s="197"/>
      <c r="AX295" s="197"/>
      <c r="AY295" s="197"/>
      <c r="AZ295" s="862"/>
      <c r="BA295" s="309"/>
      <c r="BB295" s="316"/>
      <c r="BC295" s="296"/>
      <c r="BD295" s="535"/>
      <c r="BE295" s="535"/>
      <c r="BF295" s="535"/>
      <c r="BG295" s="535"/>
      <c r="BH295" s="535"/>
      <c r="BI295" s="535"/>
    </row>
    <row r="296" spans="39:61">
      <c r="AM296" s="23"/>
      <c r="AN296" s="23"/>
      <c r="AO296" s="23"/>
      <c r="AP296" s="180"/>
      <c r="AQ296" s="23"/>
      <c r="AR296" s="23"/>
      <c r="AS296" s="23"/>
      <c r="AT296" s="23"/>
      <c r="AU296" s="23"/>
      <c r="AV296" s="23"/>
      <c r="AW296" s="197"/>
      <c r="AX296" s="197"/>
      <c r="AY296" s="197"/>
      <c r="AZ296" s="862"/>
      <c r="BA296" s="309"/>
      <c r="BB296" s="316"/>
      <c r="BC296" s="296"/>
      <c r="BD296" s="535"/>
      <c r="BE296" s="535"/>
      <c r="BF296" s="535"/>
      <c r="BG296" s="535"/>
      <c r="BH296" s="535"/>
      <c r="BI296" s="535"/>
    </row>
    <row r="297" spans="39:61">
      <c r="AM297" s="23"/>
      <c r="AN297" s="23"/>
      <c r="AO297" s="23"/>
      <c r="AP297" s="180"/>
      <c r="AQ297" s="23"/>
      <c r="AR297" s="23"/>
      <c r="AS297" s="23"/>
      <c r="AT297" s="23"/>
      <c r="AU297" s="23"/>
      <c r="AV297" s="23"/>
      <c r="AW297" s="197"/>
      <c r="AX297" s="197"/>
      <c r="AY297" s="197"/>
      <c r="AZ297" s="862"/>
      <c r="BA297" s="309"/>
      <c r="BB297" s="316"/>
      <c r="BC297" s="296"/>
      <c r="BD297" s="535"/>
      <c r="BE297" s="535"/>
      <c r="BF297" s="535"/>
      <c r="BG297" s="535"/>
      <c r="BH297" s="535"/>
      <c r="BI297" s="535"/>
    </row>
    <row r="298" spans="39:61">
      <c r="AM298" s="23"/>
      <c r="AN298" s="23"/>
      <c r="AO298" s="23"/>
      <c r="AP298" s="180"/>
      <c r="AQ298" s="23"/>
      <c r="AR298" s="23"/>
      <c r="AS298" s="23"/>
      <c r="AT298" s="23"/>
      <c r="AU298" s="23"/>
      <c r="AV298" s="23"/>
      <c r="AW298" s="197"/>
      <c r="AX298" s="197"/>
      <c r="AY298" s="197"/>
      <c r="AZ298" s="862"/>
      <c r="BA298" s="309"/>
      <c r="BB298" s="316"/>
      <c r="BC298" s="296"/>
      <c r="BD298" s="535"/>
      <c r="BE298" s="535"/>
      <c r="BF298" s="535"/>
      <c r="BG298" s="535"/>
      <c r="BH298" s="535"/>
      <c r="BI298" s="535"/>
    </row>
    <row r="299" spans="39:61">
      <c r="AM299" s="23"/>
      <c r="AN299" s="23"/>
      <c r="AO299" s="23"/>
      <c r="AP299" s="180"/>
      <c r="AQ299" s="23"/>
      <c r="AR299" s="23"/>
      <c r="AS299" s="23"/>
      <c r="AT299" s="23"/>
      <c r="AU299" s="23"/>
      <c r="AV299" s="23"/>
      <c r="AW299" s="197"/>
      <c r="AX299" s="197"/>
      <c r="AY299" s="197"/>
      <c r="AZ299" s="862"/>
      <c r="BA299" s="309"/>
      <c r="BB299" s="316"/>
      <c r="BC299" s="296"/>
      <c r="BD299" s="535"/>
      <c r="BE299" s="535"/>
      <c r="BF299" s="535"/>
      <c r="BG299" s="535"/>
      <c r="BH299" s="535"/>
      <c r="BI299" s="535"/>
    </row>
    <row r="300" spans="39:61">
      <c r="AM300" s="23"/>
      <c r="AN300" s="23"/>
      <c r="AO300" s="23"/>
      <c r="AP300" s="180"/>
      <c r="AQ300" s="23"/>
      <c r="AR300" s="23"/>
      <c r="AS300" s="23"/>
      <c r="AT300" s="23"/>
      <c r="AU300" s="23"/>
      <c r="AV300" s="23"/>
      <c r="AW300" s="197"/>
      <c r="AX300" s="197"/>
      <c r="AY300" s="197"/>
      <c r="AZ300" s="862"/>
      <c r="BA300" s="309"/>
      <c r="BB300" s="316"/>
      <c r="BC300" s="296"/>
      <c r="BD300" s="535"/>
      <c r="BE300" s="535"/>
      <c r="BF300" s="535"/>
      <c r="BG300" s="535"/>
      <c r="BH300" s="535"/>
      <c r="BI300" s="535"/>
    </row>
    <row r="301" spans="39:61">
      <c r="AM301" s="23"/>
      <c r="AN301" s="23"/>
      <c r="AO301" s="23"/>
      <c r="AP301" s="180"/>
      <c r="AQ301" s="23"/>
      <c r="AR301" s="23"/>
      <c r="AS301" s="23"/>
      <c r="AT301" s="23"/>
      <c r="AU301" s="23"/>
      <c r="AV301" s="23"/>
      <c r="AW301" s="197"/>
      <c r="AX301" s="197"/>
      <c r="AY301" s="197"/>
      <c r="AZ301" s="862"/>
      <c r="BA301" s="309"/>
      <c r="BB301" s="316"/>
      <c r="BC301" s="296"/>
      <c r="BD301" s="535"/>
      <c r="BE301" s="535"/>
      <c r="BF301" s="535"/>
      <c r="BG301" s="535"/>
      <c r="BH301" s="535"/>
      <c r="BI301" s="535"/>
    </row>
    <row r="302" spans="39:61">
      <c r="AM302" s="23"/>
      <c r="AN302" s="23"/>
      <c r="AO302" s="23"/>
      <c r="AP302" s="180"/>
      <c r="AQ302" s="23"/>
      <c r="AR302" s="23"/>
      <c r="AS302" s="23"/>
      <c r="AT302" s="23"/>
      <c r="AU302" s="23"/>
      <c r="AV302" s="23"/>
      <c r="AW302" s="197"/>
      <c r="AX302" s="197"/>
      <c r="AY302" s="197"/>
      <c r="AZ302" s="862"/>
      <c r="BA302" s="309"/>
      <c r="BB302" s="316"/>
      <c r="BC302" s="296"/>
      <c r="BD302" s="535"/>
      <c r="BE302" s="535"/>
      <c r="BF302" s="535"/>
      <c r="BG302" s="535"/>
      <c r="BH302" s="535"/>
      <c r="BI302" s="535"/>
    </row>
    <row r="303" spans="39:61">
      <c r="AM303" s="23"/>
      <c r="AN303" s="23"/>
      <c r="AO303" s="23"/>
      <c r="AP303" s="180"/>
      <c r="AQ303" s="23"/>
      <c r="AR303" s="23"/>
      <c r="AS303" s="23"/>
      <c r="AT303" s="23"/>
      <c r="AU303" s="23"/>
      <c r="AV303" s="23"/>
      <c r="AW303" s="197"/>
      <c r="AX303" s="197"/>
      <c r="AY303" s="197"/>
      <c r="AZ303" s="862"/>
      <c r="BA303" s="309"/>
      <c r="BB303" s="316"/>
      <c r="BC303" s="296"/>
      <c r="BD303" s="535"/>
      <c r="BE303" s="535"/>
      <c r="BF303" s="535"/>
      <c r="BG303" s="535"/>
      <c r="BH303" s="535"/>
      <c r="BI303" s="535"/>
    </row>
    <row r="304" spans="39:61">
      <c r="AM304" s="23"/>
      <c r="AN304" s="23"/>
      <c r="AO304" s="23"/>
      <c r="AP304" s="180"/>
      <c r="AQ304" s="23"/>
      <c r="AR304" s="23"/>
      <c r="AS304" s="23"/>
      <c r="AT304" s="23"/>
      <c r="AU304" s="23"/>
      <c r="AV304" s="23"/>
      <c r="AW304" s="197"/>
      <c r="AX304" s="197"/>
      <c r="AY304" s="197"/>
      <c r="AZ304" s="862"/>
      <c r="BA304" s="309"/>
      <c r="BB304" s="316"/>
      <c r="BC304" s="296"/>
      <c r="BD304" s="535"/>
      <c r="BE304" s="535"/>
      <c r="BF304" s="535"/>
      <c r="BG304" s="535"/>
      <c r="BH304" s="535"/>
      <c r="BI304" s="535"/>
    </row>
    <row r="305" spans="39:61">
      <c r="AM305" s="23"/>
      <c r="AN305" s="23"/>
      <c r="AO305" s="23"/>
      <c r="AP305" s="180"/>
      <c r="AQ305" s="23"/>
      <c r="AR305" s="23"/>
      <c r="AS305" s="23"/>
      <c r="AT305" s="23"/>
      <c r="AU305" s="23"/>
      <c r="AV305" s="23"/>
      <c r="AW305" s="197"/>
      <c r="AX305" s="197"/>
      <c r="AY305" s="197"/>
      <c r="AZ305" s="862"/>
      <c r="BA305" s="309"/>
      <c r="BB305" s="316"/>
      <c r="BC305" s="296"/>
      <c r="BD305" s="535"/>
      <c r="BE305" s="535"/>
      <c r="BF305" s="535"/>
      <c r="BG305" s="535"/>
      <c r="BH305" s="535"/>
      <c r="BI305" s="535"/>
    </row>
    <row r="306" spans="39:61">
      <c r="AM306" s="23"/>
      <c r="AN306" s="23"/>
      <c r="AO306" s="23"/>
      <c r="AP306" s="180"/>
      <c r="AQ306" s="23"/>
      <c r="AR306" s="23"/>
      <c r="AS306" s="23"/>
      <c r="AT306" s="23"/>
      <c r="AU306" s="23"/>
      <c r="AV306" s="23"/>
      <c r="AW306" s="197"/>
      <c r="AX306" s="197"/>
      <c r="AY306" s="197"/>
      <c r="AZ306" s="862"/>
      <c r="BA306" s="309"/>
      <c r="BB306" s="316"/>
      <c r="BC306" s="296"/>
      <c r="BD306" s="535"/>
      <c r="BE306" s="535"/>
      <c r="BF306" s="535"/>
      <c r="BG306" s="535"/>
      <c r="BH306" s="535"/>
      <c r="BI306" s="535"/>
    </row>
    <row r="307" spans="39:61">
      <c r="AM307" s="23"/>
      <c r="AN307" s="23"/>
      <c r="AO307" s="23"/>
      <c r="AP307" s="180"/>
      <c r="AQ307" s="23"/>
      <c r="AR307" s="23"/>
      <c r="AS307" s="23"/>
      <c r="AT307" s="23"/>
      <c r="AU307" s="23"/>
      <c r="AV307" s="23"/>
      <c r="AW307" s="197"/>
      <c r="AX307" s="197"/>
      <c r="AY307" s="197"/>
      <c r="AZ307" s="862"/>
      <c r="BA307" s="309"/>
      <c r="BB307" s="316"/>
      <c r="BC307" s="296"/>
      <c r="BD307" s="535"/>
      <c r="BE307" s="535"/>
      <c r="BF307" s="535"/>
      <c r="BG307" s="535"/>
      <c r="BH307" s="535"/>
      <c r="BI307" s="535"/>
    </row>
    <row r="308" spans="39:61">
      <c r="AM308" s="23"/>
      <c r="AN308" s="23"/>
      <c r="AO308" s="23"/>
      <c r="AP308" s="180"/>
      <c r="AQ308" s="23"/>
      <c r="AR308" s="23"/>
      <c r="AS308" s="23"/>
      <c r="AT308" s="23"/>
      <c r="AU308" s="23"/>
      <c r="AV308" s="23"/>
      <c r="AW308" s="197"/>
      <c r="AX308" s="197"/>
      <c r="AY308" s="197"/>
      <c r="AZ308" s="862"/>
      <c r="BA308" s="309"/>
      <c r="BB308" s="316"/>
      <c r="BC308" s="296"/>
      <c r="BD308" s="535"/>
      <c r="BE308" s="535"/>
      <c r="BF308" s="535"/>
      <c r="BG308" s="535"/>
      <c r="BH308" s="535"/>
      <c r="BI308" s="535"/>
    </row>
    <row r="309" spans="39:61">
      <c r="AM309" s="23"/>
      <c r="AN309" s="23"/>
      <c r="AO309" s="23"/>
      <c r="AP309" s="180"/>
      <c r="AQ309" s="23"/>
      <c r="AR309" s="23"/>
      <c r="AS309" s="23"/>
      <c r="AT309" s="23"/>
      <c r="AU309" s="23"/>
      <c r="AV309" s="23"/>
      <c r="AW309" s="197"/>
      <c r="AX309" s="197"/>
      <c r="AY309" s="197"/>
      <c r="AZ309" s="862"/>
      <c r="BA309" s="309"/>
      <c r="BB309" s="316"/>
      <c r="BC309" s="296"/>
      <c r="BD309" s="535"/>
      <c r="BE309" s="535"/>
      <c r="BF309" s="535"/>
      <c r="BG309" s="535"/>
      <c r="BH309" s="535"/>
      <c r="BI309" s="535"/>
    </row>
    <row r="310" spans="39:61">
      <c r="AM310" s="23"/>
      <c r="AN310" s="23"/>
      <c r="AO310" s="23"/>
      <c r="AP310" s="180"/>
      <c r="AQ310" s="23"/>
      <c r="AR310" s="23"/>
      <c r="AS310" s="23"/>
      <c r="AT310" s="23"/>
      <c r="AU310" s="23"/>
      <c r="AV310" s="23"/>
      <c r="AW310" s="197"/>
      <c r="AX310" s="197"/>
      <c r="AY310" s="197"/>
      <c r="AZ310" s="862"/>
      <c r="BA310" s="309"/>
      <c r="BB310" s="316"/>
      <c r="BC310" s="296"/>
      <c r="BD310" s="535"/>
      <c r="BE310" s="535"/>
      <c r="BF310" s="535"/>
      <c r="BG310" s="535"/>
      <c r="BH310" s="535"/>
      <c r="BI310" s="535"/>
    </row>
    <row r="311" spans="39:61">
      <c r="AM311" s="23"/>
      <c r="AN311" s="23"/>
      <c r="AO311" s="23"/>
      <c r="AP311" s="180"/>
      <c r="AQ311" s="23"/>
      <c r="AR311" s="23"/>
      <c r="AS311" s="23"/>
      <c r="AT311" s="23"/>
      <c r="AU311" s="23"/>
      <c r="AV311" s="23"/>
      <c r="AW311" s="197"/>
      <c r="AX311" s="197"/>
      <c r="AY311" s="197"/>
      <c r="AZ311" s="862"/>
      <c r="BA311" s="309"/>
      <c r="BB311" s="316"/>
      <c r="BC311" s="296"/>
      <c r="BD311" s="535"/>
      <c r="BE311" s="535"/>
      <c r="BF311" s="535"/>
      <c r="BG311" s="535"/>
      <c r="BH311" s="535"/>
      <c r="BI311" s="535"/>
    </row>
    <row r="312" spans="39:61">
      <c r="AM312" s="23"/>
      <c r="AN312" s="23"/>
      <c r="AO312" s="23"/>
      <c r="AP312" s="180"/>
      <c r="AQ312" s="23"/>
      <c r="AR312" s="23"/>
      <c r="AS312" s="23"/>
      <c r="AT312" s="23"/>
      <c r="AU312" s="23"/>
      <c r="AV312" s="23"/>
      <c r="AW312" s="197"/>
      <c r="AX312" s="197"/>
      <c r="AY312" s="197"/>
      <c r="AZ312" s="862"/>
      <c r="BA312" s="309"/>
      <c r="BB312" s="316"/>
      <c r="BC312" s="296"/>
      <c r="BD312" s="535"/>
      <c r="BE312" s="535"/>
      <c r="BF312" s="535"/>
      <c r="BG312" s="535"/>
      <c r="BH312" s="535"/>
      <c r="BI312" s="535"/>
    </row>
    <row r="313" spans="39:61">
      <c r="AM313" s="23"/>
      <c r="AN313" s="23"/>
      <c r="AO313" s="23"/>
      <c r="AP313" s="180"/>
      <c r="AQ313" s="23"/>
      <c r="AR313" s="23"/>
      <c r="AS313" s="23"/>
      <c r="AT313" s="23"/>
      <c r="AU313" s="23"/>
      <c r="AV313" s="23"/>
      <c r="AW313" s="197"/>
      <c r="AX313" s="197"/>
      <c r="AY313" s="197"/>
      <c r="AZ313" s="862"/>
      <c r="BA313" s="309"/>
      <c r="BB313" s="316"/>
      <c r="BC313" s="296"/>
      <c r="BD313" s="535"/>
      <c r="BE313" s="535"/>
      <c r="BF313" s="535"/>
      <c r="BG313" s="535"/>
      <c r="BH313" s="535"/>
      <c r="BI313" s="535"/>
    </row>
    <row r="314" spans="39:61">
      <c r="AM314" s="23"/>
      <c r="AN314" s="23"/>
      <c r="AO314" s="23"/>
      <c r="AP314" s="180"/>
      <c r="AQ314" s="23"/>
      <c r="AR314" s="23"/>
      <c r="AS314" s="23"/>
      <c r="AT314" s="23"/>
      <c r="AU314" s="23"/>
      <c r="AV314" s="23"/>
      <c r="AW314" s="197"/>
      <c r="AX314" s="197"/>
      <c r="AY314" s="197"/>
      <c r="AZ314" s="862"/>
      <c r="BA314" s="309"/>
      <c r="BB314" s="316"/>
      <c r="BC314" s="296"/>
      <c r="BD314" s="535"/>
      <c r="BE314" s="535"/>
      <c r="BF314" s="535"/>
      <c r="BG314" s="535"/>
      <c r="BH314" s="535"/>
      <c r="BI314" s="535"/>
    </row>
    <row r="315" spans="39:61">
      <c r="AM315" s="23"/>
      <c r="AN315" s="23"/>
      <c r="AO315" s="23"/>
      <c r="AP315" s="180"/>
      <c r="AQ315" s="23"/>
      <c r="AR315" s="23"/>
      <c r="AS315" s="23"/>
      <c r="AT315" s="23"/>
      <c r="AU315" s="23"/>
      <c r="AV315" s="23"/>
      <c r="AW315" s="197"/>
      <c r="AX315" s="197"/>
      <c r="AY315" s="197"/>
      <c r="AZ315" s="862"/>
      <c r="BA315" s="309"/>
      <c r="BB315" s="316"/>
      <c r="BC315" s="296"/>
      <c r="BD315" s="535"/>
      <c r="BE315" s="535"/>
      <c r="BF315" s="535"/>
      <c r="BG315" s="535"/>
      <c r="BH315" s="535"/>
      <c r="BI315" s="535"/>
    </row>
    <row r="316" spans="39:61">
      <c r="AM316" s="23"/>
      <c r="AN316" s="23"/>
      <c r="AO316" s="23"/>
      <c r="AP316" s="180"/>
      <c r="AQ316" s="23"/>
      <c r="AR316" s="23"/>
      <c r="AS316" s="23"/>
      <c r="AT316" s="23"/>
      <c r="AU316" s="23"/>
      <c r="AV316" s="23"/>
      <c r="AW316" s="197"/>
      <c r="AX316" s="197"/>
      <c r="AY316" s="197"/>
      <c r="AZ316" s="862"/>
      <c r="BA316" s="309"/>
      <c r="BB316" s="316"/>
      <c r="BC316" s="296"/>
      <c r="BD316" s="535"/>
      <c r="BE316" s="535"/>
      <c r="BF316" s="535"/>
      <c r="BG316" s="535"/>
      <c r="BH316" s="535"/>
      <c r="BI316" s="535"/>
    </row>
    <row r="317" spans="39:61">
      <c r="AM317" s="23"/>
      <c r="AN317" s="23"/>
      <c r="AO317" s="23"/>
      <c r="AP317" s="180"/>
      <c r="AQ317" s="23"/>
      <c r="AR317" s="23"/>
      <c r="AS317" s="23"/>
      <c r="AT317" s="23"/>
      <c r="AU317" s="23"/>
      <c r="AV317" s="23"/>
      <c r="AW317" s="197"/>
      <c r="AX317" s="197"/>
      <c r="AY317" s="197"/>
      <c r="AZ317" s="862"/>
      <c r="BA317" s="309"/>
      <c r="BB317" s="316"/>
      <c r="BC317" s="296"/>
      <c r="BD317" s="535"/>
      <c r="BE317" s="535"/>
      <c r="BF317" s="535"/>
      <c r="BG317" s="535"/>
      <c r="BH317" s="535"/>
      <c r="BI317" s="535"/>
    </row>
    <row r="318" spans="39:61">
      <c r="AM318" s="23"/>
      <c r="AN318" s="23"/>
      <c r="AO318" s="23"/>
      <c r="AP318" s="180"/>
      <c r="AQ318" s="23"/>
      <c r="AR318" s="23"/>
      <c r="AS318" s="23"/>
      <c r="AT318" s="23"/>
      <c r="AU318" s="23"/>
      <c r="AV318" s="23"/>
      <c r="AW318" s="197"/>
      <c r="AX318" s="197"/>
      <c r="AY318" s="197"/>
      <c r="AZ318" s="862"/>
      <c r="BA318" s="309"/>
      <c r="BB318" s="316"/>
      <c r="BC318" s="296"/>
      <c r="BD318" s="535"/>
      <c r="BE318" s="535"/>
      <c r="BF318" s="535"/>
      <c r="BG318" s="535"/>
      <c r="BH318" s="535"/>
      <c r="BI318" s="535"/>
    </row>
    <row r="319" spans="39:61">
      <c r="AM319" s="23"/>
      <c r="AN319" s="23"/>
      <c r="AO319" s="23"/>
      <c r="AP319" s="180"/>
      <c r="AQ319" s="23"/>
      <c r="AR319" s="23"/>
      <c r="AS319" s="23"/>
      <c r="AT319" s="23"/>
      <c r="AU319" s="23"/>
      <c r="AV319" s="23"/>
      <c r="AW319" s="197"/>
      <c r="AX319" s="197"/>
      <c r="AY319" s="197"/>
      <c r="AZ319" s="862"/>
      <c r="BA319" s="309"/>
      <c r="BB319" s="316"/>
      <c r="BC319" s="296"/>
      <c r="BD319" s="535"/>
      <c r="BE319" s="535"/>
      <c r="BF319" s="535"/>
      <c r="BG319" s="535"/>
      <c r="BH319" s="535"/>
      <c r="BI319" s="535"/>
    </row>
    <row r="320" spans="39:61">
      <c r="AM320" s="23"/>
      <c r="AN320" s="23"/>
      <c r="AO320" s="23"/>
      <c r="AP320" s="180"/>
      <c r="AQ320" s="23"/>
      <c r="AR320" s="23"/>
      <c r="AS320" s="23"/>
      <c r="AT320" s="23"/>
      <c r="AU320" s="23"/>
      <c r="AV320" s="23"/>
      <c r="AW320" s="197"/>
      <c r="AX320" s="197"/>
      <c r="AY320" s="197"/>
      <c r="AZ320" s="862"/>
      <c r="BA320" s="309"/>
      <c r="BB320" s="316"/>
      <c r="BC320" s="296"/>
      <c r="BD320" s="535"/>
      <c r="BE320" s="535"/>
      <c r="BF320" s="535"/>
      <c r="BG320" s="535"/>
      <c r="BH320" s="535"/>
      <c r="BI320" s="535"/>
    </row>
    <row r="321" spans="39:61">
      <c r="AM321" s="23"/>
      <c r="AN321" s="23"/>
      <c r="AO321" s="23"/>
      <c r="AP321" s="180"/>
      <c r="AQ321" s="23"/>
      <c r="AR321" s="23"/>
      <c r="AS321" s="23"/>
      <c r="AT321" s="23"/>
      <c r="AU321" s="23"/>
      <c r="AV321" s="23"/>
      <c r="AW321" s="197"/>
      <c r="AX321" s="197"/>
      <c r="AY321" s="197"/>
      <c r="AZ321" s="862"/>
      <c r="BA321" s="309"/>
      <c r="BB321" s="316"/>
      <c r="BC321" s="296"/>
      <c r="BD321" s="535"/>
      <c r="BE321" s="535"/>
      <c r="BF321" s="535"/>
      <c r="BG321" s="535"/>
      <c r="BH321" s="535"/>
      <c r="BI321" s="535"/>
    </row>
    <row r="322" spans="39:61">
      <c r="AM322" s="23"/>
      <c r="AN322" s="23"/>
      <c r="AO322" s="23"/>
      <c r="AP322" s="180"/>
      <c r="AQ322" s="23"/>
      <c r="AR322" s="23"/>
      <c r="AS322" s="23"/>
      <c r="AT322" s="23"/>
      <c r="AU322" s="23"/>
      <c r="AV322" s="23"/>
      <c r="AW322" s="197"/>
      <c r="AX322" s="197"/>
      <c r="AY322" s="197"/>
      <c r="AZ322" s="862"/>
      <c r="BA322" s="309"/>
      <c r="BB322" s="316"/>
      <c r="BC322" s="296"/>
      <c r="BD322" s="535"/>
      <c r="BE322" s="535"/>
      <c r="BF322" s="535"/>
      <c r="BG322" s="535"/>
      <c r="BH322" s="535"/>
      <c r="BI322" s="535"/>
    </row>
    <row r="323" spans="39:61">
      <c r="AM323" s="23"/>
      <c r="AN323" s="23"/>
      <c r="AO323" s="23"/>
      <c r="AP323" s="180"/>
      <c r="AQ323" s="23"/>
      <c r="AR323" s="23"/>
      <c r="AS323" s="23"/>
      <c r="AT323" s="23"/>
      <c r="AU323" s="23"/>
      <c r="AV323" s="23"/>
      <c r="AW323" s="197"/>
      <c r="AX323" s="197"/>
      <c r="AY323" s="197"/>
      <c r="AZ323" s="862"/>
      <c r="BA323" s="309"/>
      <c r="BB323" s="316"/>
      <c r="BC323" s="296"/>
      <c r="BD323" s="535"/>
      <c r="BE323" s="535"/>
      <c r="BF323" s="535"/>
      <c r="BG323" s="535"/>
      <c r="BH323" s="535"/>
      <c r="BI323" s="535"/>
    </row>
    <row r="324" spans="39:61">
      <c r="AM324" s="23"/>
      <c r="AN324" s="23"/>
      <c r="AO324" s="23"/>
      <c r="AP324" s="180"/>
      <c r="AQ324" s="23"/>
      <c r="AR324" s="23"/>
      <c r="AS324" s="23"/>
      <c r="AT324" s="23"/>
      <c r="AU324" s="23"/>
      <c r="AV324" s="23"/>
      <c r="AW324" s="197"/>
      <c r="AX324" s="197"/>
      <c r="AY324" s="197"/>
      <c r="AZ324" s="862"/>
      <c r="BA324" s="309"/>
      <c r="BB324" s="316"/>
      <c r="BC324" s="296"/>
      <c r="BD324" s="535"/>
      <c r="BE324" s="535"/>
      <c r="BF324" s="535"/>
      <c r="BG324" s="535"/>
      <c r="BH324" s="535"/>
      <c r="BI324" s="535"/>
    </row>
    <row r="325" spans="39:61">
      <c r="AM325" s="23"/>
      <c r="AN325" s="23"/>
      <c r="AO325" s="23"/>
      <c r="AP325" s="180"/>
      <c r="AQ325" s="23"/>
      <c r="AR325" s="23"/>
      <c r="AS325" s="23"/>
      <c r="AT325" s="23"/>
      <c r="AU325" s="23"/>
      <c r="AV325" s="23"/>
      <c r="AW325" s="197"/>
      <c r="AX325" s="197"/>
      <c r="AY325" s="197"/>
      <c r="AZ325" s="862"/>
      <c r="BA325" s="309"/>
      <c r="BB325" s="316"/>
      <c r="BC325" s="296"/>
      <c r="BD325" s="535"/>
      <c r="BE325" s="535"/>
      <c r="BF325" s="535"/>
      <c r="BG325" s="535"/>
      <c r="BH325" s="535"/>
      <c r="BI325" s="535"/>
    </row>
    <row r="326" spans="39:61">
      <c r="AM326" s="23"/>
      <c r="AN326" s="23"/>
      <c r="AO326" s="23"/>
      <c r="AP326" s="180"/>
      <c r="AQ326" s="23"/>
      <c r="AR326" s="23"/>
      <c r="AS326" s="23"/>
      <c r="AT326" s="23"/>
      <c r="AU326" s="23"/>
      <c r="AV326" s="23"/>
      <c r="AW326" s="197"/>
      <c r="AX326" s="197"/>
      <c r="AY326" s="197"/>
      <c r="AZ326" s="862"/>
      <c r="BA326" s="309"/>
      <c r="BB326" s="316"/>
      <c r="BC326" s="296"/>
      <c r="BD326" s="535"/>
      <c r="BE326" s="535"/>
      <c r="BF326" s="535"/>
      <c r="BG326" s="535"/>
      <c r="BH326" s="535"/>
      <c r="BI326" s="535"/>
    </row>
    <row r="327" spans="39:61">
      <c r="AM327" s="23"/>
      <c r="AN327" s="23"/>
      <c r="AO327" s="23"/>
      <c r="AP327" s="180"/>
      <c r="AQ327" s="23"/>
      <c r="AR327" s="23"/>
      <c r="AS327" s="23"/>
      <c r="AT327" s="23"/>
      <c r="AU327" s="23"/>
      <c r="AV327" s="23"/>
      <c r="AW327" s="197"/>
      <c r="AX327" s="197"/>
      <c r="AY327" s="197"/>
      <c r="AZ327" s="862"/>
      <c r="BA327" s="309"/>
      <c r="BB327" s="316"/>
      <c r="BC327" s="296"/>
      <c r="BD327" s="535"/>
      <c r="BE327" s="535"/>
      <c r="BF327" s="535"/>
      <c r="BG327" s="535"/>
      <c r="BH327" s="535"/>
      <c r="BI327" s="535"/>
    </row>
    <row r="328" spans="39:61">
      <c r="AM328" s="23"/>
      <c r="AN328" s="23"/>
      <c r="AO328" s="23"/>
      <c r="AP328" s="180"/>
      <c r="AQ328" s="23"/>
      <c r="AR328" s="23"/>
      <c r="AS328" s="23"/>
      <c r="AT328" s="23"/>
      <c r="AU328" s="23"/>
      <c r="AV328" s="23"/>
      <c r="AW328" s="197"/>
      <c r="AX328" s="197"/>
      <c r="AY328" s="197"/>
      <c r="AZ328" s="862"/>
      <c r="BA328" s="309"/>
      <c r="BB328" s="316"/>
      <c r="BC328" s="296"/>
      <c r="BD328" s="535"/>
      <c r="BE328" s="535"/>
      <c r="BF328" s="535"/>
      <c r="BG328" s="535"/>
      <c r="BH328" s="535"/>
      <c r="BI328" s="535"/>
    </row>
    <row r="329" spans="39:61">
      <c r="AM329" s="23"/>
      <c r="AN329" s="23"/>
      <c r="AO329" s="23"/>
      <c r="AP329" s="180"/>
      <c r="AQ329" s="23"/>
      <c r="AR329" s="23"/>
      <c r="AS329" s="23"/>
      <c r="AT329" s="23"/>
      <c r="AU329" s="23"/>
      <c r="AV329" s="23"/>
      <c r="AW329" s="197"/>
      <c r="AX329" s="197"/>
      <c r="AY329" s="197"/>
      <c r="AZ329" s="862"/>
      <c r="BA329" s="309"/>
      <c r="BB329" s="316"/>
      <c r="BC329" s="296"/>
      <c r="BD329" s="535"/>
      <c r="BE329" s="535"/>
      <c r="BF329" s="535"/>
      <c r="BG329" s="535"/>
      <c r="BH329" s="535"/>
      <c r="BI329" s="535"/>
    </row>
    <row r="330" spans="39:61">
      <c r="AM330" s="23"/>
      <c r="AN330" s="23"/>
      <c r="AO330" s="23"/>
      <c r="AP330" s="180"/>
      <c r="AQ330" s="23"/>
      <c r="AR330" s="23"/>
      <c r="AS330" s="23"/>
      <c r="AT330" s="23"/>
      <c r="AU330" s="23"/>
      <c r="AV330" s="23"/>
      <c r="AW330" s="197"/>
      <c r="AX330" s="197"/>
      <c r="AY330" s="197"/>
      <c r="AZ330" s="862"/>
      <c r="BA330" s="309"/>
      <c r="BB330" s="316"/>
      <c r="BC330" s="296"/>
      <c r="BD330" s="535"/>
      <c r="BE330" s="535"/>
      <c r="BF330" s="535"/>
      <c r="BG330" s="535"/>
      <c r="BH330" s="535"/>
      <c r="BI330" s="535"/>
    </row>
    <row r="331" spans="39:61">
      <c r="AM331" s="23"/>
      <c r="AN331" s="23"/>
      <c r="AO331" s="23"/>
      <c r="AP331" s="180"/>
      <c r="AQ331" s="23"/>
      <c r="AR331" s="23"/>
      <c r="AS331" s="23"/>
      <c r="AT331" s="23"/>
      <c r="AU331" s="23"/>
      <c r="AV331" s="23"/>
      <c r="AW331" s="197"/>
      <c r="AX331" s="197"/>
      <c r="AY331" s="197"/>
      <c r="AZ331" s="862"/>
      <c r="BA331" s="309"/>
      <c r="BB331" s="316"/>
      <c r="BC331" s="296"/>
      <c r="BD331" s="535"/>
      <c r="BE331" s="535"/>
      <c r="BF331" s="535"/>
      <c r="BG331" s="535"/>
      <c r="BH331" s="535"/>
      <c r="BI331" s="535"/>
    </row>
    <row r="332" spans="39:61">
      <c r="AM332" s="23"/>
      <c r="AN332" s="23"/>
      <c r="AO332" s="23"/>
      <c r="AP332" s="180"/>
      <c r="AQ332" s="23"/>
      <c r="AR332" s="23"/>
      <c r="AS332" s="23"/>
      <c r="AT332" s="23"/>
      <c r="AU332" s="23"/>
      <c r="AV332" s="23"/>
      <c r="AW332" s="197"/>
      <c r="AX332" s="197"/>
      <c r="AY332" s="197"/>
      <c r="AZ332" s="862"/>
      <c r="BA332" s="309"/>
      <c r="BB332" s="316"/>
      <c r="BC332" s="296"/>
      <c r="BD332" s="535"/>
      <c r="BE332" s="535"/>
      <c r="BF332" s="535"/>
      <c r="BG332" s="535"/>
      <c r="BH332" s="535"/>
      <c r="BI332" s="535"/>
    </row>
    <row r="333" spans="39:61">
      <c r="AM333" s="23"/>
      <c r="AN333" s="23"/>
      <c r="AO333" s="23"/>
      <c r="AP333" s="180"/>
      <c r="AQ333" s="23"/>
      <c r="AR333" s="23"/>
      <c r="AS333" s="23"/>
      <c r="AT333" s="23"/>
      <c r="AU333" s="23"/>
      <c r="AV333" s="23"/>
      <c r="AW333" s="197"/>
      <c r="AX333" s="197"/>
      <c r="AY333" s="197"/>
      <c r="AZ333" s="862"/>
      <c r="BA333" s="309"/>
      <c r="BB333" s="316"/>
      <c r="BC333" s="296"/>
      <c r="BD333" s="535"/>
      <c r="BE333" s="535"/>
      <c r="BF333" s="535"/>
      <c r="BG333" s="535"/>
      <c r="BH333" s="535"/>
      <c r="BI333" s="535"/>
    </row>
    <row r="334" spans="39:61">
      <c r="AM334" s="23"/>
      <c r="AN334" s="23"/>
      <c r="AO334" s="23"/>
      <c r="AP334" s="180"/>
      <c r="AQ334" s="23"/>
      <c r="AR334" s="23"/>
      <c r="AS334" s="23"/>
      <c r="AT334" s="23"/>
      <c r="AU334" s="23"/>
      <c r="AV334" s="23"/>
      <c r="AW334" s="197"/>
      <c r="AX334" s="197"/>
      <c r="AY334" s="197"/>
      <c r="AZ334" s="862"/>
      <c r="BA334" s="309"/>
      <c r="BB334" s="316"/>
      <c r="BC334" s="296"/>
      <c r="BD334" s="535"/>
      <c r="BE334" s="535"/>
      <c r="BF334" s="535"/>
      <c r="BG334" s="535"/>
      <c r="BH334" s="535"/>
      <c r="BI334" s="535"/>
    </row>
    <row r="335" spans="39:61">
      <c r="AM335" s="23"/>
      <c r="AN335" s="23"/>
      <c r="AO335" s="23"/>
      <c r="AP335" s="180"/>
      <c r="AQ335" s="23"/>
      <c r="AR335" s="23"/>
      <c r="AS335" s="23"/>
      <c r="AT335" s="23"/>
      <c r="AU335" s="23"/>
      <c r="AV335" s="23"/>
      <c r="AW335" s="197"/>
      <c r="AX335" s="197"/>
      <c r="AY335" s="197"/>
      <c r="AZ335" s="862"/>
      <c r="BA335" s="309"/>
      <c r="BB335" s="316"/>
      <c r="BC335" s="296"/>
      <c r="BD335" s="535"/>
      <c r="BE335" s="535"/>
      <c r="BF335" s="535"/>
      <c r="BG335" s="535"/>
      <c r="BH335" s="535"/>
      <c r="BI335" s="535"/>
    </row>
    <row r="336" spans="39:61">
      <c r="AM336" s="23"/>
      <c r="AN336" s="23"/>
      <c r="AO336" s="23"/>
      <c r="AP336" s="180"/>
      <c r="AQ336" s="23"/>
      <c r="AR336" s="23"/>
      <c r="AS336" s="23"/>
      <c r="AT336" s="23"/>
      <c r="AU336" s="23"/>
      <c r="AV336" s="23"/>
      <c r="AW336" s="197"/>
      <c r="AX336" s="197"/>
      <c r="AY336" s="197"/>
      <c r="AZ336" s="862"/>
      <c r="BA336" s="309"/>
      <c r="BB336" s="316"/>
      <c r="BC336" s="296"/>
      <c r="BD336" s="535"/>
      <c r="BE336" s="535"/>
      <c r="BF336" s="535"/>
      <c r="BG336" s="535"/>
      <c r="BH336" s="535"/>
      <c r="BI336" s="535"/>
    </row>
    <row r="337" spans="39:61">
      <c r="AM337" s="23"/>
      <c r="AN337" s="23"/>
      <c r="AO337" s="23"/>
      <c r="AP337" s="180"/>
      <c r="AQ337" s="23"/>
      <c r="AR337" s="23"/>
      <c r="AS337" s="23"/>
      <c r="AT337" s="23"/>
      <c r="AU337" s="23"/>
      <c r="AV337" s="23"/>
      <c r="AW337" s="197"/>
      <c r="AX337" s="197"/>
      <c r="AY337" s="197"/>
      <c r="AZ337" s="862"/>
      <c r="BA337" s="309"/>
      <c r="BB337" s="316"/>
      <c r="BC337" s="296"/>
      <c r="BD337" s="535"/>
      <c r="BE337" s="535"/>
      <c r="BF337" s="535"/>
      <c r="BG337" s="535"/>
      <c r="BH337" s="535"/>
      <c r="BI337" s="535"/>
    </row>
    <row r="338" spans="39:61">
      <c r="AM338" s="23"/>
      <c r="AN338" s="23"/>
      <c r="AO338" s="23"/>
      <c r="AP338" s="180"/>
      <c r="AQ338" s="23"/>
      <c r="AR338" s="23"/>
      <c r="AS338" s="23"/>
      <c r="AT338" s="23"/>
      <c r="AU338" s="23"/>
      <c r="AV338" s="23"/>
      <c r="AW338" s="197"/>
      <c r="AX338" s="197"/>
      <c r="AY338" s="197"/>
      <c r="AZ338" s="862"/>
      <c r="BA338" s="309"/>
      <c r="BB338" s="316"/>
      <c r="BC338" s="296"/>
      <c r="BD338" s="535"/>
      <c r="BE338" s="535"/>
      <c r="BF338" s="535"/>
      <c r="BG338" s="535"/>
      <c r="BH338" s="535"/>
      <c r="BI338" s="535"/>
    </row>
    <row r="339" spans="39:61">
      <c r="AM339" s="23"/>
      <c r="AN339" s="23"/>
      <c r="AO339" s="23"/>
      <c r="AP339" s="180"/>
      <c r="AQ339" s="23"/>
      <c r="AR339" s="23"/>
      <c r="AS339" s="23"/>
      <c r="AT339" s="23"/>
      <c r="AU339" s="23"/>
      <c r="AV339" s="23"/>
      <c r="AW339" s="197"/>
      <c r="AX339" s="197"/>
      <c r="AY339" s="197"/>
      <c r="AZ339" s="862"/>
      <c r="BA339" s="309"/>
      <c r="BB339" s="316"/>
      <c r="BC339" s="296"/>
      <c r="BD339" s="535"/>
      <c r="BE339" s="535"/>
      <c r="BF339" s="535"/>
      <c r="BG339" s="535"/>
      <c r="BH339" s="535"/>
      <c r="BI339" s="535"/>
    </row>
    <row r="340" spans="39:61">
      <c r="AM340" s="23"/>
      <c r="AN340" s="23"/>
      <c r="AO340" s="23"/>
      <c r="AP340" s="180"/>
      <c r="AQ340" s="23"/>
      <c r="AR340" s="23"/>
      <c r="AS340" s="23"/>
      <c r="AT340" s="23"/>
      <c r="AU340" s="23"/>
      <c r="AV340" s="23"/>
      <c r="AW340" s="197"/>
      <c r="AX340" s="197"/>
      <c r="AY340" s="197"/>
      <c r="AZ340" s="862"/>
      <c r="BA340" s="309"/>
      <c r="BB340" s="316"/>
      <c r="BC340" s="296"/>
      <c r="BD340" s="535"/>
      <c r="BE340" s="535"/>
      <c r="BF340" s="535"/>
      <c r="BG340" s="535"/>
      <c r="BH340" s="535"/>
      <c r="BI340" s="535"/>
    </row>
    <row r="341" spans="39:61">
      <c r="AM341" s="23"/>
      <c r="AN341" s="23"/>
      <c r="AO341" s="23"/>
      <c r="AP341" s="180"/>
      <c r="AQ341" s="23"/>
      <c r="AR341" s="23"/>
      <c r="AS341" s="23"/>
      <c r="AT341" s="23"/>
      <c r="AU341" s="23"/>
      <c r="AV341" s="23"/>
      <c r="AW341" s="197"/>
      <c r="AX341" s="197"/>
      <c r="AY341" s="197"/>
      <c r="AZ341" s="862"/>
      <c r="BA341" s="309"/>
      <c r="BB341" s="316"/>
      <c r="BC341" s="296"/>
      <c r="BD341" s="535"/>
      <c r="BE341" s="535"/>
      <c r="BF341" s="535"/>
      <c r="BG341" s="535"/>
      <c r="BH341" s="535"/>
      <c r="BI341" s="535"/>
    </row>
    <row r="342" spans="39:61">
      <c r="AM342" s="23"/>
      <c r="AN342" s="23"/>
      <c r="AO342" s="23"/>
      <c r="AP342" s="180"/>
      <c r="AQ342" s="23"/>
      <c r="AR342" s="23"/>
      <c r="AS342" s="23"/>
      <c r="AT342" s="23"/>
      <c r="AU342" s="23"/>
      <c r="AV342" s="23"/>
      <c r="AW342" s="197"/>
      <c r="AX342" s="197"/>
      <c r="AY342" s="197"/>
      <c r="AZ342" s="862"/>
      <c r="BA342" s="309"/>
      <c r="BB342" s="316"/>
      <c r="BC342" s="296"/>
      <c r="BD342" s="535"/>
      <c r="BE342" s="535"/>
      <c r="BF342" s="535"/>
      <c r="BG342" s="535"/>
      <c r="BH342" s="535"/>
      <c r="BI342" s="535"/>
    </row>
    <row r="343" spans="39:61">
      <c r="AM343" s="23"/>
      <c r="AN343" s="23"/>
      <c r="AO343" s="23"/>
      <c r="AP343" s="180"/>
      <c r="AQ343" s="23"/>
      <c r="AR343" s="23"/>
      <c r="AS343" s="23"/>
      <c r="AT343" s="23"/>
      <c r="AU343" s="23"/>
      <c r="AV343" s="23"/>
      <c r="AW343" s="197"/>
      <c r="AX343" s="197"/>
      <c r="AY343" s="197"/>
      <c r="AZ343" s="862"/>
      <c r="BA343" s="309"/>
      <c r="BB343" s="316"/>
      <c r="BC343" s="296"/>
      <c r="BD343" s="535"/>
      <c r="BE343" s="535"/>
      <c r="BF343" s="535"/>
      <c r="BG343" s="535"/>
      <c r="BH343" s="535"/>
      <c r="BI343" s="535"/>
    </row>
    <row r="344" spans="39:61">
      <c r="AM344" s="23"/>
      <c r="AN344" s="23"/>
      <c r="AO344" s="23"/>
      <c r="AP344" s="180"/>
      <c r="AQ344" s="23"/>
      <c r="AR344" s="23"/>
      <c r="AS344" s="23"/>
      <c r="AT344" s="23"/>
      <c r="AU344" s="23"/>
      <c r="AV344" s="23"/>
      <c r="AW344" s="197"/>
      <c r="AX344" s="197"/>
      <c r="AY344" s="197"/>
      <c r="AZ344" s="862"/>
      <c r="BA344" s="309"/>
      <c r="BB344" s="316"/>
      <c r="BC344" s="296"/>
      <c r="BD344" s="535"/>
      <c r="BE344" s="535"/>
      <c r="BF344" s="535"/>
      <c r="BG344" s="535"/>
      <c r="BH344" s="535"/>
      <c r="BI344" s="535"/>
    </row>
    <row r="345" spans="39:61">
      <c r="AM345" s="23"/>
      <c r="AN345" s="23"/>
      <c r="AO345" s="23"/>
      <c r="AP345" s="180"/>
      <c r="AQ345" s="23"/>
      <c r="AR345" s="23"/>
      <c r="AS345" s="23"/>
      <c r="AT345" s="23"/>
      <c r="AU345" s="23"/>
      <c r="AV345" s="23"/>
      <c r="AW345" s="197"/>
      <c r="AX345" s="197"/>
      <c r="AY345" s="197"/>
      <c r="AZ345" s="862"/>
      <c r="BA345" s="309"/>
      <c r="BB345" s="316"/>
      <c r="BC345" s="296"/>
      <c r="BD345" s="535"/>
      <c r="BE345" s="535"/>
      <c r="BF345" s="535"/>
      <c r="BG345" s="535"/>
      <c r="BH345" s="535"/>
      <c r="BI345" s="535"/>
    </row>
    <row r="346" spans="39:61">
      <c r="AM346" s="23"/>
      <c r="AN346" s="23"/>
      <c r="AO346" s="23"/>
      <c r="AP346" s="180"/>
      <c r="AQ346" s="23"/>
      <c r="AR346" s="23"/>
      <c r="AS346" s="23"/>
      <c r="AT346" s="23"/>
      <c r="AU346" s="23"/>
      <c r="AV346" s="23"/>
      <c r="AW346" s="197"/>
      <c r="AX346" s="197"/>
      <c r="AY346" s="197"/>
      <c r="AZ346" s="862"/>
      <c r="BA346" s="309"/>
      <c r="BB346" s="316"/>
      <c r="BC346" s="296"/>
      <c r="BD346" s="535"/>
      <c r="BE346" s="535"/>
      <c r="BF346" s="535"/>
      <c r="BG346" s="535"/>
      <c r="BH346" s="535"/>
      <c r="BI346" s="535"/>
    </row>
    <row r="347" spans="39:61">
      <c r="AM347" s="23"/>
      <c r="AN347" s="23"/>
      <c r="AO347" s="23"/>
      <c r="AP347" s="180"/>
      <c r="AQ347" s="23"/>
      <c r="AR347" s="23"/>
      <c r="AS347" s="23"/>
      <c r="AT347" s="23"/>
      <c r="AU347" s="23"/>
      <c r="AV347" s="23"/>
      <c r="AW347" s="197"/>
      <c r="AX347" s="197"/>
      <c r="AY347" s="197"/>
      <c r="AZ347" s="862"/>
      <c r="BA347" s="309"/>
      <c r="BB347" s="316"/>
      <c r="BC347" s="296"/>
      <c r="BD347" s="535"/>
      <c r="BE347" s="535"/>
      <c r="BF347" s="535"/>
      <c r="BG347" s="535"/>
      <c r="BH347" s="535"/>
      <c r="BI347" s="535"/>
    </row>
    <row r="348" spans="39:61">
      <c r="AM348" s="23"/>
      <c r="AN348" s="23"/>
      <c r="AO348" s="23"/>
      <c r="AP348" s="180"/>
      <c r="AQ348" s="23"/>
      <c r="AR348" s="23"/>
      <c r="AS348" s="23"/>
      <c r="AT348" s="23"/>
      <c r="AU348" s="23"/>
      <c r="AV348" s="23"/>
      <c r="AW348" s="197"/>
      <c r="AX348" s="197"/>
      <c r="AY348" s="197"/>
      <c r="AZ348" s="862"/>
      <c r="BA348" s="309"/>
      <c r="BB348" s="316"/>
      <c r="BC348" s="296"/>
      <c r="BD348" s="535"/>
      <c r="BE348" s="535"/>
      <c r="BF348" s="535"/>
      <c r="BG348" s="535"/>
      <c r="BH348" s="535"/>
      <c r="BI348" s="535"/>
    </row>
    <row r="349" spans="39:61">
      <c r="AM349" s="23"/>
      <c r="AN349" s="23"/>
      <c r="AO349" s="23"/>
      <c r="AP349" s="180"/>
      <c r="AQ349" s="23"/>
      <c r="AR349" s="23"/>
      <c r="AS349" s="23"/>
      <c r="AT349" s="23"/>
      <c r="AU349" s="23"/>
      <c r="AV349" s="23"/>
      <c r="AW349" s="197"/>
      <c r="AX349" s="197"/>
      <c r="AY349" s="197"/>
      <c r="AZ349" s="862"/>
      <c r="BA349" s="309"/>
      <c r="BB349" s="316"/>
      <c r="BC349" s="296"/>
      <c r="BD349" s="535"/>
      <c r="BE349" s="535"/>
      <c r="BF349" s="535"/>
      <c r="BG349" s="535"/>
      <c r="BH349" s="535"/>
      <c r="BI349" s="535"/>
    </row>
    <row r="350" spans="39:61">
      <c r="AM350" s="23"/>
      <c r="AN350" s="23"/>
      <c r="AO350" s="23"/>
      <c r="AP350" s="180"/>
      <c r="AQ350" s="23"/>
      <c r="AR350" s="23"/>
      <c r="AS350" s="23"/>
      <c r="AT350" s="23"/>
      <c r="AU350" s="23"/>
      <c r="AV350" s="23"/>
      <c r="AW350" s="197"/>
      <c r="AX350" s="197"/>
      <c r="AY350" s="197"/>
      <c r="AZ350" s="862"/>
      <c r="BA350" s="309"/>
      <c r="BB350" s="316"/>
      <c r="BC350" s="296"/>
      <c r="BD350" s="535"/>
      <c r="BE350" s="535"/>
      <c r="BF350" s="535"/>
      <c r="BG350" s="535"/>
      <c r="BH350" s="535"/>
      <c r="BI350" s="535"/>
    </row>
    <row r="351" spans="39:61">
      <c r="AM351" s="23"/>
      <c r="AN351" s="23"/>
      <c r="AO351" s="23"/>
      <c r="AP351" s="180"/>
      <c r="AQ351" s="23"/>
      <c r="AR351" s="23"/>
      <c r="AS351" s="23"/>
      <c r="AT351" s="23"/>
      <c r="AU351" s="23"/>
      <c r="AV351" s="23"/>
      <c r="AW351" s="197"/>
      <c r="AX351" s="197"/>
      <c r="AY351" s="197"/>
      <c r="AZ351" s="862"/>
      <c r="BA351" s="309"/>
      <c r="BB351" s="316"/>
      <c r="BC351" s="296"/>
      <c r="BD351" s="535"/>
      <c r="BE351" s="535"/>
      <c r="BF351" s="535"/>
      <c r="BG351" s="535"/>
      <c r="BH351" s="535"/>
      <c r="BI351" s="535"/>
    </row>
    <row r="352" spans="39:61">
      <c r="AM352" s="23"/>
      <c r="AN352" s="23"/>
      <c r="AO352" s="23"/>
      <c r="AP352" s="180"/>
      <c r="AQ352" s="23"/>
      <c r="AR352" s="23"/>
      <c r="AS352" s="23"/>
      <c r="AT352" s="23"/>
      <c r="AU352" s="23"/>
      <c r="AV352" s="23"/>
      <c r="AW352" s="197"/>
      <c r="AX352" s="197"/>
      <c r="AY352" s="197"/>
      <c r="AZ352" s="862"/>
      <c r="BA352" s="309"/>
      <c r="BB352" s="316"/>
      <c r="BC352" s="296"/>
      <c r="BD352" s="535"/>
      <c r="BE352" s="535"/>
      <c r="BF352" s="535"/>
      <c r="BG352" s="535"/>
      <c r="BH352" s="535"/>
      <c r="BI352" s="535"/>
    </row>
    <row r="353" spans="39:61">
      <c r="AM353" s="23"/>
      <c r="AN353" s="23"/>
      <c r="AO353" s="23"/>
      <c r="AP353" s="180"/>
      <c r="AQ353" s="23"/>
      <c r="AR353" s="23"/>
      <c r="AS353" s="23"/>
      <c r="AT353" s="23"/>
      <c r="AU353" s="23"/>
      <c r="AV353" s="23"/>
      <c r="AW353" s="197"/>
      <c r="AX353" s="197"/>
      <c r="AY353" s="197"/>
      <c r="AZ353" s="862"/>
      <c r="BA353" s="309"/>
      <c r="BB353" s="316"/>
      <c r="BC353" s="296"/>
      <c r="BD353" s="535"/>
      <c r="BE353" s="535"/>
      <c r="BF353" s="535"/>
      <c r="BG353" s="535"/>
      <c r="BH353" s="535"/>
      <c r="BI353" s="535"/>
    </row>
    <row r="354" spans="39:61">
      <c r="AM354" s="23"/>
      <c r="AN354" s="23"/>
      <c r="AO354" s="23"/>
      <c r="AP354" s="180"/>
      <c r="AQ354" s="23"/>
      <c r="AR354" s="23"/>
      <c r="AS354" s="23"/>
      <c r="AT354" s="23"/>
      <c r="AU354" s="23"/>
      <c r="AV354" s="23"/>
      <c r="AW354" s="197"/>
      <c r="AX354" s="197"/>
      <c r="AY354" s="197"/>
      <c r="AZ354" s="862"/>
      <c r="BA354" s="309"/>
      <c r="BB354" s="316"/>
      <c r="BC354" s="296"/>
      <c r="BD354" s="535"/>
      <c r="BE354" s="535"/>
      <c r="BF354" s="535"/>
      <c r="BG354" s="535"/>
      <c r="BH354" s="535"/>
      <c r="BI354" s="535"/>
    </row>
    <row r="355" spans="39:61">
      <c r="AM355" s="23"/>
      <c r="AN355" s="23"/>
      <c r="AO355" s="23"/>
      <c r="AP355" s="180"/>
      <c r="AQ355" s="23"/>
      <c r="AR355" s="23"/>
      <c r="AS355" s="23"/>
      <c r="AT355" s="23"/>
      <c r="AU355" s="23"/>
      <c r="AV355" s="23"/>
      <c r="AW355" s="197"/>
      <c r="AX355" s="197"/>
      <c r="AY355" s="197"/>
      <c r="AZ355" s="862"/>
      <c r="BA355" s="309"/>
      <c r="BB355" s="316"/>
      <c r="BC355" s="296"/>
      <c r="BD355" s="535"/>
      <c r="BE355" s="535"/>
      <c r="BF355" s="535"/>
      <c r="BG355" s="535"/>
      <c r="BH355" s="535"/>
      <c r="BI355" s="535"/>
    </row>
    <row r="356" spans="39:61">
      <c r="AM356" s="23"/>
      <c r="AN356" s="23"/>
      <c r="AO356" s="23"/>
      <c r="AP356" s="180"/>
      <c r="AQ356" s="23"/>
      <c r="AR356" s="23"/>
      <c r="AS356" s="23"/>
      <c r="AT356" s="23"/>
      <c r="AU356" s="23"/>
      <c r="AV356" s="23"/>
      <c r="AW356" s="197"/>
      <c r="AX356" s="197"/>
      <c r="AY356" s="197"/>
      <c r="AZ356" s="862"/>
      <c r="BA356" s="309"/>
      <c r="BB356" s="316"/>
      <c r="BC356" s="296"/>
      <c r="BD356" s="535"/>
      <c r="BE356" s="535"/>
      <c r="BF356" s="535"/>
      <c r="BG356" s="535"/>
      <c r="BH356" s="535"/>
      <c r="BI356" s="535"/>
    </row>
    <row r="357" spans="39:61">
      <c r="AM357" s="23"/>
      <c r="AN357" s="23"/>
      <c r="AO357" s="23"/>
      <c r="AP357" s="180"/>
      <c r="AQ357" s="23"/>
      <c r="AR357" s="23"/>
      <c r="AS357" s="23"/>
      <c r="AT357" s="23"/>
      <c r="AU357" s="23"/>
      <c r="AV357" s="23"/>
      <c r="AW357" s="197"/>
      <c r="AX357" s="197"/>
      <c r="AY357" s="197"/>
      <c r="AZ357" s="862"/>
      <c r="BA357" s="309"/>
      <c r="BB357" s="316"/>
      <c r="BC357" s="296"/>
      <c r="BD357" s="535"/>
      <c r="BE357" s="535"/>
      <c r="BF357" s="535"/>
      <c r="BG357" s="535"/>
      <c r="BH357" s="535"/>
      <c r="BI357" s="535"/>
    </row>
    <row r="358" spans="39:61">
      <c r="AM358" s="23"/>
      <c r="AN358" s="23"/>
      <c r="AO358" s="23"/>
      <c r="AP358" s="180"/>
      <c r="AQ358" s="23"/>
      <c r="AR358" s="23"/>
      <c r="AS358" s="23"/>
      <c r="AT358" s="23"/>
      <c r="AU358" s="23"/>
      <c r="AV358" s="23"/>
      <c r="AW358" s="197"/>
      <c r="AX358" s="197"/>
      <c r="AY358" s="197"/>
      <c r="AZ358" s="862"/>
      <c r="BA358" s="309"/>
      <c r="BB358" s="316"/>
      <c r="BC358" s="296"/>
      <c r="BD358" s="535"/>
      <c r="BE358" s="535"/>
      <c r="BF358" s="535"/>
      <c r="BG358" s="535"/>
      <c r="BH358" s="535"/>
      <c r="BI358" s="535"/>
    </row>
    <row r="359" spans="39:61">
      <c r="AM359" s="23"/>
      <c r="AN359" s="23"/>
      <c r="AO359" s="23"/>
      <c r="AP359" s="180"/>
      <c r="AQ359" s="23"/>
      <c r="AR359" s="23"/>
      <c r="AS359" s="23"/>
      <c r="AT359" s="23"/>
      <c r="AU359" s="23"/>
      <c r="AV359" s="23"/>
      <c r="AW359" s="197"/>
      <c r="AX359" s="197"/>
      <c r="AY359" s="197"/>
      <c r="AZ359" s="862"/>
      <c r="BA359" s="309"/>
      <c r="BB359" s="316"/>
      <c r="BC359" s="296"/>
      <c r="BD359" s="535"/>
      <c r="BE359" s="535"/>
      <c r="BF359" s="535"/>
      <c r="BG359" s="535"/>
      <c r="BH359" s="535"/>
      <c r="BI359" s="535"/>
    </row>
    <row r="360" spans="39:61">
      <c r="AM360" s="23"/>
      <c r="AN360" s="23"/>
      <c r="AO360" s="23"/>
      <c r="AP360" s="180"/>
      <c r="AQ360" s="23"/>
      <c r="AR360" s="23"/>
      <c r="AS360" s="23"/>
      <c r="AT360" s="23"/>
      <c r="AU360" s="23"/>
      <c r="AV360" s="23"/>
      <c r="AW360" s="197"/>
      <c r="AX360" s="197"/>
      <c r="AY360" s="197"/>
      <c r="AZ360" s="862"/>
      <c r="BA360" s="309"/>
      <c r="BB360" s="316"/>
      <c r="BC360" s="296"/>
      <c r="BD360" s="535"/>
      <c r="BE360" s="535"/>
      <c r="BF360" s="535"/>
      <c r="BG360" s="535"/>
      <c r="BH360" s="535"/>
      <c r="BI360" s="535"/>
    </row>
    <row r="361" spans="39:61">
      <c r="AM361" s="23"/>
      <c r="AN361" s="23"/>
      <c r="AO361" s="23"/>
      <c r="AP361" s="180"/>
      <c r="AQ361" s="23"/>
      <c r="AR361" s="23"/>
      <c r="AS361" s="23"/>
      <c r="AT361" s="23"/>
      <c r="AU361" s="23"/>
      <c r="AV361" s="23"/>
      <c r="AW361" s="197"/>
      <c r="AX361" s="197"/>
      <c r="AY361" s="197"/>
      <c r="AZ361" s="862"/>
      <c r="BA361" s="309"/>
      <c r="BB361" s="316"/>
      <c r="BC361" s="296"/>
      <c r="BD361" s="535"/>
      <c r="BE361" s="535"/>
      <c r="BF361" s="535"/>
      <c r="BG361" s="535"/>
      <c r="BH361" s="535"/>
      <c r="BI361" s="535"/>
    </row>
  </sheetData>
  <phoneticPr fontId="25" type="noConversion"/>
  <pageMargins left="0.24" right="0.27" top="0.33" bottom="0.37" header="0.5" footer="0.2"/>
  <pageSetup scale="85" fitToWidth="10" fitToHeight="10" pageOrder="overThenDown" orientation="landscape"/>
  <headerFooter alignWithMargins="0">
    <oddFooter>&amp;C
&amp;R&amp;8&amp;D--Page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11"/>
  <sheetViews>
    <sheetView topLeftCell="A218" zoomScaleSheetLayoutView="100" workbookViewId="0">
      <pane xSplit="1" topLeftCell="B1" activePane="topRight" state="frozen"/>
      <selection pane="topRight"/>
    </sheetView>
  </sheetViews>
  <sheetFormatPr baseColWidth="10" defaultColWidth="10" defaultRowHeight="15" x14ac:dyDescent="0"/>
  <cols>
    <col min="1" max="1" width="46.5" style="3" customWidth="1"/>
    <col min="2" max="2" width="6.5" style="178" customWidth="1"/>
    <col min="3" max="4" width="6.5" style="3" customWidth="1"/>
    <col min="5" max="11" width="6.5" style="206" customWidth="1"/>
    <col min="12" max="12" width="6.5" style="664" customWidth="1"/>
    <col min="13" max="21" width="6.5" style="206" customWidth="1"/>
    <col min="22" max="22" width="6.5" style="664" customWidth="1"/>
    <col min="23" max="31" width="6.5" style="206" customWidth="1"/>
    <col min="32" max="32" width="6.5" style="664" customWidth="1"/>
    <col min="33" max="41" width="6.5" style="206" customWidth="1"/>
    <col min="42" max="42" width="6.5" style="664" customWidth="1"/>
    <col min="43" max="46" width="6.5" style="206" customWidth="1"/>
    <col min="47" max="47" width="7" style="206" customWidth="1"/>
    <col min="48" max="50" width="6.5" style="206" customWidth="1"/>
    <col min="51" max="51" width="6.5" style="343" customWidth="1"/>
    <col min="52" max="52" width="8" style="428" customWidth="1"/>
    <col min="53" max="55" width="6.5" style="343" customWidth="1"/>
    <col min="56" max="56" width="7.5" style="343" customWidth="1"/>
    <col min="57" max="57" width="6.5" style="343" customWidth="1"/>
    <col min="58" max="61" width="6.5" style="428" customWidth="1"/>
    <col min="62" max="63" width="8.5" style="531" customWidth="1"/>
    <col min="64" max="64" width="8" style="559" customWidth="1"/>
    <col min="65" max="65" width="9" style="560" customWidth="1"/>
    <col min="66" max="93" width="10" style="320" customWidth="1"/>
    <col min="94" max="160" width="10" customWidth="1"/>
    <col min="161" max="161" width="1.5" customWidth="1"/>
  </cols>
  <sheetData>
    <row r="1" spans="1:121">
      <c r="A1" s="59" t="s">
        <v>56</v>
      </c>
      <c r="L1" s="904"/>
      <c r="M1" s="480"/>
      <c r="N1" s="480"/>
      <c r="O1" s="480"/>
      <c r="P1" s="480"/>
      <c r="Q1" s="480"/>
      <c r="R1" s="480"/>
      <c r="S1" s="480"/>
      <c r="T1" s="480"/>
      <c r="U1" s="480"/>
      <c r="V1" s="904"/>
      <c r="W1" s="480"/>
      <c r="X1" s="480"/>
      <c r="Y1" s="480"/>
      <c r="Z1" s="483"/>
      <c r="AA1" s="480"/>
      <c r="AB1" s="480"/>
      <c r="AC1" s="480"/>
      <c r="AD1" s="480"/>
      <c r="AE1" s="480"/>
      <c r="AF1" s="904"/>
      <c r="AG1" s="480"/>
      <c r="AH1" s="480"/>
      <c r="AI1" s="480"/>
      <c r="AJ1" s="480"/>
      <c r="AK1" s="480"/>
      <c r="AL1" s="480"/>
      <c r="AM1" s="152"/>
      <c r="AN1" s="152"/>
      <c r="AO1" s="152"/>
      <c r="BF1" s="428" t="s">
        <v>160</v>
      </c>
      <c r="BJ1" s="864"/>
      <c r="BK1" s="864"/>
    </row>
    <row r="2" spans="1:121">
      <c r="A2" s="44" t="s">
        <v>57</v>
      </c>
      <c r="L2" s="904"/>
      <c r="M2" s="480"/>
      <c r="N2" s="480"/>
      <c r="O2" s="480"/>
      <c r="P2" s="480"/>
      <c r="Q2" s="480"/>
      <c r="R2" s="480"/>
      <c r="S2" s="480"/>
      <c r="T2" s="480"/>
      <c r="U2" s="480"/>
      <c r="V2" s="904"/>
      <c r="W2" s="480"/>
      <c r="X2" s="480"/>
      <c r="Y2" s="480"/>
      <c r="Z2" s="152"/>
      <c r="AA2" s="152"/>
      <c r="AB2" s="152"/>
      <c r="AC2" s="152"/>
      <c r="AD2" s="152"/>
      <c r="AE2" s="152"/>
      <c r="AF2" s="217"/>
      <c r="AG2" s="152"/>
      <c r="AH2" s="152"/>
      <c r="AI2" s="152"/>
      <c r="AJ2" s="152"/>
      <c r="AK2" s="152"/>
      <c r="AL2" s="152"/>
      <c r="AM2" s="152"/>
      <c r="AN2" s="152"/>
      <c r="AO2" s="152"/>
    </row>
    <row r="3" spans="1:121">
      <c r="A3" s="469" t="s">
        <v>166</v>
      </c>
      <c r="B3" s="391"/>
      <c r="L3" s="904"/>
      <c r="M3" s="480"/>
      <c r="N3" s="480"/>
      <c r="O3" s="480"/>
      <c r="P3" s="480"/>
      <c r="Q3" s="480"/>
      <c r="R3" s="480"/>
      <c r="S3" s="480"/>
      <c r="T3" s="480"/>
      <c r="U3" s="480"/>
      <c r="V3" s="904"/>
      <c r="W3" s="480"/>
      <c r="X3" s="480"/>
      <c r="Y3" s="480"/>
      <c r="Z3" s="152"/>
      <c r="AA3" s="152"/>
      <c r="AB3" s="152"/>
      <c r="AC3" s="152"/>
      <c r="AD3" s="152"/>
      <c r="AE3" s="152"/>
      <c r="AF3" s="217"/>
      <c r="AG3" s="152"/>
      <c r="AH3" s="152"/>
      <c r="AI3" s="152"/>
      <c r="AJ3" s="152"/>
      <c r="AK3" s="152"/>
      <c r="AL3" s="152"/>
      <c r="AM3" s="152"/>
      <c r="AN3" s="152"/>
      <c r="AO3" s="152"/>
    </row>
    <row r="4" spans="1:121">
      <c r="A4" s="7"/>
      <c r="L4" s="904"/>
      <c r="M4" s="480"/>
      <c r="N4" s="480"/>
      <c r="O4" s="480"/>
      <c r="P4" s="480"/>
      <c r="Q4" s="480"/>
      <c r="R4" s="480"/>
      <c r="S4" s="480"/>
      <c r="T4" s="480"/>
      <c r="U4" s="480"/>
      <c r="V4" s="904"/>
      <c r="W4" s="480"/>
      <c r="X4" s="480"/>
      <c r="Y4" s="480"/>
      <c r="Z4" s="152"/>
      <c r="AA4" s="152"/>
      <c r="AB4" s="152"/>
      <c r="AC4" s="152"/>
      <c r="AD4" s="152"/>
      <c r="AE4" s="152"/>
      <c r="AF4" s="217"/>
      <c r="AG4" s="152"/>
      <c r="AH4" s="152"/>
      <c r="AK4" s="152"/>
      <c r="AL4" s="152"/>
      <c r="AM4" s="152"/>
      <c r="AN4" s="152"/>
      <c r="AO4" s="152"/>
      <c r="AR4" s="489"/>
      <c r="AS4" s="489"/>
      <c r="AT4" s="489"/>
      <c r="AU4" s="489"/>
      <c r="AV4" s="489"/>
      <c r="BL4" s="561"/>
      <c r="BM4" s="561"/>
    </row>
    <row r="5" spans="1:121">
      <c r="A5" s="21"/>
      <c r="B5" s="793"/>
      <c r="C5" s="22"/>
      <c r="D5" s="22"/>
      <c r="E5" s="470"/>
      <c r="F5" s="470"/>
      <c r="G5" s="470"/>
      <c r="H5" s="470"/>
      <c r="I5" s="470"/>
      <c r="J5" s="470"/>
      <c r="K5" s="470"/>
      <c r="L5" s="905"/>
      <c r="M5" s="481"/>
      <c r="N5" s="481"/>
      <c r="O5" s="481"/>
      <c r="P5" s="481"/>
      <c r="Q5" s="481"/>
      <c r="R5" s="481"/>
      <c r="S5" s="481"/>
      <c r="T5" s="481"/>
      <c r="U5" s="481"/>
      <c r="V5" s="905"/>
      <c r="W5" s="481"/>
      <c r="X5" s="481"/>
      <c r="Y5" s="481"/>
      <c r="Z5" s="486"/>
      <c r="AA5" s="486"/>
      <c r="AB5" s="486"/>
      <c r="AC5" s="486"/>
      <c r="AD5" s="486"/>
      <c r="AE5" s="486"/>
      <c r="AF5" s="925"/>
      <c r="AG5" s="486"/>
      <c r="AH5" s="486"/>
      <c r="AI5" s="470"/>
      <c r="AJ5" s="470"/>
      <c r="AK5" s="486"/>
      <c r="AL5" s="486"/>
      <c r="AM5" s="486"/>
      <c r="AN5" s="486"/>
      <c r="AO5" s="486"/>
      <c r="AP5" s="925"/>
      <c r="AQ5" s="486"/>
      <c r="AR5" s="486"/>
      <c r="AS5" s="486"/>
      <c r="AT5" s="486"/>
      <c r="AU5" s="486"/>
      <c r="AV5" s="486"/>
      <c r="AW5" s="470"/>
      <c r="AX5" s="470"/>
      <c r="AY5" s="419"/>
      <c r="AZ5" s="632"/>
      <c r="BA5" s="419"/>
      <c r="BB5" s="419"/>
      <c r="BC5" s="419"/>
      <c r="BD5" s="419"/>
      <c r="BE5" s="419"/>
      <c r="BF5" s="632"/>
      <c r="BG5" s="632"/>
      <c r="BH5" s="632"/>
      <c r="BI5" s="632"/>
      <c r="BJ5" s="865"/>
      <c r="BK5" s="865"/>
      <c r="BL5" s="562"/>
      <c r="BM5" s="562"/>
    </row>
    <row r="6" spans="1:121" ht="10.5" customHeight="1">
      <c r="A6" s="104"/>
      <c r="B6" s="631"/>
      <c r="C6" s="39"/>
      <c r="D6" s="39"/>
      <c r="E6" s="215"/>
      <c r="F6" s="215"/>
      <c r="G6" s="215"/>
      <c r="H6" s="215"/>
      <c r="I6" s="215"/>
      <c r="J6" s="215"/>
      <c r="K6" s="215"/>
      <c r="L6" s="906"/>
      <c r="M6" s="304"/>
      <c r="N6" s="304"/>
      <c r="O6" s="304"/>
      <c r="P6" s="304"/>
      <c r="Q6" s="304"/>
      <c r="R6" s="304"/>
      <c r="S6" s="304"/>
      <c r="T6" s="304"/>
      <c r="U6" s="304"/>
      <c r="V6" s="906"/>
      <c r="W6" s="304"/>
      <c r="X6" s="304"/>
      <c r="Y6" s="304"/>
      <c r="Z6" s="172"/>
      <c r="AA6" s="172"/>
      <c r="AB6" s="172"/>
      <c r="AC6" s="172"/>
      <c r="AD6" s="172"/>
      <c r="AE6" s="172"/>
      <c r="AF6" s="271"/>
      <c r="AG6" s="172"/>
      <c r="AH6" s="172"/>
      <c r="AI6" s="215"/>
      <c r="AJ6" s="215"/>
      <c r="AK6" s="215"/>
      <c r="AL6" s="215"/>
      <c r="AM6" s="215"/>
      <c r="AN6" s="215"/>
      <c r="AO6" s="215"/>
      <c r="AP6" s="926"/>
      <c r="AQ6" s="215"/>
      <c r="AR6" s="215"/>
      <c r="AS6" s="490"/>
      <c r="AT6" s="492"/>
      <c r="AU6" s="492"/>
      <c r="AV6" s="215"/>
      <c r="AW6" s="215"/>
      <c r="AX6" s="187"/>
      <c r="AY6" s="344"/>
      <c r="AZ6" s="935"/>
      <c r="BA6" s="344"/>
      <c r="BB6" s="418"/>
      <c r="BC6" s="418"/>
      <c r="BD6" s="320"/>
      <c r="BF6" s="391"/>
      <c r="BG6" s="391"/>
      <c r="BH6" s="866" t="s">
        <v>118</v>
      </c>
      <c r="BI6" s="391"/>
      <c r="BJ6" s="999" t="s">
        <v>1</v>
      </c>
      <c r="BK6" s="999"/>
      <c r="BL6" s="1000" t="s">
        <v>86</v>
      </c>
      <c r="BM6" s="1000"/>
      <c r="BP6" s="1001"/>
      <c r="BQ6" s="1001"/>
    </row>
    <row r="7" spans="1:121" ht="11.25" customHeight="1">
      <c r="A7" s="185" t="s">
        <v>2</v>
      </c>
      <c r="B7" s="794">
        <v>1960</v>
      </c>
      <c r="C7" s="259">
        <v>1961</v>
      </c>
      <c r="D7" s="259">
        <v>1962</v>
      </c>
      <c r="E7" s="260">
        <v>1963</v>
      </c>
      <c r="F7" s="260">
        <v>1964</v>
      </c>
      <c r="G7" s="260">
        <v>1965</v>
      </c>
      <c r="H7" s="260">
        <v>1966</v>
      </c>
      <c r="I7" s="260">
        <v>1967</v>
      </c>
      <c r="J7" s="260">
        <v>1968</v>
      </c>
      <c r="K7" s="260">
        <v>1969</v>
      </c>
      <c r="L7" s="907">
        <v>1970</v>
      </c>
      <c r="M7" s="260">
        <v>1971</v>
      </c>
      <c r="N7" s="260">
        <v>1972</v>
      </c>
      <c r="O7" s="260">
        <v>1973</v>
      </c>
      <c r="P7" s="260">
        <v>1974</v>
      </c>
      <c r="Q7" s="260">
        <v>1975</v>
      </c>
      <c r="R7" s="260">
        <v>1976</v>
      </c>
      <c r="S7" s="260">
        <v>1977</v>
      </c>
      <c r="T7" s="260">
        <v>1978</v>
      </c>
      <c r="U7" s="260">
        <v>1979</v>
      </c>
      <c r="V7" s="907">
        <v>1980</v>
      </c>
      <c r="W7" s="260">
        <v>1981</v>
      </c>
      <c r="X7" s="260">
        <v>1982</v>
      </c>
      <c r="Y7" s="260">
        <v>1983</v>
      </c>
      <c r="Z7" s="260">
        <v>1984</v>
      </c>
      <c r="AA7" s="260">
        <v>1985</v>
      </c>
      <c r="AB7" s="260">
        <v>1986</v>
      </c>
      <c r="AC7" s="260">
        <v>1987</v>
      </c>
      <c r="AD7" s="260">
        <v>1988</v>
      </c>
      <c r="AE7" s="260">
        <v>1989</v>
      </c>
      <c r="AF7" s="907">
        <v>1990</v>
      </c>
      <c r="AG7" s="260">
        <v>1991</v>
      </c>
      <c r="AH7" s="260">
        <v>1992</v>
      </c>
      <c r="AI7" s="260">
        <v>1993</v>
      </c>
      <c r="AJ7" s="260">
        <v>1994</v>
      </c>
      <c r="AK7" s="260">
        <v>1995</v>
      </c>
      <c r="AL7" s="260">
        <v>1996</v>
      </c>
      <c r="AM7" s="260">
        <v>1997</v>
      </c>
      <c r="AN7" s="260">
        <v>1998</v>
      </c>
      <c r="AO7" s="260">
        <v>1999</v>
      </c>
      <c r="AP7" s="907">
        <v>2000</v>
      </c>
      <c r="AQ7" s="260">
        <v>2001</v>
      </c>
      <c r="AR7" s="260">
        <v>2002</v>
      </c>
      <c r="AS7" s="260">
        <v>2003</v>
      </c>
      <c r="AT7" s="260">
        <v>2004</v>
      </c>
      <c r="AU7" s="260">
        <v>2005</v>
      </c>
      <c r="AV7" s="260">
        <v>2006</v>
      </c>
      <c r="AW7" s="260">
        <v>2007</v>
      </c>
      <c r="AX7" s="493">
        <v>2008</v>
      </c>
      <c r="AY7" s="345">
        <v>2009</v>
      </c>
      <c r="AZ7" s="532">
        <v>2010</v>
      </c>
      <c r="BA7" s="345">
        <v>2011</v>
      </c>
      <c r="BB7" s="345">
        <v>2012</v>
      </c>
      <c r="BC7" s="345">
        <v>2013</v>
      </c>
      <c r="BD7" s="345">
        <v>2014</v>
      </c>
      <c r="BE7" s="345">
        <v>2015</v>
      </c>
      <c r="BF7" s="532">
        <v>2016</v>
      </c>
      <c r="BG7" s="532">
        <v>2017</v>
      </c>
      <c r="BH7" s="532">
        <v>2018</v>
      </c>
      <c r="BI7" s="532">
        <v>2019</v>
      </c>
      <c r="BJ7" s="867" t="s">
        <v>164</v>
      </c>
      <c r="BK7" s="867" t="s">
        <v>165</v>
      </c>
      <c r="BL7" s="882" t="s">
        <v>164</v>
      </c>
      <c r="BM7" s="882" t="s">
        <v>165</v>
      </c>
      <c r="BN7" s="457"/>
      <c r="BO7" s="457"/>
      <c r="BP7" s="311"/>
      <c r="BQ7" s="311"/>
      <c r="BR7" s="457"/>
      <c r="BS7" s="457"/>
      <c r="BT7" s="457"/>
      <c r="BU7" s="457"/>
      <c r="BV7" s="457"/>
      <c r="BW7" s="457"/>
      <c r="BX7" s="457"/>
      <c r="BY7" s="457"/>
      <c r="BZ7" s="457"/>
      <c r="CA7" s="457"/>
      <c r="CB7" s="457"/>
      <c r="CC7" s="457"/>
      <c r="CD7" s="457"/>
      <c r="CE7" s="457"/>
      <c r="CF7" s="457"/>
      <c r="CG7" s="457"/>
      <c r="CH7" s="457"/>
      <c r="CI7" s="457"/>
      <c r="CJ7" s="457"/>
      <c r="CK7" s="457"/>
      <c r="CL7" s="457"/>
      <c r="CM7" s="457"/>
      <c r="CN7" s="457"/>
      <c r="CO7" s="457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</row>
    <row r="8" spans="1:121" ht="16" thickBot="1">
      <c r="A8" s="262"/>
      <c r="B8" s="795"/>
      <c r="C8" s="263"/>
      <c r="D8" s="263"/>
      <c r="E8" s="471"/>
      <c r="F8" s="471"/>
      <c r="G8" s="471"/>
      <c r="H8" s="471"/>
      <c r="I8" s="471"/>
      <c r="J8" s="471"/>
      <c r="K8" s="471"/>
      <c r="L8" s="908"/>
      <c r="M8" s="482"/>
      <c r="N8" s="482"/>
      <c r="O8" s="482"/>
      <c r="P8" s="482"/>
      <c r="Q8" s="482"/>
      <c r="R8" s="482"/>
      <c r="S8" s="482"/>
      <c r="T8" s="482"/>
      <c r="U8" s="482"/>
      <c r="V8" s="908"/>
      <c r="W8" s="482"/>
      <c r="X8" s="482"/>
      <c r="Y8" s="482"/>
      <c r="Z8" s="482"/>
      <c r="AA8" s="482"/>
      <c r="AB8" s="482"/>
      <c r="AC8" s="482"/>
      <c r="AD8" s="482"/>
      <c r="AE8" s="482"/>
      <c r="AF8" s="908"/>
      <c r="AG8" s="482"/>
      <c r="AH8" s="482"/>
      <c r="AI8" s="482"/>
      <c r="AJ8" s="482"/>
      <c r="AK8" s="471"/>
      <c r="AL8" s="471"/>
      <c r="AM8" s="482"/>
      <c r="AN8" s="482"/>
      <c r="AO8" s="482"/>
      <c r="AP8" s="927"/>
      <c r="AQ8" s="471"/>
      <c r="AR8" s="471"/>
      <c r="AS8" s="471"/>
      <c r="AT8" s="471"/>
      <c r="AU8" s="471"/>
      <c r="AV8" s="471"/>
      <c r="AW8" s="471"/>
      <c r="AX8" s="471"/>
      <c r="AY8" s="346"/>
      <c r="AZ8" s="633"/>
      <c r="BA8" s="346"/>
      <c r="BB8" s="346"/>
      <c r="BC8" s="346"/>
      <c r="BD8" s="346"/>
      <c r="BE8" s="346"/>
      <c r="BF8" s="633"/>
      <c r="BG8" s="633"/>
      <c r="BH8" s="633"/>
      <c r="BI8" s="633"/>
      <c r="BJ8" s="868"/>
      <c r="BK8" s="868"/>
      <c r="BL8" s="563"/>
      <c r="BM8" s="563"/>
      <c r="BN8" s="457"/>
      <c r="BO8" s="457"/>
      <c r="BP8" s="457"/>
      <c r="BQ8" s="457"/>
      <c r="BR8" s="457"/>
      <c r="BS8" s="457"/>
      <c r="BT8" s="457"/>
      <c r="BU8" s="457"/>
      <c r="BV8" s="457"/>
      <c r="BW8" s="457"/>
      <c r="BX8" s="457"/>
      <c r="BY8" s="457"/>
      <c r="BZ8" s="457"/>
      <c r="CA8" s="457"/>
      <c r="CB8" s="457"/>
      <c r="CC8" s="457"/>
      <c r="CD8" s="457"/>
      <c r="CE8" s="457"/>
      <c r="CF8" s="457"/>
      <c r="CG8" s="457"/>
      <c r="CH8" s="457"/>
      <c r="CI8" s="457"/>
      <c r="CJ8" s="457"/>
      <c r="CK8" s="457"/>
      <c r="CL8" s="457"/>
      <c r="CM8" s="457"/>
      <c r="CN8" s="457"/>
      <c r="CO8" s="457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</row>
    <row r="9" spans="1:121">
      <c r="A9" s="121" t="s">
        <v>8</v>
      </c>
      <c r="L9" s="217"/>
      <c r="M9" s="152"/>
      <c r="N9" s="152"/>
      <c r="O9" s="152"/>
      <c r="P9" s="152"/>
      <c r="Q9" s="152"/>
      <c r="R9" s="152"/>
      <c r="S9" s="152"/>
      <c r="T9" s="152"/>
      <c r="U9" s="152"/>
      <c r="V9" s="217"/>
      <c r="W9" s="152"/>
      <c r="X9" s="152"/>
      <c r="Y9" s="152"/>
      <c r="Z9" s="152"/>
      <c r="AA9" s="152"/>
      <c r="AB9" s="152"/>
      <c r="AC9" s="152"/>
      <c r="AD9" s="152"/>
      <c r="AE9" s="152"/>
      <c r="AF9" s="217"/>
      <c r="AG9" s="152"/>
      <c r="AH9" s="152"/>
      <c r="AI9" s="152"/>
      <c r="AJ9" s="152"/>
      <c r="AM9" s="152"/>
      <c r="AN9" s="152"/>
      <c r="AO9" s="152"/>
      <c r="AP9" s="926"/>
      <c r="AQ9" s="215"/>
      <c r="AR9" s="215"/>
      <c r="AS9" s="215"/>
      <c r="AT9" s="215"/>
      <c r="AU9" s="215"/>
      <c r="AV9" s="215"/>
      <c r="BJ9" s="869"/>
      <c r="BK9" s="869"/>
      <c r="BN9" s="457"/>
      <c r="BO9" s="457"/>
      <c r="BP9" s="457"/>
      <c r="BQ9" s="457"/>
      <c r="BR9" s="457"/>
      <c r="BS9" s="457"/>
      <c r="BT9" s="457"/>
      <c r="BU9" s="457"/>
      <c r="BV9" s="457"/>
      <c r="BW9" s="457"/>
      <c r="BX9" s="457"/>
      <c r="BY9" s="457"/>
      <c r="BZ9" s="457"/>
      <c r="CA9" s="457"/>
      <c r="CB9" s="457"/>
      <c r="CC9" s="457"/>
      <c r="CD9" s="457"/>
      <c r="CE9" s="457"/>
      <c r="CF9" s="457"/>
      <c r="CG9" s="457"/>
      <c r="CH9" s="457"/>
      <c r="CI9" s="457"/>
      <c r="CJ9" s="457"/>
      <c r="CK9" s="457"/>
      <c r="CL9" s="457"/>
      <c r="CM9" s="457"/>
      <c r="CN9" s="457"/>
      <c r="CO9" s="457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</row>
    <row r="10" spans="1:121" ht="11.25" customHeight="1">
      <c r="A10" s="156"/>
      <c r="L10" s="909"/>
      <c r="M10" s="483"/>
      <c r="N10" s="483"/>
      <c r="O10" s="483"/>
      <c r="P10" s="483"/>
      <c r="Q10" s="483"/>
      <c r="R10" s="483"/>
      <c r="S10" s="483"/>
      <c r="T10" s="483"/>
      <c r="U10" s="483"/>
      <c r="V10" s="909"/>
      <c r="W10" s="483"/>
      <c r="X10" s="483"/>
      <c r="Y10" s="152"/>
      <c r="Z10" s="152"/>
      <c r="AA10" s="152"/>
      <c r="AB10" s="152"/>
      <c r="AC10" s="152"/>
      <c r="AD10" s="152"/>
      <c r="AE10" s="152"/>
      <c r="AF10" s="217"/>
      <c r="AG10" s="152"/>
      <c r="AH10" s="152"/>
      <c r="AI10" s="152"/>
      <c r="AJ10" s="152"/>
      <c r="AM10" s="152"/>
      <c r="AN10" s="152"/>
      <c r="AO10" s="172"/>
      <c r="AP10" s="926"/>
      <c r="AQ10" s="215"/>
      <c r="AR10" s="215"/>
      <c r="AS10" s="215"/>
      <c r="AT10" s="215"/>
      <c r="AU10" s="215"/>
      <c r="AV10" s="215"/>
      <c r="BJ10" s="869"/>
      <c r="BK10" s="869"/>
    </row>
    <row r="11" spans="1:121">
      <c r="A11" s="120" t="s">
        <v>9</v>
      </c>
      <c r="M11" s="152"/>
      <c r="N11" s="152"/>
      <c r="O11" s="152"/>
      <c r="P11" s="152"/>
      <c r="Q11" s="152"/>
      <c r="R11" s="152"/>
      <c r="S11" s="152"/>
      <c r="T11" s="152"/>
      <c r="U11" s="152"/>
      <c r="V11" s="217"/>
      <c r="W11" s="152"/>
      <c r="X11" s="152"/>
      <c r="Y11" s="152"/>
      <c r="Z11" s="152"/>
      <c r="AA11" s="152"/>
      <c r="AB11" s="152"/>
      <c r="AC11" s="152"/>
      <c r="AD11" s="152"/>
      <c r="AE11" s="152"/>
      <c r="AF11" s="217"/>
      <c r="AG11" s="152"/>
      <c r="AH11" s="152"/>
      <c r="AI11" s="152"/>
      <c r="AJ11" s="152"/>
      <c r="AL11" s="152"/>
      <c r="AM11" s="152"/>
      <c r="AN11" s="152"/>
      <c r="AO11" s="152"/>
      <c r="BJ11" s="869"/>
      <c r="BK11" s="869"/>
    </row>
    <row r="12" spans="1:121" ht="6" customHeight="1">
      <c r="A12" s="115"/>
      <c r="L12" s="217"/>
      <c r="M12" s="152"/>
      <c r="N12" s="152"/>
      <c r="AM12" s="152"/>
      <c r="AN12" s="152"/>
      <c r="AO12" s="152"/>
      <c r="BJ12" s="870"/>
      <c r="BK12" s="870"/>
      <c r="BM12" s="559"/>
    </row>
    <row r="13" spans="1:121" ht="10.5" customHeight="1">
      <c r="A13" s="115" t="s">
        <v>21</v>
      </c>
      <c r="B13" s="810" t="s">
        <v>3</v>
      </c>
      <c r="C13" s="45" t="s">
        <v>3</v>
      </c>
      <c r="D13" s="45" t="s">
        <v>3</v>
      </c>
      <c r="E13" s="220" t="s">
        <v>3</v>
      </c>
      <c r="F13" s="220" t="s">
        <v>3</v>
      </c>
      <c r="G13" s="220" t="s">
        <v>3</v>
      </c>
      <c r="H13" s="220" t="s">
        <v>3</v>
      </c>
      <c r="I13" s="220" t="s">
        <v>3</v>
      </c>
      <c r="J13" s="220" t="s">
        <v>3</v>
      </c>
      <c r="K13" s="220" t="s">
        <v>3</v>
      </c>
      <c r="L13" s="858" t="s">
        <v>3</v>
      </c>
      <c r="M13" s="220" t="s">
        <v>3</v>
      </c>
      <c r="N13" s="220" t="s">
        <v>3</v>
      </c>
      <c r="O13" s="47">
        <f>SUM('MasterA1(current$)'!O7)/0.26337</f>
        <v>0</v>
      </c>
      <c r="P13" s="47">
        <f>SUM('MasterA1(current$)'!P7)/0.28703</f>
        <v>66.195171236456119</v>
      </c>
      <c r="Q13" s="47">
        <f>SUM('MasterA1(current$)'!Q7)/0.31361</f>
        <v>108.41491023883167</v>
      </c>
      <c r="R13" s="47">
        <f>SUM('MasterA1(current$)'!R7)/0.33083</f>
        <v>114.86261826315629</v>
      </c>
      <c r="S13" s="47">
        <f>SUM('MasterA1(current$)'!S7)/0.35135</f>
        <v>113.84659171766046</v>
      </c>
      <c r="T13" s="47">
        <f>SUM('MasterA1(current$)'!T7)/0.37602</f>
        <v>106.37732035530024</v>
      </c>
      <c r="U13" s="47">
        <f>SUM('MasterA1(current$)'!U7)/0.40706</f>
        <v>95.808971650370964</v>
      </c>
      <c r="V13" s="281">
        <f>SUM('MasterA1(current$)'!V7)/0.44377</f>
        <v>99.150460824300879</v>
      </c>
      <c r="W13" s="47">
        <f>SUM('MasterA1(current$)'!W7)/0.4852</f>
        <v>84.501236603462488</v>
      </c>
      <c r="X13" s="47">
        <f>SUM('MasterA1(current$)'!X7)/0.5153</f>
        <v>65.980981952260819</v>
      </c>
      <c r="Y13" s="47">
        <f>SUM('MasterA1(current$)'!Y7)/0.53565</f>
        <v>61.60739288714646</v>
      </c>
      <c r="Z13" s="47">
        <f>SUM('MasterA1(current$)'!Z7)/0.55466</f>
        <v>61.298813687664513</v>
      </c>
      <c r="AA13" s="47">
        <f>SUM('MasterA1(current$)'!AA7)/0.5724</f>
        <v>61.146051712089445</v>
      </c>
      <c r="AB13" s="47">
        <f>SUM('MasterA1(current$)'!AB7)/0.58395</f>
        <v>59.936638410822844</v>
      </c>
      <c r="AC13" s="47">
        <f>SUM('MasterA1(current$)'!AC7)/0.59885</f>
        <v>55.105619103281292</v>
      </c>
      <c r="AD13" s="47">
        <f>SUM('MasterA1(current$)'!AD7)/0.61982</f>
        <v>54.854635216675803</v>
      </c>
      <c r="AE13" s="47">
        <f>SUM('MasterA1(current$)'!AE7)/0.64392</f>
        <v>52.801590259659584</v>
      </c>
      <c r="AF13" s="281">
        <f>SUM('MasterA1(current$)'!AF7)/0.66773</f>
        <v>52.416395848621448</v>
      </c>
      <c r="AG13" s="47">
        <f>SUM('MasterA1(current$)'!AG7)/0.68996</f>
        <v>53.626297176647917</v>
      </c>
      <c r="AH13" s="47">
        <f>SUM('MasterA1(current$)'!AH7)/0.70569</f>
        <v>58.099165355892808</v>
      </c>
      <c r="AI13" s="47">
        <f>SUM('MasterA1(current$)'!AI7)/0.72248</f>
        <v>59.517218469715424</v>
      </c>
      <c r="AJ13" s="47">
        <f>SUM('MasterA1(current$)'!AJ7)/0.73785</f>
        <v>62.343294707596392</v>
      </c>
      <c r="AK13" s="47">
        <f>SUM('MasterA1(current$)'!AK7)/0.75324</f>
        <v>57.086718708512556</v>
      </c>
      <c r="AL13" s="47">
        <f>SUM('MasterA1(current$)'!AL7)/0.76699</f>
        <v>56.063312429105991</v>
      </c>
      <c r="AM13" s="47">
        <f>SUM('MasterA1(current$)'!AM7)/0.78012</f>
        <v>55.119725170486589</v>
      </c>
      <c r="AN13" s="47">
        <f>SUM('MasterA1(current$)'!AN7)/0.78859</f>
        <v>57.063873495732892</v>
      </c>
      <c r="AO13" s="47">
        <f>SUM('MasterA1(current$)'!AO7)/0.80065</f>
        <v>61.200274776743896</v>
      </c>
      <c r="AP13" s="714">
        <f>SUM('MasterA1(current$)'!AP7)/0.81887</f>
        <v>62.28094813584574</v>
      </c>
      <c r="AQ13" s="89">
        <f>SUM('MasterA1(current$)'!AQ7)/0.83754</f>
        <v>69.250423860352939</v>
      </c>
      <c r="AR13" s="89">
        <f>SUM('MasterA1(current$)'!AR7)/0.85039</f>
        <v>65.852138430602437</v>
      </c>
      <c r="AS13" s="89">
        <f>SUM('MasterA1(current$)'!AS7)/0.86735</f>
        <v>71.482100651409468</v>
      </c>
      <c r="AT13" s="89">
        <f>SUM('MasterA1(current$)'!AT7)/0.8912</f>
        <v>70.69120287253142</v>
      </c>
      <c r="AU13" s="89">
        <f>SUM('MasterA1(current$)'!AU7)/0.91988</f>
        <v>70.661390616167324</v>
      </c>
      <c r="AV13" s="89">
        <f>SUM('MasterA1(current$)'!AV7)/0.94814</f>
        <v>67.500580083110094</v>
      </c>
      <c r="AW13" s="89">
        <f>SUM('MasterA1(current$)'!AW7)/0.97337</f>
        <v>63.696230621449196</v>
      </c>
      <c r="AX13" s="678">
        <f>SUM('MasterA1(current$)'!AX7*100)/99.246</f>
        <v>70.531809846240662</v>
      </c>
      <c r="AY13" s="404">
        <f>SUM('MasterA1(current$)'!AY7)</f>
        <v>95</v>
      </c>
      <c r="AZ13" s="634">
        <f>SUM('MasterA1(current$)'!AZ7*100)/101.221</f>
        <v>103.73341500281562</v>
      </c>
      <c r="BA13" s="404">
        <f>SUM('MasterA1(current$)'!BA7*100)/103.311</f>
        <v>136.4811104335453</v>
      </c>
      <c r="BB13" s="404">
        <f>SUM('MasterA1(current$)'!BB7*100)/105.214</f>
        <v>114.05326287376205</v>
      </c>
      <c r="BC13" s="404">
        <f>SUM('MasterA1(current$)'!BC7*100)/106.913</f>
        <v>105.69341427141696</v>
      </c>
      <c r="BD13" s="404">
        <f>SUM('MasterA1(current$)'!BD7*100)/108.832</f>
        <v>101.07321376065863</v>
      </c>
      <c r="BE13" s="404">
        <f>SUM('MasterA1(current$)'!BE7*100)/110.012</f>
        <v>111.805984801658</v>
      </c>
      <c r="BF13" s="536">
        <f>SUM('MasterA1(current$)'!BF7*100)/111.416</f>
        <v>111.2946075967545</v>
      </c>
      <c r="BG13" s="536">
        <f>SUM('MasterA1(current$)'!BG7*100)/113.116</f>
        <v>114.04222214364016</v>
      </c>
      <c r="BH13" s="536">
        <f>SUM('MasterA1(current$)'!BH7*100)/114.716</f>
        <v>111.57990167021165</v>
      </c>
      <c r="BI13" s="536">
        <f>SUM('MasterA1(current$)'!BI7*100)/116.416</f>
        <v>109.0915338097856</v>
      </c>
      <c r="BJ13" s="410">
        <f>(BH13-BG13)/BG13</f>
        <v>-2.1591305633514635E-2</v>
      </c>
      <c r="BK13" s="410">
        <f>(BI13-BH13)/BH13</f>
        <v>-2.230121933411211E-2</v>
      </c>
      <c r="BL13" s="564">
        <f>BH13-BG13</f>
        <v>-2.4623204734285054</v>
      </c>
      <c r="BM13" s="564">
        <f>BI13-BH13</f>
        <v>-2.4883678604260524</v>
      </c>
      <c r="BN13" s="112"/>
      <c r="BO13" s="112"/>
      <c r="BP13" s="620"/>
      <c r="BQ13" s="620"/>
    </row>
    <row r="14" spans="1:121" ht="6" customHeight="1">
      <c r="A14" s="115"/>
      <c r="B14" s="892"/>
      <c r="C14" s="34"/>
      <c r="D14" s="34"/>
      <c r="E14" s="472"/>
      <c r="F14" s="472"/>
      <c r="G14" s="472"/>
      <c r="H14" s="472"/>
      <c r="I14" s="472"/>
      <c r="J14" s="472"/>
      <c r="K14" s="472"/>
      <c r="L14" s="281"/>
      <c r="M14" s="47"/>
      <c r="N14" s="47"/>
      <c r="O14" s="47"/>
      <c r="P14" s="47"/>
      <c r="Q14" s="47"/>
      <c r="R14" s="47"/>
      <c r="S14" s="47"/>
      <c r="T14" s="47"/>
      <c r="U14" s="47"/>
      <c r="V14" s="281"/>
      <c r="W14" s="47"/>
      <c r="X14" s="47"/>
      <c r="Y14" s="47"/>
      <c r="Z14" s="47"/>
      <c r="AA14" s="47"/>
      <c r="AB14" s="47"/>
      <c r="AC14" s="47"/>
      <c r="AD14" s="47"/>
      <c r="AE14" s="47"/>
      <c r="AF14" s="281"/>
      <c r="AG14" s="47"/>
      <c r="AH14" s="47"/>
      <c r="AI14" s="47"/>
      <c r="AJ14" s="47"/>
      <c r="AK14" s="472"/>
      <c r="AL14" s="47"/>
      <c r="AM14" s="152"/>
      <c r="AN14" s="152"/>
      <c r="AO14" s="152"/>
      <c r="AP14" s="271"/>
      <c r="AQ14" s="172"/>
      <c r="AR14" s="172"/>
      <c r="AS14" s="172"/>
      <c r="AT14" s="172"/>
      <c r="AU14" s="172"/>
      <c r="AV14" s="89"/>
      <c r="AW14" s="89"/>
      <c r="AX14" s="89"/>
      <c r="AY14" s="404"/>
      <c r="AZ14" s="634"/>
      <c r="BA14" s="404"/>
      <c r="BB14" s="404"/>
      <c r="BC14" s="404"/>
      <c r="BD14" s="404"/>
      <c r="BE14" s="404"/>
      <c r="BF14" s="634"/>
      <c r="BG14" s="634"/>
      <c r="BH14" s="634"/>
      <c r="BI14" s="634"/>
      <c r="BJ14" s="871"/>
      <c r="BK14" s="871"/>
      <c r="BL14" s="565"/>
      <c r="BM14" s="565"/>
      <c r="BP14" s="152"/>
      <c r="BQ14" s="152"/>
    </row>
    <row r="15" spans="1:121" ht="11.25" customHeight="1">
      <c r="A15" s="116" t="s">
        <v>29</v>
      </c>
      <c r="B15" s="892"/>
      <c r="C15" s="34"/>
      <c r="D15" s="34"/>
      <c r="E15" s="472"/>
      <c r="F15" s="472"/>
      <c r="G15" s="472"/>
      <c r="H15" s="472"/>
      <c r="I15" s="472"/>
      <c r="J15" s="472"/>
      <c r="K15" s="472"/>
      <c r="L15" s="281"/>
      <c r="M15" s="47"/>
      <c r="N15" s="47"/>
      <c r="O15" s="47"/>
      <c r="P15" s="47"/>
      <c r="Q15" s="47"/>
      <c r="R15" s="47"/>
      <c r="S15" s="47"/>
      <c r="T15" s="47"/>
      <c r="U15" s="47"/>
      <c r="V15" s="281"/>
      <c r="W15" s="47"/>
      <c r="X15" s="47"/>
      <c r="Y15" s="47"/>
      <c r="Z15" s="47"/>
      <c r="AA15" s="47"/>
      <c r="AB15" s="47"/>
      <c r="AC15" s="47"/>
      <c r="AD15" s="47"/>
      <c r="AE15" s="47"/>
      <c r="AF15" s="281"/>
      <c r="AG15" s="47"/>
      <c r="AH15" s="47"/>
      <c r="AI15" s="47"/>
      <c r="AJ15" s="47"/>
      <c r="AK15" s="472"/>
      <c r="AL15" s="472"/>
      <c r="AM15" s="152"/>
      <c r="AN15" s="152"/>
      <c r="AO15" s="152"/>
      <c r="AP15" s="271"/>
      <c r="AQ15" s="172"/>
      <c r="AR15" s="172"/>
      <c r="AS15" s="172"/>
      <c r="AT15" s="172"/>
      <c r="AU15" s="172"/>
      <c r="AV15" s="89"/>
      <c r="AW15" s="89"/>
      <c r="AX15" s="89"/>
      <c r="AY15" s="404"/>
      <c r="AZ15" s="634"/>
      <c r="BA15" s="404"/>
      <c r="BB15" s="404"/>
      <c r="BC15" s="404"/>
      <c r="BD15" s="404"/>
      <c r="BE15" s="404"/>
      <c r="BF15" s="634"/>
      <c r="BG15" s="634"/>
      <c r="BH15" s="634"/>
      <c r="BI15" s="634"/>
      <c r="BJ15" s="871"/>
      <c r="BK15" s="871"/>
      <c r="BL15" s="565"/>
      <c r="BM15" s="565"/>
      <c r="BP15" s="620"/>
      <c r="BQ15" s="620"/>
    </row>
    <row r="16" spans="1:121" ht="11.25" customHeight="1">
      <c r="A16" s="115" t="s">
        <v>30</v>
      </c>
      <c r="B16" s="636"/>
      <c r="C16" s="33"/>
      <c r="D16" s="33"/>
      <c r="E16" s="47"/>
      <c r="F16" s="47"/>
      <c r="G16" s="47"/>
      <c r="H16" s="47"/>
      <c r="I16" s="47"/>
      <c r="J16" s="47"/>
      <c r="K16" s="47"/>
      <c r="L16" s="281"/>
      <c r="M16" s="47"/>
      <c r="N16" s="47"/>
      <c r="O16" s="47"/>
      <c r="P16" s="47"/>
      <c r="Q16" s="47"/>
      <c r="R16" s="47"/>
      <c r="S16" s="47"/>
      <c r="T16" s="47"/>
      <c r="U16" s="47"/>
      <c r="V16" s="281"/>
      <c r="W16" s="47"/>
      <c r="X16" s="47"/>
      <c r="Y16" s="47"/>
      <c r="Z16" s="47"/>
      <c r="AA16" s="47"/>
      <c r="AB16" s="47"/>
      <c r="AC16" s="47"/>
      <c r="AD16" s="47"/>
      <c r="AE16" s="47"/>
      <c r="AF16" s="281"/>
      <c r="AG16" s="47"/>
      <c r="AH16" s="47"/>
      <c r="AI16" s="47"/>
      <c r="AJ16" s="47"/>
      <c r="AK16" s="47"/>
      <c r="AL16" s="47"/>
      <c r="AM16" s="152"/>
      <c r="AN16" s="152"/>
      <c r="AO16" s="331"/>
      <c r="AP16" s="217"/>
      <c r="AQ16" s="152"/>
      <c r="AR16" s="152"/>
      <c r="AS16" s="152"/>
      <c r="AT16" s="152"/>
      <c r="AU16" s="152"/>
      <c r="AV16" s="89"/>
      <c r="AW16" s="89"/>
      <c r="AX16" s="89"/>
      <c r="AY16" s="404"/>
      <c r="AZ16" s="634"/>
      <c r="BA16" s="404"/>
      <c r="BB16" s="404"/>
      <c r="BC16" s="404"/>
      <c r="BD16" s="404"/>
      <c r="BE16" s="404"/>
      <c r="BF16" s="634"/>
      <c r="BG16" s="634"/>
      <c r="BH16" s="634"/>
      <c r="BI16" s="634"/>
      <c r="BJ16" s="410"/>
      <c r="BK16" s="410"/>
      <c r="BL16" s="566"/>
      <c r="BM16" s="566"/>
      <c r="BP16" s="620"/>
      <c r="BQ16" s="620"/>
    </row>
    <row r="17" spans="1:93" ht="11.25" customHeight="1">
      <c r="A17" s="115" t="s">
        <v>64</v>
      </c>
      <c r="B17" s="667">
        <f>SUM('MasterA1(current$)'!B11)/0.1756</f>
        <v>335.9908883826879</v>
      </c>
      <c r="C17" s="49">
        <f>SUM('MasterA1(current$)'!C11)/0.178</f>
        <v>376.40449438202251</v>
      </c>
      <c r="D17" s="49">
        <f>SUM('MasterA1(current$)'!D11)/0.1798</f>
        <v>394.8832035595106</v>
      </c>
      <c r="E17" s="30">
        <f>SUM('MasterA1(current$)'!E11)/0.182</f>
        <v>417.58241758241758</v>
      </c>
      <c r="F17" s="30">
        <f>SUM('MasterA1(current$)'!F11)/0.1842</f>
        <v>466.88382193268188</v>
      </c>
      <c r="G17" s="30">
        <f>SUM('MasterA1(current$)'!G11)/0.18702</f>
        <v>374.29151962356968</v>
      </c>
      <c r="H17" s="30">
        <f>SUM('MasterA1(current$)'!H11)/0.19227</f>
        <v>421.2825713839913</v>
      </c>
      <c r="I17" s="30">
        <f>SUM('MasterA1(current$)'!I11)/0.19786</f>
        <v>439.70484180733848</v>
      </c>
      <c r="J17" s="30">
        <f>SUM('MasterA1(current$)'!J11)/0.20627</f>
        <v>416.92926746497307</v>
      </c>
      <c r="K17" s="30">
        <f>SUM('MasterA1(current$)'!K11)/0.21642</f>
        <v>425.09934386840405</v>
      </c>
      <c r="L17" s="270">
        <f>SUM('MasterA1(current$)'!L11)/0.22784</f>
        <v>421.34831460674161</v>
      </c>
      <c r="M17" s="30">
        <f>SUM('MasterA1(current$)'!M11)/0.23941</f>
        <v>438.57817133787222</v>
      </c>
      <c r="N17" s="30">
        <f>SUM('MasterA1(current$)'!N11)/0.24978</f>
        <v>444.39106413644004</v>
      </c>
      <c r="O17" s="30">
        <f>SUM('MasterA1(current$)'!O11)/0.26337</f>
        <v>1271.9747883206137</v>
      </c>
      <c r="P17" s="30">
        <f>SUM('MasterA1(current$)'!P11)/0.28703</f>
        <v>1198.4809950179424</v>
      </c>
      <c r="Q17" s="30">
        <f>SUM('MasterA1(current$)'!Q11)/0.31361</f>
        <v>1186.1866649660406</v>
      </c>
      <c r="R17" s="30">
        <f>SUM('MasterA1(current$)'!R11)/0.33083</f>
        <v>1230.2390956080162</v>
      </c>
      <c r="S17" s="30">
        <f>SUM('MasterA1(current$)'!S11)/0.35135</f>
        <v>1033.1578198377686</v>
      </c>
      <c r="T17" s="30">
        <f>SUM('MasterA1(current$)'!T11)/0.37602</f>
        <v>555.82149885644378</v>
      </c>
      <c r="U17" s="30">
        <f>SUM('MasterA1(current$)'!U11)/0.40706</f>
        <v>577.3104702009532</v>
      </c>
      <c r="V17" s="270">
        <f>SUM('MasterA1(current$)'!V11)/0.44377</f>
        <v>579.12882799648469</v>
      </c>
      <c r="W17" s="30">
        <f>SUM('MasterA1(current$)'!W11)/0.4852</f>
        <v>595.6306677658697</v>
      </c>
      <c r="X17" s="30">
        <f>SUM('MasterA1(current$)'!X11)/0.5153</f>
        <v>628.75994566272072</v>
      </c>
      <c r="Y17" s="30">
        <f>SUM('MasterA1(current$)'!Y11)/0.53565</f>
        <v>470.45645477457299</v>
      </c>
      <c r="Z17" s="30">
        <f>SUM('MasterA1(current$)'!Z11)/0.55466</f>
        <v>670.681137994447</v>
      </c>
      <c r="AA17" s="30">
        <f>SUM('MasterA1(current$)'!AA11)/0.5724</f>
        <v>597.48427672955972</v>
      </c>
      <c r="AB17" s="30">
        <f>SUM('MasterA1(current$)'!AB11)/0.58395</f>
        <v>527.44241801524106</v>
      </c>
      <c r="AC17" s="30">
        <f>SUM('MasterA1(current$)'!AC11)/0.59885</f>
        <v>579.44393420723054</v>
      </c>
      <c r="AD17" s="30">
        <f>SUM('MasterA1(current$)'!AD11)/0.61982</f>
        <v>592.10738601529476</v>
      </c>
      <c r="AE17" s="30">
        <f>SUM('MasterA1(current$)'!AE11)/0.64392</f>
        <v>607.21828798608522</v>
      </c>
      <c r="AF17" s="270">
        <f>SUM('MasterA1(current$)'!AF11)/0.66773</f>
        <v>608.03019184400875</v>
      </c>
      <c r="AG17" s="30">
        <f>SUM('MasterA1(current$)'!AG11)/0.68996</f>
        <v>624.67389413879062</v>
      </c>
      <c r="AH17" s="30">
        <f>SUM('MasterA1(current$)'!AH11)/0.70569</f>
        <v>675.93419206733836</v>
      </c>
      <c r="AI17" s="30">
        <f>SUM('MasterA1(current$)'!AI11)/0.72248</f>
        <v>711.43837891706346</v>
      </c>
      <c r="AJ17" s="30">
        <f>SUM('MasterA1(current$)'!AJ11)/0.73785</f>
        <v>711.52673307582836</v>
      </c>
      <c r="AK17" s="30">
        <f>SUM('MasterA1(current$)'!AK11)/0.75324</f>
        <v>711.59258669215649</v>
      </c>
      <c r="AL17" s="30">
        <f>SUM('MasterA1(current$)'!AL11)/0.76699</f>
        <v>687.10152674741528</v>
      </c>
      <c r="AM17" s="30">
        <f>SUM('MasterA1(current$)'!AM11)/0.78012</f>
        <v>719.12013536379015</v>
      </c>
      <c r="AN17" s="30">
        <f>SUM('MasterA1(current$)'!AN11)/0.78859</f>
        <v>735.48992505611284</v>
      </c>
      <c r="AO17" s="30">
        <f>SUM('MasterA1(current$)'!AO11)/0.80065</f>
        <v>839.31805408105913</v>
      </c>
      <c r="AP17" s="857">
        <f>SUM('MasterA1(current$)'!AP11)/0.81887</f>
        <v>897.57837019307101</v>
      </c>
      <c r="AQ17" s="328">
        <f>SUM('MasterA1(current$)'!AQ11)/0.83754</f>
        <v>1153.37774912243</v>
      </c>
      <c r="AR17" s="328">
        <f>SUM('MasterA1(current$)'!AR11)/0.85039</f>
        <v>983.07835228542206</v>
      </c>
      <c r="AS17" s="328">
        <f>SUM('MasterA1(current$)'!AS11)/0.86735</f>
        <v>1360.4657865913416</v>
      </c>
      <c r="AT17" s="328">
        <f>SUM('MasterA1(current$)'!AT11)/0.8912</f>
        <v>1234.2908438061042</v>
      </c>
      <c r="AU17" s="328">
        <f>SUM('MasterA1(current$)'!AU11)/0.91988</f>
        <v>1316.4760620950558</v>
      </c>
      <c r="AV17" s="328">
        <f>SUM('MasterA1(current$)'!AV11)/0.94814</f>
        <v>1711.7725230451199</v>
      </c>
      <c r="AW17" s="328">
        <f>SUM('MasterA1(current$)'!AW11)/0.97337</f>
        <v>1354.0585799850007</v>
      </c>
      <c r="AX17" s="328">
        <f>SUM('MasterA1(current$)'!AX11*100)/99.246</f>
        <v>1303.8308848719344</v>
      </c>
      <c r="AY17" s="405">
        <f>SUM('MasterA1(current$)'!AY11)</f>
        <v>1288</v>
      </c>
      <c r="AZ17" s="536">
        <f>SUM('MasterA1(current$)'!AZ11*100)/101.221</f>
        <v>1323.8359628930755</v>
      </c>
      <c r="BA17" s="405">
        <f>SUM('MasterA1(current$)'!BA11*100)/103.311</f>
        <v>1291.2468178606343</v>
      </c>
      <c r="BB17" s="405">
        <f>SUM('MasterA1(current$)'!BB11*100)/105.214</f>
        <v>1207.0636987473149</v>
      </c>
      <c r="BC17" s="405">
        <f>SUM('MasterA1(current$)'!BC11*100)/106.913</f>
        <v>1146.7267778474086</v>
      </c>
      <c r="BD17" s="405">
        <f>SUM('MasterA1(current$)'!BD11*100)/108.832</f>
        <v>1118.2372831520142</v>
      </c>
      <c r="BE17" s="405">
        <f>SUM('MasterA1(current$)'!BE11*100)/110.012</f>
        <v>1718.9033923571974</v>
      </c>
      <c r="BF17" s="536">
        <f>SUM('MasterA1(current$)'!BF11*100)/111.416</f>
        <v>1486.3215337114957</v>
      </c>
      <c r="BG17" s="536">
        <f>SUM('MasterA1(current$)'!BG11*100)/113.116</f>
        <v>1280.101842356519</v>
      </c>
      <c r="BH17" s="536">
        <f>SUM('MasterA1(current$)'!BH11*100)/114.716</f>
        <v>1511.5589804386486</v>
      </c>
      <c r="BI17" s="536">
        <f>SUM('MasterA1(current$)'!BI11*100)/116.416</f>
        <v>1152.7625068719076</v>
      </c>
      <c r="BJ17" s="410">
        <f t="shared" ref="BJ17:BK21" si="0">(BH17-BG17)/BG17</f>
        <v>0.18081150297857856</v>
      </c>
      <c r="BK17" s="410">
        <f t="shared" si="0"/>
        <v>-0.23736849055180081</v>
      </c>
      <c r="BL17" s="564">
        <f t="shared" ref="BL17:BM21" si="1">BH17-BG17</f>
        <v>231.45713808212963</v>
      </c>
      <c r="BM17" s="564">
        <f t="shared" si="1"/>
        <v>-358.79647356674104</v>
      </c>
      <c r="BN17" s="112"/>
      <c r="BO17" s="112"/>
      <c r="BP17" s="620"/>
      <c r="BQ17" s="620"/>
    </row>
    <row r="18" spans="1:93" ht="11.25" customHeight="1">
      <c r="A18" s="115" t="s">
        <v>65</v>
      </c>
      <c r="B18" s="245" t="s">
        <v>3</v>
      </c>
      <c r="C18" s="50" t="s">
        <v>3</v>
      </c>
      <c r="D18" s="50" t="s">
        <v>3</v>
      </c>
      <c r="E18" s="331" t="s">
        <v>3</v>
      </c>
      <c r="F18" s="331" t="s">
        <v>3</v>
      </c>
      <c r="G18" s="331" t="s">
        <v>3</v>
      </c>
      <c r="H18" s="331" t="s">
        <v>3</v>
      </c>
      <c r="I18" s="331" t="s">
        <v>3</v>
      </c>
      <c r="J18" s="331" t="s">
        <v>3</v>
      </c>
      <c r="K18" s="331" t="s">
        <v>3</v>
      </c>
      <c r="L18" s="335" t="s">
        <v>3</v>
      </c>
      <c r="M18" s="331" t="s">
        <v>3</v>
      </c>
      <c r="N18" s="331" t="s">
        <v>3</v>
      </c>
      <c r="O18" s="331" t="s">
        <v>3</v>
      </c>
      <c r="P18" s="331" t="s">
        <v>3</v>
      </c>
      <c r="Q18" s="331" t="s">
        <v>3</v>
      </c>
      <c r="R18" s="331" t="s">
        <v>3</v>
      </c>
      <c r="S18" s="30">
        <f>SUM('MasterA1(current$)'!S12)/0.35135</f>
        <v>304.53963284474173</v>
      </c>
      <c r="T18" s="30">
        <f>SUM('MasterA1(current$)'!T12)/0.37602</f>
        <v>890.91005797563957</v>
      </c>
      <c r="U18" s="30">
        <f>SUM('MasterA1(current$)'!U12)/0.40706</f>
        <v>842.62762246351895</v>
      </c>
      <c r="V18" s="270">
        <f>SUM('MasterA1(current$)'!V12)/0.44377</f>
        <v>885.59388872614193</v>
      </c>
      <c r="W18" s="30">
        <f>SUM('MasterA1(current$)'!W12)/0.4852</f>
        <v>847.07337180544107</v>
      </c>
      <c r="X18" s="30">
        <f>SUM('MasterA1(current$)'!X12)/0.5153</f>
        <v>683.09722491752382</v>
      </c>
      <c r="Y18" s="30">
        <f>SUM('MasterA1(current$)'!Y12)/0.53565</f>
        <v>670.21375898441147</v>
      </c>
      <c r="Z18" s="30">
        <f>SUM('MasterA1(current$)'!Z12)/0.55466</f>
        <v>676.08985684924096</v>
      </c>
      <c r="AA18" s="30">
        <f>SUM('MasterA1(current$)'!AA12)/0.5724</f>
        <v>698.81201956673647</v>
      </c>
      <c r="AB18" s="30">
        <f>SUM('MasterA1(current$)'!AB12)/0.58395</f>
        <v>667.86539943488322</v>
      </c>
      <c r="AC18" s="30">
        <f>SUM('MasterA1(current$)'!AC12)/0.59885</f>
        <v>696.33464139600903</v>
      </c>
      <c r="AD18" s="30">
        <f>SUM('MasterA1(current$)'!AD12)/0.61982</f>
        <v>708.27014294472588</v>
      </c>
      <c r="AE18" s="30">
        <f>SUM('MasterA1(current$)'!AE12)/0.64392</f>
        <v>703.50354081252328</v>
      </c>
      <c r="AF18" s="270">
        <f>SUM('MasterA1(current$)'!AF12)/0.66773</f>
        <v>711.36537223129108</v>
      </c>
      <c r="AG18" s="30">
        <f>SUM('MasterA1(current$)'!AG12)/0.68996</f>
        <v>720.33161342686526</v>
      </c>
      <c r="AH18" s="30">
        <f>SUM('MasterA1(current$)'!AH12)/0.70569</f>
        <v>746.78683274525633</v>
      </c>
      <c r="AI18" s="30">
        <f>SUM('MasterA1(current$)'!AI12)/0.72248</f>
        <v>791.71741778319119</v>
      </c>
      <c r="AJ18" s="30">
        <f>SUM('MasterA1(current$)'!AJ12)/0.73785</f>
        <v>790.13349596801515</v>
      </c>
      <c r="AK18" s="30">
        <f>SUM('MasterA1(current$)'!AK12)/0.75324</f>
        <v>805.85205246667726</v>
      </c>
      <c r="AL18" s="30">
        <f>SUM('MasterA1(current$)'!AL12)/0.76699</f>
        <v>805.74714142296511</v>
      </c>
      <c r="AM18" s="30">
        <f>SUM('MasterA1(current$)'!AM12)/0.78012</f>
        <v>839.61441829462126</v>
      </c>
      <c r="AN18" s="30">
        <f>SUM('MasterA1(current$)'!AN12)/0.78859</f>
        <v>863.56661890209102</v>
      </c>
      <c r="AO18" s="30">
        <f>SUM('MasterA1(current$)'!AO12)/0.80065</f>
        <v>873.04065446824461</v>
      </c>
      <c r="AP18" s="857">
        <f>SUM('MasterA1(current$)'!AP12)/0.81887</f>
        <v>907.34793068496833</v>
      </c>
      <c r="AQ18" s="328">
        <f>SUM('MasterA1(current$)'!AQ12)/0.83754</f>
        <v>948.01442319172816</v>
      </c>
      <c r="AR18" s="328">
        <f>SUM('MasterA1(current$)'!AR12)/0.85039</f>
        <v>963.08752454756052</v>
      </c>
      <c r="AS18" s="328">
        <f>SUM('MasterA1(current$)'!AS12)/0.86735</f>
        <v>969.62010722315108</v>
      </c>
      <c r="AT18" s="328">
        <f>SUM('MasterA1(current$)'!AT12)/0.8912</f>
        <v>996.40933572710958</v>
      </c>
      <c r="AU18" s="328">
        <f>SUM('MasterA1(current$)'!AU12)/0.91988</f>
        <v>1003.391746749576</v>
      </c>
      <c r="AV18" s="321">
        <f>SUM('MasterA1(current$)'!AV12)/0.94814</f>
        <v>1020.9462737570401</v>
      </c>
      <c r="AW18" s="321">
        <f>SUM('MasterA1(current$)'!AW12)/0.97337</f>
        <v>987.29157463246247</v>
      </c>
      <c r="AX18" s="321">
        <f>SUM('MasterA1(current$)'!AX12*100)/99.246</f>
        <v>1079.1366906474821</v>
      </c>
      <c r="AY18" s="405">
        <f>SUM('MasterA1(current$)'!AY12)</f>
        <v>1111</v>
      </c>
      <c r="AZ18" s="536">
        <f>SUM('MasterA1(current$)'!AZ12*100)/101.221</f>
        <v>1154.8986870313472</v>
      </c>
      <c r="BA18" s="405">
        <f>SUM('MasterA1(current$)'!BA12*100)/103.311</f>
        <v>1159.6054631162219</v>
      </c>
      <c r="BB18" s="405">
        <f>SUM('MasterA1(current$)'!BB12*100)/105.214</f>
        <v>1106.316649875492</v>
      </c>
      <c r="BC18" s="405">
        <f>SUM('MasterA1(current$)'!BC12*100)/106.913</f>
        <v>1117.7312394189669</v>
      </c>
      <c r="BD18" s="405">
        <f>SUM('MasterA1(current$)'!BD12*100)/108.832</f>
        <v>1075.0514554542783</v>
      </c>
      <c r="BE18" s="405">
        <f>SUM('MasterA1(current$)'!BE12*100)/110.012</f>
        <v>1092.6080791186416</v>
      </c>
      <c r="BF18" s="536">
        <f>SUM('MasterA1(current$)'!BF12*100)/111.416</f>
        <v>1119.2288360738135</v>
      </c>
      <c r="BG18" s="536">
        <f>SUM('MasterA1(current$)'!BG12*100)/113.116</f>
        <v>1125.393401463984</v>
      </c>
      <c r="BH18" s="536">
        <f>SUM('MasterA1(current$)'!BH12*100)/114.716</f>
        <v>1079.1868614665784</v>
      </c>
      <c r="BI18" s="536">
        <f>SUM('MasterA1(current$)'!BI12*100)/116.416</f>
        <v>1066.0046728971963</v>
      </c>
      <c r="BJ18" s="410">
        <f t="shared" si="0"/>
        <v>-4.1058122375070921E-2</v>
      </c>
      <c r="BK18" s="410">
        <f t="shared" si="0"/>
        <v>-1.2214926849153776E-2</v>
      </c>
      <c r="BL18" s="564">
        <f t="shared" si="1"/>
        <v>-46.206539997405571</v>
      </c>
      <c r="BM18" s="564">
        <f t="shared" si="1"/>
        <v>-13.182188569382106</v>
      </c>
      <c r="BN18" s="112"/>
      <c r="BO18" s="112"/>
      <c r="BP18" s="620"/>
      <c r="BQ18" s="620"/>
    </row>
    <row r="19" spans="1:93" s="177" customFormat="1" ht="11.25" customHeight="1">
      <c r="A19" s="694" t="s">
        <v>66</v>
      </c>
      <c r="B19" s="835" t="s">
        <v>3</v>
      </c>
      <c r="C19" s="835" t="s">
        <v>3</v>
      </c>
      <c r="D19" s="835" t="s">
        <v>3</v>
      </c>
      <c r="E19" s="213" t="s">
        <v>3</v>
      </c>
      <c r="F19" s="213" t="s">
        <v>3</v>
      </c>
      <c r="G19" s="213" t="s">
        <v>3</v>
      </c>
      <c r="H19" s="269">
        <f>SUM('MasterA1(current$)'!H13)/0.19227</f>
        <v>10.402038799604723</v>
      </c>
      <c r="I19" s="269">
        <f>SUM('MasterA1(current$)'!I13)/0.19786</f>
        <v>10.108157282927323</v>
      </c>
      <c r="J19" s="269">
        <f>SUM('MasterA1(current$)'!J13)/0.20627</f>
        <v>14.544044213894409</v>
      </c>
      <c r="K19" s="269">
        <f>SUM('MasterA1(current$)'!K13)/0.21642</f>
        <v>13.86193512614361</v>
      </c>
      <c r="L19" s="269">
        <f>SUM('MasterA1(current$)'!L13)/0.22784</f>
        <v>13.167134831460675</v>
      </c>
      <c r="M19" s="269">
        <f>SUM('MasterA1(current$)'!M13)/0.23941</f>
        <v>16.707739860490371</v>
      </c>
      <c r="N19" s="269">
        <f>SUM('MasterA1(current$)'!N13)/0.24978</f>
        <v>16.014092401313157</v>
      </c>
      <c r="O19" s="269">
        <f>SUM('MasterA1(current$)'!O13)/0.26337</f>
        <v>15.187758666514789</v>
      </c>
      <c r="P19" s="269">
        <f>SUM('MasterA1(current$)'!P13)/0.28703</f>
        <v>13.935825523464446</v>
      </c>
      <c r="Q19" s="269">
        <f>SUM('MasterA1(current$)'!Q13)/0.31361</f>
        <v>15.943369152769364</v>
      </c>
      <c r="R19" s="269">
        <f>SUM('MasterA1(current$)'!R13)/0.33083</f>
        <v>15.113502403046882</v>
      </c>
      <c r="S19" s="269">
        <f>SUM('MasterA1(current$)'!S13)/0.35135</f>
        <v>68.307955030596275</v>
      </c>
      <c r="T19" s="269">
        <f>SUM('MasterA1(current$)'!T13)/0.37602</f>
        <v>111.69618637306526</v>
      </c>
      <c r="U19" s="270">
        <f>SUM('MasterA1(current$)'!U13)/0.40706</f>
        <v>130.20193583255539</v>
      </c>
      <c r="V19" s="269">
        <f>SUM('MasterA1(current$)'!V13)/0.44377</f>
        <v>148.72569123645133</v>
      </c>
      <c r="W19" s="269">
        <f>SUM('MasterA1(current$)'!W13)/0.4852</f>
        <v>146.33140972794723</v>
      </c>
      <c r="X19" s="269">
        <f>SUM('MasterA1(current$)'!X13)/0.5153</f>
        <v>116.43702697457792</v>
      </c>
      <c r="Y19" s="269">
        <f>SUM('MasterA1(current$)'!Y13)/0.53565</f>
        <v>87.743862596844963</v>
      </c>
      <c r="Z19" s="269">
        <f>SUM('MasterA1(current$)'!Z13)/0.55466</f>
        <v>75.722063967114977</v>
      </c>
      <c r="AA19" s="269">
        <f>SUM('MasterA1(current$)'!AA13)/0.5724</f>
        <v>80.363382250174695</v>
      </c>
      <c r="AB19" s="269">
        <f>SUM('MasterA1(current$)'!AB13)/0.58395</f>
        <v>78.773867625652883</v>
      </c>
      <c r="AC19" s="269">
        <f>SUM('MasterA1(current$)'!AC13)/0.59885</f>
        <v>70.13442431326709</v>
      </c>
      <c r="AD19" s="269">
        <f>SUM('MasterA1(current$)'!AD13)/0.61982</f>
        <v>69.374979832854692</v>
      </c>
      <c r="AE19" s="269">
        <f>SUM('MasterA1(current$)'!AE13)/0.64392</f>
        <v>79.202385389489365</v>
      </c>
      <c r="AF19" s="269">
        <f>SUM('MasterA1(current$)'!AF13)/0.66773</f>
        <v>74.880565498030634</v>
      </c>
      <c r="AG19" s="269">
        <f>SUM('MasterA1(current$)'!AG13)/0.68996</f>
        <v>75.366687923937619</v>
      </c>
      <c r="AH19" s="269">
        <f>SUM('MasterA1(current$)'!AH13)/0.70569</f>
        <v>72.269693491476417</v>
      </c>
      <c r="AI19" s="269">
        <f>SUM('MasterA1(current$)'!AI13)/0.72248</f>
        <v>80.279038866127777</v>
      </c>
      <c r="AJ19" s="269">
        <f>SUM('MasterA1(current$)'!AJ13)/0.73785</f>
        <v>74.540895846039163</v>
      </c>
      <c r="AK19" s="269">
        <f>SUM('MasterA1(current$)'!AK13)/0.75324</f>
        <v>78.328288460517228</v>
      </c>
      <c r="AL19" s="269">
        <f>SUM('MasterA1(current$)'!AL13)/0.76699</f>
        <v>74.316483917652121</v>
      </c>
      <c r="AM19" s="269">
        <f>SUM('MasterA1(current$)'!AM13)/0.78012</f>
        <v>70.50197405527355</v>
      </c>
      <c r="AN19" s="269">
        <f>SUM('MasterA1(current$)'!AN13)/0.78859</f>
        <v>71.012820350245377</v>
      </c>
      <c r="AO19" s="269">
        <f>SUM('MasterA1(current$)'!AO13)/0.80065</f>
        <v>76.188097171048526</v>
      </c>
      <c r="AP19" s="799">
        <f>SUM('MasterA1(current$)'!AP13)/0.81887</f>
        <v>73.271703689230279</v>
      </c>
      <c r="AQ19" s="799">
        <f>SUM('MasterA1(current$)'!AQ13)/0.83754</f>
        <v>82.384124937316429</v>
      </c>
      <c r="AR19" s="799">
        <f>SUM('MasterA1(current$)'!AR13)/0.85039</f>
        <v>78.787379908042197</v>
      </c>
      <c r="AS19" s="799">
        <f>SUM('MasterA1(current$)'!AS13)/0.86735</f>
        <v>76.093849080532664</v>
      </c>
      <c r="AT19" s="799">
        <f>SUM('MasterA1(current$)'!AT13)/0.8912</f>
        <v>76.301615798922796</v>
      </c>
      <c r="AU19" s="799">
        <f>SUM('MasterA1(current$)'!AU13)/0.91988</f>
        <v>80.445275470713568</v>
      </c>
      <c r="AV19" s="799">
        <f>SUM('MasterA1(current$)'!AV13)/0.94814</f>
        <v>80.15693884869323</v>
      </c>
      <c r="AW19" s="799">
        <f>SUM('MasterA1(current$)'!AW13)/0.97337</f>
        <v>81.161326114427197</v>
      </c>
      <c r="AX19" s="799">
        <f>SUM('MasterA1(current$)'!AX13*100)/99.246</f>
        <v>79.600185397900177</v>
      </c>
      <c r="AY19" s="536">
        <f>SUM('MasterA1(current$)'!AY13)</f>
        <v>83</v>
      </c>
      <c r="AZ19" s="536">
        <f>SUM('MasterA1(current$)'!AZ13*100)/101.221</f>
        <v>85.9505438594758</v>
      </c>
      <c r="BA19" s="536">
        <f>SUM('MasterA1(current$)'!BA13*100)/103.311</f>
        <v>84.211748990910934</v>
      </c>
      <c r="BB19" s="536">
        <f>SUM('MasterA1(current$)'!BB13*100)/105.214</f>
        <v>83.639059440758842</v>
      </c>
      <c r="BC19" s="536">
        <f>SUM('MasterA1(current$)'!BC13*100)/106.913</f>
        <v>83.245255488107162</v>
      </c>
      <c r="BD19" s="536">
        <f>SUM('MasterA1(current$)'!BD13*100)/108.832</f>
        <v>82.696265804175241</v>
      </c>
      <c r="BE19" s="536">
        <f>SUM('MasterA1(current$)'!BE13*100)/110.012</f>
        <v>87.263207650074534</v>
      </c>
      <c r="BF19" s="536">
        <f>SUM('MasterA1(current$)'!BF13*100)/111.416</f>
        <v>83.470955697565884</v>
      </c>
      <c r="BG19" s="536">
        <f>SUM('MasterA1(current$)'!BG13*100)/113.116</f>
        <v>38.014074047880051</v>
      </c>
      <c r="BH19" s="536">
        <f>SUM('MasterA1(current$)'!BH13*100)/114.716</f>
        <v>37.483873217336729</v>
      </c>
      <c r="BI19" s="536">
        <f>SUM('MasterA1(current$)'!BI13*100)/116.416</f>
        <v>6.0129191863661351</v>
      </c>
      <c r="BJ19" s="410">
        <f t="shared" si="0"/>
        <v>-1.3947487708776372E-2</v>
      </c>
      <c r="BK19" s="410">
        <f t="shared" si="0"/>
        <v>-0.83958650293414483</v>
      </c>
      <c r="BL19" s="564">
        <f t="shared" si="1"/>
        <v>-0.5302008305433219</v>
      </c>
      <c r="BM19" s="564">
        <f t="shared" si="1"/>
        <v>-31.470954030970596</v>
      </c>
      <c r="BN19" s="595"/>
      <c r="BO19" s="595"/>
      <c r="BP19" s="891"/>
      <c r="BQ19" s="891"/>
      <c r="BR19" s="391"/>
      <c r="BS19" s="391"/>
      <c r="BT19" s="391"/>
      <c r="BU19" s="391"/>
      <c r="BV19" s="391"/>
      <c r="BW19" s="391"/>
      <c r="BX19" s="391"/>
      <c r="BY19" s="391"/>
      <c r="BZ19" s="391"/>
      <c r="CA19" s="391"/>
      <c r="CB19" s="391"/>
      <c r="CC19" s="391"/>
      <c r="CD19" s="391"/>
      <c r="CE19" s="391"/>
      <c r="CF19" s="391"/>
      <c r="CG19" s="391"/>
      <c r="CH19" s="391"/>
      <c r="CI19" s="391"/>
      <c r="CJ19" s="391"/>
      <c r="CK19" s="391"/>
      <c r="CL19" s="391"/>
      <c r="CM19" s="391"/>
      <c r="CN19" s="391"/>
      <c r="CO19" s="391"/>
    </row>
    <row r="20" spans="1:93" ht="11.25" customHeight="1">
      <c r="A20" s="117" t="s">
        <v>84</v>
      </c>
      <c r="B20" s="835" t="s">
        <v>3</v>
      </c>
      <c r="C20" s="54" t="s">
        <v>3</v>
      </c>
      <c r="D20" s="54" t="s">
        <v>3</v>
      </c>
      <c r="E20" s="163" t="s">
        <v>3</v>
      </c>
      <c r="F20" s="163" t="s">
        <v>3</v>
      </c>
      <c r="G20" s="163" t="s">
        <v>3</v>
      </c>
      <c r="H20" s="163" t="s">
        <v>3</v>
      </c>
      <c r="I20" s="163" t="s">
        <v>3</v>
      </c>
      <c r="J20" s="163" t="s">
        <v>3</v>
      </c>
      <c r="K20" s="163" t="s">
        <v>3</v>
      </c>
      <c r="L20" s="213" t="s">
        <v>3</v>
      </c>
      <c r="M20" s="163" t="s">
        <v>3</v>
      </c>
      <c r="N20" s="163" t="s">
        <v>3</v>
      </c>
      <c r="O20" s="163" t="s">
        <v>3</v>
      </c>
      <c r="P20" s="163" t="s">
        <v>3</v>
      </c>
      <c r="Q20" s="163" t="s">
        <v>3</v>
      </c>
      <c r="R20" s="163" t="s">
        <v>3</v>
      </c>
      <c r="S20" s="163" t="s">
        <v>3</v>
      </c>
      <c r="T20" s="163" t="s">
        <v>3</v>
      </c>
      <c r="U20" s="163" t="s">
        <v>3</v>
      </c>
      <c r="V20" s="213" t="s">
        <v>3</v>
      </c>
      <c r="W20" s="163" t="s">
        <v>3</v>
      </c>
      <c r="X20" s="163" t="s">
        <v>3</v>
      </c>
      <c r="Y20" s="163" t="s">
        <v>3</v>
      </c>
      <c r="Z20" s="163" t="s">
        <v>3</v>
      </c>
      <c r="AA20" s="163" t="s">
        <v>3</v>
      </c>
      <c r="AB20" s="163" t="s">
        <v>3</v>
      </c>
      <c r="AC20" s="163" t="s">
        <v>3</v>
      </c>
      <c r="AD20" s="163" t="s">
        <v>3</v>
      </c>
      <c r="AE20" s="163" t="s">
        <v>3</v>
      </c>
      <c r="AF20" s="213" t="s">
        <v>3</v>
      </c>
      <c r="AG20" s="163" t="s">
        <v>3</v>
      </c>
      <c r="AH20" s="163" t="s">
        <v>3</v>
      </c>
      <c r="AI20" s="163" t="s">
        <v>3</v>
      </c>
      <c r="AJ20" s="163" t="s">
        <v>3</v>
      </c>
      <c r="AK20" s="163" t="s">
        <v>3</v>
      </c>
      <c r="AL20" s="333">
        <f>SUM('MasterA1(current$)'!AL14)/0.76699</f>
        <v>11.73418167120823</v>
      </c>
      <c r="AM20" s="333">
        <f>SUM('MasterA1(current$)'!AM14)/0.78012</f>
        <v>67.938265907809054</v>
      </c>
      <c r="AN20" s="333">
        <f>SUM('MasterA1(current$)'!AN14)/0.78859</f>
        <v>308.14491687695761</v>
      </c>
      <c r="AO20" s="333">
        <f>SUM('MasterA1(current$)'!AO14)/0.80065</f>
        <v>67.445200774370832</v>
      </c>
      <c r="AP20" s="799">
        <f>SUM('MasterA1(current$)'!AP14)/0.81887</f>
        <v>78.156483935178969</v>
      </c>
      <c r="AQ20" s="321">
        <f>SUM('MasterA1(current$)'!AQ14)/0.83754</f>
        <v>100.29371731499391</v>
      </c>
      <c r="AR20" s="321">
        <f>SUM('MasterA1(current$)'!AR14)/0.85039</f>
        <v>99.954138689307257</v>
      </c>
      <c r="AS20" s="321">
        <f>SUM('MasterA1(current$)'!AS14)/0.86735</f>
        <v>88.776157260621432</v>
      </c>
      <c r="AT20" s="321">
        <f>SUM('MasterA1(current$)'!AT14)/0.8912</f>
        <v>79.667863554757631</v>
      </c>
      <c r="AU20" s="321">
        <f>SUM('MasterA1(current$)'!AU14)/0.91988</f>
        <v>72.83558725051094</v>
      </c>
      <c r="AV20" s="321">
        <f>SUM('MasterA1(current$)'!AV14)/0.94814</f>
        <v>78.047545721096043</v>
      </c>
      <c r="AW20" s="321">
        <f>SUM('MasterA1(current$)'!AW14)/0.97337</f>
        <v>81.161326114427197</v>
      </c>
      <c r="AX20" s="321">
        <f>SUM('MasterA1(current$)'!AX14*100)/99.246</f>
        <v>76.577393547347</v>
      </c>
      <c r="AY20" s="405">
        <f>SUM('MasterA1(current$)'!AY14)</f>
        <v>73</v>
      </c>
      <c r="AZ20" s="536">
        <f>SUM('MasterA1(current$)'!AZ14*100)/101.221</f>
        <v>77.059108287805884</v>
      </c>
      <c r="BA20" s="405">
        <f>SUM('MasterA1(current$)'!BA14*100)/103.311</f>
        <v>74.532237612645304</v>
      </c>
      <c r="BB20" s="405">
        <f>SUM('MasterA1(current$)'!BB14*100)/105.214</f>
        <v>73.184177010663987</v>
      </c>
      <c r="BC20" s="405">
        <f>SUM('MasterA1(current$)'!BC14*100)/106.913</f>
        <v>68.279816299233957</v>
      </c>
      <c r="BD20" s="405">
        <f>SUM('MasterA1(current$)'!BD14*100)/108.832</f>
        <v>61.562775654219351</v>
      </c>
      <c r="BE20" s="405">
        <f>SUM('MasterA1(current$)'!BE14*100)/110.012</f>
        <v>69.992364469330624</v>
      </c>
      <c r="BF20" s="536">
        <f>SUM('MasterA1(current$)'!BF14*100)/111.416</f>
        <v>74.49558411718246</v>
      </c>
      <c r="BG20" s="536">
        <f>SUM('MasterA1(current$)'!BG14*100)/113.116</f>
        <v>76.912196329431737</v>
      </c>
      <c r="BH20" s="536">
        <f>SUM('MasterA1(current$)'!BH14*100)/114.716</f>
        <v>68.865720562083752</v>
      </c>
      <c r="BI20" s="536">
        <f>SUM('MasterA1(current$)'!BI14*100)/116.416</f>
        <v>60.129191863661354</v>
      </c>
      <c r="BJ20" s="410">
        <f t="shared" si="0"/>
        <v>-0.10461898309187755</v>
      </c>
      <c r="BK20" s="410">
        <f t="shared" si="0"/>
        <v>-0.12686324381876249</v>
      </c>
      <c r="BL20" s="564">
        <f t="shared" si="1"/>
        <v>-8.0464757673479852</v>
      </c>
      <c r="BM20" s="564">
        <f t="shared" si="1"/>
        <v>-8.7365286984223971</v>
      </c>
      <c r="BN20" s="112"/>
      <c r="BO20" s="112"/>
      <c r="BP20" s="620"/>
      <c r="BQ20" s="620"/>
    </row>
    <row r="21" spans="1:93" ht="11.25" customHeight="1">
      <c r="A21" s="118" t="s">
        <v>31</v>
      </c>
      <c r="B21" s="893">
        <f>SUM('MasterA1(current$)'!B15)/0.1756</f>
        <v>335.9908883826879</v>
      </c>
      <c r="C21" s="108">
        <f>SUM('MasterA1(current$)'!C15)/0.178</f>
        <v>376.40449438202251</v>
      </c>
      <c r="D21" s="107">
        <f>SUM('MasterA1(current$)'!D15)/0.1798</f>
        <v>394.8832035595106</v>
      </c>
      <c r="E21" s="449">
        <f>SUM('MasterA1(current$)'!E15)/0.182</f>
        <v>417.58241758241758</v>
      </c>
      <c r="F21" s="449">
        <f>SUM('MasterA1(current$)'!F15)/0.1842</f>
        <v>466.88382193268188</v>
      </c>
      <c r="G21" s="449">
        <f>SUM('MasterA1(current$)'!G15)/0.18702</f>
        <v>374.29151962356968</v>
      </c>
      <c r="H21" s="449">
        <f>SUM('MasterA1(current$)'!H15)/0.19227</f>
        <v>431.68461018359596</v>
      </c>
      <c r="I21" s="449">
        <f>SUM('MasterA1(current$)'!I15)/0.19786</f>
        <v>449.81299909026581</v>
      </c>
      <c r="J21" s="449">
        <f>SUM('MasterA1(current$)'!J15)/0.20627</f>
        <v>431.4733116788675</v>
      </c>
      <c r="K21" s="449">
        <f>SUM('MasterA1(current$)'!K15)/0.21642</f>
        <v>438.96127899454763</v>
      </c>
      <c r="L21" s="855">
        <f>SUM('MasterA1(current$)'!L15)/0.22784</f>
        <v>434.51544943820227</v>
      </c>
      <c r="M21" s="449">
        <f>SUM('MasterA1(current$)'!M15)/0.23941</f>
        <v>455.28591119836261</v>
      </c>
      <c r="N21" s="449">
        <f>SUM('MasterA1(current$)'!N15)/0.24978</f>
        <v>460.40515653775321</v>
      </c>
      <c r="O21" s="449">
        <f>SUM('MasterA1(current$)'!O15)/0.26337</f>
        <v>1287.1625469871285</v>
      </c>
      <c r="P21" s="449">
        <f>SUM('MasterA1(current$)'!P15)/0.28703</f>
        <v>1212.4168205414069</v>
      </c>
      <c r="Q21" s="449">
        <f>SUM('MasterA1(current$)'!Q15)/0.31361</f>
        <v>1202.13003411881</v>
      </c>
      <c r="R21" s="449">
        <f>SUM('MasterA1(current$)'!R15)/0.33083</f>
        <v>1245.352598011063</v>
      </c>
      <c r="S21" s="449">
        <f>SUM('MasterA1(current$)'!S15)/0.35135</f>
        <v>1406.0054077131067</v>
      </c>
      <c r="T21" s="449">
        <f>SUM('MasterA1(current$)'!T15)/0.37602</f>
        <v>1558.4277432051485</v>
      </c>
      <c r="U21" s="449">
        <f>SUM('MasterA1(current$)'!U15)/0.40706</f>
        <v>1550.1400284970275</v>
      </c>
      <c r="V21" s="855">
        <f>SUM('MasterA1(current$)'!V15)/0.44377</f>
        <v>1613.4484079590779</v>
      </c>
      <c r="W21" s="449">
        <f>SUM('MasterA1(current$)'!W15)/0.4852</f>
        <v>1589.0354492992581</v>
      </c>
      <c r="X21" s="449">
        <f>SUM('MasterA1(current$)'!X15)/0.5153</f>
        <v>1428.2941975548224</v>
      </c>
      <c r="Y21" s="449">
        <f>SUM('MasterA1(current$)'!Y15)/0.53565</f>
        <v>1228.4140763558294</v>
      </c>
      <c r="Z21" s="449">
        <f>SUM('MasterA1(current$)'!Z15)/0.55466</f>
        <v>1422.4930588108029</v>
      </c>
      <c r="AA21" s="449">
        <f>SUM('MasterA1(current$)'!AA15)/0.5724</f>
        <v>1376.659678546471</v>
      </c>
      <c r="AB21" s="449">
        <f>SUM('MasterA1(current$)'!AB15)/0.58395</f>
        <v>1274.0816850757772</v>
      </c>
      <c r="AC21" s="449">
        <f>SUM('MasterA1(current$)'!AC15)/0.59885</f>
        <v>1345.9129999165066</v>
      </c>
      <c r="AD21" s="449">
        <f>SUM('MasterA1(current$)'!AD15)/0.61982</f>
        <v>1369.7525087928752</v>
      </c>
      <c r="AE21" s="449">
        <f>SUM('MasterA1(current$)'!AE15)/0.64392</f>
        <v>1389.9242141880977</v>
      </c>
      <c r="AF21" s="855">
        <f>SUM('MasterA1(current$)'!AF15)/0.66773</f>
        <v>1394.2761295733305</v>
      </c>
      <c r="AG21" s="449">
        <f>SUM('MasterA1(current$)'!AG15)/0.68996</f>
        <v>1420.3721954895937</v>
      </c>
      <c r="AH21" s="449">
        <f>SUM('MasterA1(current$)'!AH15)/0.70569</f>
        <v>1494.9907183040712</v>
      </c>
      <c r="AI21" s="449">
        <f>SUM('MasterA1(current$)'!AI15)/0.72248</f>
        <v>1583.4348355663824</v>
      </c>
      <c r="AJ21" s="449">
        <f>SUM('MasterA1(current$)'!AJ15)/0.73785</f>
        <v>1576.2011248898827</v>
      </c>
      <c r="AK21" s="449">
        <f>SUM('MasterA1(current$)'!AK15)/0.75324</f>
        <v>1595.7729276193511</v>
      </c>
      <c r="AL21" s="449">
        <f>SUM('MasterA1(current$)'!AL15)/0.76699</f>
        <v>1578.8993337592408</v>
      </c>
      <c r="AM21" s="449">
        <f>SUM('MasterA1(current$)'!AM15)/0.78012</f>
        <v>1697.174793621494</v>
      </c>
      <c r="AN21" s="449">
        <f>SUM('MasterA1(current$)'!AN15)/0.78859</f>
        <v>1978.2142811854069</v>
      </c>
      <c r="AO21" s="449">
        <f>SUM('MasterA1(current$)'!AO15)/0.80065</f>
        <v>1855.992006494723</v>
      </c>
      <c r="AP21" s="928">
        <f>SUM('MasterA1(current$)'!AP15)/0.81887</f>
        <v>1956.3544885024485</v>
      </c>
      <c r="AQ21" s="128">
        <f>SUM('MasterA1(current$)'!AQ15)/0.83754</f>
        <v>2284.0700145664687</v>
      </c>
      <c r="AR21" s="128">
        <f>SUM('MasterA1(current$)'!AR15)/0.85039</f>
        <v>2124.9073954303321</v>
      </c>
      <c r="AS21" s="128">
        <f>SUM('MasterA1(current$)'!AS15)/0.86735</f>
        <v>2494.9559001556468</v>
      </c>
      <c r="AT21" s="128">
        <f>SUM('MasterA1(current$)'!AT15)/0.8912</f>
        <v>2386.669658886894</v>
      </c>
      <c r="AU21" s="128">
        <f>SUM('MasterA1(current$)'!AU15)/0.91988</f>
        <v>2473.1486715658561</v>
      </c>
      <c r="AV21" s="448">
        <f>SUM(AV17:AV20)</f>
        <v>2890.9232813719491</v>
      </c>
      <c r="AW21" s="448">
        <f>SUM(AW17:AW20)</f>
        <v>2503.6728068463171</v>
      </c>
      <c r="AX21" s="780">
        <f>SUM(AX17:AX20)</f>
        <v>2539.1451544646638</v>
      </c>
      <c r="AY21" s="496">
        <f>SUM('MasterA1(current$)'!AY15)</f>
        <v>2555</v>
      </c>
      <c r="AZ21" s="635">
        <f>SUM('MasterA1(current$)'!AZ15*100)/101.221</f>
        <v>2641.7443020717042</v>
      </c>
      <c r="BA21" s="406">
        <f>SUM('MasterA1(current$)'!BA15*100)/103.311</f>
        <v>2609.5962675804126</v>
      </c>
      <c r="BB21" s="406">
        <f>SUM('MasterA1(current$)'!BB15*100)/105.214</f>
        <v>2470.2035850742295</v>
      </c>
      <c r="BC21" s="406">
        <f>SUM('MasterA1(current$)'!BC15*100)/106.913</f>
        <v>2415.9830890537169</v>
      </c>
      <c r="BD21" s="406">
        <f>SUM('MasterA1(current$)'!BD15*100)/108.832</f>
        <v>2337.5477800646868</v>
      </c>
      <c r="BE21" s="406">
        <f>SUM('MasterA1(current$)'!BE15*100)/110.012</f>
        <v>2968.7670435952441</v>
      </c>
      <c r="BF21" s="635">
        <f>SUM('MasterA1(current$)'!BF15*100)/111.416</f>
        <v>2763.5169096000577</v>
      </c>
      <c r="BG21" s="635">
        <f>SUM('MasterA1(current$)'!BG15*100)/113.116</f>
        <v>2520.4215141978148</v>
      </c>
      <c r="BH21" s="635">
        <f>SUM('MasterA1(current$)'!BH15*100)/114.716</f>
        <v>2697.0954356846473</v>
      </c>
      <c r="BI21" s="635">
        <f>SUM('MasterA1(current$)'!BI15*100)/116.416</f>
        <v>2284.9092908191315</v>
      </c>
      <c r="BJ21" s="872">
        <f t="shared" si="0"/>
        <v>7.0096974054382852E-2</v>
      </c>
      <c r="BK21" s="872">
        <f t="shared" si="0"/>
        <v>-0.15282593986552204</v>
      </c>
      <c r="BL21" s="567">
        <f t="shared" si="1"/>
        <v>176.67392148683257</v>
      </c>
      <c r="BM21" s="567">
        <f t="shared" si="1"/>
        <v>-412.18614486551587</v>
      </c>
      <c r="BN21" s="112"/>
      <c r="BO21" s="112"/>
      <c r="BP21" s="620"/>
      <c r="BQ21" s="620"/>
    </row>
    <row r="22" spans="1:93" ht="6" customHeight="1">
      <c r="A22" s="115"/>
      <c r="B22" s="636"/>
      <c r="C22" s="33"/>
      <c r="D22" s="33"/>
      <c r="E22" s="47"/>
      <c r="F22" s="47"/>
      <c r="G22" s="47"/>
      <c r="H22" s="47"/>
      <c r="I22" s="47"/>
      <c r="J22" s="47"/>
      <c r="K22" s="47"/>
      <c r="L22" s="281"/>
      <c r="M22" s="47"/>
      <c r="N22" s="47"/>
      <c r="O22" s="47"/>
      <c r="P22" s="47"/>
      <c r="Q22" s="47"/>
      <c r="R22" s="47"/>
      <c r="S22" s="47"/>
      <c r="T22" s="47"/>
      <c r="U22" s="47"/>
      <c r="V22" s="281"/>
      <c r="W22" s="47"/>
      <c r="X22" s="47"/>
      <c r="Y22" s="47"/>
      <c r="Z22" s="47"/>
      <c r="AA22" s="47"/>
      <c r="AB22" s="47"/>
      <c r="AC22" s="47"/>
      <c r="AD22" s="47"/>
      <c r="AE22" s="47"/>
      <c r="AF22" s="281"/>
      <c r="AG22" s="47"/>
      <c r="AH22" s="47"/>
      <c r="AI22" s="47"/>
      <c r="AJ22" s="47"/>
      <c r="AK22" s="47"/>
      <c r="AL22" s="47"/>
      <c r="AM22" s="152"/>
      <c r="AN22" s="152"/>
      <c r="AO22" s="152"/>
      <c r="AP22" s="217"/>
      <c r="AQ22" s="152"/>
      <c r="AR22" s="152"/>
      <c r="AS22" s="152"/>
      <c r="AT22" s="152"/>
      <c r="AU22" s="152"/>
      <c r="AV22" s="328"/>
      <c r="AW22" s="328"/>
      <c r="AX22" s="328"/>
      <c r="AY22" s="405"/>
      <c r="AZ22" s="634"/>
      <c r="BA22" s="404"/>
      <c r="BB22" s="404"/>
      <c r="BC22" s="404"/>
      <c r="BD22" s="404"/>
      <c r="BE22" s="404"/>
      <c r="BF22" s="634"/>
      <c r="BG22" s="634"/>
      <c r="BH22" s="634"/>
      <c r="BI22" s="634"/>
      <c r="BJ22" s="871"/>
      <c r="BK22" s="871"/>
      <c r="BL22" s="565"/>
      <c r="BM22" s="565"/>
      <c r="BP22" s="620"/>
      <c r="BQ22" s="620"/>
    </row>
    <row r="23" spans="1:93" ht="11.25" customHeight="1">
      <c r="A23" s="116" t="s">
        <v>32</v>
      </c>
      <c r="B23" s="636"/>
      <c r="C23" s="32"/>
      <c r="D23" s="32"/>
      <c r="E23" s="32"/>
      <c r="F23" s="32"/>
      <c r="G23" s="32"/>
      <c r="H23" s="32"/>
      <c r="I23" s="32"/>
      <c r="J23" s="32"/>
      <c r="K23" s="32"/>
      <c r="L23" s="636"/>
      <c r="M23" s="32"/>
      <c r="N23" s="32"/>
      <c r="O23" s="32"/>
      <c r="P23" s="32"/>
      <c r="Q23" s="32"/>
      <c r="R23" s="32"/>
      <c r="S23" s="32"/>
      <c r="T23" s="32"/>
      <c r="U23" s="32"/>
      <c r="V23" s="636"/>
      <c r="W23" s="32"/>
      <c r="X23" s="32"/>
      <c r="Y23" s="32"/>
      <c r="Z23" s="32"/>
      <c r="AA23" s="32"/>
      <c r="AB23" s="32"/>
      <c r="AC23" s="32"/>
      <c r="AD23" s="32"/>
      <c r="AE23" s="32"/>
      <c r="AF23" s="636"/>
      <c r="AG23" s="32"/>
      <c r="AH23" s="32"/>
      <c r="AI23" s="32"/>
      <c r="AJ23" s="32"/>
      <c r="AK23" s="32"/>
      <c r="AL23" s="32"/>
      <c r="AM23" s="32"/>
      <c r="AN23" s="32"/>
      <c r="AO23" s="32"/>
      <c r="AP23" s="636"/>
      <c r="AQ23" s="32"/>
      <c r="AR23" s="32"/>
      <c r="AS23" s="32"/>
      <c r="AT23" s="32"/>
      <c r="AU23" s="32"/>
      <c r="AV23" s="32"/>
      <c r="AW23" s="32"/>
      <c r="AX23" s="32"/>
      <c r="AY23" s="32"/>
      <c r="AZ23" s="636"/>
      <c r="BA23" s="32"/>
      <c r="BB23" s="32"/>
      <c r="BC23" s="32"/>
      <c r="BD23" s="32"/>
      <c r="BE23" s="32"/>
      <c r="BF23" s="636"/>
      <c r="BG23" s="636"/>
      <c r="BH23" s="636"/>
      <c r="BI23" s="636"/>
      <c r="BJ23" s="871"/>
      <c r="BK23" s="871"/>
      <c r="BL23" s="565"/>
      <c r="BM23" s="565"/>
      <c r="BP23" s="620"/>
      <c r="BQ23" s="620"/>
    </row>
    <row r="24" spans="1:93" ht="11.25" customHeight="1">
      <c r="A24" s="115" t="s">
        <v>80</v>
      </c>
      <c r="B24" s="667">
        <f>SUM('MasterA1(current$)'!B18)/0.1756</f>
        <v>91.116173120728931</v>
      </c>
      <c r="C24" s="49">
        <f>SUM('MasterA1(current$)'!C18)/0.178</f>
        <v>112.35955056179776</v>
      </c>
      <c r="D24" s="49">
        <f>SUM('MasterA1(current$)'!D18)/0.1798</f>
        <v>139.04338153503895</v>
      </c>
      <c r="E24" s="30">
        <f>SUM('MasterA1(current$)'!E18)/0.182</f>
        <v>170.32967032967034</v>
      </c>
      <c r="F24" s="30">
        <f>SUM('MasterA1(current$)'!F18)/0.1842</f>
        <v>211.72638436482083</v>
      </c>
      <c r="G24" s="30">
        <f>SUM('MasterA1(current$)'!G18)/0.18702</f>
        <v>224.57491177414181</v>
      </c>
      <c r="H24" s="30">
        <f>SUM('MasterA1(current$)'!H18)/0.19227</f>
        <v>244.44791179071098</v>
      </c>
      <c r="I24" s="30">
        <f>SUM('MasterA1(current$)'!I18)/0.19786</f>
        <v>308.29879712928334</v>
      </c>
      <c r="J24" s="30">
        <f>SUM('MasterA1(current$)'!J18)/0.20627</f>
        <v>344.20904639550105</v>
      </c>
      <c r="K24" s="30">
        <f>SUM('MasterA1(current$)'!K18)/0.21642</f>
        <v>300.34192773311156</v>
      </c>
      <c r="L24" s="270">
        <f>SUM('MasterA1(current$)'!L18)/0.22784</f>
        <v>316.01123595505618</v>
      </c>
      <c r="M24" s="30">
        <f>SUM('MasterA1(current$)'!M18)/0.23941</f>
        <v>355.03947203542037</v>
      </c>
      <c r="N24" s="30">
        <f>SUM('MasterA1(current$)'!N18)/0.24978</f>
        <v>420.36992553447033</v>
      </c>
      <c r="O24" s="30">
        <f>SUM('MasterA1(current$)'!O18)/0.26337</f>
        <v>542.96237232790372</v>
      </c>
      <c r="P24" s="30">
        <f>SUM('MasterA1(current$)'!P18)/0.28703</f>
        <v>574.85280284290843</v>
      </c>
      <c r="Q24" s="30">
        <f>SUM('MasterA1(current$)'!Q18)/0.31361</f>
        <v>640.92343994132841</v>
      </c>
      <c r="R24" s="30">
        <f>SUM('MasterA1(current$)'!R18)/0.33083</f>
        <v>658.94870477284405</v>
      </c>
      <c r="S24" s="30">
        <f>SUM('MasterA1(current$)'!S18)/0.35135</f>
        <v>697.31037427067031</v>
      </c>
      <c r="T24" s="30">
        <f>SUM('MasterA1(current$)'!T18)/0.37602</f>
        <v>734.00351045157163</v>
      </c>
      <c r="U24" s="30">
        <f>SUM('MasterA1(current$)'!U18)/0.40706</f>
        <v>736.99208961823808</v>
      </c>
      <c r="V24" s="270">
        <f>SUM('MasterA1(current$)'!V18)/0.44377</f>
        <v>734.61477792550193</v>
      </c>
      <c r="W24" s="30">
        <f>SUM('MasterA1(current$)'!W18)/0.4852</f>
        <v>694.55894476504534</v>
      </c>
      <c r="X24" s="30">
        <f>SUM('MasterA1(current$)'!X18)/0.5153</f>
        <v>667.57228798758013</v>
      </c>
      <c r="Y24" s="30">
        <f>SUM('MasterA1(current$)'!Y18)/0.53565</f>
        <v>679.54821245216101</v>
      </c>
      <c r="Z24" s="30">
        <f>SUM('MasterA1(current$)'!Z18)/0.55466</f>
        <v>703.13345112321053</v>
      </c>
      <c r="AA24" s="30">
        <f>SUM('MasterA1(current$)'!AA18)/0.5724</f>
        <v>730.25856044723969</v>
      </c>
      <c r="AB24" s="30">
        <f>SUM('MasterA1(current$)'!AB18)/0.58395</f>
        <v>714.10223478037506</v>
      </c>
      <c r="AC24" s="30">
        <f>SUM('MasterA1(current$)'!AC18)/0.59885</f>
        <v>704.6839776237789</v>
      </c>
      <c r="AD24" s="30">
        <f>SUM('MasterA1(current$)'!AD18)/0.61982</f>
        <v>746.99106192120291</v>
      </c>
      <c r="AE24" s="30">
        <f>SUM('MasterA1(current$)'!AE18)/0.64392</f>
        <v>792.0238538948937</v>
      </c>
      <c r="AF24" s="270">
        <f>SUM('MasterA1(current$)'!AF18)/0.66773</f>
        <v>840.15994488790375</v>
      </c>
      <c r="AG24" s="30">
        <f>SUM('MasterA1(current$)'!AG18)/0.68996</f>
        <v>963.82398979650986</v>
      </c>
      <c r="AH24" s="30">
        <f>SUM('MasterA1(current$)'!AH18)/0.70569</f>
        <v>1088.2965608128213</v>
      </c>
      <c r="AI24" s="30">
        <f>SUM('MasterA1(current$)'!AI18)/0.72248</f>
        <v>1074.0781751743993</v>
      </c>
      <c r="AJ24" s="30">
        <f>SUM('MasterA1(current$)'!AJ18)/0.73785</f>
        <v>1179.1014433828013</v>
      </c>
      <c r="AK24" s="30">
        <f>SUM('MasterA1(current$)'!AK18)/0.75324</f>
        <v>1266.5285964632785</v>
      </c>
      <c r="AL24" s="30">
        <f>SUM('MasterA1(current$)'!AL18)/0.76699</f>
        <v>1276.418206234762</v>
      </c>
      <c r="AM24" s="30">
        <f>SUM('MasterA1(current$)'!AM18)/0.78012</f>
        <v>1278.0085115110496</v>
      </c>
      <c r="AN24" s="30">
        <f>SUM('MasterA1(current$)'!AN18)/0.78859</f>
        <v>1273.1584219936849</v>
      </c>
      <c r="AO24" s="30">
        <f>SUM('MasterA1(current$)'!AO18)/0.80065</f>
        <v>1397.6144382689065</v>
      </c>
      <c r="AP24" s="857">
        <f>SUM('MasterA1(current$)'!AP18)/0.81887</f>
        <v>1476.4248293379901</v>
      </c>
      <c r="AQ24" s="328">
        <f>SUM('MasterA1(current$)'!AQ18)/0.83754</f>
        <v>1578.4320748859757</v>
      </c>
      <c r="AR24" s="328">
        <f>SUM('MasterA1(current$)'!AR18)/0.85039</f>
        <v>1710.9796681522596</v>
      </c>
      <c r="AS24" s="328">
        <f>SUM('MasterA1(current$)'!AS18)/0.86735</f>
        <v>2001.4988182394652</v>
      </c>
      <c r="AT24" s="328">
        <f>SUM('MasterA1(current$)'!AT18)/0.8912</f>
        <v>1992.8186714542192</v>
      </c>
      <c r="AU24" s="328">
        <f>SUM('MasterA1(current$)'!AU18)/0.91988</f>
        <v>1877.4187937557072</v>
      </c>
      <c r="AV24" s="328">
        <f>SUM('MasterA1(current$)'!AV18)/0.94814</f>
        <v>2009.1969540363239</v>
      </c>
      <c r="AW24" s="328">
        <f>SUM('MasterA1(current$)'!AW18)/0.97337</f>
        <v>1892.3944645920874</v>
      </c>
      <c r="AX24" s="328">
        <f>SUM('MasterA1(current$)'!AX18*100)/99.246</f>
        <v>2058.5212502267095</v>
      </c>
      <c r="AY24" s="405">
        <f>SUM('MasterA1(current$)'!AY18)</f>
        <v>2539</v>
      </c>
      <c r="AZ24" s="536">
        <f>SUM('MasterA1(current$)'!AZ18*100)/101.221</f>
        <v>2991.4741012240543</v>
      </c>
      <c r="BA24" s="405">
        <f>SUM('MasterA1(current$)'!BA18*100)/103.311</f>
        <v>3156.4886604524199</v>
      </c>
      <c r="BB24" s="405">
        <f>SUM('MasterA1(current$)'!BB18*100)/105.214</f>
        <v>3171.6311517478662</v>
      </c>
      <c r="BC24" s="405">
        <f>SUM('MasterA1(current$)'!BC18*100)/106.913</f>
        <v>3243.7589441882651</v>
      </c>
      <c r="BD24" s="405">
        <f>SUM('MasterA1(current$)'!BD18*100)/108.832</f>
        <v>3604.6383416642166</v>
      </c>
      <c r="BE24" s="405">
        <f>SUM('MasterA1(current$)'!BE18*100)/110.012</f>
        <v>3982.2928407810059</v>
      </c>
      <c r="BF24" s="536">
        <f>SUM('MasterA1(current$)'!BF18*100)/111.416</f>
        <v>4220.2197170962882</v>
      </c>
      <c r="BG24" s="536">
        <f>SUM('MasterA1(current$)'!BG18*100)/113.116</f>
        <v>4418.4730718908022</v>
      </c>
      <c r="BH24" s="536">
        <f>SUM('MasterA1(current$)'!BH18*100)/114.716</f>
        <v>4342.8989853202693</v>
      </c>
      <c r="BI24" s="536">
        <f>SUM('MasterA1(current$)'!BI18*100)/116.416</f>
        <v>4562.0876855415063</v>
      </c>
      <c r="BJ24" s="410">
        <f>(BH24-BG24)/BG24</f>
        <v>-1.7104118400384959E-2</v>
      </c>
      <c r="BK24" s="410">
        <f>(BI24-BH24)/BH24</f>
        <v>5.0470596014812172E-2</v>
      </c>
      <c r="BL24" s="564">
        <f>BH24-BG24</f>
        <v>-75.574086570532927</v>
      </c>
      <c r="BM24" s="564">
        <f>BI24-BH24</f>
        <v>219.18870022123701</v>
      </c>
      <c r="BN24" s="112"/>
      <c r="BO24" s="112"/>
      <c r="BP24" s="620"/>
      <c r="BQ24" s="620"/>
    </row>
    <row r="25" spans="1:93" ht="6" customHeight="1">
      <c r="A25" s="115"/>
      <c r="B25" s="636"/>
      <c r="C25" s="33"/>
      <c r="D25" s="33"/>
      <c r="E25" s="47"/>
      <c r="F25" s="47"/>
      <c r="G25" s="47"/>
      <c r="H25" s="47"/>
      <c r="I25" s="47"/>
      <c r="J25" s="47"/>
      <c r="K25" s="47"/>
      <c r="L25" s="281"/>
      <c r="M25" s="47"/>
      <c r="N25" s="47"/>
      <c r="O25" s="47"/>
      <c r="P25" s="47"/>
      <c r="Q25" s="47"/>
      <c r="R25" s="47"/>
      <c r="S25" s="47"/>
      <c r="T25" s="47"/>
      <c r="U25" s="47"/>
      <c r="V25" s="281"/>
      <c r="W25" s="47"/>
      <c r="X25" s="47"/>
      <c r="Y25" s="47"/>
      <c r="Z25" s="47"/>
      <c r="AA25" s="47"/>
      <c r="AB25" s="47"/>
      <c r="AC25" s="47"/>
      <c r="AD25" s="47"/>
      <c r="AE25" s="47"/>
      <c r="AF25" s="281"/>
      <c r="AG25" s="47"/>
      <c r="AH25" s="47"/>
      <c r="AI25" s="47"/>
      <c r="AJ25" s="47"/>
      <c r="AK25" s="47"/>
      <c r="AL25" s="47"/>
      <c r="AM25" s="47"/>
      <c r="AN25" s="47"/>
      <c r="AO25" s="47"/>
      <c r="AP25" s="217"/>
      <c r="AQ25" s="152"/>
      <c r="AR25" s="152"/>
      <c r="AS25" s="152"/>
      <c r="AT25" s="152"/>
      <c r="AU25" s="152"/>
      <c r="AV25" s="328"/>
      <c r="AW25" s="328"/>
      <c r="AX25" s="328"/>
      <c r="AY25" s="405"/>
      <c r="AZ25" s="637"/>
      <c r="BA25" s="408"/>
      <c r="BB25" s="408"/>
      <c r="BC25" s="408"/>
      <c r="BD25" s="408"/>
      <c r="BE25" s="408"/>
      <c r="BF25" s="637"/>
      <c r="BG25" s="637"/>
      <c r="BH25" s="637"/>
      <c r="BI25" s="637"/>
      <c r="BJ25" s="871"/>
      <c r="BK25" s="871"/>
      <c r="BL25" s="565"/>
      <c r="BM25" s="565"/>
      <c r="BP25" s="620"/>
      <c r="BQ25" s="620"/>
    </row>
    <row r="26" spans="1:93" ht="11.25" customHeight="1">
      <c r="A26" s="116" t="s">
        <v>33</v>
      </c>
      <c r="B26" s="636"/>
      <c r="C26" s="33"/>
      <c r="D26" s="33"/>
      <c r="E26" s="47"/>
      <c r="F26" s="47"/>
      <c r="G26" s="47"/>
      <c r="H26" s="47"/>
      <c r="I26" s="47"/>
      <c r="J26" s="47"/>
      <c r="K26" s="47"/>
      <c r="L26" s="281"/>
      <c r="M26" s="47"/>
      <c r="N26" s="47"/>
      <c r="O26" s="47"/>
      <c r="P26" s="47"/>
      <c r="Q26" s="47"/>
      <c r="R26" s="47"/>
      <c r="S26" s="47"/>
      <c r="T26" s="47"/>
      <c r="U26" s="47"/>
      <c r="V26" s="281"/>
      <c r="W26" s="47"/>
      <c r="X26" s="47"/>
      <c r="Y26" s="47"/>
      <c r="Z26" s="47"/>
      <c r="AA26" s="47"/>
      <c r="AB26" s="47"/>
      <c r="AC26" s="47"/>
      <c r="AD26" s="47"/>
      <c r="AE26" s="47"/>
      <c r="AF26" s="281"/>
      <c r="AG26" s="47"/>
      <c r="AH26" s="47"/>
      <c r="AI26" s="47"/>
      <c r="AJ26" s="47"/>
      <c r="AK26" s="47"/>
      <c r="AL26" s="47"/>
      <c r="AM26" s="47"/>
      <c r="AN26" s="47"/>
      <c r="AO26" s="47"/>
      <c r="AP26" s="217"/>
      <c r="AQ26" s="152"/>
      <c r="AR26" s="152"/>
      <c r="AS26" s="152"/>
      <c r="AT26" s="152"/>
      <c r="AU26" s="152"/>
      <c r="AV26" s="328"/>
      <c r="AW26" s="328"/>
      <c r="AX26" s="328"/>
      <c r="AY26" s="405"/>
      <c r="AZ26" s="637"/>
      <c r="BA26" s="408"/>
      <c r="BB26" s="408"/>
      <c r="BC26" s="408"/>
      <c r="BD26" s="408"/>
      <c r="BE26" s="408"/>
      <c r="BF26" s="637"/>
      <c r="BG26" s="637"/>
      <c r="BH26" s="637"/>
      <c r="BI26" s="637"/>
      <c r="BJ26" s="871"/>
      <c r="BK26" s="871"/>
      <c r="BL26" s="565"/>
      <c r="BM26" s="565"/>
      <c r="BP26" s="620"/>
      <c r="BQ26" s="620"/>
    </row>
    <row r="27" spans="1:93" ht="11.25" customHeight="1">
      <c r="A27" s="115" t="s">
        <v>81</v>
      </c>
      <c r="B27" s="810" t="s">
        <v>3</v>
      </c>
      <c r="C27" s="45" t="s">
        <v>3</v>
      </c>
      <c r="D27" s="45" t="s">
        <v>3</v>
      </c>
      <c r="E27" s="220" t="s">
        <v>3</v>
      </c>
      <c r="F27" s="220" t="s">
        <v>3</v>
      </c>
      <c r="G27" s="220" t="s">
        <v>3</v>
      </c>
      <c r="H27" s="220" t="s">
        <v>3</v>
      </c>
      <c r="I27" s="220" t="s">
        <v>3</v>
      </c>
      <c r="J27" s="220" t="s">
        <v>3</v>
      </c>
      <c r="K27" s="220" t="s">
        <v>3</v>
      </c>
      <c r="L27" s="858" t="s">
        <v>3</v>
      </c>
      <c r="M27" s="220" t="s">
        <v>3</v>
      </c>
      <c r="N27" s="331" t="s">
        <v>11</v>
      </c>
      <c r="O27" s="220">
        <f>SUM('MasterA1(current$)'!O21)/0.26337</f>
        <v>3.7969396666286972</v>
      </c>
      <c r="P27" s="30">
        <f>SUM('MasterA1(current$)'!P21)/0.28703</f>
        <v>3.4839563808661116</v>
      </c>
      <c r="Q27" s="30">
        <f>SUM('MasterA1(current$)'!Q21)/0.31361</f>
        <v>6.3773476611077449</v>
      </c>
      <c r="R27" s="331" t="s">
        <v>11</v>
      </c>
      <c r="S27" s="331" t="s">
        <v>11</v>
      </c>
      <c r="T27" s="331" t="s">
        <v>11</v>
      </c>
      <c r="U27" s="30">
        <f>SUM('MasterA1(current$)'!U21)/0.40706</f>
        <v>2.4566402987274603</v>
      </c>
      <c r="V27" s="270">
        <f>SUM('MasterA1(current$)'!V21)/0.44377</f>
        <v>4.5068391283773126</v>
      </c>
      <c r="W27" s="30">
        <f>SUM('MasterA1(current$)'!W21)/0.4852</f>
        <v>10.30502885408079</v>
      </c>
      <c r="X27" s="30">
        <f>SUM('MasterA1(current$)'!X21)/0.5153</f>
        <v>7.7624684649718612</v>
      </c>
      <c r="Y27" s="30">
        <f>SUM('MasterA1(current$)'!Y21)/0.53565</f>
        <v>9.3344534677494639</v>
      </c>
      <c r="Z27" s="30">
        <f>SUM('MasterA1(current$)'!Z21)/0.55466</f>
        <v>9.0145314246565462</v>
      </c>
      <c r="AA27" s="30">
        <f>SUM('MasterA1(current$)'!AA21)/0.5724</f>
        <v>12.22921034241789</v>
      </c>
      <c r="AB27" s="30">
        <f>SUM('MasterA1(current$)'!AB21)/0.58395</f>
        <v>10.274852298998203</v>
      </c>
      <c r="AC27" s="30">
        <f>SUM('MasterA1(current$)'!AC21)/0.59885</f>
        <v>10.019203473323872</v>
      </c>
      <c r="AD27" s="30">
        <f>SUM('MasterA1(current$)'!AD21)/0.61982</f>
        <v>11.293601368139136</v>
      </c>
      <c r="AE27" s="30">
        <f>SUM('MasterA1(current$)'!AE21)/0.64392</f>
        <v>10.870915641694619</v>
      </c>
      <c r="AF27" s="270">
        <f>SUM('MasterA1(current$)'!AF21)/0.66773</f>
        <v>7.4880565498030638</v>
      </c>
      <c r="AG27" s="30">
        <f>SUM('MasterA1(current$)'!AG21)/0.68996</f>
        <v>11.594875065221173</v>
      </c>
      <c r="AH27" s="30">
        <f>SUM('MasterA1(current$)'!AH21)/0.70569</f>
        <v>9.9193696949085286</v>
      </c>
      <c r="AI27" s="30">
        <f>SUM('MasterA1(current$)'!AI21)/0.72248</f>
        <v>11.07297087808659</v>
      </c>
      <c r="AJ27" s="30">
        <f>SUM('MasterA1(current$)'!AJ21)/0.73785</f>
        <v>12.197601138442772</v>
      </c>
      <c r="AK27" s="30">
        <f>SUM('MasterA1(current$)'!AK21)/0.75324</f>
        <v>13.275981095002921</v>
      </c>
      <c r="AL27" s="30">
        <f>SUM('MasterA1(current$)'!AL21)/0.76699</f>
        <v>15.645575561610974</v>
      </c>
      <c r="AM27" s="30">
        <f>SUM('MasterA1(current$)'!AM21)/0.78012</f>
        <v>16.664102958519202</v>
      </c>
      <c r="AN27" s="30">
        <f>SUM('MasterA1(current$)'!AN21)/0.78859</f>
        <v>20.289377242927248</v>
      </c>
      <c r="AO27" s="30">
        <f>SUM('MasterA1(current$)'!AO21)/0.80065</f>
        <v>18.734777992880787</v>
      </c>
      <c r="AP27" s="857">
        <f>SUM('MasterA1(current$)'!AP21)/0.81887</f>
        <v>17.096730860820401</v>
      </c>
      <c r="AQ27" s="328">
        <f>SUM('MasterA1(current$)'!AQ21)/0.83754</f>
        <v>11.93972825178499</v>
      </c>
      <c r="AR27" s="328">
        <f>SUM('MasterA1(current$)'!AR21)/0.85039</f>
        <v>11.759310434036149</v>
      </c>
      <c r="AS27" s="328">
        <f>SUM('MasterA1(current$)'!AS21)/0.86735</f>
        <v>8.070559750965586</v>
      </c>
      <c r="AT27" s="328">
        <f>SUM('MasterA1(current$)'!AT21)/0.8912</f>
        <v>11.220825852782765</v>
      </c>
      <c r="AU27" s="328">
        <f>SUM('MasterA1(current$)'!AU21)/0.91988</f>
        <v>10.87098317171805</v>
      </c>
      <c r="AV27" s="328">
        <f>SUM('MasterA1(current$)'!AV21)/0.94814</f>
        <v>9.492269074187357</v>
      </c>
      <c r="AW27" s="328">
        <f>SUM('MasterA1(current$)'!AW21)/0.97337</f>
        <v>7.1915099088732966</v>
      </c>
      <c r="AX27" s="328">
        <f>SUM('MasterA1(current$)'!AX21*100)/99.246</f>
        <v>7.0531809846240661</v>
      </c>
      <c r="AY27" s="405">
        <f>SUM('MasterA1(current$)'!AY21)</f>
        <v>6</v>
      </c>
      <c r="AZ27" s="637">
        <f>SUM('MasterA1(current$)'!AZ21*100)/101.221</f>
        <v>5.9276237144466064</v>
      </c>
      <c r="BA27" s="408">
        <f>SUM('MasterA1(current$)'!BA21*100)/103.311</f>
        <v>6.7756579647859372</v>
      </c>
      <c r="BB27" s="408">
        <f>SUM('MasterA1(current$)'!BB21*100)/105.214</f>
        <v>6.6531070009694524</v>
      </c>
      <c r="BC27" s="408">
        <f>SUM('MasterA1(current$)'!BC21*100)/106.913</f>
        <v>6.5473796451320236</v>
      </c>
      <c r="BD27" s="408">
        <f>SUM('MasterA1(current$)'!BD21*100)/108.832</f>
        <v>7.3507791825933557</v>
      </c>
      <c r="BE27" s="408">
        <f>SUM('MasterA1(current$)'!BE21*100)/110.012</f>
        <v>8.1809257171944871</v>
      </c>
      <c r="BF27" s="637">
        <f>SUM('MasterA1(current$)'!BF21*100)/111.416</f>
        <v>10.770445896460114</v>
      </c>
      <c r="BG27" s="637">
        <f>SUM('MasterA1(current$)'!BG21*100)/113.116</f>
        <v>7.9564341030446624</v>
      </c>
      <c r="BH27" s="637">
        <f>SUM('MasterA1(current$)'!BH21*100)/114.716</f>
        <v>8.7171798179852864</v>
      </c>
      <c r="BI27" s="637">
        <f>SUM('MasterA1(current$)'!BI21*100)/116.416</f>
        <v>9.4488730071467835</v>
      </c>
      <c r="BJ27" s="410">
        <f>(BH27-BG27)/BG27</f>
        <v>9.5613902545804028E-2</v>
      </c>
      <c r="BK27" s="410">
        <f>(BI27-BH27)/BH27</f>
        <v>8.393691588785028E-2</v>
      </c>
      <c r="BL27" s="564">
        <f>BH27-BG27</f>
        <v>0.76074571494062404</v>
      </c>
      <c r="BM27" s="564">
        <f>BI27-BH27</f>
        <v>0.73169318916149706</v>
      </c>
      <c r="BN27" s="112"/>
      <c r="BO27" s="112"/>
      <c r="BP27" s="620"/>
      <c r="BQ27" s="620"/>
    </row>
    <row r="28" spans="1:93" ht="11.25" customHeight="1">
      <c r="A28" s="119" t="s">
        <v>85</v>
      </c>
      <c r="B28" s="810" t="s">
        <v>3</v>
      </c>
      <c r="C28" s="45" t="s">
        <v>3</v>
      </c>
      <c r="D28" s="45" t="s">
        <v>3</v>
      </c>
      <c r="E28" s="220" t="s">
        <v>3</v>
      </c>
      <c r="F28" s="220" t="s">
        <v>3</v>
      </c>
      <c r="G28" s="220" t="s">
        <v>3</v>
      </c>
      <c r="H28" s="220" t="s">
        <v>3</v>
      </c>
      <c r="I28" s="220" t="s">
        <v>3</v>
      </c>
      <c r="J28" s="220" t="s">
        <v>3</v>
      </c>
      <c r="K28" s="220" t="s">
        <v>3</v>
      </c>
      <c r="L28" s="858" t="s">
        <v>3</v>
      </c>
      <c r="M28" s="220" t="s">
        <v>3</v>
      </c>
      <c r="N28" s="220" t="s">
        <v>3</v>
      </c>
      <c r="O28" s="220" t="s">
        <v>3</v>
      </c>
      <c r="P28" s="220" t="s">
        <v>3</v>
      </c>
      <c r="Q28" s="220" t="s">
        <v>3</v>
      </c>
      <c r="R28" s="220" t="s">
        <v>3</v>
      </c>
      <c r="S28" s="220" t="s">
        <v>3</v>
      </c>
      <c r="T28" s="220" t="s">
        <v>3</v>
      </c>
      <c r="U28" s="220" t="s">
        <v>3</v>
      </c>
      <c r="V28" s="858" t="s">
        <v>3</v>
      </c>
      <c r="W28" s="220" t="s">
        <v>3</v>
      </c>
      <c r="X28" s="220" t="s">
        <v>3</v>
      </c>
      <c r="Y28" s="220" t="s">
        <v>3</v>
      </c>
      <c r="Z28" s="220" t="s">
        <v>3</v>
      </c>
      <c r="AA28" s="220" t="s">
        <v>3</v>
      </c>
      <c r="AB28" s="220" t="s">
        <v>3</v>
      </c>
      <c r="AC28" s="220" t="s">
        <v>3</v>
      </c>
      <c r="AD28" s="220" t="s">
        <v>3</v>
      </c>
      <c r="AE28" s="220" t="s">
        <v>3</v>
      </c>
      <c r="AF28" s="858" t="s">
        <v>3</v>
      </c>
      <c r="AG28" s="220" t="s">
        <v>3</v>
      </c>
      <c r="AH28" s="220" t="s">
        <v>3</v>
      </c>
      <c r="AI28" s="220" t="s">
        <v>3</v>
      </c>
      <c r="AJ28" s="220" t="s">
        <v>3</v>
      </c>
      <c r="AK28" s="220" t="s">
        <v>3</v>
      </c>
      <c r="AL28" s="220" t="s">
        <v>3</v>
      </c>
      <c r="AM28" s="220" t="s">
        <v>3</v>
      </c>
      <c r="AN28" s="220" t="s">
        <v>3</v>
      </c>
      <c r="AO28" s="30">
        <f>SUM('MasterA1(current$)'!AO22)/0.80065</f>
        <v>2.4979703990507711</v>
      </c>
      <c r="AP28" s="857">
        <f>SUM('MasterA1(current$)'!AP22)/0.81887</f>
        <v>116.01353084128128</v>
      </c>
      <c r="AQ28" s="328">
        <f>SUM('MasterA1(current$)'!AQ22)/0.83754</f>
        <v>102.68166296535091</v>
      </c>
      <c r="AR28" s="328">
        <f>SUM('MasterA1(current$)'!AR22)/0.85039</f>
        <v>111.71344912334341</v>
      </c>
      <c r="AS28" s="328">
        <f>SUM('MasterA1(current$)'!AS22)/0.86735</f>
        <v>104.9172767625526</v>
      </c>
      <c r="AT28" s="328">
        <f>SUM('MasterA1(current$)'!AT22)/0.8912</f>
        <v>126.79533213644524</v>
      </c>
      <c r="AU28" s="328">
        <f>SUM('MasterA1(current$)'!AU22)/0.91988</f>
        <v>144.58407618385007</v>
      </c>
      <c r="AV28" s="328">
        <f>SUM('MasterA1(current$)'!AV22)/0.94814</f>
        <v>126.56358765583143</v>
      </c>
      <c r="AW28" s="328">
        <f>SUM('MasterA1(current$)'!AW22)/0.97337</f>
        <v>151.02170808633923</v>
      </c>
      <c r="AX28" s="328">
        <f>SUM('MasterA1(current$)'!AX22*100)/99.246</f>
        <v>150.13199524414082</v>
      </c>
      <c r="AY28" s="405">
        <f>SUM('MasterA1(current$)'!AY22)</f>
        <v>168</v>
      </c>
      <c r="AZ28" s="637">
        <f>SUM('MasterA1(current$)'!AZ22*100)/101.221</f>
        <v>176.8407741476571</v>
      </c>
      <c r="BA28" s="408">
        <f>SUM('MasterA1(current$)'!BA22*100)/103.311</f>
        <v>168.42349798182187</v>
      </c>
      <c r="BB28" s="408">
        <f>SUM('MasterA1(current$)'!BB22*100)/105.214</f>
        <v>140.66569087763986</v>
      </c>
      <c r="BC28" s="408">
        <f>SUM('MasterA1(current$)'!BC22*100)/106.913</f>
        <v>116.91749366307185</v>
      </c>
      <c r="BD28" s="408">
        <f>SUM('MasterA1(current$)'!BD22*100)/108.832</f>
        <v>112.09938253454867</v>
      </c>
      <c r="BE28" s="408">
        <f>SUM('MasterA1(current$)'!BE22*100)/110.012</f>
        <v>101.80707559175363</v>
      </c>
      <c r="BF28" s="637">
        <f>SUM('MasterA1(current$)'!BF22*100)/111.416</f>
        <v>85.266030013642563</v>
      </c>
      <c r="BG28" s="637">
        <f>SUM('MasterA1(current$)'!BG22*100)/113.116</f>
        <v>90.172919834506175</v>
      </c>
      <c r="BH28" s="637">
        <f>SUM('MasterA1(current$)'!BH22*100)/114.716</f>
        <v>90.658670107046973</v>
      </c>
      <c r="BI28" s="637">
        <f>SUM('MasterA1(current$)'!BI22*100)/116.416</f>
        <v>101.36063771302913</v>
      </c>
      <c r="BJ28" s="410">
        <f>(BH28-BG28)/BG28</f>
        <v>5.386875277325974E-3</v>
      </c>
      <c r="BK28" s="410">
        <f>(BI28-BH28)/BH28</f>
        <v>0.11804681883537016</v>
      </c>
      <c r="BL28" s="564">
        <f>BH28-BG28</f>
        <v>0.48575027254079828</v>
      </c>
      <c r="BM28" s="564">
        <f>BI28-BH28</f>
        <v>10.701967605982162</v>
      </c>
      <c r="BN28" s="112"/>
      <c r="BO28" s="112"/>
      <c r="BP28" s="620"/>
      <c r="BQ28" s="620"/>
    </row>
    <row r="29" spans="1:93" ht="11.25" customHeight="1">
      <c r="A29" s="119" t="s">
        <v>87</v>
      </c>
      <c r="B29" s="810" t="s">
        <v>3</v>
      </c>
      <c r="C29" s="45" t="s">
        <v>3</v>
      </c>
      <c r="D29" s="45" t="s">
        <v>3</v>
      </c>
      <c r="E29" s="220" t="s">
        <v>3</v>
      </c>
      <c r="F29" s="220" t="s">
        <v>3</v>
      </c>
      <c r="G29" s="220" t="s">
        <v>3</v>
      </c>
      <c r="H29" s="220" t="s">
        <v>3</v>
      </c>
      <c r="I29" s="220" t="s">
        <v>3</v>
      </c>
      <c r="J29" s="220" t="s">
        <v>3</v>
      </c>
      <c r="K29" s="220" t="s">
        <v>3</v>
      </c>
      <c r="L29" s="858" t="s">
        <v>3</v>
      </c>
      <c r="M29" s="220" t="s">
        <v>3</v>
      </c>
      <c r="N29" s="220" t="s">
        <v>3</v>
      </c>
      <c r="O29" s="220" t="s">
        <v>3</v>
      </c>
      <c r="P29" s="220" t="s">
        <v>3</v>
      </c>
      <c r="Q29" s="220" t="s">
        <v>3</v>
      </c>
      <c r="R29" s="220" t="s">
        <v>3</v>
      </c>
      <c r="S29" s="220" t="s">
        <v>3</v>
      </c>
      <c r="T29" s="220" t="s">
        <v>3</v>
      </c>
      <c r="U29" s="220" t="s">
        <v>3</v>
      </c>
      <c r="V29" s="858" t="s">
        <v>3</v>
      </c>
      <c r="W29" s="220" t="s">
        <v>3</v>
      </c>
      <c r="X29" s="220" t="s">
        <v>3</v>
      </c>
      <c r="Y29" s="220" t="s">
        <v>3</v>
      </c>
      <c r="Z29" s="220" t="s">
        <v>3</v>
      </c>
      <c r="AA29" s="220" t="s">
        <v>3</v>
      </c>
      <c r="AB29" s="220" t="s">
        <v>3</v>
      </c>
      <c r="AC29" s="220" t="s">
        <v>3</v>
      </c>
      <c r="AD29" s="220" t="s">
        <v>3</v>
      </c>
      <c r="AE29" s="220" t="s">
        <v>3</v>
      </c>
      <c r="AF29" s="858" t="s">
        <v>3</v>
      </c>
      <c r="AG29" s="220" t="s">
        <v>3</v>
      </c>
      <c r="AH29" s="331" t="s">
        <v>11</v>
      </c>
      <c r="AI29" s="331" t="s">
        <v>11</v>
      </c>
      <c r="AJ29" s="30">
        <f>SUM('MasterA1(current$)'!AJ23)/0.73785</f>
        <v>6.7764450769126512</v>
      </c>
      <c r="AK29" s="30">
        <f>SUM('MasterA1(current$)'!AK23)/0.75324</f>
        <v>14.603579204503212</v>
      </c>
      <c r="AL29" s="30">
        <f>SUM('MasterA1(current$)'!AL23)/0.76699</f>
        <v>18.253171488546137</v>
      </c>
      <c r="AM29" s="30">
        <f>SUM('MasterA1(current$)'!AM23)/0.78012</f>
        <v>21.791519253448186</v>
      </c>
      <c r="AN29" s="30">
        <f>SUM('MasterA1(current$)'!AN23)/0.78859</f>
        <v>20.289377242927248</v>
      </c>
      <c r="AO29" s="30">
        <f>SUM('MasterA1(current$)'!AO23)/0.80065</f>
        <v>19.983763192406169</v>
      </c>
      <c r="AP29" s="857">
        <f>SUM('MasterA1(current$)'!AP23)/0.81887</f>
        <v>21.981511106769084</v>
      </c>
      <c r="AQ29" s="328">
        <f>SUM('MasterA1(current$)'!AQ23)/0.83754</f>
        <v>27.461374979105479</v>
      </c>
      <c r="AR29" s="328">
        <f>SUM('MasterA1(current$)'!AR23)/0.85039</f>
        <v>31.7501381718976</v>
      </c>
      <c r="AS29" s="328">
        <f>SUM('MasterA1(current$)'!AS23)/0.86735</f>
        <v>32.282239003862344</v>
      </c>
      <c r="AT29" s="328">
        <f>SUM('MasterA1(current$)'!AT23)/0.8912</f>
        <v>43.761220825852782</v>
      </c>
      <c r="AU29" s="328">
        <f>SUM('MasterA1(current$)'!AU23)/0.91988</f>
        <v>52.180719224246637</v>
      </c>
      <c r="AV29" s="190">
        <f>SUM('MasterA1(current$)'!AV23)/0.94814</f>
        <v>65.391186955512893</v>
      </c>
      <c r="AW29" s="190">
        <f>SUM('MasterA1(current$)'!AW23)/0.97337</f>
        <v>64.723589179859673</v>
      </c>
      <c r="AX29" s="328">
        <f>SUM('MasterA1(current$)'!AX23*100)/99.246</f>
        <v>69.524212562722937</v>
      </c>
      <c r="AY29" s="409" t="s">
        <v>3</v>
      </c>
      <c r="AZ29" s="538" t="s">
        <v>3</v>
      </c>
      <c r="BA29" s="409" t="s">
        <v>3</v>
      </c>
      <c r="BB29" s="409" t="s">
        <v>3</v>
      </c>
      <c r="BC29" s="409" t="s">
        <v>3</v>
      </c>
      <c r="BD29" s="409" t="s">
        <v>3</v>
      </c>
      <c r="BE29" s="409" t="s">
        <v>3</v>
      </c>
      <c r="BF29" s="538" t="s">
        <v>3</v>
      </c>
      <c r="BG29" s="538" t="s">
        <v>3</v>
      </c>
      <c r="BH29" s="538" t="s">
        <v>3</v>
      </c>
      <c r="BI29" s="538" t="s">
        <v>3</v>
      </c>
      <c r="BJ29" s="874" t="s">
        <v>10</v>
      </c>
      <c r="BK29" s="874" t="s">
        <v>10</v>
      </c>
      <c r="BL29" s="568" t="s">
        <v>10</v>
      </c>
      <c r="BM29" s="568" t="s">
        <v>10</v>
      </c>
      <c r="BN29" s="112"/>
      <c r="BO29" s="112"/>
      <c r="BP29" s="620"/>
      <c r="BQ29" s="620"/>
    </row>
    <row r="30" spans="1:93" ht="11.25" customHeight="1">
      <c r="A30" s="118" t="s">
        <v>31</v>
      </c>
      <c r="B30" s="894" t="s">
        <v>3</v>
      </c>
      <c r="C30" s="435" t="s">
        <v>3</v>
      </c>
      <c r="D30" s="435" t="s">
        <v>3</v>
      </c>
      <c r="E30" s="473" t="s">
        <v>3</v>
      </c>
      <c r="F30" s="473" t="s">
        <v>3</v>
      </c>
      <c r="G30" s="473" t="s">
        <v>3</v>
      </c>
      <c r="H30" s="473" t="s">
        <v>3</v>
      </c>
      <c r="I30" s="473" t="s">
        <v>3</v>
      </c>
      <c r="J30" s="473" t="s">
        <v>3</v>
      </c>
      <c r="K30" s="473" t="s">
        <v>3</v>
      </c>
      <c r="L30" s="910" t="s">
        <v>3</v>
      </c>
      <c r="M30" s="473" t="s">
        <v>3</v>
      </c>
      <c r="N30" s="473" t="s">
        <v>3</v>
      </c>
      <c r="O30" s="449">
        <f>SUM('MasterA1(current$)'!O24)/0.26337</f>
        <v>3.7969396666286972</v>
      </c>
      <c r="P30" s="449">
        <f>SUM('MasterA1(current$)'!P24)/0.28703</f>
        <v>3.4839563808661116</v>
      </c>
      <c r="Q30" s="449">
        <f>SUM('MasterA1(current$)'!Q24)/0.31361</f>
        <v>6.3773476611077449</v>
      </c>
      <c r="R30" s="473" t="s">
        <v>3</v>
      </c>
      <c r="S30" s="473" t="s">
        <v>3</v>
      </c>
      <c r="T30" s="473" t="s">
        <v>3</v>
      </c>
      <c r="U30" s="449">
        <f>SUM('MasterA1(current$)'!U24)/0.40706</f>
        <v>2.4566402987274603</v>
      </c>
      <c r="V30" s="915">
        <f>SUM('MasterA1(current$)'!V24)/0.44377</f>
        <v>4.5068391283773126</v>
      </c>
      <c r="W30" s="477">
        <f>SUM('MasterA1(current$)'!W24)/0.4852</f>
        <v>10.30502885408079</v>
      </c>
      <c r="X30" s="477">
        <f>SUM('MasterA1(current$)'!X24)/0.5153</f>
        <v>7.7624684649718612</v>
      </c>
      <c r="Y30" s="477">
        <f>SUM('MasterA1(current$)'!Y24)/0.53565</f>
        <v>9.3344534677494639</v>
      </c>
      <c r="Z30" s="477">
        <f>SUM('MasterA1(current$)'!Z24)/0.55466</f>
        <v>9.0145314246565462</v>
      </c>
      <c r="AA30" s="477">
        <f>SUM('MasterA1(current$)'!AA24)/0.5724</f>
        <v>12.22921034241789</v>
      </c>
      <c r="AB30" s="477">
        <f>SUM('MasterA1(current$)'!AB24)/0.58395</f>
        <v>10.274852298998203</v>
      </c>
      <c r="AC30" s="477">
        <f>SUM('MasterA1(current$)'!AC24)/0.59885</f>
        <v>10.019203473323872</v>
      </c>
      <c r="AD30" s="477">
        <f>SUM('MasterA1(current$)'!AD24)/0.61982</f>
        <v>11.293601368139136</v>
      </c>
      <c r="AE30" s="477">
        <f>SUM('MasterA1(current$)'!AE24)/0.64392</f>
        <v>10.870915641694619</v>
      </c>
      <c r="AF30" s="915">
        <f>SUM('MasterA1(current$)'!AF24)/0.66773</f>
        <v>7.4880565498030638</v>
      </c>
      <c r="AG30" s="477">
        <f>SUM('MasterA1(current$)'!AG24)/0.68996</f>
        <v>11.594875065221173</v>
      </c>
      <c r="AH30" s="477">
        <f>SUM('MasterA1(current$)'!AH24)/0.70569</f>
        <v>9.9193696949085286</v>
      </c>
      <c r="AI30" s="477">
        <f>SUM('MasterA1(current$)'!AI24)/0.72248</f>
        <v>11.07297087808659</v>
      </c>
      <c r="AJ30" s="477">
        <f>SUM('MasterA1(current$)'!AJ24)/0.73785</f>
        <v>18.974046215355425</v>
      </c>
      <c r="AK30" s="477">
        <f>SUM('MasterA1(current$)'!AK24)/0.75324</f>
        <v>27.879560299506132</v>
      </c>
      <c r="AL30" s="477">
        <f>SUM('MasterA1(current$)'!AL24)/0.76699</f>
        <v>33.898747050157112</v>
      </c>
      <c r="AM30" s="477">
        <f>SUM('MasterA1(current$)'!AM24)/0.78012</f>
        <v>38.455622211967388</v>
      </c>
      <c r="AN30" s="477">
        <f>SUM('MasterA1(current$)'!AN24)/0.78859</f>
        <v>40.578754485854496</v>
      </c>
      <c r="AO30" s="477">
        <f>SUM('MasterA1(current$)'!AO24)/0.80065</f>
        <v>41.216511584337724</v>
      </c>
      <c r="AP30" s="929">
        <f>SUM('MasterA1(current$)'!AP24)/0.81887</f>
        <v>155.09177280887076</v>
      </c>
      <c r="AQ30" s="448">
        <f>SUM('MasterA1(current$)'!AQ24)/0.83754</f>
        <v>142.08276619624138</v>
      </c>
      <c r="AR30" s="448">
        <f>SUM('MasterA1(current$)'!AR24)/0.85039</f>
        <v>155.22289772927715</v>
      </c>
      <c r="AS30" s="448">
        <f>SUM('MasterA1(current$)'!AS24)/0.86735</f>
        <v>145.27007551738055</v>
      </c>
      <c r="AT30" s="448">
        <f>SUM('MasterA1(current$)'!AT24)/0.8912</f>
        <v>181.77737881508079</v>
      </c>
      <c r="AU30" s="448">
        <f>SUM('MasterA1(current$)'!AU24)/0.91988</f>
        <v>207.63577857981474</v>
      </c>
      <c r="AV30" s="128">
        <f>SUM(AV27:AV29)</f>
        <v>201.44704368553167</v>
      </c>
      <c r="AW30" s="128">
        <f>SUM(AW27:AW29)</f>
        <v>222.9368071750722</v>
      </c>
      <c r="AX30" s="781">
        <f>SUM(AX27:AX29)</f>
        <v>226.70938879148784</v>
      </c>
      <c r="AY30" s="496">
        <f>SUM('MasterA1(current$)'!AY24)</f>
        <v>174</v>
      </c>
      <c r="AZ30" s="635">
        <f>SUM('MasterA1(current$)'!AZ24*100)/101.221</f>
        <v>182.76839786210371</v>
      </c>
      <c r="BA30" s="406">
        <f>SUM('MasterA1(current$)'!BA24*100)/103.311</f>
        <v>175.19915594660782</v>
      </c>
      <c r="BB30" s="406">
        <f>SUM('MasterA1(current$)'!BB24*100)/105.214</f>
        <v>147.3187978786093</v>
      </c>
      <c r="BC30" s="406">
        <f>SUM('MasterA1(current$)'!BC24*100)/106.913</f>
        <v>123.46487330820388</v>
      </c>
      <c r="BD30" s="406">
        <f>SUM('MasterA1(current$)'!BD24*100)/108.832</f>
        <v>119.45016171714202</v>
      </c>
      <c r="BE30" s="406">
        <f>SUM('MasterA1(current$)'!BE24*100)/110.012</f>
        <v>109.98800130894811</v>
      </c>
      <c r="BF30" s="635">
        <f>SUM('MasterA1(current$)'!BF24*100)/111.416</f>
        <v>96.036475910102681</v>
      </c>
      <c r="BG30" s="635">
        <f>SUM('MasterA1(current$)'!BG24*100)/113.116</f>
        <v>98.129353937550832</v>
      </c>
      <c r="BH30" s="635">
        <f>SUM('MasterA1(current$)'!BH24*100)/114.716</f>
        <v>99.375849925032256</v>
      </c>
      <c r="BI30" s="635">
        <f>SUM('MasterA1(current$)'!BI24*100)/116.416</f>
        <v>110.80951072017592</v>
      </c>
      <c r="BJ30" s="872">
        <f>(BH30-BG30)/BG30</f>
        <v>1.2702580190986376E-2</v>
      </c>
      <c r="BK30" s="872">
        <f>(BI30-BH30)/BH30</f>
        <v>0.11505472208558779</v>
      </c>
      <c r="BL30" s="567">
        <f>BH30-BG30</f>
        <v>1.2464959874814241</v>
      </c>
      <c r="BM30" s="567">
        <f>BI30-BH30</f>
        <v>11.433660795143666</v>
      </c>
      <c r="BN30" s="112"/>
      <c r="BO30" s="112"/>
      <c r="BP30" s="620"/>
      <c r="BQ30" s="620"/>
    </row>
    <row r="31" spans="1:93" ht="11.25" customHeight="1">
      <c r="A31" s="115"/>
      <c r="B31" s="636"/>
      <c r="C31" s="33"/>
      <c r="D31" s="33"/>
      <c r="E31" s="47"/>
      <c r="F31" s="47"/>
      <c r="G31" s="47"/>
      <c r="H31" s="47"/>
      <c r="I31" s="679"/>
      <c r="J31" s="47"/>
      <c r="K31" s="47"/>
      <c r="L31" s="281"/>
      <c r="M31" s="47"/>
      <c r="N31" s="47"/>
      <c r="O31" s="47"/>
      <c r="P31" s="47"/>
      <c r="Q31" s="47"/>
      <c r="R31" s="47"/>
      <c r="S31" s="47"/>
      <c r="T31" s="47"/>
      <c r="U31" s="47"/>
      <c r="V31" s="281"/>
      <c r="W31" s="47"/>
      <c r="X31" s="47"/>
      <c r="Y31" s="47"/>
      <c r="Z31" s="47"/>
      <c r="AA31" s="47"/>
      <c r="AB31" s="47"/>
      <c r="AC31" s="47"/>
      <c r="AD31" s="47"/>
      <c r="AE31" s="47"/>
      <c r="AF31" s="281"/>
      <c r="AG31" s="47"/>
      <c r="AH31" s="47"/>
      <c r="AI31" s="47"/>
      <c r="AJ31" s="47"/>
      <c r="AK31" s="47"/>
      <c r="AL31" s="47"/>
      <c r="AM31" s="47"/>
      <c r="AN31" s="47"/>
      <c r="AO31" s="47"/>
      <c r="AP31" s="281"/>
      <c r="AQ31" s="47"/>
      <c r="AR31" s="47"/>
      <c r="AS31" s="47"/>
      <c r="AT31" s="47"/>
      <c r="AU31" s="47"/>
      <c r="AV31" s="47"/>
      <c r="AW31" s="47"/>
      <c r="AX31" s="47"/>
      <c r="AY31" s="47"/>
      <c r="AZ31" s="281"/>
      <c r="BA31" s="47"/>
      <c r="BB31" s="47"/>
      <c r="BC31" s="47"/>
      <c r="BD31" s="47"/>
      <c r="BE31" s="47"/>
      <c r="BF31" s="281"/>
      <c r="BG31" s="281"/>
      <c r="BH31" s="281"/>
      <c r="BI31" s="281"/>
      <c r="BJ31" s="871"/>
      <c r="BK31" s="871"/>
      <c r="BL31" s="565"/>
      <c r="BM31" s="565"/>
      <c r="BP31" s="620"/>
      <c r="BQ31" s="620"/>
    </row>
    <row r="32" spans="1:93" ht="11.25" customHeight="1">
      <c r="A32" s="116" t="s">
        <v>34</v>
      </c>
      <c r="B32" s="636"/>
      <c r="C32" s="33"/>
      <c r="D32" s="33"/>
      <c r="E32" s="47"/>
      <c r="F32" s="47"/>
      <c r="G32" s="47"/>
      <c r="H32" s="47"/>
      <c r="I32" s="47"/>
      <c r="J32" s="47"/>
      <c r="K32" s="47"/>
      <c r="L32" s="281"/>
      <c r="M32" s="47"/>
      <c r="N32" s="47"/>
      <c r="O32" s="47"/>
      <c r="P32" s="47"/>
      <c r="Q32" s="47"/>
      <c r="R32" s="47"/>
      <c r="S32" s="47"/>
      <c r="T32" s="47"/>
      <c r="U32" s="47"/>
      <c r="V32" s="281"/>
      <c r="W32" s="47"/>
      <c r="X32" s="47"/>
      <c r="Y32" s="47"/>
      <c r="Z32" s="47"/>
      <c r="AA32" s="47"/>
      <c r="AB32" s="47"/>
      <c r="AC32" s="47"/>
      <c r="AD32" s="47"/>
      <c r="AE32" s="47"/>
      <c r="AF32" s="281"/>
      <c r="AG32" s="47"/>
      <c r="AH32" s="47"/>
      <c r="AI32" s="47"/>
      <c r="AJ32" s="47"/>
      <c r="AK32" s="47"/>
      <c r="AL32" s="47"/>
      <c r="AM32" s="47"/>
      <c r="AN32" s="47"/>
      <c r="AO32" s="47"/>
      <c r="AP32" s="217"/>
      <c r="AQ32" s="152"/>
      <c r="AR32" s="152"/>
      <c r="AS32" s="152"/>
      <c r="AT32" s="152"/>
      <c r="AU32" s="152"/>
      <c r="AV32" s="89"/>
      <c r="AW32" s="89"/>
      <c r="AX32" s="89"/>
      <c r="AY32" s="404"/>
      <c r="AZ32" s="634"/>
      <c r="BA32" s="404"/>
      <c r="BB32" s="404"/>
      <c r="BC32" s="404"/>
      <c r="BD32" s="404"/>
      <c r="BE32" s="404"/>
      <c r="BF32" s="634"/>
      <c r="BG32" s="634"/>
      <c r="BH32" s="634"/>
      <c r="BI32" s="634"/>
      <c r="BJ32" s="871"/>
      <c r="BK32" s="871"/>
      <c r="BL32" s="565"/>
      <c r="BM32" s="565"/>
      <c r="BP32" s="620"/>
      <c r="BQ32" s="620"/>
    </row>
    <row r="33" spans="1:69" ht="11.25" customHeight="1">
      <c r="A33" s="115" t="s">
        <v>88</v>
      </c>
      <c r="B33" s="810" t="s">
        <v>3</v>
      </c>
      <c r="C33" s="45" t="s">
        <v>3</v>
      </c>
      <c r="D33" s="45" t="s">
        <v>3</v>
      </c>
      <c r="E33" s="220" t="s">
        <v>3</v>
      </c>
      <c r="F33" s="220" t="s">
        <v>3</v>
      </c>
      <c r="G33" s="220" t="s">
        <v>3</v>
      </c>
      <c r="H33" s="220" t="s">
        <v>3</v>
      </c>
      <c r="I33" s="220" t="s">
        <v>3</v>
      </c>
      <c r="J33" s="30">
        <f>SUM('MasterA1(current$)'!J27)/0.20627</f>
        <v>4.8480147379648031</v>
      </c>
      <c r="K33" s="30">
        <f>SUM('MasterA1(current$)'!K27)/0.21642</f>
        <v>9.2412900840957395</v>
      </c>
      <c r="L33" s="270">
        <f>SUM('MasterA1(current$)'!L27)/0.22784</f>
        <v>8.7780898876404496</v>
      </c>
      <c r="M33" s="30">
        <f>SUM('MasterA1(current$)'!M27)/0.23941</f>
        <v>16.707739860490371</v>
      </c>
      <c r="N33" s="30">
        <f>SUM('MasterA1(current$)'!N27)/0.24978</f>
        <v>28.024661702298022</v>
      </c>
      <c r="O33" s="30">
        <f>SUM('MasterA1(current$)'!O27)/0.26337</f>
        <v>37.969396666286976</v>
      </c>
      <c r="P33" s="30">
        <f>SUM('MasterA1(current$)'!P27)/0.28703</f>
        <v>24.387694666062782</v>
      </c>
      <c r="Q33" s="30">
        <f>SUM('MasterA1(current$)'!Q27)/0.31361</f>
        <v>38.264085966646469</v>
      </c>
      <c r="R33" s="30">
        <f>SUM('MasterA1(current$)'!R27)/0.33083</f>
        <v>27.204304325484387</v>
      </c>
      <c r="S33" s="30">
        <f>SUM('MasterA1(current$)'!S27)/0.35135</f>
        <v>25.615483136473603</v>
      </c>
      <c r="T33" s="30">
        <f>SUM('MasterA1(current$)'!T27)/0.37602</f>
        <v>23.934897079942555</v>
      </c>
      <c r="U33" s="30">
        <f>SUM('MasterA1(current$)'!U27)/0.40706</f>
        <v>31.936323883456986</v>
      </c>
      <c r="V33" s="270">
        <f>SUM('MasterA1(current$)'!V27)/0.44377</f>
        <v>29.294454334452531</v>
      </c>
      <c r="W33" s="30">
        <f>SUM('MasterA1(current$)'!W27)/0.4852</f>
        <v>26.793075020610058</v>
      </c>
      <c r="X33" s="30">
        <f>SUM('MasterA1(current$)'!X27)/0.5153</f>
        <v>27.168639627401515</v>
      </c>
      <c r="Y33" s="30">
        <f>SUM('MasterA1(current$)'!Y27)/0.53565</f>
        <v>29.870251096798285</v>
      </c>
      <c r="Z33" s="30">
        <f>SUM('MasterA1(current$)'!Z27)/0.55466</f>
        <v>27.043594273969639</v>
      </c>
      <c r="AA33" s="30">
        <f>SUM('MasterA1(current$)'!AA27)/0.5724</f>
        <v>29.699510831586302</v>
      </c>
      <c r="AB33" s="30">
        <f>SUM('MasterA1(current$)'!AB27)/0.58395</f>
        <v>29.11208151382824</v>
      </c>
      <c r="AC33" s="30">
        <f>SUM('MasterA1(current$)'!AC27)/0.59885</f>
        <v>35.067212156633545</v>
      </c>
      <c r="AD33" s="30">
        <f>SUM('MasterA1(current$)'!AD27)/0.61982</f>
        <v>40.334290600496914</v>
      </c>
      <c r="AE33" s="30">
        <f>SUM('MasterA1(current$)'!AE27)/0.64392</f>
        <v>38.824698720337928</v>
      </c>
      <c r="AF33" s="270">
        <f>SUM('MasterA1(current$)'!AF27)/0.66773</f>
        <v>40.435505368936546</v>
      </c>
      <c r="AG33" s="30">
        <f>SUM('MasterA1(current$)'!AG27)/0.68996</f>
        <v>44.930140877732043</v>
      </c>
      <c r="AH33" s="30">
        <f>SUM('MasterA1(current$)'!AH27)/0.70569</f>
        <v>53.848006915217724</v>
      </c>
      <c r="AI33" s="30">
        <f>SUM('MasterA1(current$)'!AI27)/0.72248</f>
        <v>53.980733030672127</v>
      </c>
      <c r="AJ33" s="30">
        <f>SUM('MasterA1(current$)'!AJ27)/0.73785</f>
        <v>62.343294707596392</v>
      </c>
      <c r="AK33" s="30">
        <f>SUM('MasterA1(current$)'!AK27)/0.75324</f>
        <v>57.086718708512556</v>
      </c>
      <c r="AL33" s="30">
        <f>SUM('MasterA1(current$)'!AL27)/0.76699</f>
        <v>71.70888799071696</v>
      </c>
      <c r="AM33" s="30">
        <f>SUM('MasterA1(current$)'!AM27)/0.78012</f>
        <v>71.783828129005798</v>
      </c>
      <c r="AN33" s="30">
        <f>SUM('MasterA1(current$)'!AN27)/0.78859</f>
        <v>76.085164660977185</v>
      </c>
      <c r="AO33" s="30">
        <f>SUM('MasterA1(current$)'!AO27)/0.80065</f>
        <v>78.686067570099297</v>
      </c>
      <c r="AP33" s="857">
        <f>SUM('MasterA1(current$)'!AP27)/0.81887</f>
        <v>90.368434550050679</v>
      </c>
      <c r="AQ33" s="328">
        <f>SUM('MasterA1(current$)'!AQ27)/0.83754</f>
        <v>89.54796188838742</v>
      </c>
      <c r="AR33" s="328">
        <f>SUM('MasterA1(current$)'!AR27)/0.85039</f>
        <v>90.54669034207835</v>
      </c>
      <c r="AS33" s="328">
        <f>SUM('MasterA1(current$)'!AS27)/0.86735</f>
        <v>93.387905689744628</v>
      </c>
      <c r="AT33" s="328">
        <f>SUM('MasterA1(current$)'!AT27)/0.8912</f>
        <v>100.98743267504489</v>
      </c>
      <c r="AU33" s="328">
        <f>SUM('MasterA1(current$)'!AU27)/0.91988</f>
        <v>136.97438796364742</v>
      </c>
      <c r="AV33" s="330">
        <f>SUM('MasterA1(current$)'!AV27)/0.94814</f>
        <v>165.58736051637945</v>
      </c>
      <c r="AW33" s="330">
        <f>SUM('MasterA1(current$)'!AW27)/0.97337</f>
        <v>165.4047279040858</v>
      </c>
      <c r="AX33" s="330">
        <f>SUM('MasterA1(current$)'!AX27*100)/99.246</f>
        <v>212.60302682223968</v>
      </c>
      <c r="AY33" s="405">
        <f>SUM('MasterA1(current$)'!AY27)</f>
        <v>204</v>
      </c>
      <c r="AZ33" s="637">
        <f>SUM('MasterA1(current$)'!AZ27*100)/101.221</f>
        <v>246.98432143527529</v>
      </c>
      <c r="BA33" s="408">
        <f>SUM('MasterA1(current$)'!BA27*100)/103.311</f>
        <v>253.60319811055936</v>
      </c>
      <c r="BB33" s="408">
        <f>SUM('MasterA1(current$)'!BB27*100)/105.214</f>
        <v>277.52960632615429</v>
      </c>
      <c r="BC33" s="408">
        <f>SUM('MasterA1(current$)'!BC27*100)/106.913</f>
        <v>281.53732474067704</v>
      </c>
      <c r="BD33" s="408">
        <f>SUM('MasterA1(current$)'!BD27*100)/108.832</f>
        <v>296.78770949720672</v>
      </c>
      <c r="BE33" s="408">
        <f>SUM('MasterA1(current$)'!BE27*100)/110.012</f>
        <v>289.96836708722685</v>
      </c>
      <c r="BF33" s="637">
        <f>SUM('MasterA1(current$)'!BF27*100)/111.416</f>
        <v>309.65031952322829</v>
      </c>
      <c r="BG33" s="637">
        <f>SUM('MasterA1(current$)'!BG27*100)/113.116</f>
        <v>334.17023232787579</v>
      </c>
      <c r="BH33" s="637">
        <f>SUM('MasterA1(current$)'!BH27*100)/114.716</f>
        <v>356.53265455559819</v>
      </c>
      <c r="BI33" s="637">
        <f>SUM('MasterA1(current$)'!BI27*100)/116.416</f>
        <v>356.4802089059923</v>
      </c>
      <c r="BJ33" s="410">
        <f>(BH33-BG33)/BG33</f>
        <v>6.6919252717223446E-2</v>
      </c>
      <c r="BK33" s="410">
        <f>(BI33-BH33)/BH33</f>
        <v>-1.4709914768187832E-4</v>
      </c>
      <c r="BL33" s="564">
        <f t="shared" ref="BL33:BM36" si="2">BH33-BG33</f>
        <v>22.362422227722391</v>
      </c>
      <c r="BM33" s="564">
        <f t="shared" si="2"/>
        <v>-5.2445649605886047E-2</v>
      </c>
      <c r="BN33" s="112"/>
      <c r="BO33" s="112"/>
      <c r="BP33" s="620"/>
      <c r="BQ33" s="620"/>
    </row>
    <row r="34" spans="1:69" ht="11.25" customHeight="1">
      <c r="A34" s="119" t="s">
        <v>117</v>
      </c>
      <c r="B34" s="177"/>
      <c r="C34"/>
      <c r="D34"/>
      <c r="L34" s="281"/>
      <c r="M34" s="47"/>
      <c r="N34" s="47"/>
      <c r="O34" s="47"/>
      <c r="P34" s="47"/>
      <c r="Q34" s="47"/>
      <c r="R34" s="47"/>
      <c r="S34" s="47"/>
      <c r="T34" s="47"/>
      <c r="U34" s="47"/>
      <c r="V34" s="281"/>
      <c r="W34" s="47"/>
      <c r="X34" s="47"/>
      <c r="Y34" s="47"/>
      <c r="Z34" s="47"/>
      <c r="AA34" s="47"/>
      <c r="AB34" s="47"/>
      <c r="AC34" s="47"/>
      <c r="AD34" s="47"/>
      <c r="AE34" s="47"/>
      <c r="AF34" s="281"/>
      <c r="AG34" s="47"/>
      <c r="AH34" s="47"/>
      <c r="AI34" s="47"/>
      <c r="AJ34" s="47"/>
      <c r="AK34" s="47"/>
      <c r="AL34" s="47"/>
      <c r="AM34" s="152"/>
      <c r="AN34" s="152"/>
      <c r="AO34" s="152"/>
      <c r="AP34" s="271"/>
      <c r="AQ34" s="172"/>
      <c r="AR34" s="172"/>
      <c r="AS34" s="172"/>
      <c r="AT34" s="172"/>
      <c r="AU34" s="172"/>
      <c r="AV34" s="330"/>
      <c r="AW34" s="330"/>
      <c r="AX34" s="330"/>
      <c r="AY34" s="405">
        <f>SUM('MasterA1(current$)'!AY28)</f>
        <v>0</v>
      </c>
      <c r="AZ34" s="637"/>
      <c r="BA34" s="408"/>
      <c r="BB34" s="408"/>
      <c r="BC34" s="408"/>
      <c r="BD34" s="408"/>
      <c r="BE34" s="408"/>
      <c r="BF34" s="637"/>
      <c r="BG34" s="637"/>
      <c r="BH34" s="637"/>
      <c r="BI34" s="637"/>
      <c r="BJ34" s="871"/>
      <c r="BK34" s="871"/>
      <c r="BL34" s="564">
        <f t="shared" si="2"/>
        <v>0</v>
      </c>
      <c r="BM34" s="564">
        <f t="shared" si="2"/>
        <v>0</v>
      </c>
      <c r="BN34" s="112"/>
      <c r="BO34" s="112"/>
      <c r="BP34" s="620"/>
      <c r="BQ34" s="620"/>
    </row>
    <row r="35" spans="1:69" ht="11.25" customHeight="1">
      <c r="A35" s="119" t="s">
        <v>89</v>
      </c>
      <c r="B35" s="667">
        <f>SUM('MasterA1(current$)'!B29)/0.1756</f>
        <v>153.75854214123007</v>
      </c>
      <c r="C35" s="49">
        <f>SUM('MasterA1(current$)'!C29)/0.178</f>
        <v>162.92134831460675</v>
      </c>
      <c r="D35" s="49">
        <f>SUM('MasterA1(current$)'!D29)/0.1798</f>
        <v>166.85205784204672</v>
      </c>
      <c r="E35" s="30">
        <f>SUM('MasterA1(current$)'!E29)/0.182</f>
        <v>175.82417582417582</v>
      </c>
      <c r="F35" s="30">
        <f>SUM('MasterA1(current$)'!F29)/0.1842</f>
        <v>179.15309446254071</v>
      </c>
      <c r="G35" s="30">
        <f>SUM('MasterA1(current$)'!G29)/0.18702</f>
        <v>176.45171639396855</v>
      </c>
      <c r="H35" s="30">
        <f>SUM('MasterA1(current$)'!H29)/0.19227</f>
        <v>182.03567899308266</v>
      </c>
      <c r="I35" s="30">
        <f>SUM('MasterA1(current$)'!I29)/0.19786</f>
        <v>187.00090973415544</v>
      </c>
      <c r="J35" s="30">
        <f>SUM('MasterA1(current$)'!J29)/0.20627</f>
        <v>174.52853056673291</v>
      </c>
      <c r="K35" s="30">
        <f>SUM('MasterA1(current$)'!K29)/0.21642</f>
        <v>189.44644672396265</v>
      </c>
      <c r="L35" s="270">
        <f>SUM('MasterA1(current$)'!L29)/0.22784</f>
        <v>215.06320224719101</v>
      </c>
      <c r="M35" s="30">
        <f>SUM('MasterA1(current$)'!M29)/0.23941</f>
        <v>242.26222797711037</v>
      </c>
      <c r="N35" s="30">
        <f>SUM('MasterA1(current$)'!N29)/0.24978</f>
        <v>280.24661702298022</v>
      </c>
      <c r="O35" s="30">
        <f>SUM('MasterA1(current$)'!O29)/0.26337</f>
        <v>265.78577666400884</v>
      </c>
      <c r="P35" s="30">
        <f>SUM('MasterA1(current$)'!P29)/0.28703</f>
        <v>275.23255408842283</v>
      </c>
      <c r="Q35" s="30">
        <f>SUM('MasterA1(current$)'!Q29)/0.31361</f>
        <v>302.9240139026179</v>
      </c>
      <c r="R35" s="30">
        <f>SUM('MasterA1(current$)'!R29)/0.33083</f>
        <v>314.36084998337515</v>
      </c>
      <c r="S35" s="30">
        <f>SUM('MasterA1(current$)'!S29)/0.35135</f>
        <v>335.84744556709836</v>
      </c>
      <c r="T35" s="30">
        <f>SUM('MasterA1(current$)'!T29)/0.37602</f>
        <v>343.0668581458433</v>
      </c>
      <c r="U35" s="30">
        <f>SUM('MasterA1(current$)'!U29)/0.40706</f>
        <v>324.27651943202477</v>
      </c>
      <c r="V35" s="270">
        <f>SUM('MasterA1(current$)'!V29)/0.44377</f>
        <v>331.2526759357325</v>
      </c>
      <c r="W35" s="30">
        <f>SUM('MasterA1(current$)'!W29)/0.4852</f>
        <v>305.0288540807914</v>
      </c>
      <c r="X35" s="30">
        <f>SUM('MasterA1(current$)'!X29)/0.5153</f>
        <v>267.80516204152923</v>
      </c>
      <c r="Y35" s="30">
        <f>SUM('MasterA1(current$)'!Y29)/0.53565</f>
        <v>270.69915056473445</v>
      </c>
      <c r="Z35" s="30">
        <f>SUM('MasterA1(current$)'!Z29)/0.55466</f>
        <v>288.46500558900948</v>
      </c>
      <c r="AA35" s="30">
        <f>SUM('MasterA1(current$)'!AA29)/0.5724</f>
        <v>296.99510831586304</v>
      </c>
      <c r="AB35" s="30">
        <f>SUM('MasterA1(current$)'!AB29)/0.58395</f>
        <v>285.9833889887833</v>
      </c>
      <c r="AC35" s="30">
        <f>SUM('MasterA1(current$)'!AC29)/0.59885</f>
        <v>300.5761041997161</v>
      </c>
      <c r="AD35" s="30">
        <f>SUM('MasterA1(current$)'!AD29)/0.61982</f>
        <v>345.26152754025361</v>
      </c>
      <c r="AE35" s="30">
        <f>SUM('MasterA1(current$)'!AE29)/0.64392</f>
        <v>369.61113181761709</v>
      </c>
      <c r="AF35" s="270">
        <f>SUM('MasterA1(current$)'!AF29)/0.66773</f>
        <v>408.84788761924727</v>
      </c>
      <c r="AG35" s="30">
        <f>SUM('MasterA1(current$)'!AG29)/0.68996</f>
        <v>457.9975650762363</v>
      </c>
      <c r="AH35" s="30">
        <f>SUM('MasterA1(current$)'!AH29)/0.70569</f>
        <v>497.38553755898482</v>
      </c>
      <c r="AI35" s="30">
        <f>SUM('MasterA1(current$)'!AI29)/0.72248</f>
        <v>545.34381574576457</v>
      </c>
      <c r="AJ35" s="30">
        <f>SUM('MasterA1(current$)'!AJ29)/0.73785</f>
        <v>551.60262926068981</v>
      </c>
      <c r="AK35" s="30">
        <f>SUM('MasterA1(current$)'!AK29)/0.75324</f>
        <v>524.40125325261533</v>
      </c>
      <c r="AL35" s="30">
        <f>SUM('MasterA1(current$)'!AL29)/0.76699</f>
        <v>539.77235687557857</v>
      </c>
      <c r="AM35" s="30">
        <f>SUM('MasterA1(current$)'!AM29)/0.78012</f>
        <v>626.82664205506842</v>
      </c>
      <c r="AN35" s="30">
        <f>SUM('MasterA1(current$)'!AN29)/0.78859</f>
        <v>615.02174767623228</v>
      </c>
      <c r="AO35" s="30">
        <f>SUM('MasterA1(current$)'!AO29)/0.80065</f>
        <v>696.93374133516522</v>
      </c>
      <c r="AP35" s="857">
        <f>SUM('MasterA1(current$)'!AP29)/0.81887</f>
        <v>677.76325912538016</v>
      </c>
      <c r="AQ35" s="328">
        <f>SUM('MasterA1(current$)'!AQ29)/0.83754</f>
        <v>835.78097762494929</v>
      </c>
      <c r="AR35" s="328">
        <f>SUM('MasterA1(current$)'!AR29)/0.85039</f>
        <v>923.10586907183767</v>
      </c>
      <c r="AS35" s="328">
        <f>SUM('MasterA1(current$)'!AS29)/0.86735</f>
        <v>954.6319248285007</v>
      </c>
      <c r="AT35" s="328">
        <f>SUM('MasterA1(current$)'!AT29)/0.8912</f>
        <v>1000.8976660682226</v>
      </c>
      <c r="AU35" s="328">
        <f>SUM('MasterA1(current$)'!AU29)/0.91988</f>
        <v>981.64978040613994</v>
      </c>
      <c r="AV35" s="234">
        <f>SUM('MasterA1(current$)'!AV29)/0.94814</f>
        <v>1025.1650600122346</v>
      </c>
      <c r="AW35" s="234">
        <f>SUM('MasterA1(current$)'!AW29)/0.97337</f>
        <v>1030.4406340857022</v>
      </c>
      <c r="AX35" s="234">
        <f>SUM('MasterA1(current$)'!AX29*100)/99.246</f>
        <v>1018.6808536364186</v>
      </c>
      <c r="AY35" s="405">
        <f>SUM('MasterA1(current$)'!AY29)</f>
        <v>1124</v>
      </c>
      <c r="AZ35" s="637">
        <f>SUM('MasterA1(current$)'!AZ29*100)/101.221</f>
        <v>1218.1266733187776</v>
      </c>
      <c r="BA35" s="408">
        <f>SUM('MasterA1(current$)'!BA29*100)/103.311</f>
        <v>1180.9003881484061</v>
      </c>
      <c r="BB35" s="405">
        <f>SUM('MasterA1(current$)'!BB29*100)/105.214</f>
        <v>1170.9468321706238</v>
      </c>
      <c r="BC35" s="405">
        <f>SUM('MasterA1(current$)'!BC29*100)/106.913</f>
        <v>1145.791437898104</v>
      </c>
      <c r="BD35" s="405">
        <f>SUM('MasterA1(current$)'!BD29*100)/108.832</f>
        <v>1105.3734195824759</v>
      </c>
      <c r="BE35" s="405">
        <f>SUM('MasterA1(current$)'!BE29*100)/110.012</f>
        <v>1173.5083445442315</v>
      </c>
      <c r="BF35" s="536">
        <f>SUM('MasterA1(current$)'!BF29*100)/111.416</f>
        <v>1205.3924032454945</v>
      </c>
      <c r="BG35" s="536">
        <f>SUM('MasterA1(current$)'!BG29*100)/113.116</f>
        <v>1183.7405848863114</v>
      </c>
      <c r="BH35" s="536">
        <f>SUM('MasterA1(current$)'!BH29*100)/114.716</f>
        <v>1175.0758394644165</v>
      </c>
      <c r="BI35" s="536">
        <f>SUM('MasterA1(current$)'!BI29*100)/116.416</f>
        <v>1218.9046179219351</v>
      </c>
      <c r="BJ35" s="410">
        <f>(BH35-BG35)/BG35</f>
        <v>-7.3198009196643607E-3</v>
      </c>
      <c r="BK35" s="410">
        <f>(BI35-BH35)/BH35</f>
        <v>3.7298680634515635E-2</v>
      </c>
      <c r="BL35" s="564">
        <f t="shared" si="2"/>
        <v>-8.6647454218948496</v>
      </c>
      <c r="BM35" s="564">
        <f t="shared" si="2"/>
        <v>43.828778457518638</v>
      </c>
      <c r="BN35" s="112"/>
      <c r="BO35" s="112"/>
      <c r="BP35" s="620"/>
      <c r="BQ35" s="620"/>
    </row>
    <row r="36" spans="1:69" ht="11.25" customHeight="1">
      <c r="A36" s="118" t="s">
        <v>31</v>
      </c>
      <c r="B36" s="895">
        <f>SUM('MasterA1(current$)'!B30)/0.1756</f>
        <v>153.75854214123007</v>
      </c>
      <c r="C36" s="138">
        <f>SUM('MasterA1(current$)'!C30)/0.178</f>
        <v>162.92134831460675</v>
      </c>
      <c r="D36" s="138">
        <f>SUM('MasterA1(current$)'!D30)/0.1798</f>
        <v>166.85205784204672</v>
      </c>
      <c r="E36" s="474">
        <f>SUM('MasterA1(current$)'!E30)/0.182</f>
        <v>175.82417582417582</v>
      </c>
      <c r="F36" s="474">
        <f>SUM('MasterA1(current$)'!F30)/0.1842</f>
        <v>179.15309446254071</v>
      </c>
      <c r="G36" s="474">
        <f>SUM('MasterA1(current$)'!G30)/0.18702</f>
        <v>176.45171639396855</v>
      </c>
      <c r="H36" s="474">
        <f>SUM('MasterA1(current$)'!H30)/0.19227</f>
        <v>182.03567899308266</v>
      </c>
      <c r="I36" s="474">
        <f>SUM('MasterA1(current$)'!I30)/0.19786</f>
        <v>187.00090973415544</v>
      </c>
      <c r="J36" s="474">
        <f>SUM('MasterA1(current$)'!J30)/0.20627</f>
        <v>179.37654530469771</v>
      </c>
      <c r="K36" s="474">
        <f>SUM('MasterA1(current$)'!K30)/0.21642</f>
        <v>198.68773680805842</v>
      </c>
      <c r="L36" s="911">
        <f>SUM('MasterA1(current$)'!L30)/0.22784</f>
        <v>223.84129213483146</v>
      </c>
      <c r="M36" s="474">
        <f>SUM('MasterA1(current$)'!M30)/0.23941</f>
        <v>258.96996783760073</v>
      </c>
      <c r="N36" s="474">
        <f>SUM('MasterA1(current$)'!N30)/0.24978</f>
        <v>308.27127872527825</v>
      </c>
      <c r="O36" s="474">
        <f>SUM('MasterA1(current$)'!O30)/0.26337</f>
        <v>303.7551733302958</v>
      </c>
      <c r="P36" s="474">
        <f>SUM('MasterA1(current$)'!P30)/0.28703</f>
        <v>299.6202487544856</v>
      </c>
      <c r="Q36" s="474">
        <f>SUM('MasterA1(current$)'!Q30)/0.31361</f>
        <v>341.18809986926436</v>
      </c>
      <c r="R36" s="474">
        <f>SUM('MasterA1(current$)'!R30)/0.33083</f>
        <v>341.56515430885952</v>
      </c>
      <c r="S36" s="474">
        <f>SUM('MasterA1(current$)'!S30)/0.35135</f>
        <v>361.46292870357195</v>
      </c>
      <c r="T36" s="474">
        <f>SUM('MasterA1(current$)'!T30)/0.37602</f>
        <v>367.00175522578581</v>
      </c>
      <c r="U36" s="449">
        <f>SUM('MasterA1(current$)'!U30)/0.40706</f>
        <v>356.21284331548179</v>
      </c>
      <c r="V36" s="911">
        <f>SUM('MasterA1(current$)'!V30)/0.44377</f>
        <v>360.54713027018499</v>
      </c>
      <c r="W36" s="474">
        <f>SUM('MasterA1(current$)'!W30)/0.4852</f>
        <v>331.82192910140145</v>
      </c>
      <c r="X36" s="474">
        <f>SUM('MasterA1(current$)'!X30)/0.5153</f>
        <v>294.97380166893072</v>
      </c>
      <c r="Y36" s="474">
        <f>SUM('MasterA1(current$)'!Y30)/0.53565</f>
        <v>300.56940166153277</v>
      </c>
      <c r="Z36" s="474">
        <f>SUM('MasterA1(current$)'!Z30)/0.55466</f>
        <v>315.50859986297911</v>
      </c>
      <c r="AA36" s="474">
        <f>SUM('MasterA1(current$)'!AA30)/0.5724</f>
        <v>326.69461914744932</v>
      </c>
      <c r="AB36" s="474">
        <f>SUM('MasterA1(current$)'!AB30)/0.58395</f>
        <v>315.09547050261153</v>
      </c>
      <c r="AC36" s="474">
        <f>SUM('MasterA1(current$)'!AC30)/0.59885</f>
        <v>335.64331635634966</v>
      </c>
      <c r="AD36" s="474">
        <f>SUM('MasterA1(current$)'!AD30)/0.61982</f>
        <v>385.59581814075051</v>
      </c>
      <c r="AE36" s="474">
        <f>SUM('MasterA1(current$)'!AE30)/0.64392</f>
        <v>408.43583053795498</v>
      </c>
      <c r="AF36" s="911">
        <f>SUM('MasterA1(current$)'!AF30)/0.66773</f>
        <v>449.28339298818383</v>
      </c>
      <c r="AG36" s="474">
        <f>SUM('MasterA1(current$)'!AG30)/0.68996</f>
        <v>502.92770595396831</v>
      </c>
      <c r="AH36" s="474">
        <f>SUM('MasterA1(current$)'!AH30)/0.70569</f>
        <v>551.23354447420252</v>
      </c>
      <c r="AI36" s="474">
        <f>SUM('MasterA1(current$)'!AI30)/0.72248</f>
        <v>599.3245487764367</v>
      </c>
      <c r="AJ36" s="474">
        <f>SUM('MasterA1(current$)'!AJ30)/0.73785</f>
        <v>613.94592396828625</v>
      </c>
      <c r="AK36" s="474">
        <f>SUM('MasterA1(current$)'!AK30)/0.75324</f>
        <v>581.48797196112787</v>
      </c>
      <c r="AL36" s="474">
        <f>SUM('MasterA1(current$)'!AL30)/0.76699</f>
        <v>611.48124486629558</v>
      </c>
      <c r="AM36" s="474">
        <f>SUM('MasterA1(current$)'!AM30)/0.78012</f>
        <v>698.61047018407419</v>
      </c>
      <c r="AN36" s="474">
        <f>SUM('MasterA1(current$)'!AN30)/0.78859</f>
        <v>691.10691233720945</v>
      </c>
      <c r="AO36" s="474">
        <f>SUM('MasterA1(current$)'!AO30)/0.80065</f>
        <v>775.61980890526445</v>
      </c>
      <c r="AP36" s="930">
        <f>SUM('MasterA1(current$)'!AP30)/0.81887</f>
        <v>768.13169367543082</v>
      </c>
      <c r="AQ36" s="123">
        <f>SUM('MasterA1(current$)'!AQ30)/0.83754</f>
        <v>925.32893951333676</v>
      </c>
      <c r="AR36" s="123">
        <f>SUM('MasterA1(current$)'!AR30)/0.85039</f>
        <v>1013.652559413916</v>
      </c>
      <c r="AS36" s="123">
        <f>SUM('MasterA1(current$)'!AS30)/0.86735</f>
        <v>1048.0198305182453</v>
      </c>
      <c r="AT36" s="123">
        <f>SUM('MasterA1(current$)'!AT30)/0.8912</f>
        <v>1101.8850987432675</v>
      </c>
      <c r="AU36" s="123">
        <f>SUM('MasterA1(current$)'!AU30)/0.91988</f>
        <v>1118.6241683697874</v>
      </c>
      <c r="AV36" s="128">
        <f>SUM('MasterA1(current$)'!AV30)/0.94814</f>
        <v>1190.752420528614</v>
      </c>
      <c r="AW36" s="128">
        <f>SUM('MasterA1(current$)'!AW30)/0.97337</f>
        <v>1195.8453619897882</v>
      </c>
      <c r="AX36" s="781">
        <f>SUM('MasterA1(current$)'!AX30*100)/99.246</f>
        <v>1231.2838804586584</v>
      </c>
      <c r="AY36" s="496">
        <f>SUM('MasterA1(current$)'!AY30)</f>
        <v>1328</v>
      </c>
      <c r="AZ36" s="635">
        <f>SUM('MasterA1(current$)'!AZ30*100)/101.221</f>
        <v>1465.1109947540529</v>
      </c>
      <c r="BA36" s="406">
        <f>SUM('MasterA1(current$)'!BA30*100)/103.311</f>
        <v>1434.5035862589655</v>
      </c>
      <c r="BB36" s="406">
        <f>SUM('MasterA1(current$)'!BB30*100)/105.214</f>
        <v>1448.476438496778</v>
      </c>
      <c r="BC36" s="406">
        <f>SUM('MasterA1(current$)'!BC30*100)/106.913</f>
        <v>1427.3287626387812</v>
      </c>
      <c r="BD36" s="406">
        <f>SUM('MasterA1(current$)'!BD30*100)/108.832</f>
        <v>1402.1611290796825</v>
      </c>
      <c r="BE36" s="406">
        <f>SUM('MasterA1(current$)'!BE30*100)/110.012</f>
        <v>1463.4767116314583</v>
      </c>
      <c r="BF36" s="635">
        <f>SUM('MasterA1(current$)'!BF30*100)/111.416</f>
        <v>1515.0427227687226</v>
      </c>
      <c r="BG36" s="635">
        <f>SUM('MasterA1(current$)'!BG30*100)/113.116</f>
        <v>1517.9108172141873</v>
      </c>
      <c r="BH36" s="635">
        <f>SUM('MasterA1(current$)'!BH30*100)/114.716</f>
        <v>1531.6084940200146</v>
      </c>
      <c r="BI36" s="635">
        <f>SUM('MasterA1(current$)'!BI30*100)/116.416</f>
        <v>1575.3848268279276</v>
      </c>
      <c r="BJ36" s="872">
        <f>(BH36-BG36)/BG36</f>
        <v>9.0240326707510914E-3</v>
      </c>
      <c r="BK36" s="872">
        <f>(BI36-BH36)/BH36</f>
        <v>2.858193394645725E-2</v>
      </c>
      <c r="BL36" s="567">
        <f t="shared" si="2"/>
        <v>13.697676805827314</v>
      </c>
      <c r="BM36" s="567">
        <f t="shared" si="2"/>
        <v>43.776332807912922</v>
      </c>
      <c r="BN36" s="112"/>
      <c r="BO36" s="112"/>
      <c r="BP36" s="620"/>
      <c r="BQ36" s="620"/>
    </row>
    <row r="37" spans="1:69" ht="6" customHeight="1">
      <c r="A37" s="115"/>
      <c r="B37" s="667"/>
      <c r="C37" s="49"/>
      <c r="D37" s="49"/>
      <c r="E37" s="30"/>
      <c r="F37" s="30"/>
      <c r="G37" s="30"/>
      <c r="H37" s="30"/>
      <c r="I37" s="30"/>
      <c r="J37" s="30"/>
      <c r="K37" s="30"/>
      <c r="L37" s="270"/>
      <c r="M37" s="30"/>
      <c r="N37" s="30"/>
      <c r="O37" s="30"/>
      <c r="P37" s="30"/>
      <c r="Q37" s="30"/>
      <c r="R37" s="30"/>
      <c r="S37" s="30"/>
      <c r="T37" s="30"/>
      <c r="U37" s="30"/>
      <c r="V37" s="270"/>
      <c r="W37" s="30"/>
      <c r="X37" s="30"/>
      <c r="Y37" s="30"/>
      <c r="Z37" s="30"/>
      <c r="AA37" s="30"/>
      <c r="AB37" s="30"/>
      <c r="AC37" s="30"/>
      <c r="AD37" s="30"/>
      <c r="AE37" s="30"/>
      <c r="AF37" s="270"/>
      <c r="AG37" s="30"/>
      <c r="AH37" s="30"/>
      <c r="AI37" s="30"/>
      <c r="AJ37" s="30"/>
      <c r="AK37" s="30"/>
      <c r="AL37" s="30"/>
      <c r="AM37" s="30"/>
      <c r="AN37" s="30"/>
      <c r="AO37" s="30"/>
      <c r="AP37" s="857"/>
      <c r="AQ37" s="328"/>
      <c r="AR37" s="328"/>
      <c r="AS37" s="328"/>
      <c r="AT37" s="328"/>
      <c r="AU37" s="328"/>
      <c r="AV37" s="89"/>
      <c r="AW37" s="89"/>
      <c r="AX37" s="89"/>
      <c r="AY37" s="404"/>
      <c r="AZ37" s="634"/>
      <c r="BA37" s="404"/>
      <c r="BB37" s="404"/>
      <c r="BC37" s="404"/>
      <c r="BD37" s="404"/>
      <c r="BE37" s="404"/>
      <c r="BF37" s="634"/>
      <c r="BG37" s="634"/>
      <c r="BH37" s="634"/>
      <c r="BI37" s="634"/>
      <c r="BJ37" s="871"/>
      <c r="BK37" s="871"/>
      <c r="BL37" s="565"/>
      <c r="BM37" s="565"/>
      <c r="BP37" s="620"/>
      <c r="BQ37" s="620"/>
    </row>
    <row r="38" spans="1:69" ht="14.25" customHeight="1">
      <c r="A38" s="116" t="s">
        <v>73</v>
      </c>
      <c r="B38" s="634"/>
      <c r="C38" s="404"/>
      <c r="D38" s="404"/>
      <c r="E38" s="404"/>
      <c r="F38" s="404"/>
      <c r="G38" s="404"/>
      <c r="H38" s="404"/>
      <c r="I38" s="404"/>
      <c r="J38" s="404"/>
      <c r="K38" s="404"/>
      <c r="L38" s="634"/>
      <c r="M38" s="404"/>
      <c r="N38" s="404"/>
      <c r="O38" s="404"/>
      <c r="P38" s="404"/>
      <c r="Q38" s="404"/>
      <c r="R38" s="404"/>
      <c r="S38" s="404"/>
      <c r="T38" s="404"/>
      <c r="U38" s="404"/>
      <c r="V38" s="634"/>
      <c r="W38" s="404"/>
      <c r="X38" s="404"/>
      <c r="Y38" s="404"/>
      <c r="Z38" s="404"/>
      <c r="AA38" s="404"/>
      <c r="AB38" s="404"/>
      <c r="AC38" s="404"/>
      <c r="AD38" s="404"/>
      <c r="AE38" s="404"/>
      <c r="AF38" s="634"/>
      <c r="AG38" s="404"/>
      <c r="AH38" s="404"/>
      <c r="AI38" s="404"/>
      <c r="AJ38" s="404"/>
      <c r="AK38" s="404"/>
      <c r="AL38" s="404"/>
      <c r="AM38" s="404"/>
      <c r="AN38" s="404"/>
      <c r="AO38" s="404"/>
      <c r="AP38" s="634"/>
      <c r="AQ38" s="404"/>
      <c r="AR38" s="404"/>
      <c r="AS38" s="404"/>
      <c r="AT38" s="404"/>
      <c r="AU38" s="404"/>
      <c r="AV38" s="404"/>
      <c r="AW38" s="404"/>
      <c r="AX38" s="404"/>
      <c r="AY38" s="404"/>
      <c r="AZ38" s="634"/>
      <c r="BA38" s="404"/>
      <c r="BB38" s="404"/>
      <c r="BC38" s="404"/>
      <c r="BD38" s="404"/>
      <c r="BE38" s="404"/>
      <c r="BF38" s="634"/>
      <c r="BG38" s="634"/>
      <c r="BH38" s="634"/>
      <c r="BI38" s="634"/>
      <c r="BJ38" s="871"/>
      <c r="BK38" s="871"/>
      <c r="BL38" s="565"/>
      <c r="BM38" s="565"/>
      <c r="BP38" s="620"/>
      <c r="BQ38" s="620"/>
    </row>
    <row r="39" spans="1:69" ht="11.25" customHeight="1">
      <c r="A39" s="119" t="s">
        <v>90</v>
      </c>
      <c r="B39" s="225" t="s">
        <v>3</v>
      </c>
      <c r="C39" s="93" t="s">
        <v>3</v>
      </c>
      <c r="D39" s="93" t="s">
        <v>3</v>
      </c>
      <c r="E39" s="93" t="s">
        <v>3</v>
      </c>
      <c r="F39" s="93" t="s">
        <v>3</v>
      </c>
      <c r="G39" s="93" t="s">
        <v>3</v>
      </c>
      <c r="H39" s="93" t="s">
        <v>3</v>
      </c>
      <c r="I39" s="93" t="s">
        <v>3</v>
      </c>
      <c r="J39" s="93" t="s">
        <v>3</v>
      </c>
      <c r="K39" s="93" t="s">
        <v>3</v>
      </c>
      <c r="L39" s="225" t="s">
        <v>3</v>
      </c>
      <c r="M39" s="93" t="s">
        <v>3</v>
      </c>
      <c r="N39" s="93" t="s">
        <v>3</v>
      </c>
      <c r="O39" s="93" t="s">
        <v>3</v>
      </c>
      <c r="P39" s="93" t="s">
        <v>3</v>
      </c>
      <c r="Q39" s="93" t="s">
        <v>3</v>
      </c>
      <c r="R39" s="93" t="s">
        <v>3</v>
      </c>
      <c r="S39" s="93" t="s">
        <v>3</v>
      </c>
      <c r="T39" s="93" t="s">
        <v>3</v>
      </c>
      <c r="U39" s="93" t="s">
        <v>3</v>
      </c>
      <c r="V39" s="225" t="s">
        <v>3</v>
      </c>
      <c r="W39" s="93" t="s">
        <v>3</v>
      </c>
      <c r="X39" s="93" t="s">
        <v>3</v>
      </c>
      <c r="Y39" s="93" t="s">
        <v>3</v>
      </c>
      <c r="Z39" s="93" t="s">
        <v>3</v>
      </c>
      <c r="AA39" s="93" t="s">
        <v>3</v>
      </c>
      <c r="AB39" s="93" t="s">
        <v>3</v>
      </c>
      <c r="AC39" s="93" t="s">
        <v>3</v>
      </c>
      <c r="AD39" s="93" t="s">
        <v>3</v>
      </c>
      <c r="AE39" s="93" t="s">
        <v>3</v>
      </c>
      <c r="AF39" s="225" t="s">
        <v>3</v>
      </c>
      <c r="AG39" s="93" t="s">
        <v>3</v>
      </c>
      <c r="AH39" s="93" t="s">
        <v>3</v>
      </c>
      <c r="AI39" s="93" t="s">
        <v>3</v>
      </c>
      <c r="AJ39" s="93" t="s">
        <v>3</v>
      </c>
      <c r="AK39" s="93" t="s">
        <v>3</v>
      </c>
      <c r="AL39" s="93" t="s">
        <v>3</v>
      </c>
      <c r="AM39" s="93" t="s">
        <v>3</v>
      </c>
      <c r="AN39" s="93" t="s">
        <v>3</v>
      </c>
      <c r="AO39" s="93" t="s">
        <v>3</v>
      </c>
      <c r="AP39" s="225" t="s">
        <v>3</v>
      </c>
      <c r="AQ39" s="93" t="s">
        <v>3</v>
      </c>
      <c r="AR39" s="328">
        <f>SUM('MasterA1(current$)'!AR33)/0.85039</f>
        <v>79.963310951445806</v>
      </c>
      <c r="AS39" s="328">
        <f>SUM('MasterA1(current$)'!AS33)/0.86735</f>
        <v>91.08203147518303</v>
      </c>
      <c r="AT39" s="328">
        <f>SUM('MasterA1(current$)'!AT33)/0.8912</f>
        <v>79.667863554757631</v>
      </c>
      <c r="AU39" s="328">
        <f>SUM('MasterA1(current$)'!AU33)/0.91988</f>
        <v>94.57755359394703</v>
      </c>
      <c r="AV39" s="330">
        <f>SUM('MasterA1(current$)'!AV33)/0.94814</f>
        <v>98.086780433269354</v>
      </c>
      <c r="AW39" s="330">
        <f>SUM('MasterA1(current$)'!AW33)/0.97337</f>
        <v>94.516987373763328</v>
      </c>
      <c r="AX39" s="330">
        <f>SUM('MasterA1(current$)'!AX33*100)/99.246</f>
        <v>96.729339217701479</v>
      </c>
      <c r="AY39" s="405">
        <f>SUM('MasterA1(current$)'!AY33)</f>
        <v>100</v>
      </c>
      <c r="AZ39" s="637">
        <f>SUM('MasterA1(current$)'!AZ33*100)/101.221</f>
        <v>101.75754043133341</v>
      </c>
      <c r="BA39" s="408">
        <f>SUM('MasterA1(current$)'!BA33*100)/103.311</f>
        <v>101.63486947178906</v>
      </c>
      <c r="BB39" s="408">
        <f>SUM('MasterA1(current$)'!BB33*100)/105.214</f>
        <v>102.64793658638584</v>
      </c>
      <c r="BC39" s="408">
        <f>SUM('MasterA1(current$)'!BC33*100)/106.913</f>
        <v>96.340014778371199</v>
      </c>
      <c r="BD39" s="408">
        <f>SUM('MasterA1(current$)'!BD33*100)/108.832</f>
        <v>93.722434578065275</v>
      </c>
      <c r="BE39" s="408">
        <f>SUM('MasterA1(current$)'!BE33*100)/110.012</f>
        <v>94.535141620914075</v>
      </c>
      <c r="BF39" s="637">
        <f>SUM('MasterA1(current$)'!BF33*100)/111.416</f>
        <v>98.729087384217706</v>
      </c>
      <c r="BG39" s="637">
        <f>SUM('MasterA1(current$)'!BG33*100)/113.116</f>
        <v>100.78149863856572</v>
      </c>
      <c r="BH39" s="637">
        <f>SUM('MasterA1(current$)'!BH33*100)/114.716</f>
        <v>101.99100387042785</v>
      </c>
      <c r="BI39" s="637">
        <f>SUM('MasterA1(current$)'!BI33*100)/116.416</f>
        <v>103.07861462341947</v>
      </c>
      <c r="BJ39" s="410">
        <f>(BH39-BG39)/BG39</f>
        <v>1.2001262614676846E-2</v>
      </c>
      <c r="BK39" s="410">
        <f>(BI39-BH39)/BH39</f>
        <v>1.0663791037622817E-2</v>
      </c>
      <c r="BL39" s="564">
        <f>BH39-BG39</f>
        <v>1.2095052318621242</v>
      </c>
      <c r="BM39" s="564">
        <f>BI39-BH39</f>
        <v>1.0876107529916226</v>
      </c>
      <c r="BN39" s="112"/>
      <c r="BO39" s="112"/>
      <c r="BP39" s="620"/>
      <c r="BQ39" s="620"/>
    </row>
    <row r="40" spans="1:69" ht="11.25" customHeight="1">
      <c r="A40" s="154"/>
      <c r="B40" s="636"/>
      <c r="C40" s="33"/>
      <c r="D40" s="33"/>
      <c r="E40" s="47"/>
      <c r="F40" s="47"/>
      <c r="G40" s="47"/>
      <c r="H40" s="47"/>
      <c r="I40" s="47"/>
      <c r="J40" s="47"/>
      <c r="K40" s="47"/>
      <c r="L40" s="281"/>
      <c r="M40" s="47"/>
      <c r="N40" s="47"/>
      <c r="O40" s="47"/>
      <c r="P40" s="47"/>
      <c r="Q40" s="47"/>
      <c r="R40" s="47"/>
      <c r="S40" s="47"/>
      <c r="T40" s="47"/>
      <c r="U40" s="47"/>
      <c r="V40" s="281"/>
      <c r="W40" s="47"/>
      <c r="X40" s="47"/>
      <c r="Y40" s="47"/>
      <c r="Z40" s="47"/>
      <c r="AA40" s="47"/>
      <c r="AB40" s="47"/>
      <c r="AC40" s="47"/>
      <c r="AD40" s="47"/>
      <c r="AE40" s="47"/>
      <c r="AF40" s="281"/>
      <c r="AG40" s="47"/>
      <c r="AH40" s="47"/>
      <c r="AI40" s="47"/>
      <c r="AJ40" s="47"/>
      <c r="AK40" s="47"/>
      <c r="AL40" s="47"/>
      <c r="AM40" s="152"/>
      <c r="AN40" s="152"/>
      <c r="AO40" s="152"/>
      <c r="AP40" s="857"/>
      <c r="AQ40" s="328"/>
      <c r="AR40" s="328"/>
      <c r="AS40" s="328"/>
      <c r="AT40" s="328"/>
      <c r="AU40" s="328"/>
      <c r="AV40" s="330"/>
      <c r="AW40" s="330"/>
      <c r="AX40" s="330"/>
      <c r="AY40" s="408"/>
      <c r="AZ40" s="637"/>
      <c r="BA40" s="408"/>
      <c r="BB40" s="408"/>
      <c r="BC40" s="408"/>
      <c r="BD40" s="408"/>
      <c r="BE40" s="408"/>
      <c r="BF40" s="637"/>
      <c r="BG40" s="637"/>
      <c r="BH40" s="637"/>
      <c r="BI40" s="637"/>
      <c r="BJ40" s="871"/>
      <c r="BK40" s="871"/>
      <c r="BL40" s="564"/>
      <c r="BM40" s="564"/>
      <c r="BP40" s="620"/>
      <c r="BQ40" s="620"/>
    </row>
    <row r="41" spans="1:69" ht="11.25" customHeight="1">
      <c r="A41" s="288" t="s">
        <v>105</v>
      </c>
      <c r="B41" s="225" t="s">
        <v>3</v>
      </c>
      <c r="C41" s="93" t="s">
        <v>3</v>
      </c>
      <c r="D41" s="93" t="s">
        <v>3</v>
      </c>
      <c r="E41" s="93" t="s">
        <v>3</v>
      </c>
      <c r="F41" s="93" t="s">
        <v>3</v>
      </c>
      <c r="G41" s="93" t="s">
        <v>3</v>
      </c>
      <c r="H41" s="93" t="s">
        <v>3</v>
      </c>
      <c r="I41" s="93" t="s">
        <v>3</v>
      </c>
      <c r="J41" s="93" t="s">
        <v>3</v>
      </c>
      <c r="K41" s="93" t="s">
        <v>3</v>
      </c>
      <c r="L41" s="225" t="s">
        <v>3</v>
      </c>
      <c r="M41" s="93" t="s">
        <v>3</v>
      </c>
      <c r="N41" s="93" t="s">
        <v>3</v>
      </c>
      <c r="O41" s="93" t="s">
        <v>3</v>
      </c>
      <c r="P41" s="93" t="s">
        <v>3</v>
      </c>
      <c r="Q41" s="93" t="s">
        <v>3</v>
      </c>
      <c r="R41" s="93" t="s">
        <v>3</v>
      </c>
      <c r="S41" s="93" t="s">
        <v>3</v>
      </c>
      <c r="T41" s="93" t="s">
        <v>3</v>
      </c>
      <c r="U41" s="93" t="s">
        <v>3</v>
      </c>
      <c r="V41" s="225" t="s">
        <v>3</v>
      </c>
      <c r="W41" s="93" t="s">
        <v>3</v>
      </c>
      <c r="X41" s="93" t="s">
        <v>3</v>
      </c>
      <c r="Y41" s="93" t="s">
        <v>3</v>
      </c>
      <c r="Z41" s="93" t="s">
        <v>3</v>
      </c>
      <c r="AA41" s="93" t="s">
        <v>3</v>
      </c>
      <c r="AB41" s="93" t="s">
        <v>3</v>
      </c>
      <c r="AC41" s="93" t="s">
        <v>3</v>
      </c>
      <c r="AD41" s="93" t="s">
        <v>3</v>
      </c>
      <c r="AE41" s="93" t="s">
        <v>3</v>
      </c>
      <c r="AF41" s="270">
        <f>SUM('MasterA1(current$)'!AF35)/0.66773</f>
        <v>4.4928339298818383</v>
      </c>
      <c r="AG41" s="30">
        <f>SUM('MasterA1(current$)'!AG35)/0.68996</f>
        <v>13.044234448373819</v>
      </c>
      <c r="AH41" s="30">
        <f>SUM('MasterA1(current$)'!AH35)/0.70569</f>
        <v>18.421686576258697</v>
      </c>
      <c r="AI41" s="30">
        <f>SUM('MasterA1(current$)'!AI35)/0.72248</f>
        <v>19.377699036651535</v>
      </c>
      <c r="AJ41" s="30">
        <f>SUM('MasterA1(current$)'!AJ35)/0.73785</f>
        <v>21.684624246120485</v>
      </c>
      <c r="AK41" s="30">
        <f>SUM('MasterA1(current$)'!AK35)/0.75324</f>
        <v>21.241569752004672</v>
      </c>
      <c r="AL41" s="30">
        <f>SUM('MasterA1(current$)'!AL35)/0.76699</f>
        <v>22.164565378948879</v>
      </c>
      <c r="AM41" s="30">
        <f>SUM('MasterA1(current$)'!AM35)/0.78012</f>
        <v>20.509665179715942</v>
      </c>
      <c r="AN41" s="30">
        <f>SUM('MasterA1(current$)'!AN35)/0.78859</f>
        <v>21.557463320610204</v>
      </c>
      <c r="AO41" s="30">
        <f>SUM('MasterA1(current$)'!AO35)/0.80065</f>
        <v>21.232748391931555</v>
      </c>
      <c r="AP41" s="857">
        <f>SUM('MasterA1(current$)'!AP35)/0.81887</f>
        <v>20.760316045281915</v>
      </c>
      <c r="AQ41" s="328">
        <f>SUM('MasterA1(current$)'!AQ35)/0.83754</f>
        <v>21.491510853212983</v>
      </c>
      <c r="AR41" s="328">
        <f>SUM('MasterA1(current$)'!AR35)/0.85039</f>
        <v>23.518620868072297</v>
      </c>
      <c r="AS41" s="328">
        <f>SUM('MasterA1(current$)'!AS35)/0.86735</f>
        <v>23.058742145615959</v>
      </c>
      <c r="AT41" s="328">
        <f>SUM('MasterA1(current$)'!AT35)/0.8912</f>
        <v>23.563734290843808</v>
      </c>
      <c r="AU41" s="328">
        <f>SUM('MasterA1(current$)'!AU35)/0.91988</f>
        <v>21.741966343436101</v>
      </c>
      <c r="AV41" s="231">
        <f>SUM('MasterA1(current$)'!AV35)/0.94814</f>
        <v>21.093931275971904</v>
      </c>
      <c r="AW41" s="231">
        <f>SUM('MasterA1(current$)'!AW35)/0.97337</f>
        <v>21.57452972661989</v>
      </c>
      <c r="AX41" s="231">
        <f>SUM('MasterA1(current$)'!AX35*100)/99.246</f>
        <v>22.167140237389923</v>
      </c>
      <c r="AY41" s="405">
        <f>SUM('MasterA1(current$)'!AY35)</f>
        <v>24</v>
      </c>
      <c r="AZ41" s="637">
        <f>SUM('MasterA1(current$)'!AZ35*100)/101.221</f>
        <v>24.698432143527526</v>
      </c>
      <c r="BA41" s="408">
        <f>SUM('MasterA1(current$)'!BA35*100)/103.311</f>
        <v>26.134680721317185</v>
      </c>
      <c r="BB41" s="408">
        <f>SUM('MasterA1(current$)'!BB35*100)/105.214</f>
        <v>25.66198414659646</v>
      </c>
      <c r="BC41" s="408">
        <f>SUM('MasterA1(current$)'!BC35*100)/106.913</f>
        <v>26.189518580528095</v>
      </c>
      <c r="BD41" s="408">
        <f>SUM('MasterA1(current$)'!BD35*100)/108.832</f>
        <v>22.971184945604236</v>
      </c>
      <c r="BE41" s="408">
        <f>SUM('MasterA1(current$)'!BE35*100)/110.012</f>
        <v>23.633785405228519</v>
      </c>
      <c r="BF41" s="637">
        <f>SUM('MasterA1(current$)'!BF35*100)/111.416</f>
        <v>25.1310404250736</v>
      </c>
      <c r="BG41" s="637">
        <f>SUM('MasterA1(current$)'!BG35*100)/113.116</f>
        <v>26.521447010148872</v>
      </c>
      <c r="BH41" s="637">
        <f>SUM('MasterA1(current$)'!BH35*100)/114.716</f>
        <v>27.023257435754385</v>
      </c>
      <c r="BI41" s="637">
        <f>SUM('MasterA1(current$)'!BI35*100)/116.416</f>
        <v>26.628642111050027</v>
      </c>
      <c r="BJ41" s="410">
        <f>(BH41-BG41)/BG41</f>
        <v>1.8920929367597719E-2</v>
      </c>
      <c r="BK41" s="410">
        <f>(BI41-BH41)/BH41</f>
        <v>-1.4602803738317769E-2</v>
      </c>
      <c r="BL41" s="564">
        <f>BH41-BG41</f>
        <v>0.50181042560551248</v>
      </c>
      <c r="BM41" s="564">
        <f>BI41-BH41</f>
        <v>-0.39461532470435756</v>
      </c>
      <c r="BN41" s="112"/>
      <c r="BO41" s="112"/>
      <c r="BP41" s="620"/>
      <c r="BQ41" s="620"/>
    </row>
    <row r="42" spans="1:69" ht="11.25" customHeight="1">
      <c r="A42" s="154"/>
      <c r="B42" s="636"/>
      <c r="C42" s="33"/>
      <c r="D42" s="33"/>
      <c r="E42" s="47"/>
      <c r="F42" s="47"/>
      <c r="G42" s="47"/>
      <c r="H42" s="47"/>
      <c r="I42" s="47"/>
      <c r="J42" s="47"/>
      <c r="K42" s="47"/>
      <c r="L42" s="281"/>
      <c r="M42" s="47"/>
      <c r="N42" s="47"/>
      <c r="O42" s="47"/>
      <c r="P42" s="47"/>
      <c r="Q42" s="47"/>
      <c r="R42" s="47"/>
      <c r="S42" s="47"/>
      <c r="T42" s="47"/>
      <c r="U42" s="47"/>
      <c r="V42" s="281"/>
      <c r="W42" s="47"/>
      <c r="X42" s="47"/>
      <c r="Y42" s="47"/>
      <c r="Z42" s="47"/>
      <c r="AA42" s="47"/>
      <c r="AB42" s="47"/>
      <c r="AC42" s="47"/>
      <c r="AD42" s="47"/>
      <c r="AE42" s="47"/>
      <c r="AF42" s="281"/>
      <c r="AG42" s="47"/>
      <c r="AH42" s="47"/>
      <c r="AI42" s="47"/>
      <c r="AJ42" s="47"/>
      <c r="AK42" s="47"/>
      <c r="AL42" s="47"/>
      <c r="AM42" s="152"/>
      <c r="AN42" s="152"/>
      <c r="AO42" s="152"/>
      <c r="AP42" s="857"/>
      <c r="AQ42" s="328"/>
      <c r="AR42" s="328"/>
      <c r="AS42" s="328"/>
      <c r="AT42" s="328"/>
      <c r="AU42" s="328"/>
      <c r="AV42" s="330"/>
      <c r="AW42" s="330"/>
      <c r="AX42" s="330"/>
      <c r="AY42" s="408"/>
      <c r="AZ42" s="637"/>
      <c r="BA42" s="408"/>
      <c r="BB42" s="408"/>
      <c r="BC42" s="408"/>
      <c r="BD42" s="408"/>
      <c r="BE42" s="408"/>
      <c r="BF42" s="637"/>
      <c r="BG42" s="637"/>
      <c r="BH42" s="637"/>
      <c r="BI42" s="637"/>
      <c r="BJ42" s="871"/>
      <c r="BK42" s="871"/>
      <c r="BL42" s="564"/>
      <c r="BM42" s="564"/>
      <c r="BP42" s="620"/>
      <c r="BQ42" s="620"/>
    </row>
    <row r="43" spans="1:69" ht="11.25" customHeight="1">
      <c r="A43" s="119" t="s">
        <v>91</v>
      </c>
      <c r="B43" s="810" t="s">
        <v>3</v>
      </c>
      <c r="C43" s="45" t="s">
        <v>3</v>
      </c>
      <c r="D43" s="45" t="s">
        <v>3</v>
      </c>
      <c r="E43" s="220" t="s">
        <v>3</v>
      </c>
      <c r="F43" s="220" t="s">
        <v>3</v>
      </c>
      <c r="G43" s="220" t="s">
        <v>3</v>
      </c>
      <c r="H43" s="220" t="s">
        <v>3</v>
      </c>
      <c r="I43" s="220" t="s">
        <v>3</v>
      </c>
      <c r="J43" s="220" t="s">
        <v>3</v>
      </c>
      <c r="K43" s="220" t="s">
        <v>3</v>
      </c>
      <c r="L43" s="858" t="s">
        <v>3</v>
      </c>
      <c r="M43" s="220" t="s">
        <v>3</v>
      </c>
      <c r="N43" s="220" t="s">
        <v>3</v>
      </c>
      <c r="O43" s="220" t="s">
        <v>3</v>
      </c>
      <c r="P43" s="220" t="s">
        <v>3</v>
      </c>
      <c r="Q43" s="220" t="s">
        <v>3</v>
      </c>
      <c r="R43" s="220" t="s">
        <v>3</v>
      </c>
      <c r="S43" s="220" t="s">
        <v>3</v>
      </c>
      <c r="T43" s="220" t="s">
        <v>3</v>
      </c>
      <c r="U43" s="220" t="s">
        <v>3</v>
      </c>
      <c r="V43" s="858" t="s">
        <v>3</v>
      </c>
      <c r="W43" s="220" t="s">
        <v>3</v>
      </c>
      <c r="X43" s="220" t="s">
        <v>3</v>
      </c>
      <c r="Y43" s="220" t="s">
        <v>3</v>
      </c>
      <c r="Z43" s="220" t="s">
        <v>3</v>
      </c>
      <c r="AA43" s="220" t="s">
        <v>3</v>
      </c>
      <c r="AB43" s="220" t="s">
        <v>3</v>
      </c>
      <c r="AC43" s="220" t="s">
        <v>3</v>
      </c>
      <c r="AD43" s="220" t="s">
        <v>3</v>
      </c>
      <c r="AE43" s="220" t="s">
        <v>3</v>
      </c>
      <c r="AF43" s="858" t="s">
        <v>3</v>
      </c>
      <c r="AG43" s="220" t="s">
        <v>3</v>
      </c>
      <c r="AH43" s="220" t="s">
        <v>3</v>
      </c>
      <c r="AI43" s="220" t="s">
        <v>3</v>
      </c>
      <c r="AJ43" s="220" t="s">
        <v>3</v>
      </c>
      <c r="AK43" s="331" t="s">
        <v>11</v>
      </c>
      <c r="AL43" s="220" t="s">
        <v>3</v>
      </c>
      <c r="AM43" s="220" t="s">
        <v>3</v>
      </c>
      <c r="AN43" s="30">
        <f>SUM('MasterA1(current$)'!AN37)/0.78859</f>
        <v>2.536172155365906</v>
      </c>
      <c r="AO43" s="30">
        <f>SUM('MasterA1(current$)'!AO37)/0.80065</f>
        <v>6.244925997626928</v>
      </c>
      <c r="AP43" s="857">
        <f>SUM('MasterA1(current$)'!AP37)/0.81887</f>
        <v>9.7695604918973711</v>
      </c>
      <c r="AQ43" s="328">
        <f>SUM('MasterA1(current$)'!AQ37)/0.83754</f>
        <v>8.3578097762494927</v>
      </c>
      <c r="AR43" s="328">
        <f>SUM('MasterA1(current$)'!AR37)/0.85039</f>
        <v>8.2315173038253047</v>
      </c>
      <c r="AS43" s="328">
        <f>SUM('MasterA1(current$)'!AS37)/0.86735</f>
        <v>10.37643396552718</v>
      </c>
      <c r="AT43" s="328">
        <f>SUM('MasterA1(current$)'!AT37)/0.8912</f>
        <v>8.9766606822262123</v>
      </c>
      <c r="AU43" s="328">
        <f>SUM('MasterA1(current$)'!AU37)/0.91988</f>
        <v>9.783884854546244</v>
      </c>
      <c r="AV43" s="330">
        <f>SUM('MasterA1(current$)'!AV37)/0.94814</f>
        <v>9.492269074187357</v>
      </c>
      <c r="AW43" s="330">
        <f>SUM('MasterA1(current$)'!AW37)/0.97337</f>
        <v>9.2462270256942372</v>
      </c>
      <c r="AX43" s="330">
        <f>SUM('MasterA1(current$)'!AX37*100)/99.246</f>
        <v>9.0683755516595124</v>
      </c>
      <c r="AY43" s="405">
        <f>SUM('MasterA1(current$)'!AY37)</f>
        <v>9</v>
      </c>
      <c r="AZ43" s="637">
        <f>SUM('MasterA1(current$)'!AZ37*100)/101.221</f>
        <v>9.8793728574110116</v>
      </c>
      <c r="BA43" s="408">
        <f>SUM('MasterA1(current$)'!BA37*100)/103.311</f>
        <v>10.647462516092187</v>
      </c>
      <c r="BB43" s="408">
        <f>SUM('MasterA1(current$)'!BB37*100)/105.214</f>
        <v>10.454882430094855</v>
      </c>
      <c r="BC43" s="408">
        <f>SUM('MasterA1(current$)'!BC37*100)/106.913</f>
        <v>9.3533994930457478</v>
      </c>
      <c r="BD43" s="408">
        <f>SUM('MasterA1(current$)'!BD37*100)/108.832</f>
        <v>9.188473978241694</v>
      </c>
      <c r="BE43" s="408">
        <f>SUM('MasterA1(current$)'!BE37*100)/110.012</f>
        <v>10.907900956259317</v>
      </c>
      <c r="BF43" s="637">
        <f>SUM('MasterA1(current$)'!BF37*100)/111.416</f>
        <v>8.9753715803834275</v>
      </c>
      <c r="BG43" s="637">
        <f>SUM('MasterA1(current$)'!BG37*100)/113.116</f>
        <v>9.7245305703879197</v>
      </c>
      <c r="BH43" s="637">
        <f>SUM('MasterA1(current$)'!BH37*100)/114.716</f>
        <v>8.7171798179852864</v>
      </c>
      <c r="BI43" s="637">
        <f>SUM('MasterA1(current$)'!BI37*100)/116.416</f>
        <v>10.307861462341947</v>
      </c>
      <c r="BJ43" s="410">
        <f>(BH43-BG43)/BG43</f>
        <v>-0.10358862518979661</v>
      </c>
      <c r="BK43" s="410">
        <f>(BI43-BH43)/BH43</f>
        <v>0.18247663551401863</v>
      </c>
      <c r="BL43" s="564">
        <f>BH43-BG43</f>
        <v>-1.0073507524026333</v>
      </c>
      <c r="BM43" s="564">
        <f>BI43-BH43</f>
        <v>1.5906816443566605</v>
      </c>
      <c r="BN43" s="112"/>
      <c r="BO43" s="112"/>
      <c r="BP43" s="620"/>
      <c r="BQ43" s="620"/>
    </row>
    <row r="44" spans="1:69" ht="6" customHeight="1">
      <c r="A44" s="115"/>
      <c r="B44" s="636"/>
      <c r="C44" s="33"/>
      <c r="D44" s="33"/>
      <c r="E44" s="47"/>
      <c r="F44" s="47"/>
      <c r="G44" s="47"/>
      <c r="H44" s="47"/>
      <c r="I44" s="47"/>
      <c r="J44" s="47"/>
      <c r="K44" s="47"/>
      <c r="L44" s="281"/>
      <c r="M44" s="47"/>
      <c r="N44" s="47"/>
      <c r="O44" s="47"/>
      <c r="P44" s="47"/>
      <c r="Q44" s="47"/>
      <c r="R44" s="47"/>
      <c r="S44" s="47"/>
      <c r="T44" s="47"/>
      <c r="U44" s="47"/>
      <c r="V44" s="281"/>
      <c r="W44" s="47"/>
      <c r="X44" s="47"/>
      <c r="Y44" s="47"/>
      <c r="Z44" s="47"/>
      <c r="AA44" s="47"/>
      <c r="AB44" s="47"/>
      <c r="AC44" s="47"/>
      <c r="AD44" s="47"/>
      <c r="AE44" s="47"/>
      <c r="AF44" s="281"/>
      <c r="AG44" s="47"/>
      <c r="AH44" s="47"/>
      <c r="AI44" s="47"/>
      <c r="AJ44" s="47"/>
      <c r="AK44" s="47"/>
      <c r="AL44" s="47"/>
      <c r="AM44" s="152"/>
      <c r="AN44" s="152"/>
      <c r="AO44" s="152"/>
      <c r="AP44" s="857"/>
      <c r="AQ44" s="328"/>
      <c r="AR44" s="328"/>
      <c r="AS44" s="328"/>
      <c r="AT44" s="328"/>
      <c r="AU44" s="328"/>
      <c r="AV44" s="330"/>
      <c r="AW44" s="330"/>
      <c r="AX44" s="330"/>
      <c r="AY44" s="408"/>
      <c r="AZ44" s="637"/>
      <c r="BA44" s="408"/>
      <c r="BB44" s="408"/>
      <c r="BC44" s="408"/>
      <c r="BD44" s="408"/>
      <c r="BE44" s="408"/>
      <c r="BF44" s="637"/>
      <c r="BG44" s="637"/>
      <c r="BH44" s="637"/>
      <c r="BI44" s="637"/>
      <c r="BJ44" s="871"/>
      <c r="BK44" s="871"/>
      <c r="BL44" s="564"/>
      <c r="BM44" s="564"/>
      <c r="BP44" s="620"/>
      <c r="BQ44" s="620"/>
    </row>
    <row r="45" spans="1:69" ht="11.25" customHeight="1">
      <c r="A45" s="115" t="s">
        <v>28</v>
      </c>
      <c r="B45" s="810" t="s">
        <v>3</v>
      </c>
      <c r="C45" s="45" t="s">
        <v>3</v>
      </c>
      <c r="D45" s="45" t="s">
        <v>3</v>
      </c>
      <c r="E45" s="220" t="s">
        <v>3</v>
      </c>
      <c r="F45" s="220" t="s">
        <v>3</v>
      </c>
      <c r="G45" s="220" t="s">
        <v>3</v>
      </c>
      <c r="H45" s="220" t="s">
        <v>3</v>
      </c>
      <c r="I45" s="220" t="s">
        <v>3</v>
      </c>
      <c r="J45" s="220" t="s">
        <v>3</v>
      </c>
      <c r="K45" s="220" t="s">
        <v>3</v>
      </c>
      <c r="L45" s="858" t="s">
        <v>3</v>
      </c>
      <c r="M45" s="220" t="s">
        <v>3</v>
      </c>
      <c r="N45" s="220" t="s">
        <v>3</v>
      </c>
      <c r="O45" s="220" t="s">
        <v>3</v>
      </c>
      <c r="P45" s="220" t="s">
        <v>3</v>
      </c>
      <c r="Q45" s="220" t="s">
        <v>3</v>
      </c>
      <c r="R45" s="220" t="s">
        <v>3</v>
      </c>
      <c r="S45" s="220" t="s">
        <v>3</v>
      </c>
      <c r="T45" s="30">
        <f>SUM('MasterA1(current$)'!T39)/0.37602</f>
        <v>2.6594330088825062</v>
      </c>
      <c r="U45" s="30">
        <f>SUM('MasterA1(current$)'!U39)/0.40706</f>
        <v>7.3699208961823812</v>
      </c>
      <c r="V45" s="270">
        <f>SUM('MasterA1(current$)'!V39)/0.44377</f>
        <v>9.0136782567546252</v>
      </c>
      <c r="W45" s="30">
        <f>SUM('MasterA1(current$)'!W39)/0.4852</f>
        <v>8.2440230832646328</v>
      </c>
      <c r="X45" s="30">
        <f>SUM('MasterA1(current$)'!X39)/0.5153</f>
        <v>5.8218513487288961</v>
      </c>
      <c r="Y45" s="30">
        <f>SUM('MasterA1(current$)'!Y39)/0.53565</f>
        <v>5.6006720806496784</v>
      </c>
      <c r="Z45" s="30">
        <f>SUM('MasterA1(current$)'!Z39)/0.55466</f>
        <v>7.2116251397252364</v>
      </c>
      <c r="AA45" s="30">
        <f>SUM('MasterA1(current$)'!AA39)/0.5724</f>
        <v>5.2410901467505235</v>
      </c>
      <c r="AB45" s="30">
        <f>SUM('MasterA1(current$)'!AB39)/0.58395</f>
        <v>5.1374261494991016</v>
      </c>
      <c r="AC45" s="30">
        <f>SUM('MasterA1(current$)'!AC39)/0.59885</f>
        <v>6.6794689822159139</v>
      </c>
      <c r="AD45" s="30">
        <f>SUM('MasterA1(current$)'!AD39)/0.61982</f>
        <v>6.4534864960795062</v>
      </c>
      <c r="AE45" s="30">
        <f>SUM('MasterA1(current$)'!AE39)/0.64392</f>
        <v>6.2119517952540679</v>
      </c>
      <c r="AF45" s="270">
        <f>SUM('MasterA1(current$)'!AF39)/0.66773</f>
        <v>5.990445239842451</v>
      </c>
      <c r="AG45" s="30">
        <f>SUM('MasterA1(current$)'!AG39)/0.68996</f>
        <v>5.7974375326105863</v>
      </c>
      <c r="AH45" s="30">
        <f>SUM('MasterA1(current$)'!AH39)/0.70569</f>
        <v>7.0852640677918064</v>
      </c>
      <c r="AI45" s="30">
        <f>SUM('MasterA1(current$)'!AI39)/0.72248</f>
        <v>8.3047281585649433</v>
      </c>
      <c r="AJ45" s="30">
        <f>SUM('MasterA1(current$)'!AJ39)/0.73785</f>
        <v>8.1317340922951811</v>
      </c>
      <c r="AK45" s="30">
        <f>SUM('MasterA1(current$)'!AK39)/0.75324</f>
        <v>7.965588657001752</v>
      </c>
      <c r="AL45" s="30">
        <f>SUM('MasterA1(current$)'!AL39)/0.76699</f>
        <v>7.8227877808054869</v>
      </c>
      <c r="AM45" s="30">
        <f>SUM('MasterA1(current$)'!AM39)/0.78012</f>
        <v>7.6911244423934777</v>
      </c>
      <c r="AN45" s="30">
        <f>SUM('MasterA1(current$)'!AN39)/0.78859</f>
        <v>7.6085164660977185</v>
      </c>
      <c r="AO45" s="30">
        <f>SUM('MasterA1(current$)'!AO39)/0.80065</f>
        <v>6.244925997626928</v>
      </c>
      <c r="AP45" s="857">
        <f>SUM('MasterA1(current$)'!AP39)/0.81887</f>
        <v>8.5483654304102004</v>
      </c>
      <c r="AQ45" s="328">
        <f>SUM('MasterA1(current$)'!AQ39)/0.83754</f>
        <v>7.1638369510709943</v>
      </c>
      <c r="AR45" s="328">
        <f>SUM('MasterA1(current$)'!AR39)/0.85039</f>
        <v>8.2315173038253047</v>
      </c>
      <c r="AS45" s="328">
        <f>SUM('MasterA1(current$)'!AS39)/0.86735</f>
        <v>6.917622643684787</v>
      </c>
      <c r="AT45" s="328">
        <f>SUM('MasterA1(current$)'!AT39)/0.8912</f>
        <v>8.9766606822262123</v>
      </c>
      <c r="AU45" s="328">
        <f>SUM('MasterA1(current$)'!AU39)/0.91988</f>
        <v>7.609688220202635</v>
      </c>
      <c r="AV45" s="231">
        <f>SUM('MasterA1(current$)'!AV39)/0.94814</f>
        <v>7.3828759465901665</v>
      </c>
      <c r="AW45" s="231">
        <f>SUM('MasterA1(current$)'!AW39)/0.97337</f>
        <v>7.1915099088732966</v>
      </c>
      <c r="AX45" s="231">
        <f>SUM('MasterA1(current$)'!AX39*100)/99.246</f>
        <v>8.0607782681417888</v>
      </c>
      <c r="AY45" s="405">
        <f>SUM('MasterA1(current$)'!AY39)</f>
        <v>9</v>
      </c>
      <c r="AZ45" s="637">
        <f>SUM('MasterA1(current$)'!AZ39*100)/101.221</f>
        <v>9.8793728574110116</v>
      </c>
      <c r="BA45" s="408">
        <f>SUM('MasterA1(current$)'!BA39*100)/103.311</f>
        <v>12.583364791745312</v>
      </c>
      <c r="BB45" s="408">
        <f>SUM('MasterA1(current$)'!BB39*100)/105.214</f>
        <v>13.306214001938905</v>
      </c>
      <c r="BC45" s="408">
        <f>SUM('MasterA1(current$)'!BC39*100)/106.913</f>
        <v>15.900779138177771</v>
      </c>
      <c r="BD45" s="408">
        <f>SUM('MasterA1(current$)'!BD39*100)/108.832</f>
        <v>14.701558365186711</v>
      </c>
      <c r="BE45" s="408">
        <f>SUM('MasterA1(current$)'!BE39*100)/110.012</f>
        <v>15.452859688034033</v>
      </c>
      <c r="BF45" s="637">
        <f>SUM('MasterA1(current$)'!BF39*100)/111.416</f>
        <v>14.360594528613484</v>
      </c>
      <c r="BG45" s="637">
        <f>SUM('MasterA1(current$)'!BG39*100)/113.116</f>
        <v>14.144771738746066</v>
      </c>
      <c r="BH45" s="637">
        <f>SUM('MasterA1(current$)'!BH39*100)/114.716</f>
        <v>14.819205690574986</v>
      </c>
      <c r="BI45" s="637">
        <f>SUM('MasterA1(current$)'!BI39*100)/116.416</f>
        <v>14.602803738317757</v>
      </c>
      <c r="BJ45" s="410">
        <f>(BH45-BG45)/BG45</f>
        <v>4.7680794309425088E-2</v>
      </c>
      <c r="BK45" s="410">
        <f>(BI45-BH45)/BH45</f>
        <v>-1.4602803738317807E-2</v>
      </c>
      <c r="BL45" s="564">
        <f>BH45-BG45</f>
        <v>0.67443395182892019</v>
      </c>
      <c r="BM45" s="564">
        <f>BI45-BH45</f>
        <v>-0.21640195225722891</v>
      </c>
      <c r="BN45" s="112"/>
      <c r="BO45" s="112"/>
      <c r="BP45" s="620"/>
      <c r="BQ45" s="620"/>
    </row>
    <row r="46" spans="1:69" ht="16.5" customHeight="1" thickBot="1">
      <c r="A46" s="393" t="s">
        <v>37</v>
      </c>
      <c r="B46" s="896">
        <f>SUM('MasterA1(current$)'!B40)/0.1756</f>
        <v>580.86560364464685</v>
      </c>
      <c r="C46" s="136">
        <f>SUM('MasterA1(current$)'!C40)/0.178</f>
        <v>651.68539325842698</v>
      </c>
      <c r="D46" s="136">
        <f>SUM('MasterA1(current$)'!D40)/0.1798</f>
        <v>700.77864293659627</v>
      </c>
      <c r="E46" s="475">
        <f>SUM('MasterA1(current$)'!E40)/0.182</f>
        <v>763.73626373626371</v>
      </c>
      <c r="F46" s="475">
        <f>SUM('MasterA1(current$)'!F40)/0.1842</f>
        <v>857.76330076004342</v>
      </c>
      <c r="G46" s="475">
        <f>SUM('MasterA1(current$)'!G40)/0.18702</f>
        <v>775.31814779168008</v>
      </c>
      <c r="H46" s="475">
        <f>SUM('MasterA1(current$)'!H40)/0.19227</f>
        <v>858.16820096738968</v>
      </c>
      <c r="I46" s="475">
        <f>SUM('MasterA1(current$)'!I40)/0.19786</f>
        <v>945.11270595370456</v>
      </c>
      <c r="J46" s="475">
        <f>SUM('MasterA1(current$)'!J40)/0.20627</f>
        <v>955.05890337906624</v>
      </c>
      <c r="K46" s="475">
        <f>SUM('MasterA1(current$)'!K40)/0.21642</f>
        <v>937.99094353571763</v>
      </c>
      <c r="L46" s="401">
        <f>SUM('MasterA1(current$)'!L40)/0.22784</f>
        <v>974.36797752808991</v>
      </c>
      <c r="M46" s="475">
        <f>SUM('MasterA1(current$)'!M40)/0.23941</f>
        <v>1069.2953510713837</v>
      </c>
      <c r="N46" s="475">
        <f>SUM('MasterA1(current$)'!N40)/0.24978</f>
        <v>1189.0463607975018</v>
      </c>
      <c r="O46" s="475">
        <f>SUM('MasterA1(current$)'!O40)/0.26337</f>
        <v>2137.6770323119567</v>
      </c>
      <c r="P46" s="475">
        <f>SUM('MasterA1(current$)'!P40)/0.28703</f>
        <v>2156.568999756123</v>
      </c>
      <c r="Q46" s="475">
        <f>SUM('MasterA1(current$)'!Q40)/0.31361</f>
        <v>2299.033831829342</v>
      </c>
      <c r="R46" s="475">
        <f>SUM('MasterA1(current$)'!R40)/0.33083</f>
        <v>2360.7290753559228</v>
      </c>
      <c r="S46" s="475">
        <f>SUM('MasterA1(current$)'!S40)/0.35135</f>
        <v>2578.6253024050093</v>
      </c>
      <c r="T46" s="485">
        <f>SUM('MasterA1(current$)'!T40)/0.37602</f>
        <v>2768.4697622466888</v>
      </c>
      <c r="U46" s="475">
        <f>SUM('MasterA1(current$)'!U40)/0.40706</f>
        <v>2748.9804942760284</v>
      </c>
      <c r="V46" s="923">
        <f>SUM('MasterA1(current$)'!V40)/0.44377</f>
        <v>2821.2812943641975</v>
      </c>
      <c r="W46" s="485">
        <f>SUM('MasterA1(current$)'!W40)/0.4852</f>
        <v>2718.4666117065126</v>
      </c>
      <c r="X46" s="485">
        <f>SUM('MasterA1(current$)'!X40)/0.5153</f>
        <v>2470.4055889772949</v>
      </c>
      <c r="Y46" s="485">
        <f>SUM('MasterA1(current$)'!Y40)/0.53565</f>
        <v>2285.0742089050686</v>
      </c>
      <c r="Z46" s="485">
        <f>SUM('MasterA1(current$)'!Z40)/0.55466</f>
        <v>2518.6600800490387</v>
      </c>
      <c r="AA46" s="485">
        <f>SUM('MasterA1(current$)'!AA40)/0.5724</f>
        <v>2512.2292103424179</v>
      </c>
      <c r="AB46" s="485">
        <f>SUM('MasterA1(current$)'!AB40)/0.58395</f>
        <v>2378.628307218084</v>
      </c>
      <c r="AC46" s="485">
        <f>SUM('MasterA1(current$)'!AC40)/0.59885</f>
        <v>2458.0445854554564</v>
      </c>
      <c r="AD46" s="485">
        <f>SUM('MasterA1(current$)'!AD40)/0.61982</f>
        <v>2574.9411119357233</v>
      </c>
      <c r="AE46" s="485">
        <f>SUM('MasterA1(current$)'!AE40)/0.64392</f>
        <v>2660.2683563175547</v>
      </c>
      <c r="AF46" s="923">
        <f>SUM('MasterA1(current$)'!AF40)/0.66773</f>
        <v>2754.1071990175669</v>
      </c>
      <c r="AG46" s="485">
        <f>SUM('MasterA1(current$)'!AG40)/0.68996</f>
        <v>2971.1867354629253</v>
      </c>
      <c r="AH46" s="485">
        <f>SUM('MasterA1(current$)'!AH40)/0.70569</f>
        <v>3228.0463092859468</v>
      </c>
      <c r="AI46" s="485">
        <f>SUM('MasterA1(current$)'!AI40)/0.72248</f>
        <v>3355.1101760602369</v>
      </c>
      <c r="AJ46" s="485">
        <f>SUM('MasterA1(current$)'!AJ40)/0.73785</f>
        <v>3480.3821915023377</v>
      </c>
      <c r="AK46" s="485">
        <f>SUM('MasterA1(current$)'!AK40)/0.75324</f>
        <v>3557.9629334607826</v>
      </c>
      <c r="AL46" s="485">
        <f>SUM('MasterA1(current$)'!AL40)/0.76699</f>
        <v>3586.7481974993157</v>
      </c>
      <c r="AM46" s="485">
        <f>SUM('MasterA1(current$)'!AM40)/0.78012</f>
        <v>3795.5699123211812</v>
      </c>
      <c r="AN46" s="485">
        <f>SUM('MasterA1(current$)'!AN40)/0.78859</f>
        <v>4071.8243954399622</v>
      </c>
      <c r="AO46" s="485">
        <f>SUM('MasterA1(current$)'!AO40)/0.80065</f>
        <v>4165.3656404171616</v>
      </c>
      <c r="AP46" s="931">
        <f>SUM('MasterA1(current$)'!AP40)/0.81887</f>
        <v>4457.3619744281759</v>
      </c>
      <c r="AQ46" s="137">
        <f>SUM('MasterA1(current$)'!AQ40)/0.83754</f>
        <v>5036.1773766029091</v>
      </c>
      <c r="AR46" s="137">
        <f>SUM('MasterA1(current$)'!AR40)/0.85039</f>
        <v>5190.5596255835562</v>
      </c>
      <c r="AS46" s="137">
        <f>SUM('MasterA1(current$)'!AS40)/0.86735</f>
        <v>5892.6615553121583</v>
      </c>
      <c r="AT46" s="137">
        <f>SUM('MasterA1(current$)'!AT40)/0.8912</f>
        <v>5855.0269299820466</v>
      </c>
      <c r="AU46" s="137">
        <f>SUM('MasterA1(current$)'!AU40)/0.91988</f>
        <v>5881.2018958994649</v>
      </c>
      <c r="AV46" s="137">
        <f>SUM('MasterA1(current$)'!AV40)/0.94814</f>
        <v>6495.8761364355478</v>
      </c>
      <c r="AW46" s="137">
        <f>SUM('MasterA1(current$)'!AW40)/0.97337</f>
        <v>6011.0749252596652</v>
      </c>
      <c r="AX46" s="782">
        <f>SUM('MasterA1(current$)'!AX40*100)/99.246</f>
        <v>6262.2171170626525</v>
      </c>
      <c r="AY46" s="420">
        <f>SUM('MasterA1(current$)'!AY40)</f>
        <v>6833</v>
      </c>
      <c r="AZ46" s="654">
        <f>SUM('MasterA1(current$)'!AZ40*100)/101.221</f>
        <v>7531.0459292044143</v>
      </c>
      <c r="BA46" s="420">
        <f>SUM('MasterA1(current$)'!BA40*100)/103.311</f>
        <v>7663.269158172895</v>
      </c>
      <c r="BB46" s="420">
        <f>SUM('MasterA1(current$)'!BB40*100)/105.214</f>
        <v>7503.7542532362613</v>
      </c>
      <c r="BC46" s="420">
        <f>SUM('MasterA1(current$)'!BC40*100)/106.913</f>
        <v>7464.0127954505069</v>
      </c>
      <c r="BD46" s="420">
        <f>SUM('MasterA1(current$)'!BD40*100)/108.832</f>
        <v>7705.4542781534847</v>
      </c>
      <c r="BE46" s="420">
        <f>SUM('MasterA1(current$)'!BE40*100)/110.012</f>
        <v>8780.8602697887509</v>
      </c>
      <c r="BF46" s="654">
        <f>SUM('MasterA1(current$)'!BF40*100)/111.416</f>
        <v>8853.3065268902137</v>
      </c>
      <c r="BG46" s="654">
        <f>SUM('MasterA1(current$)'!BG40*100)/113.116</f>
        <v>8820.1492273418444</v>
      </c>
      <c r="BH46" s="654">
        <f>SUM('MasterA1(current$)'!BH40*100)/114.716</f>
        <v>8935.1093134349176</v>
      </c>
      <c r="BI46" s="654">
        <f>SUM('MasterA1(current$)'!BI40*100)/116.416</f>
        <v>8796.9007696536555</v>
      </c>
      <c r="BJ46" s="875">
        <f>(BH46-BG46)/BG46</f>
        <v>1.3033802845047675E-2</v>
      </c>
      <c r="BK46" s="875">
        <f>(BI46-BH46)/BH46</f>
        <v>-1.5468030544791471E-2</v>
      </c>
      <c r="BL46" s="569">
        <f>BH46-BG46</f>
        <v>114.96008609307319</v>
      </c>
      <c r="BM46" s="569">
        <f>BI46-BH46</f>
        <v>-138.20854378126205</v>
      </c>
      <c r="BN46" s="112"/>
      <c r="BO46" s="112"/>
      <c r="BP46" s="620"/>
      <c r="BQ46" s="620"/>
    </row>
    <row r="47" spans="1:69" ht="16.5" customHeight="1">
      <c r="A47" s="118"/>
      <c r="B47" s="669"/>
      <c r="C47" s="53"/>
      <c r="D47" s="53"/>
      <c r="E47" s="211"/>
      <c r="F47" s="211"/>
      <c r="G47" s="211"/>
      <c r="H47" s="211"/>
      <c r="I47" s="211"/>
      <c r="J47" s="211"/>
      <c r="K47" s="211"/>
      <c r="L47" s="853"/>
      <c r="M47" s="211"/>
      <c r="N47" s="211"/>
      <c r="O47" s="211"/>
      <c r="P47" s="211"/>
      <c r="Q47" s="211"/>
      <c r="R47" s="211"/>
      <c r="S47" s="211"/>
      <c r="T47" s="333"/>
      <c r="U47" s="333"/>
      <c r="V47" s="269"/>
      <c r="W47" s="333"/>
      <c r="X47" s="333"/>
      <c r="Y47" s="333"/>
      <c r="Z47" s="333"/>
      <c r="AA47" s="333"/>
      <c r="AB47" s="333"/>
      <c r="AC47" s="333"/>
      <c r="AD47" s="333"/>
      <c r="AE47" s="333"/>
      <c r="AF47" s="269"/>
      <c r="AG47" s="333"/>
      <c r="AH47" s="333"/>
      <c r="AI47" s="333"/>
      <c r="AJ47" s="333"/>
      <c r="AK47" s="333"/>
      <c r="AL47" s="333"/>
      <c r="AM47" s="333"/>
      <c r="AN47" s="333"/>
      <c r="AO47" s="333"/>
      <c r="AP47" s="932"/>
      <c r="AQ47" s="165"/>
      <c r="AR47" s="165"/>
      <c r="AS47" s="491"/>
      <c r="AT47" s="491"/>
      <c r="AU47" s="491"/>
      <c r="AV47" s="491"/>
      <c r="AW47" s="491"/>
      <c r="AX47" s="491"/>
      <c r="AY47" s="497"/>
      <c r="AZ47" s="634"/>
      <c r="BA47" s="404"/>
      <c r="BB47" s="404"/>
      <c r="BC47" s="404"/>
      <c r="BD47" s="404"/>
      <c r="BE47" s="405"/>
      <c r="BF47" s="536"/>
      <c r="BG47" s="536"/>
      <c r="BH47" s="536"/>
      <c r="BI47" s="536"/>
      <c r="BJ47" s="871"/>
      <c r="BK47" s="871"/>
      <c r="BL47" s="565"/>
      <c r="BM47" s="565"/>
      <c r="BP47" s="620"/>
      <c r="BQ47" s="620"/>
    </row>
    <row r="48" spans="1:69" ht="16.5" customHeight="1">
      <c r="A48" s="159" t="s">
        <v>71</v>
      </c>
      <c r="B48" s="655"/>
      <c r="C48" s="558"/>
      <c r="D48" s="558"/>
      <c r="E48" s="558"/>
      <c r="F48" s="558"/>
      <c r="G48" s="558"/>
      <c r="H48" s="558"/>
      <c r="I48" s="558"/>
      <c r="J48" s="558"/>
      <c r="K48" s="558"/>
      <c r="L48" s="655"/>
      <c r="M48" s="558"/>
      <c r="N48" s="558"/>
      <c r="O48" s="558"/>
      <c r="P48" s="558"/>
      <c r="Q48" s="558"/>
      <c r="R48" s="558"/>
      <c r="S48" s="558"/>
      <c r="T48" s="558"/>
      <c r="U48" s="558"/>
      <c r="V48" s="655"/>
      <c r="W48" s="558"/>
      <c r="X48" s="558"/>
      <c r="Y48" s="558"/>
      <c r="Z48" s="558"/>
      <c r="AA48" s="558"/>
      <c r="AB48" s="558"/>
      <c r="AC48" s="558"/>
      <c r="AD48" s="558"/>
      <c r="AE48" s="558"/>
      <c r="AF48" s="655"/>
      <c r="AG48" s="558"/>
      <c r="AH48" s="558"/>
      <c r="AI48" s="558"/>
      <c r="AJ48" s="558"/>
      <c r="AK48" s="558"/>
      <c r="AL48" s="558"/>
      <c r="AM48" s="558"/>
      <c r="AN48" s="558"/>
      <c r="AO48" s="558"/>
      <c r="AP48" s="655"/>
      <c r="AQ48" s="558"/>
      <c r="AR48" s="558"/>
      <c r="AS48" s="558"/>
      <c r="AT48" s="558"/>
      <c r="AU48" s="558"/>
      <c r="AV48" s="558"/>
      <c r="AW48" s="558"/>
      <c r="AX48" s="558"/>
      <c r="AY48" s="558"/>
      <c r="AZ48" s="655"/>
      <c r="BA48" s="558"/>
      <c r="BB48" s="558"/>
      <c r="BC48" s="558"/>
      <c r="BD48" s="558"/>
      <c r="BE48" s="558"/>
      <c r="BF48" s="655"/>
      <c r="BG48" s="655"/>
      <c r="BH48" s="655"/>
      <c r="BI48" s="655"/>
      <c r="BJ48" s="871"/>
      <c r="BK48" s="871"/>
      <c r="BL48" s="565"/>
      <c r="BM48" s="565"/>
      <c r="BP48" s="620"/>
      <c r="BQ48" s="620"/>
    </row>
    <row r="49" spans="1:93" ht="11.25" customHeight="1">
      <c r="A49" s="118"/>
      <c r="B49" s="669"/>
      <c r="C49" s="53"/>
      <c r="D49" s="53"/>
      <c r="E49" s="211"/>
      <c r="F49" s="211"/>
      <c r="G49" s="211"/>
      <c r="H49" s="211"/>
      <c r="I49" s="211"/>
      <c r="J49" s="211"/>
      <c r="K49" s="211"/>
      <c r="L49" s="853"/>
      <c r="M49" s="211"/>
      <c r="N49" s="211"/>
      <c r="O49" s="211"/>
      <c r="P49" s="211"/>
      <c r="Q49" s="211"/>
      <c r="R49" s="211"/>
      <c r="S49" s="211"/>
      <c r="T49" s="333"/>
      <c r="U49" s="333"/>
      <c r="V49" s="269"/>
      <c r="W49" s="333"/>
      <c r="X49" s="333"/>
      <c r="Y49" s="333"/>
      <c r="Z49" s="333"/>
      <c r="AA49" s="333"/>
      <c r="AB49" s="333"/>
      <c r="AC49" s="333"/>
      <c r="AD49" s="333"/>
      <c r="AE49" s="333"/>
      <c r="AF49" s="269"/>
      <c r="AG49" s="333"/>
      <c r="AH49" s="333"/>
      <c r="AI49" s="333"/>
      <c r="AJ49" s="333"/>
      <c r="AK49" s="333"/>
      <c r="AL49" s="333"/>
      <c r="AM49" s="333"/>
      <c r="AN49" s="333"/>
      <c r="AO49" s="333"/>
      <c r="AP49" s="932"/>
      <c r="AQ49" s="165"/>
      <c r="AR49" s="165"/>
      <c r="AS49" s="165"/>
      <c r="AT49" s="165"/>
      <c r="AU49" s="165"/>
      <c r="AV49" s="165"/>
      <c r="AW49" s="165"/>
      <c r="AX49" s="89"/>
      <c r="AY49" s="404"/>
      <c r="AZ49" s="634"/>
      <c r="BA49" s="404"/>
      <c r="BB49" s="404"/>
      <c r="BC49" s="404"/>
      <c r="BD49" s="404"/>
      <c r="BE49" s="404"/>
      <c r="BF49" s="634"/>
      <c r="BG49" s="634"/>
      <c r="BH49" s="634"/>
      <c r="BI49" s="634"/>
      <c r="BJ49" s="871"/>
      <c r="BK49" s="871"/>
      <c r="BL49" s="565"/>
      <c r="BM49" s="565"/>
      <c r="BP49" s="620"/>
      <c r="BQ49" s="620"/>
    </row>
    <row r="50" spans="1:93" ht="14.25" customHeight="1">
      <c r="A50" s="122" t="s">
        <v>92</v>
      </c>
      <c r="B50" s="667"/>
      <c r="C50" s="49"/>
      <c r="D50" s="49"/>
      <c r="E50" s="30"/>
      <c r="F50" s="30"/>
      <c r="G50" s="30"/>
      <c r="H50" s="30"/>
      <c r="I50" s="30"/>
      <c r="J50" s="30"/>
      <c r="K50" s="30"/>
      <c r="L50" s="270"/>
      <c r="M50" s="30"/>
      <c r="N50" s="30"/>
      <c r="O50" s="30"/>
      <c r="P50" s="30"/>
      <c r="Q50" s="30"/>
      <c r="R50" s="30"/>
      <c r="S50" s="30"/>
      <c r="T50" s="30"/>
      <c r="U50" s="30"/>
      <c r="V50" s="270"/>
      <c r="W50" s="30"/>
      <c r="X50" s="30"/>
      <c r="Y50" s="30"/>
      <c r="Z50" s="30"/>
      <c r="AA50" s="30"/>
      <c r="AB50" s="30"/>
      <c r="AC50" s="30"/>
      <c r="AD50" s="30"/>
      <c r="AE50" s="30"/>
      <c r="AF50" s="270"/>
      <c r="AG50" s="30"/>
      <c r="AH50" s="30"/>
      <c r="AI50" s="30"/>
      <c r="AJ50" s="30"/>
      <c r="AK50" s="30"/>
      <c r="AL50" s="30"/>
      <c r="AM50" s="30"/>
      <c r="AN50" s="30"/>
      <c r="AO50" s="30"/>
      <c r="AP50" s="857"/>
      <c r="AQ50" s="328"/>
      <c r="AR50" s="328"/>
      <c r="AS50" s="328"/>
      <c r="AT50" s="328"/>
      <c r="AU50" s="328"/>
      <c r="AV50" s="328"/>
      <c r="AW50" s="328"/>
      <c r="AX50" s="89"/>
      <c r="AY50" s="404"/>
      <c r="AZ50" s="634"/>
      <c r="BA50" s="404"/>
      <c r="BB50" s="404"/>
      <c r="BC50" s="404"/>
      <c r="BD50" s="404"/>
      <c r="BE50" s="404"/>
      <c r="BF50" s="634"/>
      <c r="BG50" s="634"/>
      <c r="BH50" s="634"/>
      <c r="BI50" s="634"/>
      <c r="BJ50" s="871"/>
      <c r="BK50" s="871"/>
      <c r="BL50" s="565"/>
      <c r="BM50" s="565"/>
      <c r="BP50" s="620"/>
      <c r="BQ50" s="620"/>
    </row>
    <row r="51" spans="1:93" ht="10.5" customHeight="1">
      <c r="A51" s="110" t="s">
        <v>93</v>
      </c>
      <c r="B51" s="225" t="s">
        <v>3</v>
      </c>
      <c r="C51" s="93" t="s">
        <v>3</v>
      </c>
      <c r="D51" s="93" t="s">
        <v>3</v>
      </c>
      <c r="E51" s="93" t="s">
        <v>3</v>
      </c>
      <c r="F51" s="93" t="s">
        <v>3</v>
      </c>
      <c r="G51" s="93" t="s">
        <v>3</v>
      </c>
      <c r="H51" s="93" t="s">
        <v>3</v>
      </c>
      <c r="I51" s="93" t="s">
        <v>3</v>
      </c>
      <c r="J51" s="93" t="s">
        <v>3</v>
      </c>
      <c r="K51" s="93" t="s">
        <v>3</v>
      </c>
      <c r="L51" s="225" t="s">
        <v>3</v>
      </c>
      <c r="M51" s="93" t="s">
        <v>3</v>
      </c>
      <c r="N51" s="93" t="s">
        <v>3</v>
      </c>
      <c r="O51" s="93" t="s">
        <v>3</v>
      </c>
      <c r="P51" s="93" t="s">
        <v>3</v>
      </c>
      <c r="Q51" s="93" t="s">
        <v>3</v>
      </c>
      <c r="R51" s="93" t="s">
        <v>3</v>
      </c>
      <c r="S51" s="93" t="s">
        <v>3</v>
      </c>
      <c r="T51" s="93" t="s">
        <v>3</v>
      </c>
      <c r="U51" s="93" t="s">
        <v>3</v>
      </c>
      <c r="V51" s="225" t="s">
        <v>3</v>
      </c>
      <c r="W51" s="93" t="s">
        <v>3</v>
      </c>
      <c r="X51" s="93" t="s">
        <v>3</v>
      </c>
      <c r="Y51" s="93" t="s">
        <v>3</v>
      </c>
      <c r="Z51" s="93" t="s">
        <v>3</v>
      </c>
      <c r="AA51" s="93" t="s">
        <v>3</v>
      </c>
      <c r="AB51" s="93" t="s">
        <v>3</v>
      </c>
      <c r="AC51" s="93" t="s">
        <v>3</v>
      </c>
      <c r="AD51" s="93" t="s">
        <v>3</v>
      </c>
      <c r="AE51" s="93" t="s">
        <v>3</v>
      </c>
      <c r="AF51" s="225" t="s">
        <v>3</v>
      </c>
      <c r="AG51" s="93" t="s">
        <v>3</v>
      </c>
      <c r="AH51" s="93" t="s">
        <v>3</v>
      </c>
      <c r="AI51" s="93" t="s">
        <v>3</v>
      </c>
      <c r="AJ51" s="93" t="s">
        <v>3</v>
      </c>
      <c r="AK51" s="93" t="s">
        <v>3</v>
      </c>
      <c r="AL51" s="93" t="s">
        <v>3</v>
      </c>
      <c r="AM51" s="93" t="s">
        <v>3</v>
      </c>
      <c r="AN51" s="93" t="s">
        <v>3</v>
      </c>
      <c r="AO51" s="93" t="s">
        <v>3</v>
      </c>
      <c r="AP51" s="225" t="s">
        <v>3</v>
      </c>
      <c r="AQ51" s="93" t="s">
        <v>3</v>
      </c>
      <c r="AR51" s="93" t="s">
        <v>3</v>
      </c>
      <c r="AS51" s="93" t="s">
        <v>3</v>
      </c>
      <c r="AT51" s="93" t="s">
        <v>3</v>
      </c>
      <c r="AU51" s="321">
        <f>SUM('MasterA1(current$)'!AU45)/0.91988</f>
        <v>56.529112492933862</v>
      </c>
      <c r="AV51" s="163" t="s">
        <v>3</v>
      </c>
      <c r="AW51" s="163" t="s">
        <v>3</v>
      </c>
      <c r="AX51" s="331" t="s">
        <v>3</v>
      </c>
      <c r="AY51" s="284" t="s">
        <v>3</v>
      </c>
      <c r="AZ51" s="305" t="s">
        <v>3</v>
      </c>
      <c r="BA51" s="284" t="s">
        <v>3</v>
      </c>
      <c r="BB51" s="284" t="s">
        <v>3</v>
      </c>
      <c r="BC51" s="284" t="s">
        <v>3</v>
      </c>
      <c r="BD51" s="284" t="s">
        <v>3</v>
      </c>
      <c r="BE51" s="284" t="s">
        <v>3</v>
      </c>
      <c r="BF51" s="305" t="s">
        <v>3</v>
      </c>
      <c r="BG51" s="305" t="s">
        <v>3</v>
      </c>
      <c r="BH51" s="305" t="s">
        <v>3</v>
      </c>
      <c r="BI51" s="305" t="s">
        <v>3</v>
      </c>
      <c r="BJ51" s="874" t="s">
        <v>10</v>
      </c>
      <c r="BK51" s="874" t="s">
        <v>10</v>
      </c>
      <c r="BL51" s="568" t="s">
        <v>10</v>
      </c>
      <c r="BM51" s="568" t="s">
        <v>10</v>
      </c>
      <c r="BP51" s="620"/>
      <c r="BQ51" s="620"/>
    </row>
    <row r="52" spans="1:93" ht="11.25" customHeight="1">
      <c r="A52" s="110" t="s">
        <v>94</v>
      </c>
      <c r="B52" s="667">
        <f>SUM('MasterA1(current$)'!B46)/0.1756</f>
        <v>353.0751708428246</v>
      </c>
      <c r="C52" s="49">
        <f>SUM('MasterA1(current$)'!C46)/0.178</f>
        <v>382.02247191011236</v>
      </c>
      <c r="D52" s="49">
        <f>SUM('MasterA1(current$)'!D46)/0.1798</f>
        <v>411.56840934371525</v>
      </c>
      <c r="E52" s="30">
        <f>SUM('MasterA1(current$)'!E46)/0.182</f>
        <v>439.56043956043959</v>
      </c>
      <c r="F52" s="30">
        <f>SUM('MasterA1(current$)'!F46)/0.1842</f>
        <v>407.16612377850163</v>
      </c>
      <c r="G52" s="30">
        <f>SUM('MasterA1(current$)'!G46)/0.18702</f>
        <v>427.7617367126511</v>
      </c>
      <c r="H52" s="30">
        <f>SUM('MasterA1(current$)'!H46)/0.19227</f>
        <v>441.25448587923233</v>
      </c>
      <c r="I52" s="30">
        <f>SUM('MasterA1(current$)'!I46)/0.19786</f>
        <v>439.70484180733848</v>
      </c>
      <c r="J52" s="30">
        <f>SUM('MasterA1(current$)'!J46)/0.20627</f>
        <v>559.94570223493474</v>
      </c>
      <c r="K52" s="30">
        <f>SUM('MasterA1(current$)'!K46)/0.21642</f>
        <v>665.37288605489323</v>
      </c>
      <c r="L52" s="270">
        <f>SUM('MasterA1(current$)'!L46)/0.22784</f>
        <v>769.82970505617982</v>
      </c>
      <c r="M52" s="30">
        <f>SUM('MasterA1(current$)'!M46)/0.23941</f>
        <v>910.71383818553932</v>
      </c>
      <c r="N52" s="30">
        <f>SUM('MasterA1(current$)'!N46)/0.24978</f>
        <v>1054.1716710705421</v>
      </c>
      <c r="O52" s="30">
        <f>SUM('MasterA1(current$)'!O46)/0.26337</f>
        <v>1306.9256179519307</v>
      </c>
      <c r="P52" s="30">
        <f>SUM('MasterA1(current$)'!P46)/0.28703</f>
        <v>1314.2737692924084</v>
      </c>
      <c r="Q52" s="30">
        <f>SUM('MasterA1(current$)'!Q46)/0.31361</f>
        <v>1670.6833328018877</v>
      </c>
      <c r="R52" s="30">
        <f>SUM('MasterA1(current$)'!R46)/0.33083</f>
        <v>2164.8701750143578</v>
      </c>
      <c r="S52" s="30">
        <f>SUM('MasterA1(current$)'!S46)/0.35135</f>
        <v>1846.907641952469</v>
      </c>
      <c r="T52" s="30">
        <f>SUM('MasterA1(current$)'!T46)/0.37602</f>
        <v>1829.6181054199242</v>
      </c>
      <c r="U52" s="30">
        <f>SUM('MasterA1(current$)'!U46)/0.40706</f>
        <v>1737.7929543556234</v>
      </c>
      <c r="V52" s="270">
        <f>SUM('MasterA1(current$)'!V46)/0.44377</f>
        <v>1885.1206706176622</v>
      </c>
      <c r="W52" s="30">
        <f>SUM('MasterA1(current$)'!W46)/0.4852</f>
        <v>1389.853668590272</v>
      </c>
      <c r="X52" s="30">
        <f>SUM('MasterA1(current$)'!X46)/0.5153</f>
        <v>1286.9124781680573</v>
      </c>
      <c r="Y52" s="30">
        <f>SUM('MasterA1(current$)'!Y46)/0.53565</f>
        <v>1339.7311677401287</v>
      </c>
      <c r="Z52" s="30">
        <f>SUM('MasterA1(current$)'!Z46)/0.55466</f>
        <v>1376.5261601701943</v>
      </c>
      <c r="AA52" s="30">
        <f>SUM('MasterA1(current$)'!AA46)/0.5724</f>
        <v>1416.993361285814</v>
      </c>
      <c r="AB52" s="30">
        <f>SUM('MasterA1(current$)'!AB46)/0.58395</f>
        <v>1530.4940491480436</v>
      </c>
      <c r="AC52" s="30">
        <f>SUM('MasterA1(current$)'!AC46)/0.59885</f>
        <v>1896.6285380312265</v>
      </c>
      <c r="AD52" s="30">
        <f>SUM('MasterA1(current$)'!AD46)/0.61982</f>
        <v>2355.0159723790775</v>
      </c>
      <c r="AE52" s="30">
        <f>SUM('MasterA1(current$)'!AE46)/0.64392</f>
        <v>2384.7015157162377</v>
      </c>
      <c r="AF52" s="270">
        <f>SUM('MasterA1(current$)'!AF46)/0.66773</f>
        <v>2492.2768184745328</v>
      </c>
      <c r="AG52" s="30">
        <f>SUM('MasterA1(current$)'!AG46)/0.68996</f>
        <v>2845.8142501014549</v>
      </c>
      <c r="AH52" s="30">
        <f>SUM('MasterA1(current$)'!AH46)/0.70569</f>
        <v>3174.9762643653726</v>
      </c>
      <c r="AI52" s="30">
        <f>SUM('MasterA1(current$)'!AI46)/0.72248</f>
        <v>2753.3827926032554</v>
      </c>
      <c r="AJ52" s="30">
        <f>SUM('MasterA1(current$)'!AJ46)/0.73785</f>
        <v>2955.4055702378532</v>
      </c>
      <c r="AK52" s="30">
        <f>SUM('MasterA1(current$)'!AK46)/0.75324</f>
        <v>2839.7323562211245</v>
      </c>
      <c r="AL52" s="30">
        <f>SUM('MasterA1(current$)'!AL46)/0.76699</f>
        <v>2937.4568116924602</v>
      </c>
      <c r="AM52" s="30">
        <f>SUM('MasterA1(current$)'!AM46)/0.78012</f>
        <v>2790.5963185150999</v>
      </c>
      <c r="AN52" s="30">
        <f>SUM('MasterA1(current$)'!AN46)/0.78859</f>
        <v>3011.7044344970136</v>
      </c>
      <c r="AO52" s="30">
        <f>SUM('MasterA1(current$)'!AO46)/0.80065</f>
        <v>3248.6105039655281</v>
      </c>
      <c r="AP52" s="857">
        <f>SUM('MasterA1(current$)'!AP46)/0.81887</f>
        <v>3421.788562287054</v>
      </c>
      <c r="AQ52" s="328">
        <f>SUM('MasterA1(current$)'!AQ46)/0.83754</f>
        <v>3612.9617689901379</v>
      </c>
      <c r="AR52" s="321">
        <f>SUM('MasterA1(current$)'!AR46)/0.85039</f>
        <v>6347.6757722927132</v>
      </c>
      <c r="AS52" s="321">
        <f>SUM('MasterA1(current$)'!AS46)/0.86735</f>
        <v>6103.649045944544</v>
      </c>
      <c r="AT52" s="321">
        <f>SUM('MasterA1(current$)'!AT46)/0.8912</f>
        <v>7260.9964093357275</v>
      </c>
      <c r="AU52" s="321">
        <f>SUM('MasterA1(current$)'!AU46)/0.91988</f>
        <v>7552.0720093925293</v>
      </c>
      <c r="AV52" s="163">
        <f>SUM('MasterA1(current$)'!AV46)/0.94814</f>
        <v>7821.6297171303813</v>
      </c>
      <c r="AW52" s="163">
        <f>SUM('MasterA1(current$)'!AW46)/0.97337</f>
        <v>8490.091126704132</v>
      </c>
      <c r="AX52" s="331">
        <f>SUM('MasterA1(current$)'!AX46*100)/99.246</f>
        <v>9541.9462749128434</v>
      </c>
      <c r="AY52" s="405">
        <f>SUM('MasterA1(current$)'!AY46)</f>
        <v>10659</v>
      </c>
      <c r="AZ52" s="305">
        <f>SUM('MasterA1(current$)'!AZ46*100)/101.221</f>
        <v>10813.961529722093</v>
      </c>
      <c r="BA52" s="284">
        <f>SUM('MasterA1(current$)'!BA46*100)/103.311</f>
        <v>10844.924548208806</v>
      </c>
      <c r="BB52" s="284">
        <f>SUM('MasterA1(current$)'!BB46*100)/105.214</f>
        <v>11175.318873914119</v>
      </c>
      <c r="BC52" s="284">
        <f>SUM('MasterA1(current$)'!BC46*100)/106.913</f>
        <v>10675.034841413111</v>
      </c>
      <c r="BD52" s="284">
        <f>SUM('MasterA1(current$)'!BD46*100)/108.832</f>
        <v>10133.967950602764</v>
      </c>
      <c r="BE52" s="284">
        <f>SUM('MasterA1(current$)'!BE46*100)/110.012</f>
        <v>10687.015961895066</v>
      </c>
      <c r="BF52" s="305">
        <f>SUM('MasterA1(current$)'!BF46*100)/111.416</f>
        <v>11230.882458533784</v>
      </c>
      <c r="BG52" s="305">
        <f>SUM('MasterA1(current$)'!BG46*100)/113.116</f>
        <v>12301.531171540719</v>
      </c>
      <c r="BH52" s="305">
        <f>SUM('MasterA1(current$)'!BH46*100)/114.716</f>
        <v>14256.075874333137</v>
      </c>
      <c r="BI52" s="305">
        <f>SUM('MasterA1(current$)'!BI46*100)/116.416</f>
        <v>14307.311709730622</v>
      </c>
      <c r="BJ52" s="410">
        <f t="shared" ref="BJ52:BK57" si="3">(BH52-BG52)/BG52</f>
        <v>0.15888629435937277</v>
      </c>
      <c r="BK52" s="410">
        <f t="shared" si="3"/>
        <v>3.5939648364057084E-3</v>
      </c>
      <c r="BL52" s="564">
        <f t="shared" ref="BL52:BM57" si="4">BH52-BG52</f>
        <v>1954.5447027924183</v>
      </c>
      <c r="BM52" s="564">
        <f t="shared" si="4"/>
        <v>51.235835397485062</v>
      </c>
      <c r="BN52" s="112"/>
      <c r="BO52" s="112"/>
      <c r="BP52" s="620"/>
      <c r="BQ52" s="620"/>
    </row>
    <row r="53" spans="1:93" ht="10.5" customHeight="1">
      <c r="A53" s="110" t="s">
        <v>95</v>
      </c>
      <c r="B53" s="667">
        <f>SUM('MasterA1(current$)'!B47)/0.1756</f>
        <v>216.40091116173119</v>
      </c>
      <c r="C53" s="49">
        <f>SUM('MasterA1(current$)'!C47)/0.178</f>
        <v>224.71910112359552</v>
      </c>
      <c r="D53" s="49">
        <f>SUM('MasterA1(current$)'!D47)/0.1798</f>
        <v>233.59288097886542</v>
      </c>
      <c r="E53" s="30">
        <f>SUM('MasterA1(current$)'!E47)/0.182</f>
        <v>241.75824175824175</v>
      </c>
      <c r="F53" s="30">
        <f>SUM('MasterA1(current$)'!F47)/0.1842</f>
        <v>238.87079261672096</v>
      </c>
      <c r="G53" s="30">
        <f>SUM('MasterA1(current$)'!G47)/0.18702</f>
        <v>256.65704202759065</v>
      </c>
      <c r="H53" s="30">
        <f>SUM('MasterA1(current$)'!H47)/0.19227</f>
        <v>270.45300878972279</v>
      </c>
      <c r="I53" s="30">
        <f>SUM('MasterA1(current$)'!I47)/0.19786</f>
        <v>252.70393207318304</v>
      </c>
      <c r="J53" s="30">
        <f>SUM('MasterA1(current$)'!J47)/0.20627</f>
        <v>256.94478111213459</v>
      </c>
      <c r="K53" s="30">
        <f>SUM('MasterA1(current$)'!K47)/0.21642</f>
        <v>258.75612235468071</v>
      </c>
      <c r="L53" s="270">
        <f>SUM('MasterA1(current$)'!L47)/0.22784</f>
        <v>289.67696629213486</v>
      </c>
      <c r="M53" s="30">
        <f>SUM('MasterA1(current$)'!M47)/0.23941</f>
        <v>342.50866714005264</v>
      </c>
      <c r="N53" s="30">
        <f>SUM('MasterA1(current$)'!N47)/0.24978</f>
        <v>404.35583313315715</v>
      </c>
      <c r="O53" s="30">
        <f>SUM('MasterA1(current$)'!O47)/0.26337</f>
        <v>394.88172532938455</v>
      </c>
      <c r="P53" s="30">
        <f>SUM('MasterA1(current$)'!P47)/0.28703</f>
        <v>351.87959446747726</v>
      </c>
      <c r="Q53" s="30">
        <f>SUM('MasterA1(current$)'!Q47)/0.31361</f>
        <v>369.88616434424921</v>
      </c>
      <c r="R53" s="30">
        <f>SUM('MasterA1(current$)'!R47)/0.33083</f>
        <v>525.94988362603146</v>
      </c>
      <c r="S53" s="30">
        <f>SUM('MasterA1(current$)'!S47)/0.35135</f>
        <v>603.38693610360042</v>
      </c>
      <c r="T53" s="30">
        <f>SUM('MasterA1(current$)'!T47)/0.37602</f>
        <v>595.71299398968142</v>
      </c>
      <c r="U53" s="30">
        <f>SUM('MasterA1(current$)'!U47)/0.40706</f>
        <v>596.96359259077292</v>
      </c>
      <c r="V53" s="270">
        <f>SUM('MasterA1(current$)'!V47)/0.44377</f>
        <v>572.36856930391866</v>
      </c>
      <c r="W53" s="30">
        <f>SUM('MasterA1(current$)'!W47)/0.4852</f>
        <v>667.76586974443524</v>
      </c>
      <c r="X53" s="30">
        <f>SUM('MasterA1(current$)'!X47)/0.5153</f>
        <v>601.59130603531923</v>
      </c>
      <c r="Y53" s="30">
        <f>SUM('MasterA1(current$)'!Y47)/0.53565</f>
        <v>659.01241482311218</v>
      </c>
      <c r="Z53" s="30">
        <f>SUM('MasterA1(current$)'!Z47)/0.55466</f>
        <v>612.98813687664506</v>
      </c>
      <c r="AA53" s="30">
        <f>SUM('MasterA1(current$)'!AA47)/0.5724</f>
        <v>649.89517819706498</v>
      </c>
      <c r="AB53" s="30">
        <f>SUM('MasterA1(current$)'!AB47)/0.58395</f>
        <v>671.29035020121592</v>
      </c>
      <c r="AC53" s="30">
        <f>SUM('MasterA1(current$)'!AC47)/0.59885</f>
        <v>846.62269349586711</v>
      </c>
      <c r="AD53" s="30">
        <f>SUM('MasterA1(current$)'!AD47)/0.61982</f>
        <v>997.06366364428379</v>
      </c>
      <c r="AE53" s="30">
        <f>SUM('MasterA1(current$)'!AE47)/0.64392</f>
        <v>1334.0166480308112</v>
      </c>
      <c r="AF53" s="270">
        <f>SUM('MasterA1(current$)'!AF47)/0.66773</f>
        <v>1177.1224896290416</v>
      </c>
      <c r="AG53" s="30">
        <f>SUM('MasterA1(current$)'!AG47)/0.68996</f>
        <v>1388.4862890602353</v>
      </c>
      <c r="AH53" s="30">
        <f>SUM('MasterA1(current$)'!AH47)/0.70569</f>
        <v>1538.9193555243803</v>
      </c>
      <c r="AI53" s="30">
        <f>SUM('MasterA1(current$)'!AI47)/0.72248</f>
        <v>1788.2847968109843</v>
      </c>
      <c r="AJ53" s="30">
        <f>SUM('MasterA1(current$)'!AJ47)/0.73785</f>
        <v>1667.0054889205123</v>
      </c>
      <c r="AK53" s="30">
        <f>SUM('MasterA1(current$)'!AK47)/0.75324</f>
        <v>1859.9649514099092</v>
      </c>
      <c r="AL53" s="30">
        <f>SUM('MasterA1(current$)'!AL47)/0.76699</f>
        <v>2126.4944784156251</v>
      </c>
      <c r="AM53" s="30">
        <f>SUM('MasterA1(current$)'!AM47)/0.78012</f>
        <v>2641.9012459621595</v>
      </c>
      <c r="AN53" s="30">
        <f>SUM('MasterA1(current$)'!AN47)/0.78859</f>
        <v>3969.1094231476432</v>
      </c>
      <c r="AO53" s="30">
        <f>SUM('MasterA1(current$)'!AO47)/0.80065</f>
        <v>3738.2127021794795</v>
      </c>
      <c r="AP53" s="857">
        <f>SUM('MasterA1(current$)'!AP47)/0.81887</f>
        <v>4097.1094312894602</v>
      </c>
      <c r="AQ53" s="328">
        <f>SUM('MasterA1(current$)'!AQ47)/0.83754</f>
        <v>3814.7431764453045</v>
      </c>
      <c r="AR53" s="328">
        <f>SUM('MasterA1(current$)'!AR47)/0.85039</f>
        <v>3279.6716800526819</v>
      </c>
      <c r="AS53" s="328">
        <f>SUM('MasterA1(current$)'!AS47)/0.86735</f>
        <v>2557.2145039488096</v>
      </c>
      <c r="AT53" s="328">
        <f>SUM('MasterA1(current$)'!AT47)/0.8912</f>
        <v>3755.6104129263913</v>
      </c>
      <c r="AU53" s="328">
        <f>SUM('MasterA1(current$)'!AU47)/0.91988</f>
        <v>3541.7663173457408</v>
      </c>
      <c r="AV53" s="163">
        <f>SUM('MasterA1(current$)'!AV47)/0.94814</f>
        <v>3597.5699791170082</v>
      </c>
      <c r="AW53" s="163">
        <f>SUM('MasterA1(current$)'!AW47)/0.97337</f>
        <v>4169.0210300296912</v>
      </c>
      <c r="AX53" s="331">
        <f>SUM('MasterA1(current$)'!AX47*100)/99.246</f>
        <v>4789.1098885597403</v>
      </c>
      <c r="AY53" s="405">
        <f>SUM('MasterA1(current$)'!AY47)</f>
        <v>5372</v>
      </c>
      <c r="AZ53" s="305">
        <f>SUM('MasterA1(current$)'!AZ47*100)/101.221</f>
        <v>5581.8456644372209</v>
      </c>
      <c r="BA53" s="284">
        <f>SUM('MasterA1(current$)'!BA47*100)/103.311</f>
        <v>5658.6423517340845</v>
      </c>
      <c r="BB53" s="284">
        <f>SUM('MasterA1(current$)'!BB47*100)/105.214</f>
        <v>5858.5359362822437</v>
      </c>
      <c r="BC53" s="284">
        <f>SUM('MasterA1(current$)'!BC47*100)/106.913</f>
        <v>5475.4800632289807</v>
      </c>
      <c r="BD53" s="284">
        <f>SUM('MasterA1(current$)'!BD47*100)/108.832</f>
        <v>5306.343722434578</v>
      </c>
      <c r="BE53" s="284">
        <f>SUM('MasterA1(current$)'!BE47*100)/110.012</f>
        <v>5419.4087917681709</v>
      </c>
      <c r="BF53" s="305">
        <f>SUM('MasterA1(current$)'!BF47*100)/111.416</f>
        <v>5861.815179148417</v>
      </c>
      <c r="BG53" s="305">
        <f>SUM('MasterA1(current$)'!BG47*100)/113.116</f>
        <v>6094.6285229322111</v>
      </c>
      <c r="BH53" s="305">
        <f>SUM('MasterA1(current$)'!BH47*100)/114.716</f>
        <v>5583.3536734195759</v>
      </c>
      <c r="BI53" s="305">
        <f>SUM('MasterA1(current$)'!BI47*100)/116.416</f>
        <v>6934.613798790544</v>
      </c>
      <c r="BJ53" s="410">
        <f t="shared" si="3"/>
        <v>-8.3889419607588112E-2</v>
      </c>
      <c r="BK53" s="410">
        <f t="shared" si="3"/>
        <v>0.24201585720851829</v>
      </c>
      <c r="BL53" s="564">
        <f t="shared" si="4"/>
        <v>-511.27484951263523</v>
      </c>
      <c r="BM53" s="564">
        <f t="shared" si="4"/>
        <v>1351.2601253709681</v>
      </c>
      <c r="BN53" s="112"/>
      <c r="BO53" s="112"/>
      <c r="BP53" s="620"/>
      <c r="BQ53" s="620"/>
    </row>
    <row r="54" spans="1:93" ht="11.25" customHeight="1">
      <c r="A54" s="413" t="s">
        <v>96</v>
      </c>
      <c r="B54" s="667">
        <f>SUM('MasterA1(current$)'!B48)/0.1756</f>
        <v>256.26423690205013</v>
      </c>
      <c r="C54" s="49">
        <f>SUM('MasterA1(current$)'!C48)/0.178</f>
        <v>275.28089887640454</v>
      </c>
      <c r="D54" s="49">
        <f>SUM('MasterA1(current$)'!D48)/0.1798</f>
        <v>283.64849833147946</v>
      </c>
      <c r="E54" s="30">
        <f>SUM('MasterA1(current$)'!E48)/0.182</f>
        <v>307.69230769230768</v>
      </c>
      <c r="F54" s="30">
        <f>SUM('MasterA1(current$)'!F48)/0.1842</f>
        <v>320.3040173724213</v>
      </c>
      <c r="G54" s="30">
        <f>SUM('MasterA1(current$)'!G48)/0.18702</f>
        <v>336.86236766121272</v>
      </c>
      <c r="H54" s="30">
        <f>SUM('MasterA1(current$)'!H48)/0.19227</f>
        <v>364.07135798616531</v>
      </c>
      <c r="I54" s="30">
        <f>SUM('MasterA1(current$)'!I48)/0.19786</f>
        <v>353.7855049024563</v>
      </c>
      <c r="J54" s="30">
        <f>SUM('MasterA1(current$)'!J48)/0.20627</f>
        <v>349.05706113346582</v>
      </c>
      <c r="K54" s="30">
        <f>SUM('MasterA1(current$)'!K48)/0.21642</f>
        <v>388.13418353202104</v>
      </c>
      <c r="L54" s="270">
        <f>SUM('MasterA1(current$)'!L48)/0.22784</f>
        <v>412.57022471910113</v>
      </c>
      <c r="M54" s="30">
        <f>SUM('MasterA1(current$)'!M48)/0.23941</f>
        <v>739.31748882669888</v>
      </c>
      <c r="N54" s="30">
        <f>SUM('MasterA1(current$)'!N48)/0.24978</f>
        <v>888.78212827288007</v>
      </c>
      <c r="O54" s="30">
        <f>SUM('MasterA1(current$)'!O48)/0.26337</f>
        <v>1055.5492273227778</v>
      </c>
      <c r="P54" s="30">
        <f>SUM('MasterA1(current$)'!P48)/0.28703</f>
        <v>968.53987388077894</v>
      </c>
      <c r="Q54" s="30">
        <f>SUM('MasterA1(current$)'!Q48)/0.31361</f>
        <v>905.58336787729979</v>
      </c>
      <c r="R54" s="30">
        <f>SUM('MasterA1(current$)'!R48)/0.33083</f>
        <v>882.62854033793792</v>
      </c>
      <c r="S54" s="30">
        <f>SUM('MasterA1(current$)'!S48)/0.35135</f>
        <v>947.77287604952323</v>
      </c>
      <c r="T54" s="30">
        <f>SUM('MasterA1(current$)'!T48)/0.37602</f>
        <v>912.18552204669959</v>
      </c>
      <c r="U54" s="30">
        <f>SUM('MasterA1(current$)'!U48)/0.40706</f>
        <v>990.02604038716652</v>
      </c>
      <c r="V54" s="270">
        <f>SUM('MasterA1(current$)'!V48)/0.44377</f>
        <v>1122.2029429659508</v>
      </c>
      <c r="W54" s="30">
        <f>SUM('MasterA1(current$)'!W48)/0.4852</f>
        <v>1055.234954657873</v>
      </c>
      <c r="X54" s="30">
        <f>SUM('MasterA1(current$)'!X48)/0.5153</f>
        <v>1084.8049679798175</v>
      </c>
      <c r="Y54" s="30">
        <f>SUM('MasterA1(current$)'!Y48)/0.53565</f>
        <v>939.04601885559612</v>
      </c>
      <c r="Z54" s="30">
        <f>SUM('MasterA1(current$)'!Z48)/0.55466</f>
        <v>962.75195615331904</v>
      </c>
      <c r="AA54" s="30">
        <f>SUM('MasterA1(current$)'!AA48)/0.5724</f>
        <v>974.84276729559747</v>
      </c>
      <c r="AB54" s="30">
        <f>SUM('MasterA1(current$)'!AB48)/0.58395</f>
        <v>991.52324685332655</v>
      </c>
      <c r="AC54" s="30">
        <f>SUM('MasterA1(current$)'!AC48)/0.59885</f>
        <v>938.46539200133589</v>
      </c>
      <c r="AD54" s="30">
        <f>SUM('MasterA1(current$)'!AD48)/0.61982</f>
        <v>805.07244038591841</v>
      </c>
      <c r="AE54" s="30">
        <f>SUM('MasterA1(current$)'!AE48)/0.64392</f>
        <v>919.36886569760213</v>
      </c>
      <c r="AF54" s="270">
        <f>SUM('MasterA1(current$)'!AF48)/0.66773</f>
        <v>1361.328680754197</v>
      </c>
      <c r="AG54" s="30">
        <f>SUM('MasterA1(current$)'!AG48)/0.68996</f>
        <v>1466.7516957504783</v>
      </c>
      <c r="AH54" s="30">
        <f>SUM('MasterA1(current$)'!AH48)/0.70569</f>
        <v>1648.0324221683741</v>
      </c>
      <c r="AI54" s="30">
        <f>SUM('MasterA1(current$)'!AI48)/0.72248</f>
        <v>1714.9263647436608</v>
      </c>
      <c r="AJ54" s="30">
        <f>SUM('MasterA1(current$)'!AJ48)/0.73785</f>
        <v>1692.7559802127803</v>
      </c>
      <c r="AK54" s="30">
        <f>SUM('MasterA1(current$)'!AK48)/0.75324</f>
        <v>1810.8438213583984</v>
      </c>
      <c r="AL54" s="30">
        <f>SUM('MasterA1(current$)'!AL48)/0.76699</f>
        <v>1869.6462796125113</v>
      </c>
      <c r="AM54" s="30">
        <f>SUM('MasterA1(current$)'!AM48)/0.78012</f>
        <v>1912.5262780085113</v>
      </c>
      <c r="AN54" s="30">
        <f>SUM('MasterA1(current$)'!AN48)/0.78859</f>
        <v>1952.8525596317477</v>
      </c>
      <c r="AO54" s="30">
        <f>SUM('MasterA1(current$)'!AO48)/0.80065</f>
        <v>2053.331668019734</v>
      </c>
      <c r="AP54" s="857">
        <f>SUM('MasterA1(current$)'!AP48)/0.81887</f>
        <v>2096.3152931857981</v>
      </c>
      <c r="AQ54" s="328">
        <f>SUM('MasterA1(current$)'!AQ48)/0.83754</f>
        <v>2295.4952801382228</v>
      </c>
      <c r="AR54" s="328">
        <f>SUM('MasterA1(current$)'!AR48)/0.85039</f>
        <v>2500.9406853641708</v>
      </c>
      <c r="AS54" s="328">
        <f>SUM('MasterA1(current$)'!AS48)/0.86735</f>
        <v>1936.9343402317404</v>
      </c>
      <c r="AT54" s="328">
        <f>SUM('MasterA1(current$)'!AT48)/0.8912</f>
        <v>2115.1256732495513</v>
      </c>
      <c r="AU54" s="328">
        <f>SUM('MasterA1(current$)'!AU48)/0.91988</f>
        <v>2117.6675218506762</v>
      </c>
      <c r="AV54" s="163">
        <f>SUM('MasterA1(current$)'!AV48)/0.94814</f>
        <v>2301.3479022085348</v>
      </c>
      <c r="AW54" s="163">
        <f>SUM('MasterA1(current$)'!AW48)/0.97337</f>
        <v>2200.6020321152287</v>
      </c>
      <c r="AX54" s="331">
        <f>SUM('MasterA1(current$)'!AX48*100)/99.246</f>
        <v>2292.2838200028214</v>
      </c>
      <c r="AY54" s="405">
        <f>SUM('MasterA1(current$)'!AY48)</f>
        <v>2378</v>
      </c>
      <c r="AZ54" s="305">
        <f>SUM('MasterA1(current$)'!AZ48*100)/101.221</f>
        <v>2446.1327194949663</v>
      </c>
      <c r="BA54" s="284">
        <f>SUM('MasterA1(current$)'!BA48*100)/103.311</f>
        <v>2316.3070728189641</v>
      </c>
      <c r="BB54" s="284">
        <f>SUM('MasterA1(current$)'!BB48*100)/105.214</f>
        <v>2381.8123063470639</v>
      </c>
      <c r="BC54" s="284">
        <f>SUM('MasterA1(current$)'!BC48*100)/106.913</f>
        <v>2709.679833135353</v>
      </c>
      <c r="BD54" s="284">
        <f>SUM('MasterA1(current$)'!BD48*100)/108.832</f>
        <v>3220.5601293737136</v>
      </c>
      <c r="BE54" s="284">
        <f>SUM('MasterA1(current$)'!BE48*100)/110.012</f>
        <v>2506.0902447005783</v>
      </c>
      <c r="BF54" s="305">
        <f>SUM('MasterA1(current$)'!BF48*100)/111.416</f>
        <v>2678.2508795864151</v>
      </c>
      <c r="BG54" s="305">
        <f>SUM('MasterA1(current$)'!BG48*100)/113.116</f>
        <v>2367.4811697726227</v>
      </c>
      <c r="BH54" s="305">
        <f>SUM('MasterA1(current$)'!BH48*100)/114.716</f>
        <v>2536.699327033718</v>
      </c>
      <c r="BI54" s="305">
        <f>SUM('MasterA1(current$)'!BI48*100)/116.416</f>
        <v>2891.3551401869158</v>
      </c>
      <c r="BJ54" s="410">
        <f t="shared" si="3"/>
        <v>7.1476030906445304E-2</v>
      </c>
      <c r="BK54" s="410">
        <f t="shared" si="3"/>
        <v>0.13980995278928607</v>
      </c>
      <c r="BL54" s="564">
        <f t="shared" si="4"/>
        <v>169.21815726109526</v>
      </c>
      <c r="BM54" s="564">
        <f t="shared" si="4"/>
        <v>354.65581315319787</v>
      </c>
      <c r="BN54" s="112"/>
      <c r="BO54" s="112"/>
      <c r="BP54" s="620"/>
      <c r="BQ54" s="620"/>
    </row>
    <row r="55" spans="1:93" ht="11.25" customHeight="1">
      <c r="A55" s="115" t="s">
        <v>97</v>
      </c>
      <c r="B55" s="810" t="s">
        <v>3</v>
      </c>
      <c r="C55" s="45" t="s">
        <v>3</v>
      </c>
      <c r="D55" s="45" t="s">
        <v>3</v>
      </c>
      <c r="E55" s="220" t="s">
        <v>3</v>
      </c>
      <c r="F55" s="220" t="s">
        <v>3</v>
      </c>
      <c r="G55" s="220" t="s">
        <v>3</v>
      </c>
      <c r="H55" s="220" t="s">
        <v>3</v>
      </c>
      <c r="I55" s="220" t="s">
        <v>3</v>
      </c>
      <c r="J55" s="220" t="s">
        <v>3</v>
      </c>
      <c r="K55" s="220" t="s">
        <v>3</v>
      </c>
      <c r="L55" s="858" t="s">
        <v>3</v>
      </c>
      <c r="M55" s="220" t="s">
        <v>3</v>
      </c>
      <c r="N55" s="220" t="s">
        <v>3</v>
      </c>
      <c r="O55" s="220" t="s">
        <v>3</v>
      </c>
      <c r="P55" s="220" t="s">
        <v>3</v>
      </c>
      <c r="Q55" s="220" t="s">
        <v>3</v>
      </c>
      <c r="R55" s="220" t="s">
        <v>3</v>
      </c>
      <c r="S55" s="220" t="s">
        <v>3</v>
      </c>
      <c r="T55" s="220" t="s">
        <v>3</v>
      </c>
      <c r="U55" s="220" t="s">
        <v>3</v>
      </c>
      <c r="V55" s="858" t="s">
        <v>3</v>
      </c>
      <c r="W55" s="220" t="s">
        <v>3</v>
      </c>
      <c r="X55" s="220" t="s">
        <v>3</v>
      </c>
      <c r="Y55" s="220" t="s">
        <v>3</v>
      </c>
      <c r="Z55" s="220" t="s">
        <v>3</v>
      </c>
      <c r="AA55" s="220" t="s">
        <v>3</v>
      </c>
      <c r="AB55" s="220" t="s">
        <v>3</v>
      </c>
      <c r="AC55" s="220" t="s">
        <v>3</v>
      </c>
      <c r="AD55" s="220" t="s">
        <v>3</v>
      </c>
      <c r="AE55" s="220" t="s">
        <v>3</v>
      </c>
      <c r="AF55" s="858" t="s">
        <v>3</v>
      </c>
      <c r="AG55" s="220" t="s">
        <v>3</v>
      </c>
      <c r="AH55" s="220" t="s">
        <v>3</v>
      </c>
      <c r="AI55" s="220" t="s">
        <v>3</v>
      </c>
      <c r="AJ55" s="220" t="s">
        <v>3</v>
      </c>
      <c r="AK55" s="220" t="s">
        <v>3</v>
      </c>
      <c r="AL55" s="220" t="s">
        <v>3</v>
      </c>
      <c r="AM55" s="220" t="s">
        <v>3</v>
      </c>
      <c r="AN55" s="220" t="s">
        <v>3</v>
      </c>
      <c r="AO55" s="220" t="s">
        <v>3</v>
      </c>
      <c r="AP55" s="858" t="s">
        <v>3</v>
      </c>
      <c r="AQ55" s="220" t="s">
        <v>3</v>
      </c>
      <c r="AR55" s="220" t="s">
        <v>3</v>
      </c>
      <c r="AS55" s="328">
        <f>SUM('MasterA1(current$)'!AS49)/0.86735</f>
        <v>8.070559750965586</v>
      </c>
      <c r="AT55" s="328">
        <f>SUM('MasterA1(current$)'!AT49)/0.8912</f>
        <v>40.394973070017954</v>
      </c>
      <c r="AU55" s="328">
        <f>SUM('MasterA1(current$)'!AU49)/0.91988</f>
        <v>73.922685567682734</v>
      </c>
      <c r="AV55" s="163">
        <f>SUM('MasterA1(current$)'!AV49)/0.94814</f>
        <v>87.539814795283405</v>
      </c>
      <c r="AW55" s="163">
        <f>SUM('MasterA1(current$)'!AW49)/0.97337</f>
        <v>94.516987373763328</v>
      </c>
      <c r="AX55" s="331">
        <f>SUM('MasterA1(current$)'!AX49*100)/99.246</f>
        <v>79.600185397900177</v>
      </c>
      <c r="AY55" s="405">
        <f>SUM('MasterA1(current$)'!AY49)</f>
        <v>86</v>
      </c>
      <c r="AZ55" s="305">
        <f>SUM('MasterA1(current$)'!AZ49*100)/101.221</f>
        <v>82.986732002252495</v>
      </c>
      <c r="BA55" s="284">
        <f>SUM('MasterA1(current$)'!BA49*100)/103.311</f>
        <v>89.051504680043749</v>
      </c>
      <c r="BB55" s="284">
        <f>SUM('MasterA1(current$)'!BB49*100)/105.214</f>
        <v>75.085064725226687</v>
      </c>
      <c r="BC55" s="284">
        <f>SUM('MasterA1(current$)'!BC49*100)/106.913</f>
        <v>56.120396958274483</v>
      </c>
      <c r="BD55" s="284">
        <f>SUM('MasterA1(current$)'!BD49*100)/108.832</f>
        <v>65.238165245516029</v>
      </c>
      <c r="BE55" s="284">
        <f>SUM('MasterA1(current$)'!BE49*100)/110.012</f>
        <v>66.35639748391084</v>
      </c>
      <c r="BF55" s="305">
        <f>SUM('MasterA1(current$)'!BF49*100)/111.416</f>
        <v>69.110361168952394</v>
      </c>
      <c r="BG55" s="305">
        <f>SUM('MasterA1(current$)'!BG49*100)/113.116</f>
        <v>62.767424590685671</v>
      </c>
      <c r="BH55" s="305">
        <f>SUM('MasterA1(current$)'!BH49*100)/114.716</f>
        <v>47.94448899891907</v>
      </c>
      <c r="BI55" s="305">
        <f>SUM('MasterA1(current$)'!BI49*100)/116.416</f>
        <v>34.359538207806487</v>
      </c>
      <c r="BJ55" s="410">
        <f t="shared" si="3"/>
        <v>-0.23615650456313672</v>
      </c>
      <c r="BK55" s="410">
        <f t="shared" si="3"/>
        <v>-0.28334749362786749</v>
      </c>
      <c r="BL55" s="564">
        <f t="shared" si="4"/>
        <v>-14.822935591766601</v>
      </c>
      <c r="BM55" s="564">
        <f t="shared" si="4"/>
        <v>-13.584950791112583</v>
      </c>
      <c r="BN55" s="112"/>
      <c r="BO55" s="112"/>
      <c r="BP55" s="620"/>
      <c r="BQ55" s="620"/>
    </row>
    <row r="56" spans="1:93" ht="10.5" customHeight="1">
      <c r="A56" s="110" t="s">
        <v>98</v>
      </c>
      <c r="B56" s="245" t="s">
        <v>3</v>
      </c>
      <c r="C56" s="50" t="s">
        <v>3</v>
      </c>
      <c r="D56" s="50" t="s">
        <v>3</v>
      </c>
      <c r="E56" s="331" t="s">
        <v>3</v>
      </c>
      <c r="F56" s="331" t="s">
        <v>3</v>
      </c>
      <c r="G56" s="331" t="s">
        <v>3</v>
      </c>
      <c r="H56" s="331" t="s">
        <v>3</v>
      </c>
      <c r="I56" s="331" t="s">
        <v>3</v>
      </c>
      <c r="J56" s="331" t="s">
        <v>3</v>
      </c>
      <c r="K56" s="331" t="s">
        <v>3</v>
      </c>
      <c r="L56" s="335" t="s">
        <v>3</v>
      </c>
      <c r="M56" s="331" t="s">
        <v>3</v>
      </c>
      <c r="N56" s="331" t="s">
        <v>3</v>
      </c>
      <c r="O56" s="331" t="s">
        <v>3</v>
      </c>
      <c r="P56" s="331" t="s">
        <v>3</v>
      </c>
      <c r="Q56" s="331" t="s">
        <v>3</v>
      </c>
      <c r="R56" s="331" t="s">
        <v>3</v>
      </c>
      <c r="S56" s="331" t="s">
        <v>3</v>
      </c>
      <c r="T56" s="331" t="s">
        <v>3</v>
      </c>
      <c r="U56" s="331" t="s">
        <v>3</v>
      </c>
      <c r="V56" s="335" t="s">
        <v>3</v>
      </c>
      <c r="W56" s="331" t="s">
        <v>3</v>
      </c>
      <c r="X56" s="331" t="s">
        <v>3</v>
      </c>
      <c r="Y56" s="331" t="s">
        <v>3</v>
      </c>
      <c r="Z56" s="331" t="s">
        <v>3</v>
      </c>
      <c r="AA56" s="331" t="s">
        <v>3</v>
      </c>
      <c r="AB56" s="331" t="s">
        <v>3</v>
      </c>
      <c r="AC56" s="331" t="s">
        <v>3</v>
      </c>
      <c r="AD56" s="331" t="s">
        <v>3</v>
      </c>
      <c r="AE56" s="331" t="s">
        <v>3</v>
      </c>
      <c r="AF56" s="335" t="s">
        <v>3</v>
      </c>
      <c r="AG56" s="331" t="s">
        <v>3</v>
      </c>
      <c r="AH56" s="331" t="s">
        <v>3</v>
      </c>
      <c r="AI56" s="331" t="s">
        <v>3</v>
      </c>
      <c r="AJ56" s="331" t="s">
        <v>3</v>
      </c>
      <c r="AK56" s="331" t="s">
        <v>3</v>
      </c>
      <c r="AL56" s="331" t="s">
        <v>3</v>
      </c>
      <c r="AM56" s="331" t="s">
        <v>3</v>
      </c>
      <c r="AN56" s="331" t="s">
        <v>3</v>
      </c>
      <c r="AO56" s="331" t="s">
        <v>3</v>
      </c>
      <c r="AP56" s="335" t="s">
        <v>3</v>
      </c>
      <c r="AQ56" s="331" t="s">
        <v>3</v>
      </c>
      <c r="AR56" s="328">
        <f>SUM('MasterA1(current$)'!AR50)/0.85039</f>
        <v>1394.6542174766871</v>
      </c>
      <c r="AS56" s="328">
        <f>SUM('MasterA1(current$)'!AS50)/0.86735</f>
        <v>11144.290078976192</v>
      </c>
      <c r="AT56" s="328">
        <f>SUM('MasterA1(current$)'!AT50)/0.8912</f>
        <v>4996.6337522441654</v>
      </c>
      <c r="AU56" s="328">
        <f>SUM('MasterA1(current$)'!AU50)/0.91988</f>
        <v>5159.3686132973862</v>
      </c>
      <c r="AV56" s="163">
        <f>SUM('MasterA1(current$)'!AV50)/0.94814</f>
        <v>4615.3521631826525</v>
      </c>
      <c r="AW56" s="163">
        <f>SUM('MasterA1(current$)'!AW50)/0.97337</f>
        <v>4751.5333326484279</v>
      </c>
      <c r="AX56" s="163">
        <f>SUM('MasterA1(current$)'!AX50*100)/99.246</f>
        <v>5024.8876529028876</v>
      </c>
      <c r="AY56" s="405">
        <f>SUM('MasterA1(current$)'!AY50)</f>
        <v>5245</v>
      </c>
      <c r="AZ56" s="305">
        <f>SUM('MasterA1(current$)'!AZ50*100)/101.221</f>
        <v>4977.2280455636674</v>
      </c>
      <c r="BA56" s="284">
        <f>SUM('MasterA1(current$)'!BA50*100)/103.311</f>
        <v>5002.3714802876748</v>
      </c>
      <c r="BB56" s="284">
        <f>SUM('MasterA1(current$)'!BB50*100)/105.214</f>
        <v>5017.3931225882488</v>
      </c>
      <c r="BC56" s="284">
        <f>SUM('MasterA1(current$)'!BC50*100)/106.913</f>
        <v>5007.8100885766935</v>
      </c>
      <c r="BD56" s="284">
        <f>SUM('MasterA1(current$)'!BD50*100)/108.832</f>
        <v>4786.2760952660983</v>
      </c>
      <c r="BE56" s="284">
        <f>SUM('MasterA1(current$)'!BE50*100)/110.012</f>
        <v>5533.0327600625387</v>
      </c>
      <c r="BF56" s="305">
        <f>SUM('MasterA1(current$)'!BF50*100)/111.416</f>
        <v>5293.674158110146</v>
      </c>
      <c r="BG56" s="305">
        <f>SUM('MasterA1(current$)'!BG50*100)/113.116</f>
        <v>5909.8624420948408</v>
      </c>
      <c r="BH56" s="305">
        <f>SUM('MasterA1(current$)'!BH50*100)/114.716</f>
        <v>6619.8263537780258</v>
      </c>
      <c r="BI56" s="305">
        <f>SUM('MasterA1(current$)'!BI50*100)/116.416</f>
        <v>6261.1668499175375</v>
      </c>
      <c r="BJ56" s="410">
        <f t="shared" si="3"/>
        <v>0.12013205360352304</v>
      </c>
      <c r="BK56" s="410">
        <f t="shared" si="3"/>
        <v>-5.4179593948985742E-2</v>
      </c>
      <c r="BL56" s="564">
        <f t="shared" si="4"/>
        <v>709.96391168318496</v>
      </c>
      <c r="BM56" s="564">
        <f t="shared" si="4"/>
        <v>-358.65950386048826</v>
      </c>
      <c r="BN56" s="112"/>
      <c r="BO56" s="112"/>
      <c r="BP56" s="620"/>
      <c r="BQ56" s="620"/>
    </row>
    <row r="57" spans="1:93" ht="10.5" customHeight="1" thickBot="1">
      <c r="A57" s="393" t="s">
        <v>72</v>
      </c>
      <c r="B57" s="896">
        <f>SUM('MasterA1(current$)'!B51)/0.1756</f>
        <v>825.74031890660592</v>
      </c>
      <c r="C57" s="135">
        <f>SUM('MasterA1(current$)'!C51)/0.178</f>
        <v>882.02247191011236</v>
      </c>
      <c r="D57" s="136">
        <f>SUM('MasterA1(current$)'!D51)/0.1798</f>
        <v>928.80978865406018</v>
      </c>
      <c r="E57" s="475">
        <f>SUM('MasterA1(current$)'!E51)/0.182</f>
        <v>989.01098901098908</v>
      </c>
      <c r="F57" s="475">
        <f>SUM('MasterA1(current$)'!F51)/0.1842</f>
        <v>966.34093376764383</v>
      </c>
      <c r="G57" s="475">
        <f>SUM('MasterA1(current$)'!G51)/0.18702</f>
        <v>1021.2811464014544</v>
      </c>
      <c r="H57" s="475">
        <f>SUM('MasterA1(current$)'!H51)/0.19227</f>
        <v>1075.7788526551205</v>
      </c>
      <c r="I57" s="475">
        <f>SUM('MasterA1(current$)'!I51)/0.19786</f>
        <v>1046.1942787829778</v>
      </c>
      <c r="J57" s="475">
        <f>SUM('MasterA1(current$)'!J51)/0.20627</f>
        <v>1165.9475444805353</v>
      </c>
      <c r="K57" s="475">
        <f>SUM('MasterA1(current$)'!K51)/0.21642</f>
        <v>1312.2631919415951</v>
      </c>
      <c r="L57" s="401">
        <f>SUM('MasterA1(current$)'!L51)/0.22784</f>
        <v>1472.0768960674159</v>
      </c>
      <c r="M57" s="475">
        <f>SUM('MasterA1(current$)'!M51)/0.23941</f>
        <v>1992.539994152291</v>
      </c>
      <c r="N57" s="475">
        <f>SUM('MasterA1(current$)'!N51)/0.24978</f>
        <v>2347.3096324765793</v>
      </c>
      <c r="O57" s="475">
        <f>SUM('MasterA1(current$)'!O51)/0.26337</f>
        <v>2757.3565706040931</v>
      </c>
      <c r="P57" s="475">
        <f>SUM('MasterA1(current$)'!P51)/0.28703</f>
        <v>2634.6932376406648</v>
      </c>
      <c r="Q57" s="475">
        <f>SUM('MasterA1(current$)'!Q51)/0.31361</f>
        <v>2946.1528650234368</v>
      </c>
      <c r="R57" s="475">
        <f>SUM('MasterA1(current$)'!R51)/0.33083</f>
        <v>3573.448598978327</v>
      </c>
      <c r="S57" s="475">
        <f>SUM('MasterA1(current$)'!S51)/0.35135</f>
        <v>3398.0674541055928</v>
      </c>
      <c r="T57" s="485">
        <f>SUM('MasterA1(current$)'!T51)/0.37602</f>
        <v>3337.5166214563051</v>
      </c>
      <c r="U57" s="475">
        <f>SUM('MasterA1(current$)'!U51)/0.40706</f>
        <v>3324.7825873335628</v>
      </c>
      <c r="V57" s="401">
        <f>SUM('MasterA1(current$)'!V51)/0.44377</f>
        <v>3579.6921828875315</v>
      </c>
      <c r="W57" s="475">
        <f>SUM('MasterA1(current$)'!W51)/0.4852</f>
        <v>3112.8544929925802</v>
      </c>
      <c r="X57" s="475">
        <f>SUM('MasterA1(current$)'!X51)/0.5153</f>
        <v>2973.3087521831944</v>
      </c>
      <c r="Y57" s="475">
        <f>SUM('MasterA1(current$)'!Y51)/0.53565</f>
        <v>2937.7896014188373</v>
      </c>
      <c r="Z57" s="475">
        <f>SUM('MasterA1(current$)'!Z51)/0.55466</f>
        <v>2952.2662532001582</v>
      </c>
      <c r="AA57" s="475">
        <f>SUM('MasterA1(current$)'!AA51)/0.5724</f>
        <v>3041.7313067784767</v>
      </c>
      <c r="AB57" s="475">
        <f>SUM('MasterA1(current$)'!AB51)/0.58395</f>
        <v>3193.3076462025861</v>
      </c>
      <c r="AC57" s="475">
        <f>SUM('MasterA1(current$)'!AC51)/0.59885</f>
        <v>3681.7166235284299</v>
      </c>
      <c r="AD57" s="475">
        <f>SUM('MasterA1(current$)'!AD51)/0.61982</f>
        <v>4157.1520764092793</v>
      </c>
      <c r="AE57" s="475">
        <f>SUM('MasterA1(current$)'!AE51)/0.64392</f>
        <v>4638.0870294446504</v>
      </c>
      <c r="AF57" s="401">
        <f>SUM('MasterA1(current$)'!AF51)/0.66773</f>
        <v>5030.7279888577714</v>
      </c>
      <c r="AG57" s="475">
        <f>SUM('MasterA1(current$)'!AG51)/0.68996</f>
        <v>5701.0522349121684</v>
      </c>
      <c r="AH57" s="475">
        <f>SUM('MasterA1(current$)'!AH51)/0.70569</f>
        <v>6361.9280420581272</v>
      </c>
      <c r="AI57" s="475">
        <f>SUM('MasterA1(current$)'!AI51)/0.72248</f>
        <v>6256.593954157901</v>
      </c>
      <c r="AJ57" s="475">
        <f>SUM('MasterA1(current$)'!AJ51)/0.73785</f>
        <v>6315.1670393711465</v>
      </c>
      <c r="AK57" s="475">
        <f>SUM('MasterA1(current$)'!AK51)/0.75324</f>
        <v>6510.5411289894319</v>
      </c>
      <c r="AL57" s="475">
        <f>SUM('MasterA1(current$)'!AL51)/0.76699</f>
        <v>6933.5975697205968</v>
      </c>
      <c r="AM57" s="475">
        <f>SUM('MasterA1(current$)'!AM51)/0.78012</f>
        <v>7345.0238424857707</v>
      </c>
      <c r="AN57" s="475">
        <f>SUM('MasterA1(current$)'!AN51)/0.78859</f>
        <v>8933.6664172764049</v>
      </c>
      <c r="AO57" s="475">
        <f>SUM('MasterA1(current$)'!AO51)/0.80065</f>
        <v>9040.1548741647421</v>
      </c>
      <c r="AP57" s="931">
        <f>SUM('MasterA1(current$)'!AP51)/0.81887</f>
        <v>9615.2132867623113</v>
      </c>
      <c r="AQ57" s="137">
        <f>SUM('MasterA1(current$)'!AQ51)/0.83754</f>
        <v>9723.2002255736643</v>
      </c>
      <c r="AR57" s="137">
        <f>SUM('MasterA1(current$)'!AR51)/0.85039</f>
        <v>13522.942355186253</v>
      </c>
      <c r="AS57" s="137">
        <f>SUM('MasterA1(current$)'!AS51)/0.86735</f>
        <v>21750.158528852251</v>
      </c>
      <c r="AT57" s="137">
        <f>SUM('MasterA1(current$)'!AT51)/0.8912</f>
        <v>18168.761220825854</v>
      </c>
      <c r="AU57" s="137">
        <f>SUM('MasterA1(current$)'!AU51)/0.91988</f>
        <v>18501.326259946949</v>
      </c>
      <c r="AV57" s="137">
        <f>SUM('MasterA1(current$)'!AV51)/0.94814</f>
        <v>18423.439576433859</v>
      </c>
      <c r="AW57" s="137">
        <f>SUM('MasterA1(current$)'!AW51)/0.97337</f>
        <v>19705.764508871242</v>
      </c>
      <c r="AX57" s="783">
        <f>SUM('MasterA1(current$)'!AX51*100)/99.246</f>
        <v>21727.827821776194</v>
      </c>
      <c r="AY57" s="498">
        <f>SUM('MasterA1(current$)'!AY51)</f>
        <v>23740</v>
      </c>
      <c r="AZ57" s="656">
        <f>SUM('MasterA1(current$)'!AZ51*100)/101.221</f>
        <v>23902.154691220199</v>
      </c>
      <c r="BA57" s="422">
        <f>SUM('MasterA1(current$)'!BA51*100)/103.311</f>
        <v>23911.296957729573</v>
      </c>
      <c r="BB57" s="422">
        <f>SUM('MasterA1(current$)'!BB51*100)/105.214</f>
        <v>24508.145303856902</v>
      </c>
      <c r="BC57" s="422">
        <f>SUM('MasterA1(current$)'!BC51*100)/106.913</f>
        <v>23924.125223312414</v>
      </c>
      <c r="BD57" s="422">
        <f>SUM('MasterA1(current$)'!BD51*100)/108.832</f>
        <v>23512.386062922673</v>
      </c>
      <c r="BE57" s="422">
        <f>SUM('MasterA1(current$)'!BE51*100)/110.012</f>
        <v>24211.904155910262</v>
      </c>
      <c r="BF57" s="656">
        <f>SUM('MasterA1(current$)'!BF51*100)/111.416</f>
        <v>25133.733036547714</v>
      </c>
      <c r="BG57" s="656">
        <f>SUM('MasterA1(current$)'!BG51*100)/113.116</f>
        <v>26736.270730931079</v>
      </c>
      <c r="BH57" s="656">
        <f>SUM('MasterA1(current$)'!BH51*100)/114.716</f>
        <v>29043.899717563374</v>
      </c>
      <c r="BI57" s="656">
        <f>SUM('MasterA1(current$)'!BI51*100)/116.416</f>
        <v>30428.807036833427</v>
      </c>
      <c r="BJ57" s="875">
        <f t="shared" si="3"/>
        <v>8.6310802649174581E-2</v>
      </c>
      <c r="BK57" s="875">
        <f t="shared" si="3"/>
        <v>4.7683242702858321E-2</v>
      </c>
      <c r="BL57" s="569">
        <f t="shared" si="4"/>
        <v>2307.628986632295</v>
      </c>
      <c r="BM57" s="569">
        <f t="shared" si="4"/>
        <v>1384.9073192700525</v>
      </c>
      <c r="BN57" s="112"/>
      <c r="BO57" s="112"/>
      <c r="BP57" s="620"/>
      <c r="BQ57" s="620"/>
    </row>
    <row r="58" spans="1:93" ht="11.25" customHeight="1">
      <c r="A58" s="115"/>
      <c r="B58" s="636"/>
      <c r="C58" s="32"/>
      <c r="D58" s="32"/>
      <c r="E58" s="476"/>
      <c r="F58" s="476"/>
      <c r="G58" s="476"/>
      <c r="H58" s="476"/>
      <c r="I58" s="476"/>
      <c r="J58" s="476"/>
      <c r="K58" s="476"/>
      <c r="L58" s="912"/>
      <c r="M58" s="476"/>
      <c r="N58" s="476"/>
      <c r="O58" s="476"/>
      <c r="P58" s="476"/>
      <c r="Q58" s="476"/>
      <c r="R58" s="476"/>
      <c r="S58" s="476"/>
      <c r="T58" s="476"/>
      <c r="U58" s="476"/>
      <c r="V58" s="912"/>
      <c r="W58" s="476"/>
      <c r="X58" s="476"/>
      <c r="Y58" s="476"/>
      <c r="Z58" s="476"/>
      <c r="AA58" s="476"/>
      <c r="AB58" s="476"/>
      <c r="AC58" s="476"/>
      <c r="AD58" s="476"/>
      <c r="AE58" s="476"/>
      <c r="AF58" s="912"/>
      <c r="AG58" s="476"/>
      <c r="AH58" s="476"/>
      <c r="AI58" s="476"/>
      <c r="AJ58" s="476"/>
      <c r="AK58" s="476"/>
      <c r="AL58" s="476"/>
      <c r="AM58" s="476"/>
      <c r="AN58" s="476"/>
      <c r="AO58" s="476"/>
      <c r="AP58" s="912"/>
      <c r="AQ58" s="476"/>
      <c r="AR58" s="476"/>
      <c r="AS58" s="476"/>
      <c r="AT58" s="476"/>
      <c r="AU58" s="476"/>
      <c r="AV58" s="476"/>
      <c r="AW58" s="476"/>
      <c r="AX58" s="476"/>
      <c r="AY58" s="421"/>
      <c r="AZ58" s="657"/>
      <c r="BA58" s="421"/>
      <c r="BB58" s="421"/>
      <c r="BC58" s="421"/>
      <c r="BD58" s="421"/>
      <c r="BE58" s="421"/>
      <c r="BF58" s="657"/>
      <c r="BG58" s="657"/>
      <c r="BH58" s="657"/>
      <c r="BI58" s="657"/>
      <c r="BJ58" s="871"/>
      <c r="BK58" s="871"/>
      <c r="BL58" s="565"/>
      <c r="BM58" s="565"/>
      <c r="BP58" s="620"/>
      <c r="BQ58" s="620"/>
    </row>
    <row r="59" spans="1:93" ht="15.75" customHeight="1">
      <c r="A59" s="120" t="s">
        <v>99</v>
      </c>
      <c r="B59" s="281"/>
      <c r="C59" s="47"/>
      <c r="D59" s="47"/>
      <c r="E59" s="47"/>
      <c r="F59" s="47"/>
      <c r="G59" s="47"/>
      <c r="H59" s="47"/>
      <c r="I59" s="47"/>
      <c r="J59" s="47"/>
      <c r="K59" s="47"/>
      <c r="L59" s="281"/>
      <c r="M59" s="47"/>
      <c r="N59" s="47"/>
      <c r="O59" s="47"/>
      <c r="P59" s="47"/>
      <c r="Q59" s="47"/>
      <c r="R59" s="47"/>
      <c r="S59" s="47"/>
      <c r="T59" s="47"/>
      <c r="U59" s="47"/>
      <c r="V59" s="281"/>
      <c r="W59" s="47"/>
      <c r="X59" s="47"/>
      <c r="Y59" s="47"/>
      <c r="Z59" s="47"/>
      <c r="AA59" s="47"/>
      <c r="AB59" s="47"/>
      <c r="AC59" s="47"/>
      <c r="AD59" s="47"/>
      <c r="AE59" s="47"/>
      <c r="AF59" s="281"/>
      <c r="AG59" s="47"/>
      <c r="AH59" s="47"/>
      <c r="AI59" s="47"/>
      <c r="AJ59" s="47"/>
      <c r="AK59" s="47"/>
      <c r="AL59" s="47"/>
      <c r="AM59" s="47"/>
      <c r="AN59" s="47"/>
      <c r="AO59" s="47"/>
      <c r="AP59" s="281"/>
      <c r="AQ59" s="47"/>
      <c r="AR59" s="47"/>
      <c r="AS59" s="47"/>
      <c r="AT59" s="47"/>
      <c r="AU59" s="47"/>
      <c r="AV59" s="47"/>
      <c r="AW59" s="47"/>
      <c r="AX59" s="47"/>
      <c r="AY59" s="47"/>
      <c r="AZ59" s="281"/>
      <c r="BA59" s="47"/>
      <c r="BB59" s="47"/>
      <c r="BC59" s="47"/>
      <c r="BD59" s="47"/>
      <c r="BE59" s="47"/>
      <c r="BF59" s="281"/>
      <c r="BG59" s="281"/>
      <c r="BH59" s="281"/>
      <c r="BI59" s="281"/>
      <c r="BJ59" s="871"/>
      <c r="BK59" s="871"/>
      <c r="BL59" s="565"/>
      <c r="BM59" s="565"/>
      <c r="BP59" s="620"/>
      <c r="BQ59" s="620"/>
    </row>
    <row r="60" spans="1:93" ht="6" customHeight="1">
      <c r="A60" s="115"/>
      <c r="B60" s="636"/>
      <c r="C60" s="33"/>
      <c r="D60" s="33"/>
      <c r="E60" s="47"/>
      <c r="F60" s="47"/>
      <c r="G60" s="47"/>
      <c r="H60" s="47"/>
      <c r="I60" s="47"/>
      <c r="J60" s="47"/>
      <c r="K60" s="47"/>
      <c r="L60" s="281"/>
      <c r="M60" s="47"/>
      <c r="N60" s="47"/>
      <c r="O60" s="47"/>
      <c r="P60" s="47"/>
      <c r="Q60" s="47"/>
      <c r="R60" s="47"/>
      <c r="S60" s="47"/>
      <c r="T60" s="47"/>
      <c r="U60" s="47"/>
      <c r="V60" s="281"/>
      <c r="W60" s="47"/>
      <c r="X60" s="47"/>
      <c r="Y60" s="47"/>
      <c r="Z60" s="47"/>
      <c r="AA60" s="47"/>
      <c r="AB60" s="47"/>
      <c r="AC60" s="47"/>
      <c r="AD60" s="47"/>
      <c r="AE60" s="47"/>
      <c r="AF60" s="281"/>
      <c r="AG60" s="47"/>
      <c r="AH60" s="47"/>
      <c r="AI60" s="47"/>
      <c r="AJ60" s="47"/>
      <c r="AK60" s="47"/>
      <c r="AL60" s="47"/>
      <c r="AM60" s="152"/>
      <c r="AN60" s="152"/>
      <c r="AO60" s="152"/>
      <c r="AP60" s="217"/>
      <c r="AQ60" s="152"/>
      <c r="AR60" s="152"/>
      <c r="AS60" s="152"/>
      <c r="AT60" s="152"/>
      <c r="AU60" s="152"/>
      <c r="AV60" s="152"/>
      <c r="AW60" s="152"/>
      <c r="AX60" s="163"/>
      <c r="AY60" s="284"/>
      <c r="AZ60" s="305"/>
      <c r="BA60" s="284"/>
      <c r="BB60" s="284"/>
      <c r="BC60" s="284"/>
      <c r="BD60" s="284"/>
      <c r="BE60" s="284"/>
      <c r="BF60" s="305"/>
      <c r="BG60" s="305"/>
      <c r="BH60" s="305"/>
      <c r="BI60" s="305"/>
      <c r="BJ60" s="871"/>
      <c r="BK60" s="871"/>
      <c r="BL60" s="565"/>
      <c r="BM60" s="565"/>
      <c r="BP60" s="620"/>
      <c r="BQ60" s="620"/>
    </row>
    <row r="61" spans="1:93" ht="11.25" customHeight="1">
      <c r="A61" s="116" t="s">
        <v>35</v>
      </c>
      <c r="B61" s="636"/>
      <c r="C61" s="33"/>
      <c r="D61" s="33"/>
      <c r="E61" s="47"/>
      <c r="F61" s="47"/>
      <c r="G61" s="47"/>
      <c r="H61" s="47"/>
      <c r="I61" s="47"/>
      <c r="J61" s="47"/>
      <c r="K61" s="47"/>
      <c r="L61" s="281"/>
      <c r="M61" s="47"/>
      <c r="N61" s="47"/>
      <c r="O61" s="47"/>
      <c r="P61" s="47"/>
      <c r="Q61" s="47"/>
      <c r="R61" s="47"/>
      <c r="S61" s="47"/>
      <c r="T61" s="47"/>
      <c r="U61" s="47"/>
      <c r="V61" s="281"/>
      <c r="W61" s="47"/>
      <c r="X61" s="47"/>
      <c r="Y61" s="47"/>
      <c r="Z61" s="47"/>
      <c r="AA61" s="47"/>
      <c r="AB61" s="47"/>
      <c r="AC61" s="47"/>
      <c r="AD61" s="47"/>
      <c r="AE61" s="47"/>
      <c r="AF61" s="281"/>
      <c r="AG61" s="47"/>
      <c r="AH61" s="47"/>
      <c r="AI61" s="47"/>
      <c r="AJ61" s="47"/>
      <c r="AK61" s="47"/>
      <c r="AL61" s="47"/>
      <c r="AM61" s="152"/>
      <c r="AN61" s="152"/>
      <c r="AO61" s="152"/>
      <c r="AP61" s="217"/>
      <c r="AQ61" s="152"/>
      <c r="AR61" s="152"/>
      <c r="AS61" s="152"/>
      <c r="AT61" s="152"/>
      <c r="AU61" s="152"/>
      <c r="AV61" s="152"/>
      <c r="AW61" s="152"/>
      <c r="AX61" s="163"/>
      <c r="AY61" s="284"/>
      <c r="AZ61" s="305"/>
      <c r="BA61" s="284"/>
      <c r="BB61" s="284"/>
      <c r="BC61" s="284"/>
      <c r="BD61" s="284"/>
      <c r="BE61" s="284"/>
      <c r="BF61" s="305"/>
      <c r="BG61" s="305"/>
      <c r="BH61" s="305"/>
      <c r="BI61" s="305"/>
      <c r="BJ61" s="871"/>
      <c r="BK61" s="871"/>
      <c r="BL61" s="565"/>
      <c r="BM61" s="565"/>
      <c r="BP61" s="620"/>
      <c r="BQ61" s="620"/>
    </row>
    <row r="62" spans="1:93" ht="11.25" customHeight="1">
      <c r="A62" s="115" t="s">
        <v>100</v>
      </c>
      <c r="B62" s="667">
        <f>SUM('MasterA1(current$)'!B56)/0.1756</f>
        <v>239.17995444191342</v>
      </c>
      <c r="C62" s="49">
        <f>SUM('MasterA1(current$)'!C56)/0.178</f>
        <v>353.93258426966293</v>
      </c>
      <c r="D62" s="49">
        <f>SUM('MasterA1(current$)'!D56)/0.1798</f>
        <v>433.81535038932151</v>
      </c>
      <c r="E62" s="30">
        <f>SUM('MasterA1(current$)'!E56)/0.182</f>
        <v>489.01098901098902</v>
      </c>
      <c r="F62" s="30">
        <f>SUM('MasterA1(current$)'!F56)/0.1842</f>
        <v>526.60152008686214</v>
      </c>
      <c r="G62" s="30">
        <f>SUM('MasterA1(current$)'!G56)/0.18702</f>
        <v>561.43727943535453</v>
      </c>
      <c r="H62" s="30">
        <f>SUM('MasterA1(current$)'!H56)/0.19227</f>
        <v>504.49888178082904</v>
      </c>
      <c r="I62" s="30">
        <f>SUM('MasterA1(current$)'!I56)/0.19786</f>
        <v>475.08339229758411</v>
      </c>
      <c r="J62" s="30">
        <f>SUM('MasterA1(current$)'!J56)/0.20627</f>
        <v>484.80147379648031</v>
      </c>
      <c r="K62" s="30">
        <f>SUM('MasterA1(current$)'!K56)/0.21642</f>
        <v>489.78837445707421</v>
      </c>
      <c r="L62" s="270">
        <f>SUM('MasterA1(current$)'!L56)/0.22784</f>
        <v>544.24157303370794</v>
      </c>
      <c r="M62" s="30">
        <f>SUM('MasterA1(current$)'!M56)/0.23941</f>
        <v>668.30959441961488</v>
      </c>
      <c r="N62" s="30">
        <f>SUM('MasterA1(current$)'!N56)/0.24978</f>
        <v>676.59540395548083</v>
      </c>
      <c r="O62" s="30">
        <f>SUM('MasterA1(current$)'!O56)/0.26337</f>
        <v>698.63689865968036</v>
      </c>
      <c r="P62" s="30">
        <f>SUM('MasterA1(current$)'!P56)/0.28703</f>
        <v>634.08006131763227</v>
      </c>
      <c r="Q62" s="30">
        <f>SUM('MasterA1(current$)'!Q56)/0.31361</f>
        <v>602.65935397468195</v>
      </c>
      <c r="R62" s="30">
        <f>SUM('MasterA1(current$)'!R56)/0.33083</f>
        <v>640.81250188918773</v>
      </c>
      <c r="S62" s="30">
        <f>SUM('MasterA1(current$)'!S56)/0.35135</f>
        <v>626.15625444713248</v>
      </c>
      <c r="T62" s="30">
        <f>SUM('MasterA1(current$)'!T56)/0.37602</f>
        <v>616.98845806074144</v>
      </c>
      <c r="U62" s="30">
        <f>SUM('MasterA1(current$)'!U56)/0.40706</f>
        <v>614.16007468186513</v>
      </c>
      <c r="V62" s="270">
        <f>SUM('MasterA1(current$)'!V56)/0.44377</f>
        <v>637.71773666538968</v>
      </c>
      <c r="W62" s="30">
        <f>SUM('MasterA1(current$)'!W56)/0.4852</f>
        <v>612.11871393239903</v>
      </c>
      <c r="X62" s="30">
        <f>SUM('MasterA1(current$)'!X56)/0.5153</f>
        <v>514.26353580438581</v>
      </c>
      <c r="Y62" s="30">
        <f>SUM('MasterA1(current$)'!Y56)/0.53565</f>
        <v>627.27527303276395</v>
      </c>
      <c r="Z62" s="30">
        <f>SUM('MasterA1(current$)'!Z56)/0.55466</f>
        <v>533.6602603396675</v>
      </c>
      <c r="AA62" s="30">
        <f>SUM('MasterA1(current$)'!AA56)/0.5724</f>
        <v>396.57582110412295</v>
      </c>
      <c r="AB62" s="30">
        <f>SUM('MasterA1(current$)'!AB56)/0.58395</f>
        <v>520.59251648257555</v>
      </c>
      <c r="AC62" s="30">
        <f>SUM('MasterA1(current$)'!AC56)/0.59885</f>
        <v>557.73566001502877</v>
      </c>
      <c r="AD62" s="30">
        <f>SUM('MasterA1(current$)'!AD56)/0.61982</f>
        <v>609.85447387951342</v>
      </c>
      <c r="AE62" s="30">
        <f>SUM('MasterA1(current$)'!AE56)/0.64392</f>
        <v>646.04298670642311</v>
      </c>
      <c r="AF62" s="270">
        <f>SUM('MasterA1(current$)'!AF56)/0.66773</f>
        <v>714.36059485121223</v>
      </c>
      <c r="AG62" s="30">
        <f>SUM('MasterA1(current$)'!AG56)/0.68996</f>
        <v>758.01495738883409</v>
      </c>
      <c r="AH62" s="30">
        <f>SUM('MasterA1(current$)'!AH56)/0.70569</f>
        <v>827.55884311808302</v>
      </c>
      <c r="AI62" s="30">
        <f>SUM('MasterA1(current$)'!AI56)/0.72248</f>
        <v>822.16808769792931</v>
      </c>
      <c r="AJ62" s="30">
        <f>SUM('MasterA1(current$)'!AJ56)/0.73785</f>
        <v>764.38300467574709</v>
      </c>
      <c r="AK62" s="30">
        <f>SUM('MasterA1(current$)'!AK56)/0.75324</f>
        <v>744.78253942966387</v>
      </c>
      <c r="AL62" s="30">
        <f>SUM('MasterA1(current$)'!AL56)/0.76699</f>
        <v>906.13958460996889</v>
      </c>
      <c r="AM62" s="30">
        <f>SUM('MasterA1(current$)'!AM56)/0.78012</f>
        <v>869.09706199046298</v>
      </c>
      <c r="AN62" s="30">
        <f>SUM('MasterA1(current$)'!AN56)/0.78859</f>
        <v>1029.6858950785579</v>
      </c>
      <c r="AO62" s="30">
        <f>SUM('MasterA1(current$)'!AO56)/0.80065</f>
        <v>1082.8701679885094</v>
      </c>
      <c r="AP62" s="857">
        <f>SUM('MasterA1(current$)'!AP56)/0.81887</f>
        <v>1075.8728491701979</v>
      </c>
      <c r="AQ62" s="328">
        <f>SUM('MasterA1(current$)'!AQ56)/0.83754</f>
        <v>1112.782673066361</v>
      </c>
      <c r="AR62" s="328">
        <f>SUM('MasterA1(current$)'!AR56)/0.85039</f>
        <v>1611.0255294629524</v>
      </c>
      <c r="AS62" s="328">
        <f>SUM('MasterA1(current$)'!AS56)/0.86735</f>
        <v>1318.9600507292328</v>
      </c>
      <c r="AT62" s="328">
        <f>SUM('MasterA1(current$)'!AT56)/0.8912</f>
        <v>1271.3195691202873</v>
      </c>
      <c r="AU62" s="328">
        <f>SUM('MasterA1(current$)'!AU56)/0.91988</f>
        <v>1177.3274774970648</v>
      </c>
      <c r="AV62" s="328">
        <f>SUM('MasterA1(current$)'!AV56)/0.94814</f>
        <v>1366.8867466829793</v>
      </c>
      <c r="AW62" s="328">
        <f>SUM('MasterA1(current$)'!AW56)/0.97337</f>
        <v>1354.0585799850007</v>
      </c>
      <c r="AX62" s="163">
        <f>SUM('MasterA1(current$)'!AX56*100)/99.246</f>
        <v>1357.2335408983738</v>
      </c>
      <c r="AY62" s="284">
        <f>SUM('MasterA1(current$)'!AY56)</f>
        <v>1501</v>
      </c>
      <c r="AZ62" s="305">
        <f>SUM('MasterA1(current$)'!AZ56*100)/101.221</f>
        <v>1602.434277472066</v>
      </c>
      <c r="BA62" s="284">
        <f>SUM('MasterA1(current$)'!BA56*100)/103.311</f>
        <v>1600.0232308273078</v>
      </c>
      <c r="BB62" s="284">
        <f>SUM('MasterA1(current$)'!BB56*100)/105.214</f>
        <v>1528.3137225084115</v>
      </c>
      <c r="BC62" s="284">
        <f>SUM('MasterA1(current$)'!BC56*100)/106.913</f>
        <v>1432.9408023346086</v>
      </c>
      <c r="BD62" s="284">
        <f>SUM('MasterA1(current$)'!BD56*100)/108.832</f>
        <v>1338.7606586298148</v>
      </c>
      <c r="BE62" s="284">
        <f>SUM('MasterA1(current$)'!BE56*100)/110.012</f>
        <v>1346.2167763516707</v>
      </c>
      <c r="BF62" s="305">
        <f>SUM('MasterA1(current$)'!BF56*100)/111.416</f>
        <v>1331.9451425289008</v>
      </c>
      <c r="BG62" s="305">
        <f>SUM('MasterA1(current$)'!BG56*100)/113.116</f>
        <v>1343.7533151808764</v>
      </c>
      <c r="BH62" s="305">
        <f>SUM('MasterA1(current$)'!BH56*100)/114.716</f>
        <v>1378.1861292234737</v>
      </c>
      <c r="BI62" s="305">
        <f>SUM('MasterA1(current$)'!BI56*100)/116.416</f>
        <v>1290.2006597031336</v>
      </c>
      <c r="BJ62" s="410">
        <f>(BH62-BG62)/BG62</f>
        <v>2.5624356534489731E-2</v>
      </c>
      <c r="BK62" s="410">
        <f>(BI62-BH62)/BH62</f>
        <v>-6.3841499819704814E-2</v>
      </c>
      <c r="BL62" s="564">
        <f>BH62-BG62</f>
        <v>34.432814042597329</v>
      </c>
      <c r="BM62" s="564">
        <f>BI62-BH62</f>
        <v>-87.985469520340075</v>
      </c>
      <c r="BN62" s="112"/>
      <c r="BO62" s="112"/>
      <c r="BP62" s="620"/>
      <c r="BQ62" s="620"/>
    </row>
    <row r="63" spans="1:93" ht="11.25" customHeight="1">
      <c r="A63" s="115" t="s">
        <v>101</v>
      </c>
      <c r="B63" s="245" t="s">
        <v>3</v>
      </c>
      <c r="C63" s="50" t="s">
        <v>3</v>
      </c>
      <c r="D63" s="50" t="s">
        <v>3</v>
      </c>
      <c r="E63" s="331" t="s">
        <v>3</v>
      </c>
      <c r="F63" s="331" t="s">
        <v>3</v>
      </c>
      <c r="G63" s="331" t="s">
        <v>3</v>
      </c>
      <c r="H63" s="30">
        <f>SUM('MasterA1(current$)'!H57)/0.19227</f>
        <v>5.2010193998023615</v>
      </c>
      <c r="I63" s="30">
        <f>SUM('MasterA1(current$)'!I57)/0.19786</f>
        <v>20.216314565854645</v>
      </c>
      <c r="J63" s="30">
        <f>SUM('MasterA1(current$)'!J57)/0.20627</f>
        <v>24.240073689824015</v>
      </c>
      <c r="K63" s="30">
        <f>SUM('MasterA1(current$)'!K57)/0.21642</f>
        <v>18.482580168191479</v>
      </c>
      <c r="L63" s="270">
        <f>SUM('MasterA1(current$)'!L57)/0.22784</f>
        <v>26.334269662921351</v>
      </c>
      <c r="M63" s="30">
        <f>SUM('MasterA1(current$)'!M57)/0.23941</f>
        <v>25.061609790735556</v>
      </c>
      <c r="N63" s="30">
        <f>SUM('MasterA1(current$)'!N57)/0.24978</f>
        <v>16.014092401313157</v>
      </c>
      <c r="O63" s="30">
        <f>SUM('MasterA1(current$)'!O57)/0.26337</f>
        <v>91.126551999088733</v>
      </c>
      <c r="P63" s="30">
        <f>SUM('MasterA1(current$)'!P57)/0.28703</f>
        <v>17.419781904330556</v>
      </c>
      <c r="Q63" s="30">
        <f>SUM('MasterA1(current$)'!Q57)/0.31361</f>
        <v>47.830107458308092</v>
      </c>
      <c r="R63" s="30">
        <f>SUM('MasterA1(current$)'!R57)/0.33083</f>
        <v>30.227004806093763</v>
      </c>
      <c r="S63" s="30">
        <f>SUM('MasterA1(current$)'!S57)/0.35135</f>
        <v>54.077131065888715</v>
      </c>
      <c r="T63" s="30">
        <f>SUM('MasterA1(current$)'!T57)/0.37602</f>
        <v>47.86979415988511</v>
      </c>
      <c r="U63" s="30">
        <f>SUM('MasterA1(current$)'!U57)/0.40706</f>
        <v>51.589446273276671</v>
      </c>
      <c r="V63" s="270">
        <f>SUM('MasterA1(current$)'!V57)/0.44377</f>
        <v>45.068391283773124</v>
      </c>
      <c r="W63" s="30">
        <f>SUM('MasterA1(current$)'!W57)/0.4852</f>
        <v>43.28112118713932</v>
      </c>
      <c r="X63" s="30">
        <f>SUM('MasterA1(current$)'!X57)/0.5153</f>
        <v>40.75295944110227</v>
      </c>
      <c r="Y63" s="30">
        <f>SUM('MasterA1(current$)'!Y57)/0.53565</f>
        <v>42.938485951647536</v>
      </c>
      <c r="Z63" s="30">
        <f>SUM('MasterA1(current$)'!Z57)/0.55466</f>
        <v>48.678469693145345</v>
      </c>
      <c r="AA63" s="30">
        <f>SUM('MasterA1(current$)'!AA57)/0.5724</f>
        <v>57.651991614255763</v>
      </c>
      <c r="AB63" s="30">
        <f>SUM('MasterA1(current$)'!AB57)/0.58395</f>
        <v>63.361589177155579</v>
      </c>
      <c r="AC63" s="30">
        <f>SUM('MasterA1(current$)'!AC57)/0.59885</f>
        <v>125.24004341654839</v>
      </c>
      <c r="AD63" s="30">
        <f>SUM('MasterA1(current$)'!AD57)/0.61982</f>
        <v>130.68310154561001</v>
      </c>
      <c r="AE63" s="30">
        <f>SUM('MasterA1(current$)'!AE57)/0.64392</f>
        <v>144.4278792396571</v>
      </c>
      <c r="AF63" s="270">
        <f>SUM('MasterA1(current$)'!AF57)/0.66773</f>
        <v>146.76590837614003</v>
      </c>
      <c r="AG63" s="30">
        <f>SUM('MasterA1(current$)'!AG57)/0.68996</f>
        <v>157.98017276363848</v>
      </c>
      <c r="AH63" s="30">
        <f>SUM('MasterA1(current$)'!AH57)/0.70569</f>
        <v>170.04633762700334</v>
      </c>
      <c r="AI63" s="30">
        <f>SUM('MasterA1(current$)'!AI57)/0.72248</f>
        <v>184.08814084818957</v>
      </c>
      <c r="AJ63" s="30">
        <f>SUM('MasterA1(current$)'!AJ57)/0.73785</f>
        <v>176.18757199972893</v>
      </c>
      <c r="AK63" s="30">
        <f>SUM('MasterA1(current$)'!AK57)/0.75324</f>
        <v>126.12182040252775</v>
      </c>
      <c r="AL63" s="30">
        <f>SUM('MasterA1(current$)'!AL57)/0.76699</f>
        <v>149.93676579877183</v>
      </c>
      <c r="AM63" s="30">
        <f>SUM('MasterA1(current$)'!AM57)/0.78012</f>
        <v>144.84951033174383</v>
      </c>
      <c r="AN63" s="30">
        <f>SUM('MasterA1(current$)'!AN57)/0.78859</f>
        <v>154.70650147732027</v>
      </c>
      <c r="AO63" s="30">
        <f>SUM('MasterA1(current$)'!AO57)/0.80065</f>
        <v>172.35995753450322</v>
      </c>
      <c r="AP63" s="857">
        <f>SUM('MasterA1(current$)'!AP57)/0.81887</f>
        <v>10.990755553384542</v>
      </c>
      <c r="AQ63" s="328">
        <f>SUM('MasterA1(current$)'!AQ57)/0.83754</f>
        <v>14.327673902141989</v>
      </c>
      <c r="AR63" s="328">
        <f>SUM('MasterA1(current$)'!AR57)/0.85039</f>
        <v>18.814896694457836</v>
      </c>
      <c r="AS63" s="328">
        <f>SUM('MasterA1(current$)'!AS57)/0.86735</f>
        <v>19.599930823773565</v>
      </c>
      <c r="AT63" s="328">
        <f>SUM('MasterA1(current$)'!AT57)/0.8912</f>
        <v>19.075403949730699</v>
      </c>
      <c r="AU63" s="328">
        <f>SUM('MasterA1(current$)'!AU57)/0.91988</f>
        <v>0</v>
      </c>
      <c r="AV63" s="331" t="s">
        <v>3</v>
      </c>
      <c r="AW63" s="331" t="s">
        <v>3</v>
      </c>
      <c r="AX63" s="331" t="s">
        <v>3</v>
      </c>
      <c r="AY63" s="284" t="s">
        <v>3</v>
      </c>
      <c r="AZ63" s="305" t="s">
        <v>3</v>
      </c>
      <c r="BA63" s="284" t="s">
        <v>3</v>
      </c>
      <c r="BB63" s="284" t="s">
        <v>3</v>
      </c>
      <c r="BC63" s="284" t="s">
        <v>3</v>
      </c>
      <c r="BD63" s="284" t="s">
        <v>3</v>
      </c>
      <c r="BE63" s="284" t="s">
        <v>3</v>
      </c>
      <c r="BF63" s="305" t="s">
        <v>3</v>
      </c>
      <c r="BG63" s="305" t="s">
        <v>3</v>
      </c>
      <c r="BH63" s="305" t="s">
        <v>3</v>
      </c>
      <c r="BI63" s="305" t="s">
        <v>3</v>
      </c>
      <c r="BJ63" s="874" t="s">
        <v>10</v>
      </c>
      <c r="BK63" s="874" t="s">
        <v>10</v>
      </c>
      <c r="BL63" s="568" t="s">
        <v>10</v>
      </c>
      <c r="BM63" s="568" t="s">
        <v>10</v>
      </c>
      <c r="BP63" s="620"/>
      <c r="BQ63" s="620"/>
    </row>
    <row r="64" spans="1:93" s="292" customFormat="1" ht="11.25" customHeight="1">
      <c r="A64" s="413" t="s">
        <v>102</v>
      </c>
      <c r="B64" s="835" t="s">
        <v>3</v>
      </c>
      <c r="C64" s="54" t="s">
        <v>3</v>
      </c>
      <c r="D64" s="54" t="s">
        <v>3</v>
      </c>
      <c r="E64" s="331" t="s">
        <v>3</v>
      </c>
      <c r="F64" s="331" t="s">
        <v>3</v>
      </c>
      <c r="G64" s="331" t="s">
        <v>3</v>
      </c>
      <c r="H64" s="331" t="s">
        <v>3</v>
      </c>
      <c r="I64" s="331" t="s">
        <v>3</v>
      </c>
      <c r="J64" s="331" t="s">
        <v>3</v>
      </c>
      <c r="K64" s="331" t="s">
        <v>3</v>
      </c>
      <c r="L64" s="335" t="s">
        <v>3</v>
      </c>
      <c r="M64" s="331" t="s">
        <v>3</v>
      </c>
      <c r="N64" s="331" t="s">
        <v>3</v>
      </c>
      <c r="O64" s="331" t="s">
        <v>3</v>
      </c>
      <c r="P64" s="331" t="s">
        <v>3</v>
      </c>
      <c r="Q64" s="331" t="s">
        <v>3</v>
      </c>
      <c r="R64" s="331" t="s">
        <v>3</v>
      </c>
      <c r="S64" s="331" t="s">
        <v>3</v>
      </c>
      <c r="T64" s="331" t="s">
        <v>3</v>
      </c>
      <c r="U64" s="331" t="s">
        <v>3</v>
      </c>
      <c r="V64" s="335" t="s">
        <v>3</v>
      </c>
      <c r="W64" s="331" t="s">
        <v>3</v>
      </c>
      <c r="X64" s="331" t="s">
        <v>3</v>
      </c>
      <c r="Y64" s="331" t="s">
        <v>3</v>
      </c>
      <c r="Z64" s="331" t="s">
        <v>3</v>
      </c>
      <c r="AA64" s="331" t="s">
        <v>3</v>
      </c>
      <c r="AB64" s="331" t="s">
        <v>3</v>
      </c>
      <c r="AC64" s="331" t="s">
        <v>3</v>
      </c>
      <c r="AD64" s="331" t="s">
        <v>3</v>
      </c>
      <c r="AE64" s="331" t="s">
        <v>3</v>
      </c>
      <c r="AF64" s="335" t="s">
        <v>3</v>
      </c>
      <c r="AG64" s="331" t="s">
        <v>3</v>
      </c>
      <c r="AH64" s="331" t="s">
        <v>3</v>
      </c>
      <c r="AI64" s="331" t="s">
        <v>3</v>
      </c>
      <c r="AJ64" s="331" t="s">
        <v>3</v>
      </c>
      <c r="AK64" s="331" t="s">
        <v>3</v>
      </c>
      <c r="AL64" s="331" t="s">
        <v>3</v>
      </c>
      <c r="AM64" s="331" t="s">
        <v>3</v>
      </c>
      <c r="AN64" s="331" t="s">
        <v>3</v>
      </c>
      <c r="AO64" s="331" t="s">
        <v>3</v>
      </c>
      <c r="AP64" s="857">
        <f>SUM('MasterA1(current$)'!AP58)/0.81887</f>
        <v>199.05479502240894</v>
      </c>
      <c r="AQ64" s="328">
        <f>SUM('MasterA1(current$)'!AQ58)/0.83754</f>
        <v>251.92826611266329</v>
      </c>
      <c r="AR64" s="328">
        <f>SUM('MasterA1(current$)'!AR58)/0.85039</f>
        <v>337.49220945683749</v>
      </c>
      <c r="AS64" s="328">
        <f>SUM('MasterA1(current$)'!AS58)/0.86735</f>
        <v>315.90476739493863</v>
      </c>
      <c r="AT64" s="328">
        <f>SUM('MasterA1(current$)'!AT58)/0.8912</f>
        <v>398.33931777378814</v>
      </c>
      <c r="AU64" s="328">
        <f>SUM('MasterA1(current$)'!AU58)/0.91988</f>
        <v>412.01026220811411</v>
      </c>
      <c r="AV64" s="328">
        <f>SUM('MasterA1(current$)'!AV58)/0.94814</f>
        <v>474.61345370936783</v>
      </c>
      <c r="AW64" s="328">
        <f>SUM('MasterA1(current$)'!AW58)/0.97337</f>
        <v>484.91323956974225</v>
      </c>
      <c r="AX64" s="331">
        <f>SUM('MasterA1(current$)'!AX58*100)/99.246</f>
        <v>532.01136569735809</v>
      </c>
      <c r="AY64" s="284">
        <f>SUM('MasterA1(current$)'!AY58)</f>
        <v>522</v>
      </c>
      <c r="AZ64" s="305">
        <f>SUM('MasterA1(current$)'!AZ58*100)/101.221</f>
        <v>505.82389029944375</v>
      </c>
      <c r="BA64" s="284">
        <f>SUM('MasterA1(current$)'!BA58*100)/103.311</f>
        <v>422.0266960923812</v>
      </c>
      <c r="BB64" s="284">
        <f>SUM('MasterA1(current$)'!BB58*100)/105.214</f>
        <v>507.53701978824114</v>
      </c>
      <c r="BC64" s="284">
        <f>SUM('MasterA1(current$)'!BC58*100)/106.913</f>
        <v>508.82493242168869</v>
      </c>
      <c r="BD64" s="284">
        <f>SUM('MasterA1(current$)'!BD58*100)/108.832</f>
        <v>490.66451043810645</v>
      </c>
      <c r="BE64" s="284">
        <f>SUM('MasterA1(current$)'!BE58*100)/110.012</f>
        <v>500.85445224157365</v>
      </c>
      <c r="BF64" s="305">
        <f>SUM('MasterA1(current$)'!BF58*100)/111.416</f>
        <v>513.39125439793213</v>
      </c>
      <c r="BG64" s="305">
        <f>SUM('MasterA1(current$)'!BG58*100)/113.116</f>
        <v>516.28416846423136</v>
      </c>
      <c r="BH64" s="305">
        <f>SUM('MasterA1(current$)'!BH58*100)/114.716</f>
        <v>549.18232853307302</v>
      </c>
      <c r="BI64" s="305">
        <f>SUM('MasterA1(current$)'!BI58*100)/116.416</f>
        <v>589.26608026388124</v>
      </c>
      <c r="BJ64" s="410">
        <f t="shared" ref="BJ64:BK68" si="5">(BH64-BG64)/BG64</f>
        <v>6.3721032094984489E-2</v>
      </c>
      <c r="BK64" s="410">
        <f t="shared" si="5"/>
        <v>7.2988058151609442E-2</v>
      </c>
      <c r="BL64" s="564">
        <f t="shared" ref="BL64:BM68" si="6">BH64-BG64</f>
        <v>32.898160068841662</v>
      </c>
      <c r="BM64" s="564">
        <f t="shared" si="6"/>
        <v>40.083751730808217</v>
      </c>
      <c r="BN64" s="112"/>
      <c r="BO64" s="112"/>
      <c r="BP64" s="620"/>
      <c r="BQ64" s="620"/>
      <c r="BR64" s="320"/>
      <c r="BS64" s="320"/>
      <c r="BT64" s="320"/>
      <c r="BU64" s="320"/>
      <c r="BV64" s="320"/>
      <c r="BW64" s="320"/>
      <c r="BX64" s="320"/>
      <c r="BY64" s="320"/>
      <c r="BZ64" s="320"/>
      <c r="CA64" s="320"/>
      <c r="CB64" s="320"/>
      <c r="CC64" s="320"/>
      <c r="CD64" s="320"/>
      <c r="CE64" s="320"/>
      <c r="CF64" s="320"/>
      <c r="CG64" s="320"/>
      <c r="CH64" s="320"/>
      <c r="CI64" s="320"/>
      <c r="CJ64" s="320"/>
      <c r="CK64" s="320"/>
      <c r="CL64" s="320"/>
      <c r="CM64" s="320"/>
      <c r="CN64" s="320"/>
      <c r="CO64" s="320"/>
    </row>
    <row r="65" spans="1:69" ht="11.25" customHeight="1">
      <c r="A65" s="115" t="s">
        <v>14</v>
      </c>
      <c r="B65" s="245" t="s">
        <v>3</v>
      </c>
      <c r="C65" s="50" t="s">
        <v>3</v>
      </c>
      <c r="D65" s="50" t="s">
        <v>3</v>
      </c>
      <c r="E65" s="331" t="s">
        <v>3</v>
      </c>
      <c r="F65" s="54" t="s">
        <v>3</v>
      </c>
      <c r="G65" s="54" t="s">
        <v>3</v>
      </c>
      <c r="H65" s="30">
        <f>SUM('MasterA1(current$)'!H59)/0.19227</f>
        <v>10.402038799604723</v>
      </c>
      <c r="I65" s="30">
        <f>SUM('MasterA1(current$)'!I59)/0.19786</f>
        <v>35.37855049024563</v>
      </c>
      <c r="J65" s="30">
        <f>SUM('MasterA1(current$)'!J59)/0.20627</f>
        <v>72.720221069472046</v>
      </c>
      <c r="K65" s="30">
        <f>SUM('MasterA1(current$)'!K59)/0.21642</f>
        <v>73.930320672765916</v>
      </c>
      <c r="L65" s="270">
        <f>SUM('MasterA1(current$)'!L59)/0.22784</f>
        <v>70.224719101123597</v>
      </c>
      <c r="M65" s="30">
        <f>SUM('MasterA1(current$)'!M59)/0.23941</f>
        <v>125.30804895367778</v>
      </c>
      <c r="N65" s="30">
        <f>SUM('MasterA1(current$)'!N59)/0.24978</f>
        <v>136.11978541116181</v>
      </c>
      <c r="O65" s="30">
        <f>SUM('MasterA1(current$)'!O59)/0.26337</f>
        <v>193.64392299806357</v>
      </c>
      <c r="P65" s="30">
        <f>SUM('MasterA1(current$)'!P59)/0.28703</f>
        <v>156.77803713897501</v>
      </c>
      <c r="Q65" s="30">
        <f>SUM('MasterA1(current$)'!Q59)/0.31361</f>
        <v>194.50910366378622</v>
      </c>
      <c r="R65" s="30">
        <f>SUM('MasterA1(current$)'!R59)/0.33083</f>
        <v>193.45283075900008</v>
      </c>
      <c r="S65" s="30">
        <f>SUM('MasterA1(current$)'!S59)/0.35135</f>
        <v>224.8470186423794</v>
      </c>
      <c r="T65" s="30">
        <f>SUM('MasterA1(current$)'!T59)/0.37602</f>
        <v>231.37067177277802</v>
      </c>
      <c r="U65" s="30">
        <f>SUM('MasterA1(current$)'!U59)/0.40706</f>
        <v>203.90114479437921</v>
      </c>
      <c r="V65" s="270">
        <f>SUM('MasterA1(current$)'!V59)/0.44377</f>
        <v>207.31459990535637</v>
      </c>
      <c r="W65" s="30">
        <f>SUM('MasterA1(current$)'!W59)/0.4852</f>
        <v>173.12448474855728</v>
      </c>
      <c r="X65" s="30">
        <f>SUM('MasterA1(current$)'!X59)/0.5153</f>
        <v>120.31826120706386</v>
      </c>
      <c r="Y65" s="30">
        <f>SUM('MasterA1(current$)'!Y59)/0.53565</f>
        <v>82.14319051619529</v>
      </c>
      <c r="Z65" s="30">
        <f>SUM('MasterA1(current$)'!Z59)/0.55466</f>
        <v>77.524970252046288</v>
      </c>
      <c r="AA65" s="30">
        <f>SUM('MasterA1(current$)'!AA59)/0.5724</f>
        <v>76.869322152341013</v>
      </c>
      <c r="AB65" s="30">
        <f>SUM('MasterA1(current$)'!AB59)/0.58395</f>
        <v>75.348916859320155</v>
      </c>
      <c r="AC65" s="30">
        <f>SUM('MasterA1(current$)'!AC59)/0.59885</f>
        <v>66.794689822159143</v>
      </c>
      <c r="AD65" s="30">
        <f>SUM('MasterA1(current$)'!AD59)/0.61982</f>
        <v>74.215094704914321</v>
      </c>
      <c r="AE65" s="30">
        <f>SUM('MasterA1(current$)'!AE59)/0.64392</f>
        <v>66.778481798981232</v>
      </c>
      <c r="AF65" s="270">
        <f>SUM('MasterA1(current$)'!AF59)/0.66773</f>
        <v>77.875788117951856</v>
      </c>
      <c r="AG65" s="30">
        <f>SUM('MasterA1(current$)'!AG59)/0.68996</f>
        <v>75.366687923937619</v>
      </c>
      <c r="AH65" s="30">
        <f>SUM('MasterA1(current$)'!AH59)/0.70569</f>
        <v>85.02316881350167</v>
      </c>
      <c r="AI65" s="30">
        <f>SUM('MasterA1(current$)'!AI59)/0.72248</f>
        <v>85.815524305171081</v>
      </c>
      <c r="AJ65" s="30">
        <f>SUM('MasterA1(current$)'!AJ59)/0.73785</f>
        <v>85.383207969099416</v>
      </c>
      <c r="AK65" s="30">
        <f>SUM('MasterA1(current$)'!AK59)/0.75324</f>
        <v>88.949073336519561</v>
      </c>
      <c r="AL65" s="30">
        <f>SUM('MasterA1(current$)'!AL59)/0.76699</f>
        <v>91.265857442730677</v>
      </c>
      <c r="AM65" s="30">
        <f>SUM('MasterA1(current$)'!AM59)/0.78012</f>
        <v>97.420909603650713</v>
      </c>
      <c r="AN65" s="30">
        <f>SUM('MasterA1(current$)'!AN59)/0.78859</f>
        <v>120.46817737988054</v>
      </c>
      <c r="AO65" s="30">
        <f>SUM('MasterA1(current$)'!AO59)/0.80065</f>
        <v>128.64547555111471</v>
      </c>
      <c r="AP65" s="857">
        <f>SUM('MasterA1(current$)'!AP59)/0.81887</f>
        <v>145.32221231697341</v>
      </c>
      <c r="AQ65" s="328">
        <f>SUM('MasterA1(current$)'!AQ59)/0.83754</f>
        <v>145.66468467177688</v>
      </c>
      <c r="AR65" s="328">
        <f>SUM('MasterA1(current$)'!AR59)/0.85039</f>
        <v>176.38965651054224</v>
      </c>
      <c r="AS65" s="328">
        <f>SUM('MasterA1(current$)'!AS59)/0.86735</f>
        <v>177.55231452124286</v>
      </c>
      <c r="AT65" s="328">
        <f>SUM('MasterA1(current$)'!AT59)/0.8912</f>
        <v>177.28904847396768</v>
      </c>
      <c r="AU65" s="328">
        <f>SUM('MasterA1(current$)'!AU59)/0.91988</f>
        <v>175.02282906466061</v>
      </c>
      <c r="AV65" s="328">
        <f>SUM('MasterA1(current$)'!AV59)/0.94814</f>
        <v>221.48627839770498</v>
      </c>
      <c r="AW65" s="328">
        <f>SUM('MasterA1(current$)'!AW59)/0.97337</f>
        <v>213.69058014937795</v>
      </c>
      <c r="AX65" s="331">
        <f>SUM('MasterA1(current$)'!AX59*100)/99.246</f>
        <v>201.51945670354473</v>
      </c>
      <c r="AY65" s="284">
        <f>SUM('MasterA1(current$)'!AY59)</f>
        <v>210</v>
      </c>
      <c r="AZ65" s="305">
        <f>SUM('MasterA1(current$)'!AZ59*100)/101.221</f>
        <v>225.24970114897104</v>
      </c>
      <c r="BA65" s="284">
        <f>SUM('MasterA1(current$)'!BA59*100)/103.311</f>
        <v>207.14154349488436</v>
      </c>
      <c r="BB65" s="284">
        <f>SUM('MasterA1(current$)'!BB59*100)/105.214</f>
        <v>287.03404489896781</v>
      </c>
      <c r="BC65" s="284">
        <f>SUM('MasterA1(current$)'!BC59*100)/106.913</f>
        <v>256.28314610945347</v>
      </c>
      <c r="BD65" s="284">
        <f>SUM('MasterA1(current$)'!BD59*100)/108.832</f>
        <v>220.52337547780067</v>
      </c>
      <c r="BE65" s="284">
        <f>SUM('MasterA1(current$)'!BE59*100)/110.012</f>
        <v>233.61087881322038</v>
      </c>
      <c r="BF65" s="305">
        <f>SUM('MasterA1(current$)'!BF59*100)/111.416</f>
        <v>215.40891792920229</v>
      </c>
      <c r="BG65" s="305">
        <f>SUM('MasterA1(current$)'!BG59*100)/113.116</f>
        <v>215.70776901587752</v>
      </c>
      <c r="BH65" s="305">
        <f>SUM('MasterA1(current$)'!BH59*100)/114.716</f>
        <v>244.08103490358801</v>
      </c>
      <c r="BI65" s="305">
        <f>SUM('MasterA1(current$)'!BI59*100)/116.416</f>
        <v>237.08081363386478</v>
      </c>
      <c r="BJ65" s="410">
        <f t="shared" si="5"/>
        <v>0.13153566984238768</v>
      </c>
      <c r="BK65" s="410">
        <f t="shared" si="5"/>
        <v>-2.8679906542056058E-2</v>
      </c>
      <c r="BL65" s="564">
        <f t="shared" si="6"/>
        <v>28.373265887710488</v>
      </c>
      <c r="BM65" s="564">
        <f t="shared" si="6"/>
        <v>-7.0002212697232267</v>
      </c>
      <c r="BN65" s="112"/>
      <c r="BO65" s="112"/>
      <c r="BP65" s="620"/>
      <c r="BQ65" s="620"/>
    </row>
    <row r="66" spans="1:69" ht="11.25" customHeight="1">
      <c r="A66" s="115" t="s">
        <v>61</v>
      </c>
      <c r="B66" s="835" t="s">
        <v>3</v>
      </c>
      <c r="C66" s="54" t="s">
        <v>3</v>
      </c>
      <c r="D66" s="54" t="s">
        <v>3</v>
      </c>
      <c r="E66" s="163" t="s">
        <v>3</v>
      </c>
      <c r="F66" s="163" t="s">
        <v>3</v>
      </c>
      <c r="G66" s="163" t="s">
        <v>3</v>
      </c>
      <c r="H66" s="163" t="s">
        <v>3</v>
      </c>
      <c r="I66" s="30">
        <f>SUM('MasterA1(current$)'!I60)/0.19786</f>
        <v>10.108157282927323</v>
      </c>
      <c r="J66" s="333">
        <f>SUM('MasterA1(current$)'!J60)/0.20627</f>
        <v>72.720221069472046</v>
      </c>
      <c r="K66" s="333">
        <f>SUM('MasterA1(current$)'!K60)/0.21642</f>
        <v>101.65419092505314</v>
      </c>
      <c r="L66" s="269">
        <f>SUM('MasterA1(current$)'!L60)/0.22784</f>
        <v>114.11516853932585</v>
      </c>
      <c r="M66" s="333">
        <f>SUM('MasterA1(current$)'!M60)/0.23941</f>
        <v>167.07739860490372</v>
      </c>
      <c r="N66" s="333">
        <f>SUM('MasterA1(current$)'!N60)/0.24978</f>
        <v>312.27480182560652</v>
      </c>
      <c r="O66" s="333">
        <f>SUM('MasterA1(current$)'!O60)/0.26337</f>
        <v>368.30314766298363</v>
      </c>
      <c r="P66" s="333">
        <f>SUM('MasterA1(current$)'!P60)/0.28703</f>
        <v>404.13894018046892</v>
      </c>
      <c r="Q66" s="333">
        <f>SUM('MasterA1(current$)'!Q60)/0.31361</f>
        <v>309.30136156372566</v>
      </c>
      <c r="R66" s="333">
        <f>SUM('MasterA1(current$)'!R60)/0.33083</f>
        <v>265.99764229362512</v>
      </c>
      <c r="S66" s="333">
        <f>SUM('MasterA1(current$)'!S60)/0.35135</f>
        <v>267.53949053650206</v>
      </c>
      <c r="T66" s="333">
        <f>SUM('MasterA1(current$)'!T60)/0.37602</f>
        <v>249.98670283495557</v>
      </c>
      <c r="U66" s="30">
        <f>SUM('MasterA1(current$)'!U60)/0.40706</f>
        <v>339.01636122438953</v>
      </c>
      <c r="V66" s="269">
        <f>SUM('MasterA1(current$)'!V60)/0.44377</f>
        <v>308.71848029384591</v>
      </c>
      <c r="W66" s="333">
        <f>SUM('MasterA1(current$)'!W60)/0.4852</f>
        <v>305.0288540807914</v>
      </c>
      <c r="X66" s="333">
        <f>SUM('MasterA1(current$)'!X60)/0.5153</f>
        <v>211.52726567048322</v>
      </c>
      <c r="Y66" s="333">
        <f>SUM('MasterA1(current$)'!Y60)/0.53565</f>
        <v>207.2248669840381</v>
      </c>
      <c r="Z66" s="333">
        <f>SUM('MasterA1(current$)'!Z60)/0.55466</f>
        <v>194.71387877258138</v>
      </c>
      <c r="AA66" s="333">
        <f>SUM('MasterA1(current$)'!AA60)/0.5724</f>
        <v>197.41439552760306</v>
      </c>
      <c r="AB66" s="333">
        <f>SUM('MasterA1(current$)'!AB60)/0.58395</f>
        <v>191.7972429146331</v>
      </c>
      <c r="AC66" s="333">
        <f>SUM('MasterA1(current$)'!AC60)/0.59885</f>
        <v>223.76221090423311</v>
      </c>
      <c r="AD66" s="333">
        <f>SUM('MasterA1(current$)'!AD60)/0.61982</f>
        <v>200.05808137846469</v>
      </c>
      <c r="AE66" s="333">
        <f>SUM('MasterA1(current$)'!AE60)/0.64392</f>
        <v>130.45098770033545</v>
      </c>
      <c r="AF66" s="269">
        <f>SUM('MasterA1(current$)'!AF60)/0.66773</f>
        <v>221.64647387417068</v>
      </c>
      <c r="AG66" s="333">
        <f>SUM('MasterA1(current$)'!AG60)/0.68996</f>
        <v>221.75198562235491</v>
      </c>
      <c r="AH66" s="333">
        <f>SUM('MasterA1(current$)'!AH60)/0.70569</f>
        <v>226.7284501693378</v>
      </c>
      <c r="AI66" s="333">
        <f>SUM('MasterA1(current$)'!AI60)/0.72248</f>
        <v>220.07529620197099</v>
      </c>
      <c r="AJ66" s="333">
        <f>SUM('MasterA1(current$)'!AJ60)/0.73785</f>
        <v>249.37317883038557</v>
      </c>
      <c r="AK66" s="333">
        <f>SUM('MasterA1(current$)'!AK60)/0.75324</f>
        <v>246.93324836705432</v>
      </c>
      <c r="AL66" s="333">
        <f>SUM('MasterA1(current$)'!AL60)/0.76699</f>
        <v>250.32920898577558</v>
      </c>
      <c r="AM66" s="333">
        <f>SUM('MasterA1(current$)'!AM60)/0.78012</f>
        <v>287.13531251602319</v>
      </c>
      <c r="AN66" s="333">
        <f>SUM('MasterA1(current$)'!AN60)/0.78859</f>
        <v>342.38324097439732</v>
      </c>
      <c r="AO66" s="333">
        <f>SUM('MasterA1(current$)'!AO60)/0.80065</f>
        <v>238.55617310934866</v>
      </c>
      <c r="AP66" s="857">
        <f>SUM('MasterA1(current$)'!AP60)/0.81887</f>
        <v>232.02706168256256</v>
      </c>
      <c r="AQ66" s="328">
        <f>SUM('MasterA1(current$)'!AQ60)/0.83754</f>
        <v>292.52334216873226</v>
      </c>
      <c r="AR66" s="328">
        <f>SUM('MasterA1(current$)'!AR60)/0.85039</f>
        <v>318.67731276237964</v>
      </c>
      <c r="AS66" s="328">
        <f>SUM('MasterA1(current$)'!AS60)/0.86735</f>
        <v>297.45777367844585</v>
      </c>
      <c r="AT66" s="328">
        <f>SUM('MasterA1(current$)'!AT60)/0.8912</f>
        <v>188.50987432675046</v>
      </c>
      <c r="AU66" s="328">
        <f>SUM('MasterA1(current$)'!AU60)/0.91988</f>
        <v>208.72287689698655</v>
      </c>
      <c r="AV66" s="328">
        <f>SUM('MasterA1(current$)'!AV60)/0.94814</f>
        <v>409.22226675385491</v>
      </c>
      <c r="AW66" s="328">
        <f>SUM('MasterA1(current$)'!AW60)/0.97337</f>
        <v>503.40569362113075</v>
      </c>
      <c r="AX66" s="331">
        <f>SUM('MasterA1(current$)'!AX60*100)/99.246</f>
        <v>491.70747435664919</v>
      </c>
      <c r="AY66" s="284">
        <f>SUM('MasterA1(current$)'!AY60)</f>
        <v>587</v>
      </c>
      <c r="AZ66" s="305">
        <f>SUM('MasterA1(current$)'!AZ60*100)/101.221</f>
        <v>480.13752087017514</v>
      </c>
      <c r="BA66" s="284">
        <f>SUM('MasterA1(current$)'!BA60*100)/103.311</f>
        <v>455.90498591631092</v>
      </c>
      <c r="BB66" s="284">
        <f>SUM('MasterA1(current$)'!BB60*100)/105.214</f>
        <v>424.84840420476365</v>
      </c>
      <c r="BC66" s="284">
        <f>SUM('MasterA1(current$)'!BC60*100)/106.913</f>
        <v>494.79483318212004</v>
      </c>
      <c r="BD66" s="284">
        <f>SUM('MasterA1(current$)'!BD60*100)/108.832</f>
        <v>417.15671861217294</v>
      </c>
      <c r="BE66" s="284">
        <f>SUM('MasterA1(current$)'!BE60*100)/110.012</f>
        <v>428.13511253317819</v>
      </c>
      <c r="BF66" s="305">
        <f>SUM('MasterA1(current$)'!BF60*100)/111.416</f>
        <v>447.87104186113305</v>
      </c>
      <c r="BG66" s="305">
        <f>SUM('MasterA1(current$)'!BG60*100)/113.116</f>
        <v>436.71982743378481</v>
      </c>
      <c r="BH66" s="305">
        <f>SUM('MasterA1(current$)'!BH60*100)/114.716</f>
        <v>497.75096760695982</v>
      </c>
      <c r="BI66" s="305">
        <f>SUM('MasterA1(current$)'!BI60*100)/116.416</f>
        <v>503.36723474436508</v>
      </c>
      <c r="BJ66" s="410">
        <f t="shared" si="5"/>
        <v>0.13974895651475433</v>
      </c>
      <c r="BK66" s="410">
        <f t="shared" si="5"/>
        <v>1.1283287231779014E-2</v>
      </c>
      <c r="BL66" s="564">
        <f t="shared" si="6"/>
        <v>61.031140173175004</v>
      </c>
      <c r="BM66" s="564">
        <f t="shared" si="6"/>
        <v>5.6162671374052593</v>
      </c>
      <c r="BN66" s="112"/>
      <c r="BO66" s="112"/>
      <c r="BP66" s="620"/>
      <c r="BQ66" s="620"/>
    </row>
    <row r="67" spans="1:69" ht="11.25" customHeight="1">
      <c r="A67" s="119" t="s">
        <v>119</v>
      </c>
      <c r="B67" s="835" t="s">
        <v>3</v>
      </c>
      <c r="C67" s="54" t="s">
        <v>3</v>
      </c>
      <c r="D67" s="54" t="s">
        <v>3</v>
      </c>
      <c r="E67" s="54" t="s">
        <v>3</v>
      </c>
      <c r="F67" s="54" t="s">
        <v>3</v>
      </c>
      <c r="G67" s="54" t="s">
        <v>3</v>
      </c>
      <c r="H67" s="54" t="s">
        <v>3</v>
      </c>
      <c r="I67" s="54" t="s">
        <v>3</v>
      </c>
      <c r="J67" s="54" t="s">
        <v>3</v>
      </c>
      <c r="K67" s="54" t="s">
        <v>3</v>
      </c>
      <c r="L67" s="835" t="s">
        <v>3</v>
      </c>
      <c r="M67" s="54" t="s">
        <v>3</v>
      </c>
      <c r="N67" s="54" t="s">
        <v>3</v>
      </c>
      <c r="O67" s="54" t="s">
        <v>3</v>
      </c>
      <c r="P67" s="54" t="s">
        <v>3</v>
      </c>
      <c r="Q67" s="54" t="s">
        <v>3</v>
      </c>
      <c r="R67" s="54" t="s">
        <v>3</v>
      </c>
      <c r="S67" s="54" t="s">
        <v>3</v>
      </c>
      <c r="T67" s="54" t="s">
        <v>3</v>
      </c>
      <c r="U67" s="54" t="s">
        <v>3</v>
      </c>
      <c r="V67" s="835" t="s">
        <v>3</v>
      </c>
      <c r="W67" s="54" t="s">
        <v>3</v>
      </c>
      <c r="X67" s="54" t="s">
        <v>3</v>
      </c>
      <c r="Y67" s="54" t="s">
        <v>3</v>
      </c>
      <c r="Z67" s="54" t="s">
        <v>3</v>
      </c>
      <c r="AA67" s="54" t="s">
        <v>3</v>
      </c>
      <c r="AB67" s="54" t="s">
        <v>3</v>
      </c>
      <c r="AC67" s="54" t="s">
        <v>3</v>
      </c>
      <c r="AD67" s="30">
        <f>SUM('MasterA1(current$)'!AD61)/0.61982</f>
        <v>8.0668581200993827</v>
      </c>
      <c r="AE67" s="30">
        <f>SUM('MasterA1(current$)'!AE61)/0.64392</f>
        <v>15.529879488135171</v>
      </c>
      <c r="AF67" s="270">
        <f>SUM('MasterA1(current$)'!AF61)/0.66773</f>
        <v>13.478501789645515</v>
      </c>
      <c r="AG67" s="30">
        <f>SUM('MasterA1(current$)'!AG61)/0.68996</f>
        <v>13.044234448373819</v>
      </c>
      <c r="AH67" s="30">
        <f>SUM('MasterA1(current$)'!AH61)/0.70569</f>
        <v>17.004633762700333</v>
      </c>
      <c r="AI67" s="30">
        <f>SUM('MasterA1(current$)'!AI61)/0.72248</f>
        <v>19.377699036651535</v>
      </c>
      <c r="AJ67" s="30">
        <f>SUM('MasterA1(current$)'!AJ61)/0.73785</f>
        <v>21.684624246120485</v>
      </c>
      <c r="AK67" s="30">
        <f>SUM('MasterA1(current$)'!AK61)/0.75324</f>
        <v>29.207158409006425</v>
      </c>
      <c r="AL67" s="30">
        <f>SUM('MasterA1(current$)'!AL61)/0.76699</f>
        <v>44.329130757897758</v>
      </c>
      <c r="AM67" s="30">
        <f>SUM('MasterA1(current$)'!AM61)/0.78012</f>
        <v>39.737476285699636</v>
      </c>
      <c r="AN67" s="30">
        <f>SUM('MasterA1(current$)'!AN61)/0.78859</f>
        <v>43.114926641220407</v>
      </c>
      <c r="AO67" s="30">
        <f>SUM('MasterA1(current$)'!AO61)/0.80065</f>
        <v>42.465496783863109</v>
      </c>
      <c r="AP67" s="857">
        <f>SUM('MasterA1(current$)'!AP61)/0.81887</f>
        <v>45.18421727502534</v>
      </c>
      <c r="AQ67" s="328">
        <f>SUM('MasterA1(current$)'!AQ61)/0.83754</f>
        <v>35.819184755354968</v>
      </c>
      <c r="AR67" s="328">
        <f>SUM('MasterA1(current$)'!AR61)/0.85039</f>
        <v>50.56503486635544</v>
      </c>
      <c r="AS67" s="328">
        <f>SUM('MasterA1(current$)'!AS61)/0.86735</f>
        <v>70.329163544128676</v>
      </c>
      <c r="AT67" s="328">
        <f>SUM('MasterA1(current$)'!AT61)/0.8912</f>
        <v>68.447037701974864</v>
      </c>
      <c r="AU67" s="328">
        <f>SUM('MasterA1(current$)'!AU61)/0.91988</f>
        <v>72.83558725051094</v>
      </c>
      <c r="AV67" s="328">
        <f>SUM('MasterA1(current$)'!AV61)/0.94814</f>
        <v>78.047545721096043</v>
      </c>
      <c r="AW67" s="328">
        <f>SUM('MasterA1(current$)'!AW61)/0.97337</f>
        <v>78.079250439195789</v>
      </c>
      <c r="AX67" s="331">
        <f>SUM('MasterA1(current$)'!AX61*100)/99.246</f>
        <v>74.56219898031155</v>
      </c>
      <c r="AY67" s="284">
        <f>SUM('MasterA1(current$)'!AY61)</f>
        <v>82</v>
      </c>
      <c r="AZ67" s="305">
        <f>SUM('MasterA1(current$)'!AZ61*100)/101.221</f>
        <v>93.854042145404605</v>
      </c>
      <c r="BA67" s="284">
        <f>SUM('MasterA1(current$)'!BA61*100)/103.311</f>
        <v>97.763064920482805</v>
      </c>
      <c r="BB67" s="284">
        <f>SUM('MasterA1(current$)'!BB61*100)/105.214</f>
        <v>86.490391012602885</v>
      </c>
      <c r="BC67" s="284">
        <f>SUM('MasterA1(current$)'!BC61*100)/106.913</f>
        <v>95.404674829066622</v>
      </c>
      <c r="BD67" s="284">
        <f>SUM('MasterA1(current$)'!BD61*100)/108.832</f>
        <v>101.07321376065863</v>
      </c>
      <c r="BE67" s="284">
        <f>SUM('MasterA1(current$)'!BE61*100)/110.012</f>
        <v>106.35203432352834</v>
      </c>
      <c r="BF67" s="305">
        <f>SUM('MasterA1(current$)'!BF61*100)/111.416</f>
        <v>138.22072233790479</v>
      </c>
      <c r="BG67" s="305">
        <f>SUM('MasterA1(current$)'!BG61*100)/113.116</f>
        <v>129.07104211605784</v>
      </c>
      <c r="BH67" s="305">
        <f>SUM('MasterA1(current$)'!BH61*100)/114.716</f>
        <v>149.93549286934692</v>
      </c>
      <c r="BI67" s="305">
        <f>SUM('MasterA1(current$)'!BI61*100)/116.416</f>
        <v>143.45107201759208</v>
      </c>
      <c r="BJ67" s="410">
        <f t="shared" si="5"/>
        <v>0.16165090489103065</v>
      </c>
      <c r="BK67" s="410">
        <f t="shared" si="5"/>
        <v>-4.3248071071506251E-2</v>
      </c>
      <c r="BL67" s="564">
        <f t="shared" si="6"/>
        <v>20.864450753289077</v>
      </c>
      <c r="BM67" s="564">
        <f t="shared" si="6"/>
        <v>-6.4844208517548338</v>
      </c>
      <c r="BN67" s="112"/>
      <c r="BO67" s="112"/>
      <c r="BP67" s="620"/>
      <c r="BQ67" s="620"/>
    </row>
    <row r="68" spans="1:69" ht="11.25" customHeight="1">
      <c r="A68" s="393" t="s">
        <v>36</v>
      </c>
      <c r="B68" s="897">
        <f>SUM('MasterA1(current$)'!B62)/0.1756</f>
        <v>239.17995444191342</v>
      </c>
      <c r="C68" s="108">
        <f>SUM('MasterA1(current$)'!C62)/0.178</f>
        <v>353.93258426966293</v>
      </c>
      <c r="D68" s="107">
        <f>SUM('MasterA1(current$)'!D62)/0.1798</f>
        <v>433.81535038932151</v>
      </c>
      <c r="E68" s="449">
        <f>SUM('MasterA1(current$)'!E62)/0.182</f>
        <v>489.01098901098902</v>
      </c>
      <c r="F68" s="449">
        <f>SUM('MasterA1(current$)'!F62)/0.1842</f>
        <v>526.60152008686214</v>
      </c>
      <c r="G68" s="449">
        <f>SUM('MasterA1(current$)'!G62)/0.18702</f>
        <v>561.43727943535453</v>
      </c>
      <c r="H68" s="449">
        <f>SUM('MasterA1(current$)'!H62)/0.19227</f>
        <v>520.10193998023612</v>
      </c>
      <c r="I68" s="449">
        <f>SUM('MasterA1(current$)'!I62)/0.19786</f>
        <v>540.78641463661177</v>
      </c>
      <c r="J68" s="449">
        <f>SUM('MasterA1(current$)'!J62)/0.20627</f>
        <v>654.48198962524839</v>
      </c>
      <c r="K68" s="449">
        <f>SUM('MasterA1(current$)'!K62)/0.21642</f>
        <v>683.8554662230847</v>
      </c>
      <c r="L68" s="855">
        <f>SUM('MasterA1(current$)'!L62)/0.22784</f>
        <v>754.91573033707868</v>
      </c>
      <c r="M68" s="449">
        <f>SUM('MasterA1(current$)'!M62)/0.23941</f>
        <v>985.75665176893187</v>
      </c>
      <c r="N68" s="449">
        <f>SUM('MasterA1(current$)'!N62)/0.24978</f>
        <v>1141.0040835935624</v>
      </c>
      <c r="O68" s="449">
        <f>SUM('MasterA1(current$)'!O62)/0.26337</f>
        <v>1351.7105213198163</v>
      </c>
      <c r="P68" s="449">
        <f>SUM('MasterA1(current$)'!P62)/0.28703</f>
        <v>1212.4168205414069</v>
      </c>
      <c r="Q68" s="449">
        <f>SUM('MasterA1(current$)'!Q62)/0.31361</f>
        <v>1154.2999266605018</v>
      </c>
      <c r="R68" s="449">
        <f>SUM('MasterA1(current$)'!R62)/0.33083</f>
        <v>1130.4899797479068</v>
      </c>
      <c r="S68" s="449">
        <f>SUM('MasterA1(current$)'!S62)/0.35135</f>
        <v>1172.6198946919026</v>
      </c>
      <c r="T68" s="449">
        <f>SUM('MasterA1(current$)'!T62)/0.37602</f>
        <v>1146.2156268283602</v>
      </c>
      <c r="U68" s="449">
        <f>SUM('MasterA1(current$)'!U62)/0.40706</f>
        <v>1208.6670269739107</v>
      </c>
      <c r="V68" s="855">
        <f>SUM('MasterA1(current$)'!V62)/0.44377</f>
        <v>1198.8192081483651</v>
      </c>
      <c r="W68" s="449">
        <f>SUM('MasterA1(current$)'!W62)/0.4852</f>
        <v>1133.553173948887</v>
      </c>
      <c r="X68" s="449">
        <f>SUM('MasterA1(current$)'!X62)/0.5153</f>
        <v>886.8620221230351</v>
      </c>
      <c r="Y68" s="449">
        <f>SUM('MasterA1(current$)'!Y62)/0.53565</f>
        <v>959.58181648464495</v>
      </c>
      <c r="Z68" s="449">
        <f>SUM('MasterA1(current$)'!Z62)/0.55466</f>
        <v>854.57757905744052</v>
      </c>
      <c r="AA68" s="449">
        <f>SUM('MasterA1(current$)'!AA62)/0.5724</f>
        <v>728.51153039832286</v>
      </c>
      <c r="AB68" s="449">
        <f>SUM('MasterA1(current$)'!AB62)/0.58395</f>
        <v>851.1002654336844</v>
      </c>
      <c r="AC68" s="449">
        <f>SUM('MasterA1(current$)'!AC62)/0.59885</f>
        <v>973.53260415796944</v>
      </c>
      <c r="AD68" s="449">
        <f>SUM('MasterA1(current$)'!AD62)/0.61982</f>
        <v>1022.8776096286018</v>
      </c>
      <c r="AE68" s="449">
        <f>SUM('MasterA1(current$)'!AE62)/0.64392</f>
        <v>1003.230214933532</v>
      </c>
      <c r="AF68" s="855">
        <f>SUM('MasterA1(current$)'!AF62)/0.66773</f>
        <v>1174.1272670091203</v>
      </c>
      <c r="AG68" s="449">
        <f>SUM('MasterA1(current$)'!AG62)/0.68996</f>
        <v>1226.158038147139</v>
      </c>
      <c r="AH68" s="449">
        <f>SUM('MasterA1(current$)'!AH62)/0.70569</f>
        <v>1326.361433490626</v>
      </c>
      <c r="AI68" s="449">
        <f>SUM('MasterA1(current$)'!AI62)/0.72248</f>
        <v>1331.5247480899125</v>
      </c>
      <c r="AJ68" s="449">
        <f>SUM('MasterA1(current$)'!AJ62)/0.73785</f>
        <v>1297.0115877210815</v>
      </c>
      <c r="AK68" s="449">
        <f>SUM('MasterA1(current$)'!AK62)/0.75324</f>
        <v>1235.9938399447719</v>
      </c>
      <c r="AL68" s="449">
        <f>SUM('MasterA1(current$)'!AL62)/0.76699</f>
        <v>1442.0005475951448</v>
      </c>
      <c r="AM68" s="449">
        <f>SUM('MasterA1(current$)'!AM62)/0.78012</f>
        <v>1438.2402707275803</v>
      </c>
      <c r="AN68" s="449">
        <f>SUM('MasterA1(current$)'!AN62)/0.78859</f>
        <v>1690.3587415513764</v>
      </c>
      <c r="AO68" s="449">
        <f>SUM('MasterA1(current$)'!AO62)/0.80065</f>
        <v>1664.8972709673392</v>
      </c>
      <c r="AP68" s="928">
        <f>SUM('MasterA1(current$)'!AP62)/0.81887</f>
        <v>1708.4518910205527</v>
      </c>
      <c r="AQ68" s="128">
        <f>SUM('MasterA1(current$)'!AQ62)/0.83754</f>
        <v>1853.0458246770304</v>
      </c>
      <c r="AR68" s="128">
        <f>SUM('MasterA1(current$)'!AR62)/0.85039</f>
        <v>2512.9646397535248</v>
      </c>
      <c r="AS68" s="128">
        <f>SUM('MasterA1(current$)'!AS62)/0.86735</f>
        <v>2199.8040006917622</v>
      </c>
      <c r="AT68" s="128">
        <f>SUM('MasterA1(current$)'!AT62)/0.8912</f>
        <v>2122.9802513464992</v>
      </c>
      <c r="AU68" s="128">
        <f>SUM('MasterA1(current$)'!AU62)/0.91988</f>
        <v>2045.9190329173371</v>
      </c>
      <c r="AV68" s="128">
        <f>SUM('MasterA1(current$)'!AV62)/0.94814</f>
        <v>2550.2562912650033</v>
      </c>
      <c r="AW68" s="128">
        <f>SUM('MasterA1(current$)'!AW62)/0.97337</f>
        <v>2634.1473437644472</v>
      </c>
      <c r="AX68" s="784">
        <f>SUM('MasterA1(current$)'!AX62*100)/99.246</f>
        <v>2657.0340366362375</v>
      </c>
      <c r="AY68" s="496">
        <f>SUM('MasterA1(current$)'!AY62)</f>
        <v>2902</v>
      </c>
      <c r="AZ68" s="367">
        <f>SUM('MasterA1(current$)'!AZ62*100)/101.221</f>
        <v>2907.4994319360608</v>
      </c>
      <c r="BA68" s="368">
        <f>SUM('MasterA1(current$)'!BA62*100)/103.311</f>
        <v>2782.8595212513669</v>
      </c>
      <c r="BB68" s="368">
        <f>SUM('MasterA1(current$)'!BB62*100)/105.214</f>
        <v>2834.2235824129871</v>
      </c>
      <c r="BC68" s="368">
        <f>SUM('MasterA1(current$)'!BC62*100)/106.913</f>
        <v>2788.2483888769375</v>
      </c>
      <c r="BD68" s="368">
        <f>SUM('MasterA1(current$)'!BD62*100)/108.832</f>
        <v>2568.1784769185533</v>
      </c>
      <c r="BE68" s="368">
        <f>SUM('MasterA1(current$)'!BE62*100)/110.012</f>
        <v>2615.1692542631713</v>
      </c>
      <c r="BF68" s="367">
        <f>SUM('MasterA1(current$)'!BF62*100)/111.416</f>
        <v>2646.837079055073</v>
      </c>
      <c r="BG68" s="367">
        <f>SUM('MasterA1(current$)'!BG62*100)/113.116</f>
        <v>2641.5361222108277</v>
      </c>
      <c r="BH68" s="367">
        <f>SUM('MasterA1(current$)'!BH62*100)/114.716</f>
        <v>2819.1359531364415</v>
      </c>
      <c r="BI68" s="367">
        <f>SUM('MasterA1(current$)'!BI62*100)/116.416</f>
        <v>2763.3658603628369</v>
      </c>
      <c r="BJ68" s="872">
        <f t="shared" si="5"/>
        <v>6.723354241961757E-2</v>
      </c>
      <c r="BK68" s="872">
        <f t="shared" si="5"/>
        <v>-1.9782690051381637E-2</v>
      </c>
      <c r="BL68" s="567">
        <f t="shared" si="6"/>
        <v>177.59983092561379</v>
      </c>
      <c r="BM68" s="567">
        <f t="shared" si="6"/>
        <v>-55.770092773604574</v>
      </c>
      <c r="BN68" s="112"/>
      <c r="BO68" s="112"/>
      <c r="BP68" s="620"/>
      <c r="BQ68" s="620"/>
    </row>
    <row r="69" spans="1:69" ht="6" customHeight="1">
      <c r="A69" s="115"/>
      <c r="B69" s="636"/>
      <c r="C69" s="33"/>
      <c r="D69" s="33"/>
      <c r="E69" s="47"/>
      <c r="F69" s="47"/>
      <c r="G69" s="47"/>
      <c r="H69" s="47"/>
      <c r="I69" s="47"/>
      <c r="J69" s="47"/>
      <c r="K69" s="47"/>
      <c r="L69" s="281"/>
      <c r="M69" s="47"/>
      <c r="N69" s="47"/>
      <c r="O69" s="47"/>
      <c r="P69" s="47"/>
      <c r="Q69" s="47"/>
      <c r="R69" s="47"/>
      <c r="S69" s="47"/>
      <c r="T69" s="47"/>
      <c r="U69" s="47"/>
      <c r="V69" s="281"/>
      <c r="W69" s="47"/>
      <c r="X69" s="47"/>
      <c r="Y69" s="47"/>
      <c r="Z69" s="47"/>
      <c r="AA69" s="47"/>
      <c r="AB69" s="47"/>
      <c r="AC69" s="47"/>
      <c r="AD69" s="47"/>
      <c r="AE69" s="47"/>
      <c r="AF69" s="281"/>
      <c r="AG69" s="47"/>
      <c r="AH69" s="47"/>
      <c r="AI69" s="47"/>
      <c r="AJ69" s="47"/>
      <c r="AK69" s="47"/>
      <c r="AL69" s="47"/>
      <c r="AM69" s="488"/>
      <c r="AN69" s="488"/>
      <c r="AO69" s="488"/>
      <c r="AP69" s="857"/>
      <c r="AQ69" s="328"/>
      <c r="AR69" s="328"/>
      <c r="AS69" s="328"/>
      <c r="AT69" s="328"/>
      <c r="AU69" s="328"/>
      <c r="AV69" s="328"/>
      <c r="AW69" s="328"/>
      <c r="AX69" s="331"/>
      <c r="AY69" s="284"/>
      <c r="AZ69" s="305"/>
      <c r="BA69" s="284"/>
      <c r="BB69" s="284"/>
      <c r="BC69" s="284"/>
      <c r="BD69" s="284"/>
      <c r="BE69" s="284"/>
      <c r="BF69" s="305"/>
      <c r="BG69" s="305"/>
      <c r="BH69" s="305"/>
      <c r="BI69" s="305"/>
      <c r="BJ69" s="410"/>
      <c r="BK69" s="410"/>
      <c r="BL69" s="566"/>
      <c r="BM69" s="566"/>
      <c r="BP69" s="620"/>
      <c r="BQ69" s="620"/>
    </row>
    <row r="70" spans="1:69" ht="11.25" customHeight="1">
      <c r="A70" s="119" t="s">
        <v>162</v>
      </c>
      <c r="B70" s="245" t="s">
        <v>3</v>
      </c>
      <c r="C70" s="50" t="s">
        <v>3</v>
      </c>
      <c r="D70" s="50" t="s">
        <v>3</v>
      </c>
      <c r="E70" s="331" t="s">
        <v>3</v>
      </c>
      <c r="F70" s="331" t="s">
        <v>3</v>
      </c>
      <c r="G70" s="331" t="s">
        <v>3</v>
      </c>
      <c r="H70" s="331" t="s">
        <v>3</v>
      </c>
      <c r="I70" s="331" t="s">
        <v>3</v>
      </c>
      <c r="J70" s="331" t="s">
        <v>3</v>
      </c>
      <c r="K70" s="331" t="s">
        <v>3</v>
      </c>
      <c r="L70" s="335" t="s">
        <v>3</v>
      </c>
      <c r="M70" s="331" t="s">
        <v>3</v>
      </c>
      <c r="N70" s="331" t="s">
        <v>3</v>
      </c>
      <c r="O70" s="331" t="s">
        <v>3</v>
      </c>
      <c r="P70" s="331" t="s">
        <v>3</v>
      </c>
      <c r="Q70" s="331" t="s">
        <v>3</v>
      </c>
      <c r="R70" s="331" t="s">
        <v>3</v>
      </c>
      <c r="S70" s="331" t="s">
        <v>3</v>
      </c>
      <c r="T70" s="331" t="s">
        <v>3</v>
      </c>
      <c r="U70" s="331" t="s">
        <v>3</v>
      </c>
      <c r="V70" s="335" t="s">
        <v>3</v>
      </c>
      <c r="W70" s="331" t="s">
        <v>3</v>
      </c>
      <c r="X70" s="331" t="s">
        <v>3</v>
      </c>
      <c r="Y70" s="331" t="s">
        <v>3</v>
      </c>
      <c r="Z70" s="331" t="s">
        <v>3</v>
      </c>
      <c r="AA70" s="331" t="s">
        <v>3</v>
      </c>
      <c r="AB70" s="331" t="s">
        <v>3</v>
      </c>
      <c r="AC70" s="331" t="s">
        <v>3</v>
      </c>
      <c r="AD70" s="331" t="s">
        <v>3</v>
      </c>
      <c r="AE70" s="331" t="s">
        <v>3</v>
      </c>
      <c r="AF70" s="335" t="s">
        <v>3</v>
      </c>
      <c r="AG70" s="331" t="s">
        <v>3</v>
      </c>
      <c r="AH70" s="331" t="s">
        <v>3</v>
      </c>
      <c r="AI70" s="331" t="s">
        <v>3</v>
      </c>
      <c r="AJ70" s="331" t="s">
        <v>3</v>
      </c>
      <c r="AK70" s="331" t="s">
        <v>3</v>
      </c>
      <c r="AL70" s="30">
        <f>SUM('MasterA1(current$)'!AL64)/0.76699</f>
        <v>18.253171488546137</v>
      </c>
      <c r="AM70" s="30">
        <f>SUM('MasterA1(current$)'!AM64)/0.78012</f>
        <v>23.073373327180434</v>
      </c>
      <c r="AN70" s="30">
        <f>SUM('MasterA1(current$)'!AN64)/0.78859</f>
        <v>20.289377242927248</v>
      </c>
      <c r="AO70" s="30">
        <f>SUM('MasterA1(current$)'!AO64)/0.80065</f>
        <v>18.734777992880787</v>
      </c>
      <c r="AP70" s="857">
        <f>SUM('MasterA1(current$)'!AP64)/0.81887</f>
        <v>20.760316045281915</v>
      </c>
      <c r="AQ70" s="328">
        <f>SUM('MasterA1(current$)'!AQ64)/0.83754</f>
        <v>19.103565202855982</v>
      </c>
      <c r="AR70" s="328">
        <f>SUM('MasterA1(current$)'!AR64)/0.85039</f>
        <v>18.814896694457836</v>
      </c>
      <c r="AS70" s="328">
        <f>SUM('MasterA1(current$)'!AS64)/0.86735</f>
        <v>26.517553467458352</v>
      </c>
      <c r="AT70" s="328">
        <f>SUM('MasterA1(current$)'!AT64)/0.8912</f>
        <v>22.44165170556553</v>
      </c>
      <c r="AU70" s="328">
        <f>SUM('MasterA1(current$)'!AU64)/0.91988</f>
        <v>22.829064660607905</v>
      </c>
      <c r="AV70" s="321">
        <f>SUM('MasterA1(current$)'!AV64)/0.94814</f>
        <v>20.039234712173307</v>
      </c>
      <c r="AW70" s="321">
        <f>SUM('MasterA1(current$)'!AW64)/0.97337</f>
        <v>26.711322518672244</v>
      </c>
      <c r="AX70" s="163">
        <f>SUM('MasterA1(current$)'!AX64*100)/99.246</f>
        <v>29.220321222013986</v>
      </c>
      <c r="AY70" s="284">
        <f>SUM('MasterA1(current$)'!AY64)</f>
        <v>28</v>
      </c>
      <c r="AZ70" s="305">
        <f>SUM('MasterA1(current$)'!AZ64*100)/101.221</f>
        <v>29.638118572233033</v>
      </c>
      <c r="BA70" s="284">
        <f>SUM('MasterA1(current$)'!BA64*100)/103.311</f>
        <v>28.070582996970312</v>
      </c>
      <c r="BB70" s="284">
        <f>SUM('MasterA1(current$)'!BB64*100)/105.214</f>
        <v>27.562871861159163</v>
      </c>
      <c r="BC70" s="284">
        <f>SUM('MasterA1(current$)'!BC64*100)/106.913</f>
        <v>27.124858529832668</v>
      </c>
      <c r="BD70" s="284">
        <f>SUM('MasterA1(current$)'!BD64*100)/108.832</f>
        <v>26.646574536900914</v>
      </c>
      <c r="BE70" s="284">
        <f>SUM('MasterA1(current$)'!BE64*100)/110.012</f>
        <v>28.178744137003235</v>
      </c>
      <c r="BF70" s="305">
        <f>SUM('MasterA1(current$)'!BF64*100)/111.416</f>
        <v>26.028577583111943</v>
      </c>
      <c r="BG70" s="305">
        <f>SUM('MasterA1(current$)'!BG64*100)/113.116</f>
        <v>28.289543477492131</v>
      </c>
      <c r="BH70" s="305">
        <f>SUM('MasterA1(current$)'!BH64*100)/114.716</f>
        <v>32.253565326545555</v>
      </c>
      <c r="BI70" s="305">
        <f>SUM('MasterA1(current$)'!BI64*100)/116.416</f>
        <v>31.782572842221001</v>
      </c>
      <c r="BJ70" s="410">
        <f>(BH70-BG70)/BG70</f>
        <v>0.14012321733672722</v>
      </c>
      <c r="BK70" s="410">
        <f>(BI70-BH70)/BH70</f>
        <v>-1.4602803738317729E-2</v>
      </c>
      <c r="BL70" s="564">
        <f>BH70-BG70</f>
        <v>3.9640218490534238</v>
      </c>
      <c r="BM70" s="564">
        <f>BI70-BH70</f>
        <v>-0.47099248432455454</v>
      </c>
      <c r="BN70" s="112"/>
      <c r="BO70" s="112"/>
      <c r="BP70" s="620"/>
      <c r="BQ70" s="620"/>
    </row>
    <row r="71" spans="1:69" ht="6" customHeight="1">
      <c r="A71" s="115"/>
      <c r="B71" s="636"/>
      <c r="C71" s="33"/>
      <c r="D71" s="33"/>
      <c r="E71" s="47"/>
      <c r="F71" s="47"/>
      <c r="G71" s="47"/>
      <c r="H71" s="47"/>
      <c r="I71" s="47"/>
      <c r="J71" s="47"/>
      <c r="K71" s="47"/>
      <c r="L71" s="281"/>
      <c r="M71" s="47"/>
      <c r="N71" s="47"/>
      <c r="O71" s="47"/>
      <c r="P71" s="47"/>
      <c r="Q71" s="47"/>
      <c r="R71" s="47"/>
      <c r="S71" s="47"/>
      <c r="T71" s="47"/>
      <c r="U71" s="47"/>
      <c r="V71" s="281"/>
      <c r="W71" s="47"/>
      <c r="X71" s="47"/>
      <c r="Y71" s="47"/>
      <c r="Z71" s="47"/>
      <c r="AA71" s="47"/>
      <c r="AB71" s="47"/>
      <c r="AC71" s="47"/>
      <c r="AD71" s="47"/>
      <c r="AE71" s="47"/>
      <c r="AF71" s="281"/>
      <c r="AG71" s="47"/>
      <c r="AH71" s="47"/>
      <c r="AI71" s="47"/>
      <c r="AJ71" s="47"/>
      <c r="AK71" s="47"/>
      <c r="AL71" s="47"/>
      <c r="AM71" s="488"/>
      <c r="AN71" s="488"/>
      <c r="AO71" s="488"/>
      <c r="AP71" s="857"/>
      <c r="AQ71" s="328"/>
      <c r="AR71" s="328"/>
      <c r="AS71" s="328"/>
      <c r="AT71" s="328"/>
      <c r="AU71" s="328"/>
      <c r="AV71" s="328"/>
      <c r="AW71" s="328"/>
      <c r="AX71" s="331"/>
      <c r="AY71" s="284"/>
      <c r="AZ71" s="305"/>
      <c r="BA71" s="284"/>
      <c r="BB71" s="284"/>
      <c r="BC71" s="284"/>
      <c r="BD71" s="284"/>
      <c r="BE71" s="284"/>
      <c r="BF71" s="305"/>
      <c r="BG71" s="305"/>
      <c r="BH71" s="305"/>
      <c r="BI71" s="305"/>
      <c r="BJ71" s="410"/>
      <c r="BK71" s="410"/>
      <c r="BL71" s="566"/>
      <c r="BM71" s="566"/>
      <c r="BP71" s="620"/>
      <c r="BQ71" s="620"/>
    </row>
    <row r="72" spans="1:69" ht="11.25" customHeight="1">
      <c r="A72" s="115" t="s">
        <v>22</v>
      </c>
      <c r="B72" s="645" t="s">
        <v>3</v>
      </c>
      <c r="C72" s="109" t="s">
        <v>3</v>
      </c>
      <c r="D72" s="109" t="s">
        <v>3</v>
      </c>
      <c r="E72" s="340" t="s">
        <v>3</v>
      </c>
      <c r="F72" s="340" t="s">
        <v>3</v>
      </c>
      <c r="G72" s="340" t="s">
        <v>3</v>
      </c>
      <c r="H72" s="340" t="s">
        <v>3</v>
      </c>
      <c r="I72" s="340" t="s">
        <v>3</v>
      </c>
      <c r="J72" s="340" t="s">
        <v>3</v>
      </c>
      <c r="K72" s="340" t="s">
        <v>3</v>
      </c>
      <c r="L72" s="269">
        <f>SUM('MasterA1(current$)'!L66)/0.22784</f>
        <v>21.945224719101123</v>
      </c>
      <c r="M72" s="333">
        <f>SUM('MasterA1(current$)'!M66)/0.23941</f>
        <v>25.061609790735556</v>
      </c>
      <c r="N72" s="333">
        <f>SUM('MasterA1(current$)'!N66)/0.24978</f>
        <v>28.024661702298022</v>
      </c>
      <c r="O72" s="333">
        <f>SUM('MasterA1(current$)'!O66)/0.26337</f>
        <v>26.578577666400882</v>
      </c>
      <c r="P72" s="333">
        <f>SUM('MasterA1(current$)'!P66)/0.28703</f>
        <v>27.871651046928893</v>
      </c>
      <c r="Q72" s="333">
        <f>SUM('MasterA1(current$)'!Q66)/0.31361</f>
        <v>28.698064474984854</v>
      </c>
      <c r="R72" s="333">
        <f>SUM('MasterA1(current$)'!R66)/0.33083</f>
        <v>33.24970528670314</v>
      </c>
      <c r="S72" s="333">
        <f>SUM('MasterA1(current$)'!S66)/0.35135</f>
        <v>37.000142308239646</v>
      </c>
      <c r="T72" s="333">
        <f>SUM('MasterA1(current$)'!T66)/0.37602</f>
        <v>42.5509281421201</v>
      </c>
      <c r="U72" s="30">
        <f>SUM('MasterA1(current$)'!U66)/0.40706</f>
        <v>36.849604480911907</v>
      </c>
      <c r="V72" s="269">
        <f>SUM('MasterA1(current$)'!V66)/0.44377</f>
        <v>40.561552155395816</v>
      </c>
      <c r="W72" s="333">
        <f>SUM('MasterA1(current$)'!W66)/0.4852</f>
        <v>37.09810387469085</v>
      </c>
      <c r="X72" s="333">
        <f>SUM('MasterA1(current$)'!X66)/0.5153</f>
        <v>32.99049097613041</v>
      </c>
      <c r="Y72" s="333">
        <f>SUM('MasterA1(current$)'!Y66)/0.53565</f>
        <v>35.470923177447965</v>
      </c>
      <c r="Z72" s="333">
        <f>SUM('MasterA1(current$)'!Z66)/0.55466</f>
        <v>37.861031983557488</v>
      </c>
      <c r="AA72" s="333">
        <f>SUM('MasterA1(current$)'!AA66)/0.5724</f>
        <v>38.434661076170507</v>
      </c>
      <c r="AB72" s="333">
        <f>SUM('MasterA1(current$)'!AB66)/0.58395</f>
        <v>35.961983046493707</v>
      </c>
      <c r="AC72" s="333">
        <f>SUM('MasterA1(current$)'!AC66)/0.59885</f>
        <v>38.406946647741506</v>
      </c>
      <c r="AD72" s="333">
        <f>SUM('MasterA1(current$)'!AD66)/0.61982</f>
        <v>38.720918976477037</v>
      </c>
      <c r="AE72" s="333">
        <f>SUM('MasterA1(current$)'!AE66)/0.64392</f>
        <v>37.271710771524411</v>
      </c>
      <c r="AF72" s="269">
        <f>SUM('MasterA1(current$)'!AF66)/0.66773</f>
        <v>38.937894058975928</v>
      </c>
      <c r="AG72" s="333">
        <f>SUM('MasterA1(current$)'!AG66)/0.68996</f>
        <v>42.03142211142675</v>
      </c>
      <c r="AH72" s="333">
        <f>SUM('MasterA1(current$)'!AH66)/0.70569</f>
        <v>51.013901288101003</v>
      </c>
      <c r="AI72" s="333">
        <f>SUM('MasterA1(current$)'!AI66)/0.72248</f>
        <v>51.212490311150482</v>
      </c>
      <c r="AJ72" s="333">
        <f>SUM('MasterA1(current$)'!AJ66)/0.73785</f>
        <v>50.145693569153622</v>
      </c>
      <c r="AK72" s="333">
        <f>SUM('MasterA1(current$)'!AK66)/0.75324</f>
        <v>49.121130051510804</v>
      </c>
      <c r="AL72" s="333">
        <f>SUM('MasterA1(current$)'!AL66)/0.76699</f>
        <v>49.544322611768081</v>
      </c>
      <c r="AM72" s="333">
        <f>SUM('MasterA1(current$)'!AM66)/0.78012</f>
        <v>57.683433317951085</v>
      </c>
      <c r="AN72" s="333">
        <f>SUM('MasterA1(current$)'!AN66)/0.78859</f>
        <v>74.817078583294233</v>
      </c>
      <c r="AO72" s="333">
        <f>SUM('MasterA1(current$)'!AO66)/0.80065</f>
        <v>74.939111971523147</v>
      </c>
      <c r="AP72" s="799">
        <f>SUM('MasterA1(current$)'!AP66)/0.81887</f>
        <v>94.03201973451219</v>
      </c>
      <c r="AQ72" s="321">
        <f>SUM('MasterA1(current$)'!AQ66)/0.83754</f>
        <v>78.802206461780941</v>
      </c>
      <c r="AR72" s="321">
        <f>SUM('MasterA1(current$)'!AR66)/0.85039</f>
        <v>76.435517821234967</v>
      </c>
      <c r="AS72" s="321">
        <f>SUM('MasterA1(current$)'!AS66)/0.86735</f>
        <v>81.858534616936652</v>
      </c>
      <c r="AT72" s="321">
        <f>SUM('MasterA1(current$)'!AT66)/0.8912</f>
        <v>83.034111310592465</v>
      </c>
      <c r="AU72" s="321">
        <f>SUM('MasterA1(current$)'!AU66)/0.91988</f>
        <v>83.706570422228978</v>
      </c>
      <c r="AV72" s="190">
        <f>SUM('MasterA1(current$)'!AV66)/0.94814</f>
        <v>78.047545721096043</v>
      </c>
      <c r="AW72" s="190">
        <f>SUM('MasterA1(current$)'!AW66)/0.97337</f>
        <v>80.133967556016728</v>
      </c>
      <c r="AX72" s="163">
        <f>SUM('MasterA1(current$)'!AX66*100)/99.246</f>
        <v>83.630574531971064</v>
      </c>
      <c r="AY72" s="405">
        <f>SUM('MasterA1(current$)'!AY66)</f>
        <v>90</v>
      </c>
      <c r="AZ72" s="305">
        <f>SUM('MasterA1(current$)'!AZ66*100)/101.221</f>
        <v>87.926418430957995</v>
      </c>
      <c r="BA72" s="284">
        <f>SUM('MasterA1(current$)'!BA66*100)/103.311</f>
        <v>94.859211507003124</v>
      </c>
      <c r="BB72" s="284">
        <f>SUM('MasterA1(current$)'!BB66*100)/105.214</f>
        <v>94.093941870853683</v>
      </c>
      <c r="BC72" s="284">
        <f>SUM('MasterA1(current$)'!BC66*100)/106.913</f>
        <v>96.340014778371199</v>
      </c>
      <c r="BD72" s="284">
        <f>SUM('MasterA1(current$)'!BD66*100)/108.832</f>
        <v>90.965892384592777</v>
      </c>
      <c r="BE72" s="284">
        <f>SUM('MasterA1(current$)'!BE66*100)/110.012</f>
        <v>91.808166381849247</v>
      </c>
      <c r="BF72" s="305">
        <f>SUM('MasterA1(current$)'!BF66*100)/111.416</f>
        <v>95.138938752064334</v>
      </c>
      <c r="BG72" s="305">
        <f>SUM('MasterA1(current$)'!BG66*100)/113.116</f>
        <v>94.593161002864321</v>
      </c>
      <c r="BH72" s="305">
        <f>SUM('MasterA1(current$)'!BH66*100)/114.716</f>
        <v>88.915234143449922</v>
      </c>
      <c r="BI72" s="305">
        <f>SUM('MasterA1(current$)'!BI66*100)/116.416</f>
        <v>92.770753161077522</v>
      </c>
      <c r="BJ72" s="410">
        <f>(BH72-BG72)/BG72</f>
        <v>-6.0024707909300846E-2</v>
      </c>
      <c r="BK72" s="410">
        <f>(BI72-BH72)/BH72</f>
        <v>4.3361737218251734E-2</v>
      </c>
      <c r="BL72" s="564">
        <f>BH72-BG72</f>
        <v>-5.6779268594143986</v>
      </c>
      <c r="BM72" s="564">
        <f>BI72-BH72</f>
        <v>3.8555190176276</v>
      </c>
      <c r="BN72" s="112"/>
      <c r="BO72" s="112"/>
      <c r="BP72" s="620"/>
      <c r="BQ72" s="620"/>
    </row>
    <row r="73" spans="1:69" ht="13.5" customHeight="1" thickBot="1">
      <c r="A73" s="393" t="s">
        <v>60</v>
      </c>
      <c r="B73" s="896">
        <f>SUM('MasterA1(current$)'!B67)/0.1756</f>
        <v>239.17995444191342</v>
      </c>
      <c r="C73" s="136">
        <f>SUM('MasterA1(current$)'!C67)/0.178</f>
        <v>353.93258426966293</v>
      </c>
      <c r="D73" s="136">
        <f>SUM('MasterA1(current$)'!D67)/0.1798</f>
        <v>433.81535038932151</v>
      </c>
      <c r="E73" s="475">
        <f>SUM('MasterA1(current$)'!E67)/0.182</f>
        <v>489.01098901098902</v>
      </c>
      <c r="F73" s="475">
        <f>SUM('MasterA1(current$)'!F67)/0.1842</f>
        <v>526.60152008686214</v>
      </c>
      <c r="G73" s="475">
        <f>SUM('MasterA1(current$)'!G67)/0.18702</f>
        <v>561.43727943535453</v>
      </c>
      <c r="H73" s="475">
        <f>SUM('MasterA1(current$)'!H67)/0.19227</f>
        <v>520.10193998023612</v>
      </c>
      <c r="I73" s="475">
        <f>SUM('MasterA1(current$)'!I67)/0.19786</f>
        <v>540.78641463661177</v>
      </c>
      <c r="J73" s="475">
        <f>SUM('MasterA1(current$)'!J67)/0.20627</f>
        <v>654.48198962524839</v>
      </c>
      <c r="K73" s="475">
        <f>SUM('MasterA1(current$)'!K67)/0.21642</f>
        <v>683.8554662230847</v>
      </c>
      <c r="L73" s="401">
        <f>SUM('MasterA1(current$)'!L67)/0.22784</f>
        <v>776.86095505617982</v>
      </c>
      <c r="M73" s="475">
        <f>SUM('MasterA1(current$)'!M67)/0.23941</f>
        <v>1010.8182615596675</v>
      </c>
      <c r="N73" s="475">
        <f>SUM('MasterA1(current$)'!N67)/0.24978</f>
        <v>1169.0287452958603</v>
      </c>
      <c r="O73" s="475">
        <f>SUM('MasterA1(current$)'!O67)/0.26337</f>
        <v>1378.2890989862171</v>
      </c>
      <c r="P73" s="475">
        <f>SUM('MasterA1(current$)'!P67)/0.28703</f>
        <v>1240.2884715883356</v>
      </c>
      <c r="Q73" s="475">
        <f>SUM('MasterA1(current$)'!Q67)/0.31361</f>
        <v>1182.9979911354867</v>
      </c>
      <c r="R73" s="475">
        <f>SUM('MasterA1(current$)'!R67)/0.33083</f>
        <v>1163.7396850346099</v>
      </c>
      <c r="S73" s="475">
        <f>SUM('MasterA1(current$)'!S67)/0.35135</f>
        <v>1209.6200370001422</v>
      </c>
      <c r="T73" s="475">
        <f>SUM('MasterA1(current$)'!T67)/0.37602</f>
        <v>1188.7665549704802</v>
      </c>
      <c r="U73" s="475">
        <f>SUM('MasterA1(current$)'!U67)/0.40706</f>
        <v>1245.5166314548223</v>
      </c>
      <c r="V73" s="401">
        <f>SUM('MasterA1(current$)'!V67)/0.44377</f>
        <v>1239.380760303761</v>
      </c>
      <c r="W73" s="475">
        <f>SUM('MasterA1(current$)'!W67)/0.4852</f>
        <v>1170.6512778235779</v>
      </c>
      <c r="X73" s="475">
        <f>SUM('MasterA1(current$)'!X67)/0.5153</f>
        <v>919.85251309916555</v>
      </c>
      <c r="Y73" s="475">
        <f>SUM('MasterA1(current$)'!Y67)/0.53565</f>
        <v>995.0527396620929</v>
      </c>
      <c r="Z73" s="475">
        <f>SUM('MasterA1(current$)'!Z67)/0.55466</f>
        <v>892.43861104099801</v>
      </c>
      <c r="AA73" s="475">
        <f>SUM('MasterA1(current$)'!AA67)/0.5724</f>
        <v>766.94619147449339</v>
      </c>
      <c r="AB73" s="475">
        <f>SUM('MasterA1(current$)'!AB67)/0.58395</f>
        <v>887.06224848017814</v>
      </c>
      <c r="AC73" s="475">
        <f>SUM('MasterA1(current$)'!AC67)/0.59885</f>
        <v>1011.939550805711</v>
      </c>
      <c r="AD73" s="475">
        <f>SUM('MasterA1(current$)'!AD67)/0.61982</f>
        <v>1061.5985286050789</v>
      </c>
      <c r="AE73" s="475">
        <f>SUM('MasterA1(current$)'!AE67)/0.64392</f>
        <v>1040.5019257050565</v>
      </c>
      <c r="AF73" s="401">
        <f>SUM('MasterA1(current$)'!AF67)/0.66773</f>
        <v>1213.0651610680964</v>
      </c>
      <c r="AG73" s="475">
        <f>SUM('MasterA1(current$)'!AG67)/0.68996</f>
        <v>1268.1894602585658</v>
      </c>
      <c r="AH73" s="475">
        <f>SUM('MasterA1(current$)'!AH67)/0.70569</f>
        <v>1377.3753347787272</v>
      </c>
      <c r="AI73" s="475">
        <f>SUM('MasterA1(current$)'!AI67)/0.72248</f>
        <v>1382.737238401063</v>
      </c>
      <c r="AJ73" s="475">
        <f>SUM('MasterA1(current$)'!AJ67)/0.73785</f>
        <v>1347.1572812902352</v>
      </c>
      <c r="AK73" s="475">
        <f>SUM('MasterA1(current$)'!AK67)/0.75324</f>
        <v>1285.1149699962828</v>
      </c>
      <c r="AL73" s="475">
        <f>SUM('MasterA1(current$)'!AL67)/0.76699</f>
        <v>1509.798041695459</v>
      </c>
      <c r="AM73" s="475">
        <f>SUM('MasterA1(current$)'!AM67)/0.78012</f>
        <v>1518.9970773727118</v>
      </c>
      <c r="AN73" s="475">
        <f>SUM('MasterA1(current$)'!AN67)/0.78859</f>
        <v>1785.4651973775979</v>
      </c>
      <c r="AO73" s="475">
        <f>SUM('MasterA1(current$)'!AO67)/0.80065</f>
        <v>1758.571160931743</v>
      </c>
      <c r="AP73" s="931">
        <f>SUM('MasterA1(current$)'!AP67)/0.81887</f>
        <v>1823.244226800347</v>
      </c>
      <c r="AQ73" s="137">
        <f>SUM('MasterA1(current$)'!AQ67)/0.83754</f>
        <v>1950.9515963416675</v>
      </c>
      <c r="AR73" s="137">
        <f>SUM('MasterA1(current$)'!AR67)/0.85039</f>
        <v>2608.2150542692175</v>
      </c>
      <c r="AS73" s="137">
        <f>SUM('MasterA1(current$)'!AS67)/0.86735</f>
        <v>2308.1800887761574</v>
      </c>
      <c r="AT73" s="137">
        <f>SUM('MasterA1(current$)'!AT67)/0.8912</f>
        <v>2228.4560143626572</v>
      </c>
      <c r="AU73" s="137">
        <f>SUM('MasterA1(current$)'!AU67)/0.91988</f>
        <v>2152.454668000174</v>
      </c>
      <c r="AV73" s="137">
        <f>SUM('MasterA1(current$)'!AV67)/0.94814</f>
        <v>2648.3430716982725</v>
      </c>
      <c r="AW73" s="137">
        <f>SUM('MasterA1(current$)'!AW67)/0.97337</f>
        <v>2740.9926338391365</v>
      </c>
      <c r="AX73" s="783">
        <f>SUM('MasterA1(current$)'!AX67*100)/99.246</f>
        <v>2769.8849323902223</v>
      </c>
      <c r="AY73" s="498">
        <f>SUM('MasterA1(current$)'!AY67)</f>
        <v>3020</v>
      </c>
      <c r="AZ73" s="656">
        <f>SUM('MasterA1(current$)'!AZ67*100)/101.221</f>
        <v>3025.0639689392515</v>
      </c>
      <c r="BA73" s="422">
        <f>SUM('MasterA1(current$)'!BA67*100)/103.311</f>
        <v>2905.7893157553403</v>
      </c>
      <c r="BB73" s="422">
        <f>SUM('MasterA1(current$)'!BB67*100)/105.214</f>
        <v>2955.8803961449998</v>
      </c>
      <c r="BC73" s="422">
        <f>SUM('MasterA1(current$)'!BC67*100)/106.913</f>
        <v>2911.7132621851415</v>
      </c>
      <c r="BD73" s="422">
        <f>SUM('MasterA1(current$)'!BD67*100)/108.832</f>
        <v>2685.790943840047</v>
      </c>
      <c r="BE73" s="422">
        <f>SUM('MasterA1(current$)'!BE67*100)/110.012</f>
        <v>2735.1561647820236</v>
      </c>
      <c r="BF73" s="656">
        <f>SUM('MasterA1(current$)'!BF67*100)/111.416</f>
        <v>2768.0045953902491</v>
      </c>
      <c r="BG73" s="656">
        <f>SUM('MasterA1(current$)'!BG67*100)/113.116</f>
        <v>2764.4188266911842</v>
      </c>
      <c r="BH73" s="656">
        <f>SUM('MasterA1(current$)'!BH67*100)/114.716</f>
        <v>2940.304752606437</v>
      </c>
      <c r="BI73" s="656">
        <f>SUM('MasterA1(current$)'!BI67*100)/116.416</f>
        <v>2887.9191863661354</v>
      </c>
      <c r="BJ73" s="875">
        <f>(BH73-BG73)/BG73</f>
        <v>6.3624919718035591E-2</v>
      </c>
      <c r="BK73" s="875">
        <f>(BI73-BH73)/BH73</f>
        <v>-1.7816373011628934E-2</v>
      </c>
      <c r="BL73" s="569">
        <f>BH73-BG73</f>
        <v>175.88592591525276</v>
      </c>
      <c r="BM73" s="569">
        <f>BI73-BH73</f>
        <v>-52.385566240301614</v>
      </c>
      <c r="BN73" s="112"/>
      <c r="BO73" s="112"/>
      <c r="BP73" s="620"/>
      <c r="BQ73" s="620"/>
    </row>
    <row r="74" spans="1:69" ht="11.25" customHeight="1">
      <c r="A74" s="115"/>
      <c r="B74" s="636"/>
      <c r="C74" s="33"/>
      <c r="D74" s="33"/>
      <c r="E74" s="47"/>
      <c r="F74" s="47"/>
      <c r="G74" s="47"/>
      <c r="H74" s="47"/>
      <c r="I74" s="47"/>
      <c r="J74" s="47"/>
      <c r="K74" s="47"/>
      <c r="L74" s="281"/>
      <c r="M74" s="47"/>
      <c r="N74" s="47"/>
      <c r="O74" s="47"/>
      <c r="P74" s="47"/>
      <c r="Q74" s="47"/>
      <c r="R74" s="47"/>
      <c r="S74" s="47"/>
      <c r="T74" s="47"/>
      <c r="U74" s="47"/>
      <c r="V74" s="281"/>
      <c r="W74" s="47"/>
      <c r="X74" s="47"/>
      <c r="Y74" s="47"/>
      <c r="Z74" s="47"/>
      <c r="AA74" s="47"/>
      <c r="AB74" s="47"/>
      <c r="AC74" s="47"/>
      <c r="AD74" s="47"/>
      <c r="AE74" s="47"/>
      <c r="AF74" s="281"/>
      <c r="AG74" s="47"/>
      <c r="AH74" s="47"/>
      <c r="AI74" s="47"/>
      <c r="AJ74" s="47"/>
      <c r="AK74" s="47"/>
      <c r="AL74" s="47"/>
      <c r="AM74" s="152"/>
      <c r="AN74" s="152"/>
      <c r="AO74" s="152"/>
      <c r="AP74" s="857"/>
      <c r="AQ74" s="328"/>
      <c r="AR74" s="328"/>
      <c r="AS74" s="328"/>
      <c r="AT74" s="192"/>
      <c r="AU74" s="192"/>
      <c r="AV74" s="192"/>
      <c r="AW74" s="192"/>
      <c r="AX74" s="494"/>
      <c r="AY74" s="284"/>
      <c r="AZ74" s="305"/>
      <c r="BA74" s="284"/>
      <c r="BB74" s="284"/>
      <c r="BC74" s="284"/>
      <c r="BD74" s="284"/>
      <c r="BE74" s="284"/>
      <c r="BF74" s="305"/>
      <c r="BG74" s="305"/>
      <c r="BH74" s="305"/>
      <c r="BI74" s="305"/>
      <c r="BJ74" s="871"/>
      <c r="BK74" s="871"/>
      <c r="BL74" s="565"/>
      <c r="BM74" s="565"/>
      <c r="BP74" s="620"/>
      <c r="BQ74" s="620"/>
    </row>
    <row r="75" spans="1:69" ht="15.75" customHeight="1">
      <c r="A75" s="159" t="s">
        <v>83</v>
      </c>
      <c r="B75" s="636"/>
      <c r="C75" s="32"/>
      <c r="D75" s="32"/>
      <c r="E75" s="32"/>
      <c r="F75" s="32"/>
      <c r="G75" s="32"/>
      <c r="H75" s="32"/>
      <c r="I75" s="32"/>
      <c r="J75" s="32"/>
      <c r="K75" s="32"/>
      <c r="L75" s="636"/>
      <c r="M75" s="32"/>
      <c r="N75" s="32"/>
      <c r="O75" s="32"/>
      <c r="P75" s="32"/>
      <c r="Q75" s="32"/>
      <c r="R75" s="32"/>
      <c r="S75" s="32"/>
      <c r="T75" s="32"/>
      <c r="U75" s="32"/>
      <c r="V75" s="636"/>
      <c r="W75" s="32"/>
      <c r="X75" s="32"/>
      <c r="Y75" s="32"/>
      <c r="Z75" s="32"/>
      <c r="AA75" s="32"/>
      <c r="AB75" s="32"/>
      <c r="AC75" s="32"/>
      <c r="AD75" s="32"/>
      <c r="AE75" s="32"/>
      <c r="AF75" s="636"/>
      <c r="AG75" s="32"/>
      <c r="AH75" s="32"/>
      <c r="AI75" s="32"/>
      <c r="AJ75" s="32"/>
      <c r="AK75" s="32"/>
      <c r="AL75" s="32"/>
      <c r="AM75" s="32"/>
      <c r="AN75" s="32"/>
      <c r="AO75" s="32"/>
      <c r="AP75" s="636"/>
      <c r="AQ75" s="32"/>
      <c r="AR75" s="32"/>
      <c r="AS75" s="32"/>
      <c r="AT75" s="32"/>
      <c r="AU75" s="32"/>
      <c r="AV75" s="32"/>
      <c r="AW75" s="32"/>
      <c r="AX75" s="32"/>
      <c r="AY75" s="32"/>
      <c r="AZ75" s="636"/>
      <c r="BA75" s="32"/>
      <c r="BB75" s="32"/>
      <c r="BC75" s="32"/>
      <c r="BD75" s="32"/>
      <c r="BE75" s="32"/>
      <c r="BF75" s="636"/>
      <c r="BG75" s="636"/>
      <c r="BH75" s="636"/>
      <c r="BI75" s="636"/>
      <c r="BJ75" s="871"/>
      <c r="BK75" s="871"/>
      <c r="BL75" s="572"/>
      <c r="BM75" s="572"/>
      <c r="BP75" s="620"/>
      <c r="BQ75" s="620"/>
    </row>
    <row r="76" spans="1:69" ht="6" customHeight="1">
      <c r="A76" s="115"/>
      <c r="B76" s="636"/>
      <c r="C76" s="33"/>
      <c r="D76" s="33"/>
      <c r="E76" s="47"/>
      <c r="F76" s="47"/>
      <c r="G76" s="47"/>
      <c r="H76" s="47"/>
      <c r="I76" s="47"/>
      <c r="J76" s="47"/>
      <c r="K76" s="47"/>
      <c r="L76" s="281"/>
      <c r="M76" s="47"/>
      <c r="N76" s="47"/>
      <c r="O76" s="47"/>
      <c r="P76" s="47"/>
      <c r="Q76" s="47"/>
      <c r="R76" s="47"/>
      <c r="S76" s="47"/>
      <c r="T76" s="47"/>
      <c r="U76" s="47"/>
      <c r="V76" s="281"/>
      <c r="W76" s="47"/>
      <c r="X76" s="47"/>
      <c r="Y76" s="47"/>
      <c r="Z76" s="47"/>
      <c r="AA76" s="47"/>
      <c r="AB76" s="47"/>
      <c r="AC76" s="47"/>
      <c r="AD76" s="47"/>
      <c r="AE76" s="47"/>
      <c r="AF76" s="281"/>
      <c r="AG76" s="47"/>
      <c r="AH76" s="47"/>
      <c r="AI76" s="47"/>
      <c r="AJ76" s="47"/>
      <c r="AK76" s="47"/>
      <c r="AL76" s="47"/>
      <c r="AM76" s="47"/>
      <c r="AN76" s="47"/>
      <c r="AO76" s="47"/>
      <c r="AP76" s="281"/>
      <c r="AQ76" s="47"/>
      <c r="AR76" s="47"/>
      <c r="AS76" s="47"/>
      <c r="AT76" s="47"/>
      <c r="AU76" s="47"/>
      <c r="AV76" s="47"/>
      <c r="AW76" s="328"/>
      <c r="AX76" s="331"/>
      <c r="AY76" s="284"/>
      <c r="AZ76" s="305"/>
      <c r="BA76" s="284"/>
      <c r="BB76" s="284"/>
      <c r="BC76" s="284"/>
      <c r="BD76" s="284"/>
      <c r="BE76" s="284"/>
      <c r="BF76" s="305"/>
      <c r="BG76" s="305"/>
      <c r="BH76" s="305"/>
      <c r="BI76" s="305"/>
      <c r="BJ76" s="871"/>
      <c r="BK76" s="871"/>
      <c r="BL76" s="565"/>
      <c r="BM76" s="572"/>
      <c r="BP76" s="620"/>
      <c r="BQ76" s="620"/>
    </row>
    <row r="77" spans="1:69" ht="11.25" customHeight="1">
      <c r="A77" s="116" t="s">
        <v>38</v>
      </c>
      <c r="B77" s="636"/>
      <c r="C77" s="33"/>
      <c r="D77" s="33"/>
      <c r="E77" s="47"/>
      <c r="F77" s="47"/>
      <c r="G77" s="47"/>
      <c r="H77" s="47"/>
      <c r="I77" s="47"/>
      <c r="J77" s="47"/>
      <c r="K77" s="47"/>
      <c r="L77" s="281"/>
      <c r="M77" s="47"/>
      <c r="N77" s="47"/>
      <c r="O77" s="47"/>
      <c r="P77" s="47"/>
      <c r="Q77" s="47"/>
      <c r="R77" s="47"/>
      <c r="S77" s="47"/>
      <c r="T77" s="47"/>
      <c r="U77" s="47"/>
      <c r="V77" s="281"/>
      <c r="W77" s="47"/>
      <c r="X77" s="47"/>
      <c r="Y77" s="47"/>
      <c r="Z77" s="47"/>
      <c r="AA77" s="47"/>
      <c r="AB77" s="47"/>
      <c r="AC77" s="47"/>
      <c r="AD77" s="47"/>
      <c r="AE77" s="47"/>
      <c r="AF77" s="281"/>
      <c r="AG77" s="47"/>
      <c r="AH77" s="47"/>
      <c r="AI77" s="47"/>
      <c r="AJ77" s="47"/>
      <c r="AK77" s="47"/>
      <c r="AL77" s="47"/>
      <c r="AM77" s="152"/>
      <c r="AN77" s="152"/>
      <c r="AO77" s="152"/>
      <c r="AP77" s="857"/>
      <c r="AQ77" s="328"/>
      <c r="AR77" s="328"/>
      <c r="AS77" s="328"/>
      <c r="AT77" s="328"/>
      <c r="AU77" s="328"/>
      <c r="AV77" s="328"/>
      <c r="AW77" s="328"/>
      <c r="AX77" s="331"/>
      <c r="AY77" s="284"/>
      <c r="AZ77" s="305"/>
      <c r="BA77" s="284"/>
      <c r="BB77" s="284"/>
      <c r="BC77" s="284"/>
      <c r="BD77" s="284"/>
      <c r="BE77" s="284"/>
      <c r="BF77" s="305"/>
      <c r="BG77" s="305"/>
      <c r="BH77" s="305"/>
      <c r="BI77" s="305"/>
      <c r="BJ77" s="871"/>
      <c r="BK77" s="871"/>
      <c r="BL77" s="565"/>
      <c r="BM77" s="565"/>
      <c r="BP77" s="620"/>
      <c r="BQ77" s="620"/>
    </row>
    <row r="78" spans="1:69" ht="11.25" customHeight="1">
      <c r="A78" s="119" t="s">
        <v>120</v>
      </c>
      <c r="B78" s="667">
        <f>SUM('MasterA1(current$)'!B72)/0.1756</f>
        <v>79.726651480637813</v>
      </c>
      <c r="C78" s="49">
        <f>SUM('MasterA1(current$)'!C72)/0.178</f>
        <v>84.269662921348313</v>
      </c>
      <c r="D78" s="49">
        <f>SUM('MasterA1(current$)'!D72)/0.1798</f>
        <v>116.79644048943271</v>
      </c>
      <c r="E78" s="30">
        <f>SUM('MasterA1(current$)'!E72)/0.182</f>
        <v>131.86813186813188</v>
      </c>
      <c r="F78" s="30">
        <f>SUM('MasterA1(current$)'!F72)/0.1842</f>
        <v>130.29315960912052</v>
      </c>
      <c r="G78" s="30">
        <f>SUM('MasterA1(current$)'!G72)/0.18702</f>
        <v>128.32852101379532</v>
      </c>
      <c r="H78" s="30">
        <f>SUM('MasterA1(current$)'!H72)/0.19227</f>
        <v>130.02548499505903</v>
      </c>
      <c r="I78" s="30">
        <f>SUM('MasterA1(current$)'!I72)/0.19786</f>
        <v>136.46012331951886</v>
      </c>
      <c r="J78" s="30">
        <f>SUM('MasterA1(current$)'!J72)/0.20627</f>
        <v>135.74441266301449</v>
      </c>
      <c r="K78" s="30">
        <f>SUM('MasterA1(current$)'!K72)/0.21642</f>
        <v>147.86064134553183</v>
      </c>
      <c r="L78" s="270">
        <f>SUM('MasterA1(current$)'!L72)/0.22784</f>
        <v>158.00561797752809</v>
      </c>
      <c r="M78" s="30">
        <f>SUM('MasterA1(current$)'!M72)/0.23941</f>
        <v>125.30804895367778</v>
      </c>
      <c r="N78" s="30">
        <f>SUM('MasterA1(current$)'!N72)/0.24978</f>
        <v>136.11978541116181</v>
      </c>
      <c r="O78" s="30">
        <f>SUM('MasterA1(current$)'!O72)/0.26337</f>
        <v>155.6745263317766</v>
      </c>
      <c r="P78" s="30">
        <f>SUM('MasterA1(current$)'!P72)/0.28703</f>
        <v>132.39034247291224</v>
      </c>
      <c r="Q78" s="30">
        <f>SUM('MasterA1(current$)'!Q72)/0.31361</f>
        <v>153.05634386658588</v>
      </c>
      <c r="R78" s="30">
        <f>SUM('MasterA1(current$)'!R72)/0.33083</f>
        <v>172.29392739473445</v>
      </c>
      <c r="S78" s="30">
        <f>SUM('MasterA1(current$)'!S72)/0.35135</f>
        <v>185.00071154119823</v>
      </c>
      <c r="T78" s="30">
        <f>SUM('MasterA1(current$)'!T72)/0.37602</f>
        <v>188.81974363065794</v>
      </c>
      <c r="U78" s="30">
        <f>SUM('MasterA1(current$)'!U72)/0.40706</f>
        <v>270.23043286002064</v>
      </c>
      <c r="V78" s="270">
        <f>SUM('MasterA1(current$)'!V72)/0.44377</f>
        <v>277.17060639520474</v>
      </c>
      <c r="W78" s="30">
        <f>SUM('MasterA1(current$)'!W72)/0.4852</f>
        <v>261.74773289365208</v>
      </c>
      <c r="X78" s="30">
        <f>SUM('MasterA1(current$)'!X72)/0.5153</f>
        <v>223.17096836794101</v>
      </c>
      <c r="Y78" s="30">
        <f>SUM('MasterA1(current$)'!Y72)/0.53565</f>
        <v>220.29310183888734</v>
      </c>
      <c r="Z78" s="30">
        <f>SUM('MasterA1(current$)'!Z72)/0.55466</f>
        <v>212.74294162189449</v>
      </c>
      <c r="AA78" s="30">
        <f>SUM('MasterA1(current$)'!AA72)/0.5724</f>
        <v>209.64360587002096</v>
      </c>
      <c r="AB78" s="30">
        <f>SUM('MasterA1(current$)'!AB72)/0.58395</f>
        <v>217.48437366212863</v>
      </c>
      <c r="AC78" s="30">
        <f>SUM('MasterA1(current$)'!AC72)/0.59885</f>
        <v>212.07314018535527</v>
      </c>
      <c r="AD78" s="30">
        <f>SUM('MasterA1(current$)'!AD72)/0.61982</f>
        <v>219.41854086670321</v>
      </c>
      <c r="AE78" s="30">
        <f>SUM('MasterA1(current$)'!AE72)/0.64392</f>
        <v>229.84221642440053</v>
      </c>
      <c r="AF78" s="270">
        <f>SUM('MasterA1(current$)'!AF72)/0.66773</f>
        <v>233.6273643538556</v>
      </c>
      <c r="AG78" s="30">
        <f>SUM('MasterA1(current$)'!AG72)/0.68996</f>
        <v>217.40390747289698</v>
      </c>
      <c r="AH78" s="30">
        <f>SUM('MasterA1(current$)'!AH72)/0.70569</f>
        <v>223.89434454222106</v>
      </c>
      <c r="AI78" s="30">
        <f>SUM('MasterA1(current$)'!AI72)/0.72248</f>
        <v>215.92293212268851</v>
      </c>
      <c r="AJ78" s="30">
        <f>SUM('MasterA1(current$)'!AJ72)/0.73785</f>
        <v>218.20153147658738</v>
      </c>
      <c r="AK78" s="30">
        <f>SUM('MasterA1(current$)'!AK72)/0.75324</f>
        <v>221.70888428654877</v>
      </c>
      <c r="AL78" s="30">
        <f>SUM('MasterA1(current$)'!AL72)/0.76699</f>
        <v>207.30387619134541</v>
      </c>
      <c r="AM78" s="30">
        <f>SUM('MasterA1(current$)'!AM72)/0.78012</f>
        <v>229.45187919807208</v>
      </c>
      <c r="AN78" s="30">
        <f>SUM('MasterA1(current$)'!AN72)/0.78859</f>
        <v>249.81295730354176</v>
      </c>
      <c r="AO78" s="30">
        <f>SUM('MasterA1(current$)'!AO72)/0.80065</f>
        <v>253.54399550365329</v>
      </c>
      <c r="AP78" s="857">
        <f>SUM('MasterA1(current$)'!AP72)/0.81887</f>
        <v>277.21127895758792</v>
      </c>
      <c r="AQ78" s="328">
        <f>SUM('MasterA1(current$)'!AQ72)/0.83754</f>
        <v>312.82088019676672</v>
      </c>
      <c r="AR78" s="328">
        <f>SUM('MasterA1(current$)'!AR72)/0.85039</f>
        <v>290.45496772069288</v>
      </c>
      <c r="AS78" s="328">
        <f>SUM('MasterA1(current$)'!AS72)/0.86735</f>
        <v>285.92840260563787</v>
      </c>
      <c r="AT78" s="328">
        <f>SUM('MasterA1(current$)'!AT72)/0.8912</f>
        <v>285.00897666068221</v>
      </c>
      <c r="AU78" s="328">
        <f>SUM('MasterA1(current$)'!AU72)/0.91988</f>
        <v>269.60038265860766</v>
      </c>
      <c r="AV78" s="328">
        <f>SUM('MasterA1(current$)'!AV72)/0.94814</f>
        <v>272.11171346003755</v>
      </c>
      <c r="AW78" s="328">
        <f>SUM('MasterA1(current$)'!AW72)/0.97337</f>
        <v>268.39566821635549</v>
      </c>
      <c r="AX78" s="331">
        <f>SUM('MasterA1(current$)'!AX72*100)/99.246</f>
        <v>273.79140749242896</v>
      </c>
      <c r="AY78" s="405">
        <f>SUM('MasterA1(current$)'!AY72)</f>
        <v>293</v>
      </c>
      <c r="AZ78" s="305">
        <f>SUM('MasterA1(current$)'!AZ72*100)/101.221</f>
        <v>365.53679572420742</v>
      </c>
      <c r="BA78" s="284">
        <f>SUM('MasterA1(current$)'!BA72*100)/103.311</f>
        <v>297.16099931275465</v>
      </c>
      <c r="BB78" s="360" t="s">
        <v>3</v>
      </c>
      <c r="BC78" s="360" t="s">
        <v>3</v>
      </c>
      <c r="BD78" s="360" t="s">
        <v>3</v>
      </c>
      <c r="BE78" s="360" t="s">
        <v>3</v>
      </c>
      <c r="BF78" s="417" t="s">
        <v>3</v>
      </c>
      <c r="BG78" s="417" t="s">
        <v>3</v>
      </c>
      <c r="BH78" s="417" t="s">
        <v>3</v>
      </c>
      <c r="BI78" s="417" t="s">
        <v>3</v>
      </c>
      <c r="BJ78" s="874" t="s">
        <v>10</v>
      </c>
      <c r="BK78" s="874" t="s">
        <v>10</v>
      </c>
      <c r="BL78" s="568" t="s">
        <v>10</v>
      </c>
      <c r="BM78" s="568" t="s">
        <v>10</v>
      </c>
      <c r="BP78" s="620"/>
      <c r="BQ78" s="620"/>
    </row>
    <row r="79" spans="1:69" ht="11.25" customHeight="1">
      <c r="A79" s="286" t="s">
        <v>108</v>
      </c>
      <c r="B79" s="227" t="s">
        <v>3</v>
      </c>
      <c r="C79" s="27" t="s">
        <v>3</v>
      </c>
      <c r="D79" s="27" t="s">
        <v>3</v>
      </c>
      <c r="E79" s="27" t="s">
        <v>3</v>
      </c>
      <c r="F79" s="27" t="s">
        <v>3</v>
      </c>
      <c r="G79" s="27" t="s">
        <v>3</v>
      </c>
      <c r="H79" s="27" t="s">
        <v>3</v>
      </c>
      <c r="I79" s="27" t="s">
        <v>3</v>
      </c>
      <c r="J79" s="27" t="s">
        <v>3</v>
      </c>
      <c r="K79" s="27" t="s">
        <v>3</v>
      </c>
      <c r="L79" s="227" t="s">
        <v>3</v>
      </c>
      <c r="M79" s="27" t="s">
        <v>3</v>
      </c>
      <c r="N79" s="27" t="s">
        <v>3</v>
      </c>
      <c r="O79" s="27" t="s">
        <v>3</v>
      </c>
      <c r="P79" s="27" t="s">
        <v>3</v>
      </c>
      <c r="Q79" s="27" t="s">
        <v>3</v>
      </c>
      <c r="R79" s="27" t="s">
        <v>3</v>
      </c>
      <c r="S79" s="27" t="s">
        <v>3</v>
      </c>
      <c r="T79" s="27" t="s">
        <v>3</v>
      </c>
      <c r="U79" s="27" t="s">
        <v>3</v>
      </c>
      <c r="V79" s="227" t="s">
        <v>3</v>
      </c>
      <c r="W79" s="27" t="s">
        <v>3</v>
      </c>
      <c r="X79" s="27" t="s">
        <v>3</v>
      </c>
      <c r="Y79" s="27" t="s">
        <v>3</v>
      </c>
      <c r="Z79" s="27" t="s">
        <v>3</v>
      </c>
      <c r="AA79" s="27" t="s">
        <v>3</v>
      </c>
      <c r="AB79" s="27" t="s">
        <v>3</v>
      </c>
      <c r="AC79" s="27" t="s">
        <v>3</v>
      </c>
      <c r="AD79" s="27" t="s">
        <v>3</v>
      </c>
      <c r="AE79" s="27" t="s">
        <v>3</v>
      </c>
      <c r="AF79" s="227" t="s">
        <v>3</v>
      </c>
      <c r="AG79" s="27" t="s">
        <v>3</v>
      </c>
      <c r="AH79" s="27" t="s">
        <v>3</v>
      </c>
      <c r="AI79" s="27" t="s">
        <v>3</v>
      </c>
      <c r="AJ79" s="27" t="s">
        <v>3</v>
      </c>
      <c r="AK79" s="27" t="s">
        <v>3</v>
      </c>
      <c r="AL79" s="27" t="s">
        <v>3</v>
      </c>
      <c r="AM79" s="27" t="s">
        <v>3</v>
      </c>
      <c r="AN79" s="27" t="s">
        <v>3</v>
      </c>
      <c r="AO79" s="27" t="s">
        <v>3</v>
      </c>
      <c r="AP79" s="227" t="s">
        <v>3</v>
      </c>
      <c r="AQ79" s="27" t="s">
        <v>3</v>
      </c>
      <c r="AR79" s="27" t="s">
        <v>3</v>
      </c>
      <c r="AS79" s="27" t="s">
        <v>3</v>
      </c>
      <c r="AT79" s="27" t="s">
        <v>3</v>
      </c>
      <c r="AU79" s="27" t="s">
        <v>3</v>
      </c>
      <c r="AV79" s="27" t="s">
        <v>3</v>
      </c>
      <c r="AW79" s="27" t="s">
        <v>3</v>
      </c>
      <c r="AX79" s="27" t="s">
        <v>3</v>
      </c>
      <c r="AY79" s="360" t="s">
        <v>3</v>
      </c>
      <c r="AZ79" s="417" t="s">
        <v>3</v>
      </c>
      <c r="BA79" s="360" t="s">
        <v>3</v>
      </c>
      <c r="BB79" s="284">
        <f>SUM('MasterA1(current$)'!BB73*100)/105.214</f>
        <v>227.15608189024275</v>
      </c>
      <c r="BC79" s="284">
        <f>SUM('MasterA1(current$)'!BC73*100)/106.913</f>
        <v>264.70120565319468</v>
      </c>
      <c r="BD79" s="284">
        <f>SUM('MasterA1(current$)'!BD73*100)/108.832</f>
        <v>249.92649220817407</v>
      </c>
      <c r="BE79" s="284">
        <f>SUM('MasterA1(current$)'!BE73*100)/110.012</f>
        <v>252.69970548667419</v>
      </c>
      <c r="BF79" s="305">
        <f>SUM('MasterA1(current$)'!BF73*100)/111.416</f>
        <v>202.84339771666546</v>
      </c>
      <c r="BG79" s="305">
        <f>SUM('MasterA1(current$)'!BG73*100)/113.116</f>
        <v>199.79490080978817</v>
      </c>
      <c r="BH79" s="305">
        <f>SUM('MasterA1(current$)'!BH73*100)/114.716</f>
        <v>207.46887966804979</v>
      </c>
      <c r="BI79" s="305">
        <f>SUM('MasterA1(current$)'!BI73*100)/116.416</f>
        <v>201.00329851566795</v>
      </c>
      <c r="BJ79" s="410">
        <f>(BH79-BG79)/BG79</f>
        <v>3.8409282855359356E-2</v>
      </c>
      <c r="BK79" s="410">
        <f>(BI79-BH79)/BH79</f>
        <v>-3.1164101154480491E-2</v>
      </c>
      <c r="BL79" s="564">
        <f>BH79-BG79</f>
        <v>7.67397885826162</v>
      </c>
      <c r="BM79" s="564">
        <f>BI79-BH79</f>
        <v>-6.4655811523818443</v>
      </c>
      <c r="BN79" s="112"/>
      <c r="BO79" s="112"/>
      <c r="BP79" s="620"/>
      <c r="BQ79" s="620"/>
    </row>
    <row r="80" spans="1:69" ht="11.25" customHeight="1">
      <c r="A80" s="119" t="s">
        <v>107</v>
      </c>
      <c r="B80" s="227" t="s">
        <v>3</v>
      </c>
      <c r="C80" s="27" t="s">
        <v>3</v>
      </c>
      <c r="D80" s="27" t="s">
        <v>3</v>
      </c>
      <c r="E80" s="27" t="s">
        <v>3</v>
      </c>
      <c r="F80" s="27" t="s">
        <v>3</v>
      </c>
      <c r="G80" s="27" t="s">
        <v>3</v>
      </c>
      <c r="H80" s="27" t="s">
        <v>3</v>
      </c>
      <c r="I80" s="27" t="s">
        <v>3</v>
      </c>
      <c r="J80" s="27" t="s">
        <v>3</v>
      </c>
      <c r="K80" s="27" t="s">
        <v>3</v>
      </c>
      <c r="L80" s="227" t="s">
        <v>3</v>
      </c>
      <c r="M80" s="27" t="s">
        <v>3</v>
      </c>
      <c r="N80" s="27" t="s">
        <v>3</v>
      </c>
      <c r="O80" s="27" t="s">
        <v>3</v>
      </c>
      <c r="P80" s="27" t="s">
        <v>3</v>
      </c>
      <c r="Q80" s="27" t="s">
        <v>3</v>
      </c>
      <c r="R80" s="27" t="s">
        <v>3</v>
      </c>
      <c r="S80" s="27" t="s">
        <v>3</v>
      </c>
      <c r="T80" s="27" t="s">
        <v>3</v>
      </c>
      <c r="U80" s="27" t="s">
        <v>3</v>
      </c>
      <c r="V80" s="227" t="s">
        <v>3</v>
      </c>
      <c r="W80" s="27" t="s">
        <v>3</v>
      </c>
      <c r="X80" s="27" t="s">
        <v>3</v>
      </c>
      <c r="Y80" s="27" t="s">
        <v>3</v>
      </c>
      <c r="Z80" s="27" t="s">
        <v>3</v>
      </c>
      <c r="AA80" s="27" t="s">
        <v>3</v>
      </c>
      <c r="AB80" s="27" t="s">
        <v>3</v>
      </c>
      <c r="AC80" s="27" t="s">
        <v>3</v>
      </c>
      <c r="AD80" s="27" t="s">
        <v>3</v>
      </c>
      <c r="AE80" s="27" t="s">
        <v>3</v>
      </c>
      <c r="AF80" s="227" t="s">
        <v>3</v>
      </c>
      <c r="AG80" s="27" t="s">
        <v>3</v>
      </c>
      <c r="AH80" s="27" t="s">
        <v>3</v>
      </c>
      <c r="AI80" s="27" t="s">
        <v>3</v>
      </c>
      <c r="AJ80" s="27" t="s">
        <v>3</v>
      </c>
      <c r="AK80" s="27" t="s">
        <v>3</v>
      </c>
      <c r="AL80" s="27" t="s">
        <v>3</v>
      </c>
      <c r="AM80" s="27" t="s">
        <v>3</v>
      </c>
      <c r="AN80" s="27" t="s">
        <v>3</v>
      </c>
      <c r="AO80" s="27" t="s">
        <v>3</v>
      </c>
      <c r="AP80" s="227" t="s">
        <v>3</v>
      </c>
      <c r="AQ80" s="27" t="s">
        <v>3</v>
      </c>
      <c r="AR80" s="27" t="s">
        <v>3</v>
      </c>
      <c r="AS80" s="27" t="s">
        <v>3</v>
      </c>
      <c r="AT80" s="27" t="s">
        <v>3</v>
      </c>
      <c r="AU80" s="27" t="s">
        <v>3</v>
      </c>
      <c r="AV80" s="27" t="s">
        <v>3</v>
      </c>
      <c r="AW80" s="27" t="s">
        <v>3</v>
      </c>
      <c r="AX80" s="27" t="s">
        <v>3</v>
      </c>
      <c r="AY80" s="360" t="s">
        <v>3</v>
      </c>
      <c r="AZ80" s="417" t="s">
        <v>3</v>
      </c>
      <c r="BA80" s="360" t="s">
        <v>3</v>
      </c>
      <c r="BB80" s="284">
        <f>SUM('MasterA1(current$)'!BB74*100)/105.214</f>
        <v>88.391278727165584</v>
      </c>
      <c r="BC80" s="284">
        <f>SUM('MasterA1(current$)'!BC74*100)/106.913</f>
        <v>99.14603462628493</v>
      </c>
      <c r="BD80" s="284">
        <f>SUM('MasterA1(current$)'!BD74*100)/108.832</f>
        <v>90.047044986768597</v>
      </c>
      <c r="BE80" s="284">
        <f>SUM('MasterA1(current$)'!BE74*100)/110.012</f>
        <v>96.353125113623975</v>
      </c>
      <c r="BF80" s="305">
        <f>SUM('MasterA1(current$)'!BF74*100)/111.416</f>
        <v>90.651252961872629</v>
      </c>
      <c r="BG80" s="305">
        <f>SUM('MasterA1(current$)'!BG74*100)/113.116</f>
        <v>85.752678666148029</v>
      </c>
      <c r="BH80" s="305">
        <f>SUM('MasterA1(current$)'!BH74*100)/114.716</f>
        <v>81.94149028906169</v>
      </c>
      <c r="BI80" s="305">
        <f>SUM('MasterA1(current$)'!BI74*100)/116.416</f>
        <v>74.731995601979108</v>
      </c>
      <c r="BJ80" s="410">
        <f>(BH80-BG80)/BG80</f>
        <v>-4.4443957161082293E-2</v>
      </c>
      <c r="BK80" s="410">
        <f>(BI80-BH80)/BH80</f>
        <v>-8.7983446013123981E-2</v>
      </c>
      <c r="BL80" s="564">
        <f>BH80-BG80</f>
        <v>-3.8111883770863386</v>
      </c>
      <c r="BM80" s="564">
        <f>BI80-BH80</f>
        <v>-7.2094946870825822</v>
      </c>
      <c r="BN80" s="112"/>
      <c r="BO80" s="112"/>
      <c r="BP80" s="620"/>
      <c r="BQ80" s="620"/>
    </row>
    <row r="81" spans="1:69" ht="11.25" customHeight="1">
      <c r="A81" s="119" t="s">
        <v>106</v>
      </c>
      <c r="B81" s="810" t="s">
        <v>3</v>
      </c>
      <c r="C81" s="45" t="s">
        <v>3</v>
      </c>
      <c r="D81" s="45" t="s">
        <v>3</v>
      </c>
      <c r="E81" s="30">
        <f>SUM('MasterA1(current$)'!E75)/0.182</f>
        <v>38.46153846153846</v>
      </c>
      <c r="F81" s="30">
        <f>SUM('MasterA1(current$)'!F75)/0.1842</f>
        <v>43.431053203040172</v>
      </c>
      <c r="G81" s="30">
        <f>SUM('MasterA1(current$)'!G75)/0.18702</f>
        <v>42.776173671265106</v>
      </c>
      <c r="H81" s="30">
        <f>SUM('MasterA1(current$)'!H75)/0.19227</f>
        <v>41.608155198418892</v>
      </c>
      <c r="I81" s="30">
        <f>SUM('MasterA1(current$)'!I75)/0.19786</f>
        <v>40.432629131709291</v>
      </c>
      <c r="J81" s="30">
        <f>SUM('MasterA1(current$)'!J75)/0.20627</f>
        <v>38.784117903718425</v>
      </c>
      <c r="K81" s="30">
        <f>SUM('MasterA1(current$)'!K75)/0.21642</f>
        <v>41.585805378430827</v>
      </c>
      <c r="L81" s="270">
        <f>SUM('MasterA1(current$)'!L75)/0.22784</f>
        <v>52.668539325842701</v>
      </c>
      <c r="M81" s="30">
        <f>SUM('MasterA1(current$)'!M75)/0.23941</f>
        <v>71.007894407084081</v>
      </c>
      <c r="N81" s="30">
        <f>SUM('MasterA1(current$)'!N75)/0.24978</f>
        <v>88.077508207222351</v>
      </c>
      <c r="O81" s="30">
        <f>SUM('MasterA1(current$)'!O75)/0.26337</f>
        <v>94.923491665717435</v>
      </c>
      <c r="P81" s="30">
        <f>SUM('MasterA1(current$)'!P75)/0.28703</f>
        <v>83.614953140786682</v>
      </c>
      <c r="Q81" s="30">
        <f>SUM('MasterA1(current$)'!Q75)/0.31361</f>
        <v>92.471541086062302</v>
      </c>
      <c r="R81" s="30">
        <f>SUM('MasterA1(current$)'!R75)/0.33083</f>
        <v>108.81721730193755</v>
      </c>
      <c r="S81" s="30">
        <f>SUM('MasterA1(current$)'!S75)/0.35135</f>
        <v>142.30823964707557</v>
      </c>
      <c r="T81" s="30">
        <f>SUM('MasterA1(current$)'!T75)/0.37602</f>
        <v>127.6527844263603</v>
      </c>
      <c r="U81" s="30">
        <f>SUM('MasterA1(current$)'!U75)/0.40706</f>
        <v>125.28865523510048</v>
      </c>
      <c r="V81" s="270">
        <f>SUM('MasterA1(current$)'!V75)/0.44377</f>
        <v>123.9380760303761</v>
      </c>
      <c r="W81" s="30">
        <f>SUM('MasterA1(current$)'!W75)/0.4852</f>
        <v>117.47732893652102</v>
      </c>
      <c r="X81" s="30">
        <f>SUM('MasterA1(current$)'!X75)/0.5153</f>
        <v>100.9120900446342</v>
      </c>
      <c r="Y81" s="30">
        <f>SUM('MasterA1(current$)'!Y75)/0.53565</f>
        <v>100.81209745169421</v>
      </c>
      <c r="Z81" s="30">
        <f>SUM('MasterA1(current$)'!Z75)/0.55466</f>
        <v>106.37147081094724</v>
      </c>
      <c r="AA81" s="30">
        <f>SUM('MasterA1(current$)'!AA75)/0.5724</f>
        <v>99.580712788259959</v>
      </c>
      <c r="AB81" s="30">
        <f>SUM('MasterA1(current$)'!AB75)/0.58395</f>
        <v>92.473670690983823</v>
      </c>
      <c r="AC81" s="30">
        <f>SUM('MasterA1(current$)'!AC75)/0.59885</f>
        <v>101.86190197879269</v>
      </c>
      <c r="AD81" s="30">
        <f>SUM('MasterA1(current$)'!AD75)/0.61982</f>
        <v>106.48252718531185</v>
      </c>
      <c r="AE81" s="30">
        <f>SUM('MasterA1(current$)'!AE75)/0.64392</f>
        <v>118.0270841098273</v>
      </c>
      <c r="AF81" s="270">
        <f>SUM('MasterA1(current$)'!AF75)/0.66773</f>
        <v>118.3112934868884</v>
      </c>
      <c r="AG81" s="30">
        <f>SUM('MasterA1(current$)'!AG75)/0.68996</f>
        <v>44.930140877732043</v>
      </c>
      <c r="AH81" s="30">
        <f>SUM('MasterA1(current$)'!AH75)/0.70569</f>
        <v>43.928637220309199</v>
      </c>
      <c r="AI81" s="30">
        <f>SUM('MasterA1(current$)'!AI75)/0.72248</f>
        <v>37.371276713542244</v>
      </c>
      <c r="AJ81" s="30">
        <f>SUM('MasterA1(current$)'!AJ75)/0.73785</f>
        <v>36.592803415328319</v>
      </c>
      <c r="AK81" s="30">
        <f>SUM('MasterA1(current$)'!AK75)/0.75324</f>
        <v>41.155541394509051</v>
      </c>
      <c r="AL81" s="30">
        <f>SUM('MasterA1(current$)'!AL75)/0.76699</f>
        <v>2.6075959269351623</v>
      </c>
      <c r="AM81" s="220" t="s">
        <v>3</v>
      </c>
      <c r="AN81" s="220" t="s">
        <v>3</v>
      </c>
      <c r="AO81" s="220" t="s">
        <v>3</v>
      </c>
      <c r="AP81" s="858" t="s">
        <v>3</v>
      </c>
      <c r="AQ81" s="220" t="s">
        <v>3</v>
      </c>
      <c r="AR81" s="220" t="s">
        <v>3</v>
      </c>
      <c r="AS81" s="220" t="s">
        <v>3</v>
      </c>
      <c r="AT81" s="220" t="s">
        <v>3</v>
      </c>
      <c r="AU81" s="220" t="s">
        <v>3</v>
      </c>
      <c r="AV81" s="331" t="s">
        <v>3</v>
      </c>
      <c r="AW81" s="331" t="s">
        <v>3</v>
      </c>
      <c r="AX81" s="331" t="s">
        <v>3</v>
      </c>
      <c r="AY81" s="284" t="s">
        <v>3</v>
      </c>
      <c r="AZ81" s="305" t="s">
        <v>3</v>
      </c>
      <c r="BA81" s="284" t="s">
        <v>3</v>
      </c>
      <c r="BB81" s="284" t="s">
        <v>3</v>
      </c>
      <c r="BC81" s="284" t="s">
        <v>3</v>
      </c>
      <c r="BD81" s="284" t="s">
        <v>3</v>
      </c>
      <c r="BE81" s="284" t="s">
        <v>3</v>
      </c>
      <c r="BF81" s="305" t="s">
        <v>3</v>
      </c>
      <c r="BG81" s="305" t="s">
        <v>3</v>
      </c>
      <c r="BH81" s="305" t="s">
        <v>3</v>
      </c>
      <c r="BI81" s="305" t="s">
        <v>3</v>
      </c>
      <c r="BJ81" s="874" t="s">
        <v>10</v>
      </c>
      <c r="BK81" s="874" t="s">
        <v>10</v>
      </c>
      <c r="BL81" s="886" t="s">
        <v>10</v>
      </c>
      <c r="BM81" s="886" t="s">
        <v>10</v>
      </c>
      <c r="BP81" s="620"/>
      <c r="BQ81" s="620"/>
    </row>
    <row r="82" spans="1:69" ht="11.25" customHeight="1">
      <c r="A82" s="119" t="s">
        <v>109</v>
      </c>
      <c r="B82" s="810" t="s">
        <v>3</v>
      </c>
      <c r="C82" s="45" t="s">
        <v>3</v>
      </c>
      <c r="D82" s="45" t="s">
        <v>3</v>
      </c>
      <c r="E82" s="220" t="s">
        <v>3</v>
      </c>
      <c r="F82" s="220" t="s">
        <v>3</v>
      </c>
      <c r="G82" s="220" t="s">
        <v>3</v>
      </c>
      <c r="H82" s="220" t="s">
        <v>3</v>
      </c>
      <c r="I82" s="220" t="s">
        <v>3</v>
      </c>
      <c r="J82" s="220" t="s">
        <v>3</v>
      </c>
      <c r="K82" s="220" t="s">
        <v>3</v>
      </c>
      <c r="L82" s="858" t="s">
        <v>3</v>
      </c>
      <c r="M82" s="220" t="s">
        <v>3</v>
      </c>
      <c r="N82" s="220" t="s">
        <v>3</v>
      </c>
      <c r="O82" s="220" t="s">
        <v>3</v>
      </c>
      <c r="P82" s="220" t="s">
        <v>3</v>
      </c>
      <c r="Q82" s="331" t="s">
        <v>3</v>
      </c>
      <c r="R82" s="331" t="s">
        <v>3</v>
      </c>
      <c r="S82" s="331" t="s">
        <v>3</v>
      </c>
      <c r="T82" s="331" t="s">
        <v>3</v>
      </c>
      <c r="U82" s="331" t="s">
        <v>3</v>
      </c>
      <c r="V82" s="335" t="s">
        <v>3</v>
      </c>
      <c r="W82" s="331" t="s">
        <v>3</v>
      </c>
      <c r="X82" s="331" t="s">
        <v>3</v>
      </c>
      <c r="Y82" s="331" t="s">
        <v>3</v>
      </c>
      <c r="Z82" s="331" t="s">
        <v>3</v>
      </c>
      <c r="AA82" s="331" t="s">
        <v>3</v>
      </c>
      <c r="AB82" s="331" t="s">
        <v>3</v>
      </c>
      <c r="AC82" s="331" t="s">
        <v>3</v>
      </c>
      <c r="AD82" s="331" t="s">
        <v>3</v>
      </c>
      <c r="AE82" s="153" t="s">
        <v>3</v>
      </c>
      <c r="AF82" s="238" t="s">
        <v>3</v>
      </c>
      <c r="AG82" s="30">
        <f>SUM('MasterA1(current$)'!AG76)/0.68996</f>
        <v>82.613484839700845</v>
      </c>
      <c r="AH82" s="30">
        <f>SUM('MasterA1(current$)'!AH76)/0.70569</f>
        <v>90.691380067735125</v>
      </c>
      <c r="AI82" s="30">
        <f>SUM('MasterA1(current$)'!AI76)/0.72248</f>
        <v>70.59018934780201</v>
      </c>
      <c r="AJ82" s="30">
        <f>SUM('MasterA1(current$)'!AJ76)/0.73785</f>
        <v>86.738496984481941</v>
      </c>
      <c r="AK82" s="30">
        <f>SUM('MasterA1(current$)'!AK76)/0.75324</f>
        <v>86.293877117518988</v>
      </c>
      <c r="AL82" s="30">
        <f>SUM('MasterA1(current$)'!AL76)/0.76699</f>
        <v>82.139271698457605</v>
      </c>
      <c r="AM82" s="30">
        <f>SUM('MasterA1(current$)'!AM76)/0.78012</f>
        <v>93.575347382453984</v>
      </c>
      <c r="AN82" s="30">
        <f>SUM('MasterA1(current$)'!AN76)/0.78859</f>
        <v>101.44688621463625</v>
      </c>
      <c r="AO82" s="30">
        <f>SUM('MasterA1(current$)'!AO76)/0.80065</f>
        <v>114.90663835633548</v>
      </c>
      <c r="AP82" s="857">
        <f>SUM('MasterA1(current$)'!AP76)/0.81887</f>
        <v>120.89831108722997</v>
      </c>
      <c r="AQ82" s="328">
        <f>SUM('MasterA1(current$)'!AQ76)/0.83754</f>
        <v>130.14303794445638</v>
      </c>
      <c r="AR82" s="328">
        <f>SUM('MasterA1(current$)'!AR76)/0.85039</f>
        <v>136.40800103481934</v>
      </c>
      <c r="AS82" s="328">
        <f>SUM('MasterA1(current$)'!AS76)/0.86735</f>
        <v>149.88182394650372</v>
      </c>
      <c r="AT82" s="328">
        <f>SUM('MasterA1(current$)'!AT76)/0.8912</f>
        <v>149.23698384201077</v>
      </c>
      <c r="AU82" s="328">
        <f>SUM('MasterA1(current$)'!AU76)/0.91988</f>
        <v>142.40987954950646</v>
      </c>
      <c r="AV82" s="328">
        <f>SUM('MasterA1(current$)'!AV76)/0.94814</f>
        <v>156.09509144219209</v>
      </c>
      <c r="AW82" s="328">
        <f>SUM('MasterA1(current$)'!AW76)/0.97337</f>
        <v>151.02170808633923</v>
      </c>
      <c r="AX82" s="331">
        <f>SUM('MasterA1(current$)'!AX76*100)/99.246</f>
        <v>155.16998166172945</v>
      </c>
      <c r="AY82" s="405">
        <f>SUM('MasterA1(current$)'!AY76)</f>
        <v>162</v>
      </c>
      <c r="AZ82" s="305">
        <f>SUM('MasterA1(current$)'!AZ76*100)/101.221</f>
        <v>167.94933857598718</v>
      </c>
      <c r="BA82" s="284">
        <f>SUM('MasterA1(current$)'!BA76*100)/103.311</f>
        <v>162.61579115486248</v>
      </c>
      <c r="BB82" s="284">
        <f>SUM('MasterA1(current$)'!BB76*100)/105.214</f>
        <v>161.57545573782957</v>
      </c>
      <c r="BC82" s="284">
        <f>SUM('MasterA1(current$)'!BC76*100)/106.913</f>
        <v>172.10255067204176</v>
      </c>
      <c r="BD82" s="284">
        <f>SUM('MasterA1(current$)'!BD76*100)/108.832</f>
        <v>168.14907380182299</v>
      </c>
      <c r="BE82" s="284">
        <f>SUM('MasterA1(current$)'!BE76*100)/110.012</f>
        <v>173.61742355379414</v>
      </c>
      <c r="BF82" s="305">
        <f>SUM('MasterA1(current$)'!BF76*100)/111.416</f>
        <v>170.53206002728513</v>
      </c>
      <c r="BG82" s="305">
        <f>SUM('MasterA1(current$)'!BG76*100)/113.116</f>
        <v>171.50535733229606</v>
      </c>
      <c r="BH82" s="305">
        <f>SUM('MasterA1(current$)'!BH76*100)/114.716</f>
        <v>150.80721085114544</v>
      </c>
      <c r="BI82" s="305">
        <f>SUM('MasterA1(current$)'!BI76*100)/116.416</f>
        <v>170.93870258383728</v>
      </c>
      <c r="BJ82" s="410">
        <f t="shared" ref="BJ82:BK85" si="7">(BH82-BG82)/BG82</f>
        <v>-0.12068513079184706</v>
      </c>
      <c r="BK82" s="410">
        <f t="shared" si="7"/>
        <v>0.13349157257846689</v>
      </c>
      <c r="BL82" s="564">
        <f t="shared" ref="BL82:BM85" si="8">BH82-BG82</f>
        <v>-20.698146481150616</v>
      </c>
      <c r="BM82" s="564">
        <f t="shared" si="8"/>
        <v>20.131491732691842</v>
      </c>
      <c r="BN82" s="112"/>
      <c r="BO82" s="112"/>
      <c r="BP82" s="620"/>
      <c r="BQ82" s="620"/>
    </row>
    <row r="83" spans="1:69" ht="11.25" customHeight="1">
      <c r="A83" s="119" t="s">
        <v>110</v>
      </c>
      <c r="B83" s="667">
        <f>SUM('MasterA1(current$)'!B77)/0.1756</f>
        <v>39.863325740318906</v>
      </c>
      <c r="C83" s="49">
        <f>SUM('MasterA1(current$)'!C77)/0.178</f>
        <v>39.325842696629216</v>
      </c>
      <c r="D83" s="49">
        <f>SUM('MasterA1(current$)'!D77)/0.1798</f>
        <v>38.932146829810904</v>
      </c>
      <c r="E83" s="30">
        <f>SUM('MasterA1(current$)'!E77)/0.182</f>
        <v>43.956043956043956</v>
      </c>
      <c r="F83" s="30">
        <f>SUM('MasterA1(current$)'!F77)/0.1842</f>
        <v>48.859934853420192</v>
      </c>
      <c r="G83" s="30">
        <f>SUM('MasterA1(current$)'!G77)/0.18702</f>
        <v>48.123195380173243</v>
      </c>
      <c r="H83" s="30">
        <f>SUM('MasterA1(current$)'!H77)/0.19227</f>
        <v>52.010193998023617</v>
      </c>
      <c r="I83" s="30">
        <f>SUM('MasterA1(current$)'!I77)/0.19786</f>
        <v>50.540786414636607</v>
      </c>
      <c r="J83" s="30">
        <f>SUM('MasterA1(current$)'!J77)/0.20627</f>
        <v>48.480147379648031</v>
      </c>
      <c r="K83" s="30">
        <f>SUM('MasterA1(current$)'!K77)/0.21642</f>
        <v>50.827095462526572</v>
      </c>
      <c r="L83" s="270">
        <f>SUM('MasterA1(current$)'!L77)/0.22784</f>
        <v>74.613764044943821</v>
      </c>
      <c r="M83" s="30">
        <f>SUM('MasterA1(current$)'!M77)/0.23941</f>
        <v>171.25433357002632</v>
      </c>
      <c r="N83" s="30">
        <f>SUM('MasterA1(current$)'!N77)/0.24978</f>
        <v>288.25366322363681</v>
      </c>
      <c r="O83" s="30">
        <f>SUM('MasterA1(current$)'!O77)/0.26337</f>
        <v>212.62862133120706</v>
      </c>
      <c r="P83" s="30">
        <f>SUM('MasterA1(current$)'!P77)/0.28703</f>
        <v>205.55342647110058</v>
      </c>
      <c r="Q83" s="30">
        <f>SUM('MasterA1(current$)'!Q77)/0.31361</f>
        <v>216.82982047766333</v>
      </c>
      <c r="R83" s="30">
        <f>SUM('MasterA1(current$)'!R77)/0.33083</f>
        <v>253.9068403711876</v>
      </c>
      <c r="S83" s="30">
        <f>SUM('MasterA1(current$)'!S77)/0.35135</f>
        <v>278.92414970826809</v>
      </c>
      <c r="T83" s="30">
        <f>SUM('MasterA1(current$)'!T77)/0.37602</f>
        <v>289.87819796819315</v>
      </c>
      <c r="U83" s="30">
        <f>SUM('MasterA1(current$)'!U77)/0.40706</f>
        <v>321.81987913329732</v>
      </c>
      <c r="V83" s="270">
        <f>SUM('MasterA1(current$)'!V77)/0.44377</f>
        <v>319.98557811478918</v>
      </c>
      <c r="W83" s="30">
        <f>SUM('MasterA1(current$)'!W77)/0.4852</f>
        <v>313.27287716405607</v>
      </c>
      <c r="X83" s="30">
        <f>SUM('MasterA1(current$)'!X77)/0.5153</f>
        <v>269.74577915777218</v>
      </c>
      <c r="Y83" s="30">
        <f>SUM('MasterA1(current$)'!Y77)/0.53565</f>
        <v>281.9004947260338</v>
      </c>
      <c r="Z83" s="30">
        <f>SUM('MasterA1(current$)'!Z77)/0.55466</f>
        <v>270.43594273969637</v>
      </c>
      <c r="AA83" s="30">
        <f>SUM('MasterA1(current$)'!AA77)/0.5724</f>
        <v>263.80153738644304</v>
      </c>
      <c r="AB83" s="30">
        <f>SUM('MasterA1(current$)'!AB77)/0.58395</f>
        <v>251.73388132545597</v>
      </c>
      <c r="AC83" s="30">
        <f>SUM('MasterA1(current$)'!AC77)/0.59885</f>
        <v>245.47048509643483</v>
      </c>
      <c r="AD83" s="30">
        <f>SUM('MasterA1(current$)'!AD77)/0.61982</f>
        <v>264.59294633925975</v>
      </c>
      <c r="AE83" s="30">
        <f>SUM('MasterA1(current$)'!AE77)/0.64392</f>
        <v>253.13703565660327</v>
      </c>
      <c r="AF83" s="270">
        <f>SUM('MasterA1(current$)'!AF77)/0.66773</f>
        <v>256.09153400326477</v>
      </c>
      <c r="AG83" s="30">
        <f>SUM('MasterA1(current$)'!AG77)/0.68996</f>
        <v>236.24557945388139</v>
      </c>
      <c r="AH83" s="30">
        <f>SUM('MasterA1(current$)'!AH77)/0.70569</f>
        <v>262.15477050829685</v>
      </c>
      <c r="AI83" s="30">
        <f>SUM('MasterA1(current$)'!AI77)/0.72248</f>
        <v>260.21481563503488</v>
      </c>
      <c r="AJ83" s="30">
        <f>SUM('MasterA1(current$)'!AJ77)/0.73785</f>
        <v>269.70251406112351</v>
      </c>
      <c r="AK83" s="30">
        <f>SUM('MasterA1(current$)'!AK77)/0.75324</f>
        <v>253.57123891455578</v>
      </c>
      <c r="AL83" s="30">
        <f>SUM('MasterA1(current$)'!AL77)/0.76699</f>
        <v>246.41781509537284</v>
      </c>
      <c r="AM83" s="30">
        <f>SUM('MasterA1(current$)'!AM77)/0.78012</f>
        <v>260.216376967646</v>
      </c>
      <c r="AN83" s="30">
        <f>SUM('MasterA1(current$)'!AN77)/0.78859</f>
        <v>257.42147376963948</v>
      </c>
      <c r="AO83" s="30">
        <f>SUM('MasterA1(current$)'!AO77)/0.80065</f>
        <v>266.03384749890716</v>
      </c>
      <c r="AP83" s="857">
        <f>SUM('MasterA1(current$)'!AP77)/0.81887</f>
        <v>274.76888883461356</v>
      </c>
      <c r="AQ83" s="328">
        <f>SUM('MasterA1(current$)'!AQ77)/0.83754</f>
        <v>312.82088019676672</v>
      </c>
      <c r="AR83" s="328">
        <f>SUM('MasterA1(current$)'!AR77)/0.85039</f>
        <v>298.68648502451816</v>
      </c>
      <c r="AS83" s="328">
        <f>SUM('MasterA1(current$)'!AS77)/0.86735</f>
        <v>306.68127053669224</v>
      </c>
      <c r="AT83" s="328">
        <f>SUM('MasterA1(current$)'!AT77)/0.8912</f>
        <v>300.71813285457807</v>
      </c>
      <c r="AU83" s="328">
        <f>SUM('MasterA1(current$)'!AU77)/0.91988</f>
        <v>306.56172544244902</v>
      </c>
      <c r="AV83" s="328">
        <f>SUM('MasterA1(current$)'!AV77)/0.94814</f>
        <v>305.8620035015926</v>
      </c>
      <c r="AW83" s="328">
        <f>SUM('MasterA1(current$)'!AW77)/0.97337</f>
        <v>307.18020896473081</v>
      </c>
      <c r="AX83" s="331">
        <f>SUM('MasterA1(current$)'!AX77*100)/99.246</f>
        <v>348.62866009713241</v>
      </c>
      <c r="AY83" s="405">
        <f>SUM('MasterA1(current$)'!AY77)</f>
        <v>349</v>
      </c>
      <c r="AZ83" s="305">
        <f>SUM('MasterA1(current$)'!AZ77*100)/101.221</f>
        <v>350.71773643809092</v>
      </c>
      <c r="BA83" s="284">
        <f>SUM('MasterA1(current$)'!BA77*100)/103.311</f>
        <v>344.59060506625622</v>
      </c>
      <c r="BB83" s="284">
        <f>SUM('MasterA1(current$)'!BB77*100)/105.214</f>
        <v>352.61467105138098</v>
      </c>
      <c r="BC83" s="284">
        <f>SUM('MasterA1(current$)'!BC77*100)/106.913</f>
        <v>339.52840159756062</v>
      </c>
      <c r="BD83" s="284">
        <f>SUM('MasterA1(current$)'!BD77*100)/108.832</f>
        <v>328.94736842105266</v>
      </c>
      <c r="BE83" s="284">
        <f>SUM('MasterA1(current$)'!BE77*100)/110.012</f>
        <v>351.77980583936295</v>
      </c>
      <c r="BF83" s="305">
        <f>SUM('MasterA1(current$)'!BF77*100)/111.416</f>
        <v>344.65426868672364</v>
      </c>
      <c r="BG83" s="305">
        <f>SUM('MasterA1(current$)'!BG77*100)/113.116</f>
        <v>329.74999115951766</v>
      </c>
      <c r="BH83" s="305">
        <f>SUM('MasterA1(current$)'!BH77*100)/114.716</f>
        <v>323.4073712472541</v>
      </c>
      <c r="BI83" s="305">
        <f>SUM('MasterA1(current$)'!BI77*100)/116.416</f>
        <v>325.55662451896649</v>
      </c>
      <c r="BJ83" s="410">
        <f t="shared" si="7"/>
        <v>-1.9234632546799052E-2</v>
      </c>
      <c r="BK83" s="410">
        <f t="shared" si="7"/>
        <v>6.6456533239287767E-3</v>
      </c>
      <c r="BL83" s="564">
        <f t="shared" si="8"/>
        <v>-6.342619912263558</v>
      </c>
      <c r="BM83" s="564">
        <f t="shared" si="8"/>
        <v>2.1492532717123822</v>
      </c>
      <c r="BN83" s="112"/>
      <c r="BO83" s="112"/>
      <c r="BP83" s="620"/>
      <c r="BQ83" s="620"/>
    </row>
    <row r="84" spans="1:69" ht="11.25" customHeight="1">
      <c r="A84" s="115" t="s">
        <v>17</v>
      </c>
      <c r="B84" s="645" t="s">
        <v>3</v>
      </c>
      <c r="C84" s="109" t="s">
        <v>3</v>
      </c>
      <c r="D84" s="109" t="s">
        <v>3</v>
      </c>
      <c r="E84" s="340" t="s">
        <v>3</v>
      </c>
      <c r="F84" s="340" t="s">
        <v>3</v>
      </c>
      <c r="G84" s="340" t="s">
        <v>3</v>
      </c>
      <c r="H84" s="340" t="s">
        <v>3</v>
      </c>
      <c r="I84" s="340" t="s">
        <v>3</v>
      </c>
      <c r="J84" s="340" t="s">
        <v>3</v>
      </c>
      <c r="K84" s="340" t="s">
        <v>3</v>
      </c>
      <c r="L84" s="913" t="s">
        <v>3</v>
      </c>
      <c r="M84" s="340" t="s">
        <v>3</v>
      </c>
      <c r="N84" s="340" t="s">
        <v>3</v>
      </c>
      <c r="O84" s="333">
        <f>SUM('MasterA1(current$)'!O78)/0.26337</f>
        <v>140.48676766526179</v>
      </c>
      <c r="P84" s="333">
        <f>SUM('MasterA1(current$)'!P78)/0.28703</f>
        <v>240.3929902797617</v>
      </c>
      <c r="Q84" s="333">
        <f>SUM('MasterA1(current$)'!Q78)/0.31361</f>
        <v>290.16931858040243</v>
      </c>
      <c r="R84" s="333">
        <f>SUM('MasterA1(current$)'!R78)/0.33083</f>
        <v>329.47435238642203</v>
      </c>
      <c r="S84" s="333">
        <f>SUM('MasterA1(current$)'!S78)/0.35135</f>
        <v>361.46292870357195</v>
      </c>
      <c r="T84" s="333">
        <f>SUM('MasterA1(current$)'!T78)/0.37602</f>
        <v>393.59608531461089</v>
      </c>
      <c r="U84" s="30">
        <f>SUM('MasterA1(current$)'!U78)/0.40706</f>
        <v>385.69252690021131</v>
      </c>
      <c r="V84" s="269">
        <f>SUM('MasterA1(current$)'!V78)/0.44377</f>
        <v>405.61552155395816</v>
      </c>
      <c r="W84" s="333">
        <f>SUM('MasterA1(current$)'!W78)/0.4852</f>
        <v>410.14014839241548</v>
      </c>
      <c r="X84" s="333">
        <f>SUM('MasterA1(current$)'!X78)/0.5153</f>
        <v>380.3609547836212</v>
      </c>
      <c r="Y84" s="333">
        <f>SUM('MasterA1(current$)'!Y78)/0.53565</f>
        <v>373.37813870997854</v>
      </c>
      <c r="Z84" s="333">
        <f>SUM('MasterA1(current$)'!Z78)/0.55466</f>
        <v>373.201600980781</v>
      </c>
      <c r="AA84" s="333">
        <f>SUM('MasterA1(current$)'!AA78)/0.5724</f>
        <v>366.87631027253667</v>
      </c>
      <c r="AB84" s="333">
        <f>SUM('MasterA1(current$)'!AB78)/0.58395</f>
        <v>363.04478123126984</v>
      </c>
      <c r="AC84" s="333">
        <f>SUM('MasterA1(current$)'!AC78)/0.59885</f>
        <v>359.02145779410534</v>
      </c>
      <c r="AD84" s="333">
        <f>SUM('MasterA1(current$)'!AD78)/0.61982</f>
        <v>364.62198702849213</v>
      </c>
      <c r="AE84" s="333">
        <f>SUM('MasterA1(current$)'!AE78)/0.64392</f>
        <v>372.71710771524408</v>
      </c>
      <c r="AF84" s="269">
        <f>SUM('MasterA1(current$)'!AF78)/0.66773</f>
        <v>411.84311023916848</v>
      </c>
      <c r="AG84" s="333">
        <f>SUM('MasterA1(current$)'!AG78)/0.68996</f>
        <v>382.63087715229869</v>
      </c>
      <c r="AH84" s="333">
        <f>SUM('MasterA1(current$)'!AH78)/0.70569</f>
        <v>433.61816094885853</v>
      </c>
      <c r="AI84" s="333">
        <f>SUM('MasterA1(current$)'!AI78)/0.72248</f>
        <v>390.32222345255229</v>
      </c>
      <c r="AJ84" s="333">
        <f>SUM('MasterA1(current$)'!AJ78)/0.73785</f>
        <v>401.16554855322897</v>
      </c>
      <c r="AK84" s="333">
        <f>SUM('MasterA1(current$)'!AK78)/0.75324</f>
        <v>391.64144230258614</v>
      </c>
      <c r="AL84" s="333">
        <f>SUM('MasterA1(current$)'!AL78)/0.76699</f>
        <v>378.10140940559853</v>
      </c>
      <c r="AM84" s="333">
        <f>SUM('MasterA1(current$)'!AM78)/0.78012</f>
        <v>412.75701174178329</v>
      </c>
      <c r="AN84" s="333">
        <f>SUM('MasterA1(current$)'!AN78)/0.78859</f>
        <v>432.41735248988698</v>
      </c>
      <c r="AO84" s="333">
        <f>SUM('MasterA1(current$)'!AO78)/0.80065</f>
        <v>438.39380503341039</v>
      </c>
      <c r="AP84" s="799">
        <f>SUM('MasterA1(current$)'!AP78)/0.81887</f>
        <v>451.84217275025338</v>
      </c>
      <c r="AQ84" s="321">
        <f>SUM('MasterA1(current$)'!AQ78)/0.83754</f>
        <v>493.11077679872011</v>
      </c>
      <c r="AR84" s="321">
        <f>SUM('MasterA1(current$)'!AR78)/0.85039</f>
        <v>513.88186596737967</v>
      </c>
      <c r="AS84" s="321">
        <f>SUM('MasterA1(current$)'!AS78)/0.86735</f>
        <v>536.11575488557105</v>
      </c>
      <c r="AT84" s="321">
        <f>SUM('MasterA1(current$)'!AT78)/0.8912</f>
        <v>527.37881508078999</v>
      </c>
      <c r="AU84" s="321">
        <f>SUM('MasterA1(current$)'!AU78)/0.91988</f>
        <v>495.71683263034305</v>
      </c>
      <c r="AV84" s="190">
        <f>SUM('MasterA1(current$)'!AV78)/0.94814</f>
        <v>498.87147467673549</v>
      </c>
      <c r="AW84" s="190">
        <f>SUM('MasterA1(current$)'!AW78)/0.97337</f>
        <v>485.94059812815271</v>
      </c>
      <c r="AX84" s="163">
        <f>SUM('MasterA1(current$)'!AX78*100)/99.246</f>
        <v>497.75305805775548</v>
      </c>
      <c r="AY84" s="405">
        <f>SUM('MasterA1(current$)'!AY78)</f>
        <v>507</v>
      </c>
      <c r="AZ84" s="305">
        <f>SUM('MasterA1(current$)'!AZ78*100)/101.221</f>
        <v>526.57057330000691</v>
      </c>
      <c r="BA84" s="284">
        <f>SUM('MasterA1(current$)'!BA78*100)/103.311</f>
        <v>546.8923928720078</v>
      </c>
      <c r="BB84" s="284">
        <f>SUM('MasterA1(current$)'!BB78*100)/105.214</f>
        <v>530.34767236299353</v>
      </c>
      <c r="BC84" s="284">
        <f>SUM('MasterA1(current$)'!BC78*100)/106.913</f>
        <v>520.9843517626482</v>
      </c>
      <c r="BD84" s="284">
        <f>SUM('MasterA1(current$)'!BD78*100)/108.832</f>
        <v>508.12261099676567</v>
      </c>
      <c r="BE84" s="284">
        <f>SUM('MasterA1(current$)'!BE78*100)/110.012</f>
        <v>507.21739446605824</v>
      </c>
      <c r="BF84" s="305">
        <f>SUM('MasterA1(current$)'!BF78*100)/111.416</f>
        <v>503.51834565951032</v>
      </c>
      <c r="BG84" s="305">
        <f>SUM('MasterA1(current$)'!BG78*100)/113.116</f>
        <v>493.29891438876905</v>
      </c>
      <c r="BH84" s="305">
        <f>SUM('MasterA1(current$)'!BH78*100)/114.716</f>
        <v>462.01053035322013</v>
      </c>
      <c r="BI84" s="305">
        <f>SUM('MasterA1(current$)'!BI78*100)/116.416</f>
        <v>474.16162726772956</v>
      </c>
      <c r="BJ84" s="410">
        <f t="shared" si="7"/>
        <v>-6.3426825243103072E-2</v>
      </c>
      <c r="BK84" s="410">
        <f t="shared" si="7"/>
        <v>2.6300476106506848E-2</v>
      </c>
      <c r="BL84" s="564">
        <f t="shared" si="8"/>
        <v>-31.288384035548916</v>
      </c>
      <c r="BM84" s="564">
        <f t="shared" si="8"/>
        <v>12.151096914509424</v>
      </c>
      <c r="BN84" s="112"/>
      <c r="BO84" s="112"/>
      <c r="BP84" s="620"/>
      <c r="BQ84" s="620"/>
    </row>
    <row r="85" spans="1:69" ht="11.25" customHeight="1">
      <c r="A85" s="118" t="s">
        <v>31</v>
      </c>
      <c r="B85" s="893" t="e">
        <f>SUM(#REF!)/0.1756</f>
        <v>#REF!</v>
      </c>
      <c r="C85" s="108">
        <f>SUM('MasterA1(current$)'!C79)/0.178</f>
        <v>123.59550561797754</v>
      </c>
      <c r="D85" s="107">
        <f>SUM('MasterA1(current$)'!D79)/0.1798</f>
        <v>155.72858731924362</v>
      </c>
      <c r="E85" s="449">
        <f>SUM('MasterA1(current$)'!E79)/0.182</f>
        <v>214.28571428571428</v>
      </c>
      <c r="F85" s="449">
        <f>SUM('MasterA1(current$)'!F79)/0.1842</f>
        <v>222.5841476655809</v>
      </c>
      <c r="G85" s="449">
        <f>SUM('MasterA1(current$)'!G79)/0.18702</f>
        <v>219.22789006523368</v>
      </c>
      <c r="H85" s="449">
        <f>SUM('MasterA1(current$)'!H79)/0.19227</f>
        <v>223.64383419150153</v>
      </c>
      <c r="I85" s="449">
        <f>SUM('MasterA1(current$)'!I79)/0.19786</f>
        <v>227.43353886586473</v>
      </c>
      <c r="J85" s="449">
        <f>SUM('MasterA1(current$)'!J79)/0.20627</f>
        <v>223.00867794638094</v>
      </c>
      <c r="K85" s="449">
        <f>SUM('MasterA1(current$)'!K79)/0.21642</f>
        <v>240.27354218648924</v>
      </c>
      <c r="L85" s="855">
        <f>SUM('MasterA1(current$)'!L79)/0.22784</f>
        <v>285.28792134831463</v>
      </c>
      <c r="M85" s="449">
        <f>SUM('MasterA1(current$)'!M79)/0.23941</f>
        <v>367.57027693078817</v>
      </c>
      <c r="N85" s="449">
        <f>SUM('MasterA1(current$)'!N79)/0.24978</f>
        <v>512.45095684202101</v>
      </c>
      <c r="O85" s="449">
        <f>SUM('MasterA1(current$)'!O79)/0.26337</f>
        <v>603.71340699396285</v>
      </c>
      <c r="P85" s="449">
        <f>SUM('MasterA1(current$)'!P79)/0.28703</f>
        <v>661.95171236456122</v>
      </c>
      <c r="Q85" s="449">
        <f>SUM('MasterA1(current$)'!Q79)/0.31361</f>
        <v>752.52702401071394</v>
      </c>
      <c r="R85" s="449">
        <f>SUM('MasterA1(current$)'!R79)/0.33083</f>
        <v>864.4923374542816</v>
      </c>
      <c r="S85" s="449">
        <f>SUM('MasterA1(current$)'!S79)/0.35135</f>
        <v>967.69602960011389</v>
      </c>
      <c r="T85" s="449">
        <f>SUM('MasterA1(current$)'!T79)/0.37602</f>
        <v>999.94681133982226</v>
      </c>
      <c r="U85" s="449">
        <f>SUM('MasterA1(current$)'!U79)/0.40706</f>
        <v>1103.0314941286297</v>
      </c>
      <c r="V85" s="855">
        <f>SUM('MasterA1(current$)'!V79)/0.44377</f>
        <v>1126.7097820943281</v>
      </c>
      <c r="W85" s="449">
        <f>SUM('MasterA1(current$)'!W79)/0.4852</f>
        <v>1102.6380873866447</v>
      </c>
      <c r="X85" s="449">
        <f>SUM('MasterA1(current$)'!X79)/0.5153</f>
        <v>974.18979235396864</v>
      </c>
      <c r="Y85" s="449">
        <f>SUM('MasterA1(current$)'!Y79)/0.53565</f>
        <v>976.38383272659394</v>
      </c>
      <c r="Z85" s="449">
        <f>SUM('MasterA1(current$)'!Z79)/0.55466</f>
        <v>962.75195615331904</v>
      </c>
      <c r="AA85" s="449">
        <f>SUM('MasterA1(current$)'!AA79)/0.5724</f>
        <v>939.90216631726059</v>
      </c>
      <c r="AB85" s="449">
        <f>SUM('MasterA1(current$)'!AB79)/0.58395</f>
        <v>924.73670690983818</v>
      </c>
      <c r="AC85" s="449">
        <f>SUM('MasterA1(current$)'!AC79)/0.59885</f>
        <v>918.4269850546882</v>
      </c>
      <c r="AD85" s="449">
        <f>SUM('MasterA1(current$)'!AD79)/0.61982</f>
        <v>955.11600141976692</v>
      </c>
      <c r="AE85" s="449">
        <f>SUM('MasterA1(current$)'!AE79)/0.64392</f>
        <v>973.7234439060752</v>
      </c>
      <c r="AF85" s="855">
        <f>SUM('MasterA1(current$)'!AF79)/0.66773</f>
        <v>1019.8733020831772</v>
      </c>
      <c r="AG85" s="449">
        <f>SUM('MasterA1(current$)'!AG79)/0.68996</f>
        <v>963.82398979650986</v>
      </c>
      <c r="AH85" s="449">
        <f>SUM('MasterA1(current$)'!AH79)/0.70569</f>
        <v>1054.2872932874207</v>
      </c>
      <c r="AI85" s="449">
        <f>SUM('MasterA1(current$)'!AI79)/0.72248</f>
        <v>974.42143727161999</v>
      </c>
      <c r="AJ85" s="449">
        <f>SUM('MasterA1(current$)'!AJ79)/0.73785</f>
        <v>1012.4008944907501</v>
      </c>
      <c r="AK85" s="449">
        <f>SUM('MasterA1(current$)'!AK79)/0.75324</f>
        <v>994.3709840157187</v>
      </c>
      <c r="AL85" s="449">
        <f>SUM('MasterA1(current$)'!AL79)/0.76699</f>
        <v>916.56996831770959</v>
      </c>
      <c r="AM85" s="449">
        <f>SUM('MasterA1(current$)'!AM79)/0.78012</f>
        <v>996.00061528995536</v>
      </c>
      <c r="AN85" s="449">
        <f>SUM('MasterA1(current$)'!AN79)/0.78859</f>
        <v>1041.0986697777046</v>
      </c>
      <c r="AO85" s="449">
        <f>SUM('MasterA1(current$)'!AO79)/0.80065</f>
        <v>1072.8782863923063</v>
      </c>
      <c r="AP85" s="928">
        <f>SUM('MasterA1(current$)'!AP79)/0.81887</f>
        <v>1124.7206516296849</v>
      </c>
      <c r="AQ85" s="128">
        <f>SUM('MasterA1(current$)'!AQ79)/0.83754</f>
        <v>1248.89557513671</v>
      </c>
      <c r="AR85" s="128">
        <f>SUM('MasterA1(current$)'!AR79)/0.85039</f>
        <v>1239.43131974741</v>
      </c>
      <c r="AS85" s="128">
        <f>SUM('MasterA1(current$)'!AS79)/0.86735</f>
        <v>1278.6072519744048</v>
      </c>
      <c r="AT85" s="128">
        <f>SUM('MasterA1(current$)'!AT79)/0.8912</f>
        <v>1262.3429084380612</v>
      </c>
      <c r="AU85" s="128">
        <f>SUM('MasterA1(current$)'!AU79)/0.91988</f>
        <v>1214.2888202809061</v>
      </c>
      <c r="AV85" s="128">
        <f>SUM('MasterA1(current$)'!AV79)/0.94814</f>
        <v>1232.9402830805577</v>
      </c>
      <c r="AW85" s="128">
        <f>SUM('MasterA1(current$)'!AW79)/0.97337</f>
        <v>1212.5381833955782</v>
      </c>
      <c r="AX85" s="784">
        <f>SUM('MasterA1(current$)'!AX79*100)/99.246</f>
        <v>1275.3431073090462</v>
      </c>
      <c r="AY85" s="496">
        <f>SUM('MasterA1(current$)'!AY79)</f>
        <v>1311</v>
      </c>
      <c r="AZ85" s="367">
        <f>SUM('MasterA1(current$)'!AZ79*100)/101.221</f>
        <v>1410.7744440382924</v>
      </c>
      <c r="BA85" s="368">
        <f>SUM('MasterA1(current$)'!BA79*100)/103.311</f>
        <v>1351.2597884058812</v>
      </c>
      <c r="BB85" s="368">
        <f>SUM('MasterA1(current$)'!BB79*100)/105.214</f>
        <v>1360.0851597696123</v>
      </c>
      <c r="BC85" s="368">
        <f>SUM('MasterA1(current$)'!BC79*100)/106.913</f>
        <v>1396.4625443117302</v>
      </c>
      <c r="BD85" s="368">
        <f>SUM('MasterA1(current$)'!BD79*100)/108.832</f>
        <v>1345.1925904145839</v>
      </c>
      <c r="BE85" s="368">
        <f>SUM('MasterA1(current$)'!BE79*100)/110.012</f>
        <v>1381.6674544595135</v>
      </c>
      <c r="BF85" s="367">
        <f>SUM('MasterA1(current$)'!BF79*100)/111.416</f>
        <v>1312.1993250520572</v>
      </c>
      <c r="BG85" s="367">
        <f>SUM('MasterA1(current$)'!BG79*100)/113.116</f>
        <v>1280.101842356519</v>
      </c>
      <c r="BH85" s="367">
        <f>SUM('MasterA1(current$)'!BH79*100)/114.716</f>
        <v>1225.6354824087311</v>
      </c>
      <c r="BI85" s="367">
        <f>SUM('MasterA1(current$)'!BI79*100)/116.416</f>
        <v>1246.3922484881803</v>
      </c>
      <c r="BJ85" s="872">
        <f t="shared" si="7"/>
        <v>-4.2548458369157251E-2</v>
      </c>
      <c r="BK85" s="872">
        <f t="shared" si="7"/>
        <v>1.6935513353983526E-2</v>
      </c>
      <c r="BL85" s="567">
        <f t="shared" si="8"/>
        <v>-54.466359947787851</v>
      </c>
      <c r="BM85" s="567">
        <f t="shared" si="8"/>
        <v>20.756766079449108</v>
      </c>
      <c r="BN85" s="112"/>
      <c r="BO85" s="112"/>
      <c r="BP85" s="620"/>
      <c r="BQ85" s="620"/>
    </row>
    <row r="86" spans="1:69" ht="6" customHeight="1">
      <c r="A86" s="115"/>
      <c r="B86" s="636"/>
      <c r="C86" s="33"/>
      <c r="D86" s="33"/>
      <c r="E86" s="47"/>
      <c r="F86" s="47"/>
      <c r="G86" s="47"/>
      <c r="H86" s="47"/>
      <c r="I86" s="47"/>
      <c r="J86" s="47"/>
      <c r="K86" s="47"/>
      <c r="L86" s="281"/>
      <c r="M86" s="47"/>
      <c r="N86" s="47"/>
      <c r="O86" s="47"/>
      <c r="P86" s="47"/>
      <c r="Q86" s="47"/>
      <c r="R86" s="47"/>
      <c r="S86" s="47"/>
      <c r="T86" s="47"/>
      <c r="U86" s="47"/>
      <c r="V86" s="281"/>
      <c r="W86" s="47"/>
      <c r="X86" s="47"/>
      <c r="Y86" s="47"/>
      <c r="Z86" s="47"/>
      <c r="AA86" s="47"/>
      <c r="AB86" s="47"/>
      <c r="AC86" s="47"/>
      <c r="AD86" s="47"/>
      <c r="AE86" s="47"/>
      <c r="AF86" s="281"/>
      <c r="AG86" s="47"/>
      <c r="AH86" s="47"/>
      <c r="AI86" s="47"/>
      <c r="AJ86" s="47"/>
      <c r="AK86" s="47"/>
      <c r="AL86" s="47"/>
      <c r="AM86" s="152"/>
      <c r="AN86" s="152"/>
      <c r="AO86" s="152"/>
      <c r="AP86" s="857"/>
      <c r="AQ86" s="328"/>
      <c r="AR86" s="328"/>
      <c r="AS86" s="328"/>
      <c r="AT86" s="328"/>
      <c r="AU86" s="328"/>
      <c r="AV86" s="89"/>
      <c r="AW86" s="89"/>
      <c r="AX86" s="220"/>
      <c r="AY86" s="373"/>
      <c r="AZ86" s="658"/>
      <c r="BA86" s="373"/>
      <c r="BB86" s="373"/>
      <c r="BC86" s="373"/>
      <c r="BD86" s="373"/>
      <c r="BE86" s="373"/>
      <c r="BF86" s="658"/>
      <c r="BG86" s="658"/>
      <c r="BH86" s="658"/>
      <c r="BI86" s="658"/>
      <c r="BJ86" s="871"/>
      <c r="BK86" s="871"/>
      <c r="BL86" s="565"/>
      <c r="BM86" s="565"/>
      <c r="BP86" s="620"/>
      <c r="BQ86" s="620"/>
    </row>
    <row r="87" spans="1:69" ht="12" customHeight="1">
      <c r="A87" s="119" t="s">
        <v>103</v>
      </c>
      <c r="B87" s="636"/>
      <c r="C87" s="32"/>
      <c r="D87" s="32"/>
      <c r="E87" s="32"/>
      <c r="F87" s="32"/>
      <c r="G87" s="32"/>
      <c r="H87" s="32"/>
      <c r="I87" s="32"/>
      <c r="J87" s="32"/>
      <c r="K87" s="32"/>
      <c r="L87" s="636"/>
      <c r="M87" s="32"/>
      <c r="N87" s="32"/>
      <c r="O87" s="32"/>
      <c r="P87" s="32"/>
      <c r="Q87" s="32"/>
      <c r="R87" s="32"/>
      <c r="S87" s="32"/>
      <c r="T87" s="32"/>
      <c r="U87" s="32"/>
      <c r="V87" s="636"/>
      <c r="W87" s="32"/>
      <c r="X87" s="32"/>
      <c r="Y87" s="32"/>
      <c r="Z87" s="32"/>
      <c r="AA87" s="32"/>
      <c r="AB87" s="32"/>
      <c r="AC87" s="32"/>
      <c r="AD87" s="32"/>
      <c r="AE87" s="32"/>
      <c r="AF87" s="636"/>
      <c r="AG87" s="32"/>
      <c r="AH87" s="32"/>
      <c r="AI87" s="32"/>
      <c r="AJ87" s="32"/>
      <c r="AK87" s="32"/>
      <c r="AL87" s="32"/>
      <c r="AM87" s="32"/>
      <c r="AN87" s="32"/>
      <c r="AO87" s="32"/>
      <c r="AP87" s="636"/>
      <c r="AQ87" s="32"/>
      <c r="AR87" s="32"/>
      <c r="AS87" s="32"/>
      <c r="AT87" s="32"/>
      <c r="AU87" s="32"/>
      <c r="AV87" s="32"/>
      <c r="AW87" s="32"/>
      <c r="AX87" s="32"/>
      <c r="AY87" s="32"/>
      <c r="AZ87" s="636"/>
      <c r="BA87" s="32"/>
      <c r="BB87" s="32"/>
      <c r="BC87" s="32"/>
      <c r="BD87" s="32"/>
      <c r="BE87" s="32"/>
      <c r="BF87" s="636"/>
      <c r="BG87" s="636"/>
      <c r="BH87" s="636"/>
      <c r="BI87" s="636"/>
      <c r="BJ87" s="871"/>
      <c r="BK87" s="871"/>
      <c r="BL87" s="565"/>
      <c r="BM87" s="565"/>
      <c r="BP87" s="620"/>
      <c r="BQ87" s="620"/>
    </row>
    <row r="88" spans="1:69" ht="12" customHeight="1">
      <c r="A88" s="119" t="s">
        <v>104</v>
      </c>
      <c r="B88" s="810" t="s">
        <v>3</v>
      </c>
      <c r="C88" s="45" t="s">
        <v>3</v>
      </c>
      <c r="D88" s="45" t="s">
        <v>3</v>
      </c>
      <c r="E88" s="220" t="s">
        <v>3</v>
      </c>
      <c r="F88" s="220" t="s">
        <v>3</v>
      </c>
      <c r="G88" s="220" t="s">
        <v>3</v>
      </c>
      <c r="H88" s="220" t="s">
        <v>3</v>
      </c>
      <c r="I88" s="220" t="s">
        <v>3</v>
      </c>
      <c r="J88" s="220" t="s">
        <v>3</v>
      </c>
      <c r="K88" s="220" t="s">
        <v>3</v>
      </c>
      <c r="L88" s="858" t="s">
        <v>3</v>
      </c>
      <c r="M88" s="220" t="s">
        <v>3</v>
      </c>
      <c r="N88" s="220" t="s">
        <v>3</v>
      </c>
      <c r="O88" s="220" t="s">
        <v>3</v>
      </c>
      <c r="P88" s="220" t="s">
        <v>3</v>
      </c>
      <c r="Q88" s="331" t="s">
        <v>3</v>
      </c>
      <c r="R88" s="331" t="s">
        <v>3</v>
      </c>
      <c r="S88" s="331" t="s">
        <v>3</v>
      </c>
      <c r="T88" s="331" t="s">
        <v>3</v>
      </c>
      <c r="U88" s="331" t="s">
        <v>3</v>
      </c>
      <c r="V88" s="335" t="s">
        <v>3</v>
      </c>
      <c r="W88" s="331" t="s">
        <v>3</v>
      </c>
      <c r="X88" s="331" t="s">
        <v>3</v>
      </c>
      <c r="Y88" s="331" t="s">
        <v>3</v>
      </c>
      <c r="Z88" s="331" t="s">
        <v>3</v>
      </c>
      <c r="AA88" s="331" t="s">
        <v>3</v>
      </c>
      <c r="AB88" s="331" t="s">
        <v>3</v>
      </c>
      <c r="AC88" s="331" t="s">
        <v>3</v>
      </c>
      <c r="AD88" s="331" t="s">
        <v>3</v>
      </c>
      <c r="AE88" s="331" t="s">
        <v>3</v>
      </c>
      <c r="AF88" s="335" t="s">
        <v>3</v>
      </c>
      <c r="AG88" s="331" t="s">
        <v>3</v>
      </c>
      <c r="AH88" s="331" t="s">
        <v>3</v>
      </c>
      <c r="AI88" s="331" t="s">
        <v>3</v>
      </c>
      <c r="AJ88" s="331" t="s">
        <v>3</v>
      </c>
      <c r="AK88" s="331" t="s">
        <v>3</v>
      </c>
      <c r="AL88" s="30">
        <f>SUM('MasterA1(current$)'!AL82)/0.76699</f>
        <v>6.5189898173379062</v>
      </c>
      <c r="AM88" s="30">
        <f>SUM('MasterA1(current$)'!AM82)/0.78012</f>
        <v>6.4092703686612316</v>
      </c>
      <c r="AN88" s="30">
        <f>SUM('MasterA1(current$)'!AN82)/0.78859</f>
        <v>6.3404303884147657</v>
      </c>
      <c r="AO88" s="30">
        <f>SUM('MasterA1(current$)'!AO82)/0.80065</f>
        <v>7.4939111971523138</v>
      </c>
      <c r="AP88" s="857">
        <f>SUM('MasterA1(current$)'!AP82)/0.81887</f>
        <v>8.5483654304102004</v>
      </c>
      <c r="AQ88" s="328">
        <f>SUM('MasterA1(current$)'!AQ82)/0.83754</f>
        <v>8.3578097762494927</v>
      </c>
      <c r="AR88" s="328">
        <f>SUM('MasterA1(current$)'!AR82)/0.85039</f>
        <v>9.4074483472289181</v>
      </c>
      <c r="AS88" s="328">
        <f>SUM('MasterA1(current$)'!AS82)/0.86735</f>
        <v>10.37643396552718</v>
      </c>
      <c r="AT88" s="328">
        <f>SUM('MasterA1(current$)'!AT82)/0.8912</f>
        <v>10.098743267504489</v>
      </c>
      <c r="AU88" s="328">
        <f>SUM('MasterA1(current$)'!AU82)/0.91988</f>
        <v>9.783884854546244</v>
      </c>
      <c r="AV88" s="328">
        <f>SUM('MasterA1(current$)'!AV82)/0.94814</f>
        <v>9.492269074187357</v>
      </c>
      <c r="AW88" s="328">
        <f>SUM('MasterA1(current$)'!AW82)/0.97337</f>
        <v>7.1915099088732966</v>
      </c>
      <c r="AX88" s="331">
        <f>SUM('MasterA1(current$)'!AX82*100)/99.246</f>
        <v>8.0607782681417888</v>
      </c>
      <c r="AY88" s="405">
        <f>SUM('MasterA1(current$)'!AY82)</f>
        <v>8</v>
      </c>
      <c r="AZ88" s="305">
        <f>SUM('MasterA1(current$)'!AZ82*100)/101.221</f>
        <v>7.9034982859288085</v>
      </c>
      <c r="BA88" s="284">
        <f>SUM('MasterA1(current$)'!BA82*100)/103.311</f>
        <v>7.7436091026125</v>
      </c>
      <c r="BB88" s="284">
        <f>SUM('MasterA1(current$)'!BB82*100)/105.214</f>
        <v>7.6035508582508031</v>
      </c>
      <c r="BC88" s="284">
        <f>SUM('MasterA1(current$)'!BC82*100)/106.913</f>
        <v>7.4827195944365981</v>
      </c>
      <c r="BD88" s="284">
        <f>SUM('MasterA1(current$)'!BD82*100)/108.832</f>
        <v>7.3507791825933557</v>
      </c>
      <c r="BE88" s="284">
        <f>SUM('MasterA1(current$)'!BE82*100)/110.012</f>
        <v>7.2719339708395445</v>
      </c>
      <c r="BF88" s="305">
        <f>SUM('MasterA1(current$)'!BF82*100)/111.416</f>
        <v>8.0778344223450862</v>
      </c>
      <c r="BG88" s="305">
        <f>SUM('MasterA1(current$)'!BG82*100)/113.116</f>
        <v>7.9564341030446624</v>
      </c>
      <c r="BH88" s="305">
        <f>SUM('MasterA1(current$)'!BH82*100)/114.716</f>
        <v>8.7171798179852864</v>
      </c>
      <c r="BI88" s="305">
        <f>SUM('MasterA1(current$)'!BI82*100)/116.416</f>
        <v>7.7308960967564602</v>
      </c>
      <c r="BJ88" s="410">
        <f>(BH88-BG88)/BG88</f>
        <v>9.5613902545804028E-2</v>
      </c>
      <c r="BK88" s="410">
        <f>(BI88-BH88)/BH88</f>
        <v>-0.11314252336448602</v>
      </c>
      <c r="BL88" s="564">
        <f>BH88-BG88</f>
        <v>0.76074571494062404</v>
      </c>
      <c r="BM88" s="564">
        <f>BI88-BH88</f>
        <v>-0.98628372122882624</v>
      </c>
      <c r="BN88" s="112"/>
      <c r="BO88" s="112"/>
      <c r="BP88" s="620"/>
      <c r="BQ88" s="620"/>
    </row>
    <row r="89" spans="1:69" ht="6" customHeight="1">
      <c r="A89" s="115"/>
      <c r="B89" s="636"/>
      <c r="C89" s="33"/>
      <c r="D89" s="33"/>
      <c r="E89" s="47"/>
      <c r="F89" s="47"/>
      <c r="G89" s="47"/>
      <c r="H89" s="47"/>
      <c r="I89" s="47"/>
      <c r="J89" s="47"/>
      <c r="K89" s="47"/>
      <c r="L89" s="281"/>
      <c r="M89" s="47"/>
      <c r="N89" s="47"/>
      <c r="O89" s="47"/>
      <c r="P89" s="47"/>
      <c r="Q89" s="47"/>
      <c r="R89" s="47"/>
      <c r="S89" s="47"/>
      <c r="T89" s="47"/>
      <c r="U89" s="47"/>
      <c r="V89" s="281"/>
      <c r="W89" s="47"/>
      <c r="X89" s="47"/>
      <c r="Y89" s="47"/>
      <c r="Z89" s="47"/>
      <c r="AA89" s="47"/>
      <c r="AB89" s="47"/>
      <c r="AC89" s="47"/>
      <c r="AD89" s="47"/>
      <c r="AE89" s="47"/>
      <c r="AF89" s="281"/>
      <c r="AG89" s="47"/>
      <c r="AH89" s="47"/>
      <c r="AI89" s="47"/>
      <c r="AJ89" s="47"/>
      <c r="AK89" s="47"/>
      <c r="AL89" s="47"/>
      <c r="AM89" s="152"/>
      <c r="AN89" s="152"/>
      <c r="AO89" s="152"/>
      <c r="AP89" s="857"/>
      <c r="AQ89" s="328"/>
      <c r="AR89" s="328"/>
      <c r="AS89" s="328"/>
      <c r="AT89" s="328"/>
      <c r="AU89" s="328"/>
      <c r="AV89" s="89"/>
      <c r="AW89" s="89"/>
      <c r="AX89" s="220"/>
      <c r="AY89" s="373"/>
      <c r="AZ89" s="658"/>
      <c r="BA89" s="373"/>
      <c r="BB89" s="373"/>
      <c r="BC89" s="373"/>
      <c r="BD89" s="373"/>
      <c r="BE89" s="373"/>
      <c r="BF89" s="658"/>
      <c r="BG89" s="658"/>
      <c r="BH89" s="658"/>
      <c r="BI89" s="658"/>
      <c r="BJ89" s="410"/>
      <c r="BK89" s="410"/>
      <c r="BL89" s="566"/>
      <c r="BM89" s="566"/>
      <c r="BP89" s="620"/>
      <c r="BQ89" s="620"/>
    </row>
    <row r="90" spans="1:69" ht="11.25" customHeight="1">
      <c r="A90" s="119" t="s">
        <v>125</v>
      </c>
      <c r="B90" s="810" t="s">
        <v>3</v>
      </c>
      <c r="C90" s="45" t="s">
        <v>3</v>
      </c>
      <c r="D90" s="45" t="s">
        <v>3</v>
      </c>
      <c r="E90" s="220" t="s">
        <v>3</v>
      </c>
      <c r="F90" s="220" t="s">
        <v>3</v>
      </c>
      <c r="G90" s="220" t="s">
        <v>3</v>
      </c>
      <c r="H90" s="220" t="s">
        <v>3</v>
      </c>
      <c r="I90" s="220" t="s">
        <v>3</v>
      </c>
      <c r="J90" s="220" t="s">
        <v>3</v>
      </c>
      <c r="K90" s="220" t="s">
        <v>3</v>
      </c>
      <c r="L90" s="858" t="s">
        <v>3</v>
      </c>
      <c r="M90" s="220" t="s">
        <v>3</v>
      </c>
      <c r="N90" s="220" t="s">
        <v>3</v>
      </c>
      <c r="O90" s="220" t="s">
        <v>3</v>
      </c>
      <c r="P90" s="220" t="s">
        <v>3</v>
      </c>
      <c r="Q90" s="331" t="s">
        <v>3</v>
      </c>
      <c r="R90" s="331" t="s">
        <v>3</v>
      </c>
      <c r="S90" s="331" t="s">
        <v>3</v>
      </c>
      <c r="T90" s="331" t="s">
        <v>3</v>
      </c>
      <c r="U90" s="331" t="s">
        <v>3</v>
      </c>
      <c r="V90" s="335" t="s">
        <v>3</v>
      </c>
      <c r="W90" s="331" t="s">
        <v>3</v>
      </c>
      <c r="X90" s="30">
        <f>SUM('MasterA1(current$)'!X84)/0.5153</f>
        <v>3.8812342324859306</v>
      </c>
      <c r="Y90" s="30">
        <f>SUM('MasterA1(current$)'!Y84)/0.53565</f>
        <v>3.7337813870997856</v>
      </c>
      <c r="Z90" s="30">
        <f>SUM('MasterA1(current$)'!Z84)/0.55466</f>
        <v>3.6058125698626182</v>
      </c>
      <c r="AA90" s="30">
        <f>SUM('MasterA1(current$)'!AA84)/0.5724</f>
        <v>3.4940600978336827</v>
      </c>
      <c r="AB90" s="30">
        <f>SUM('MasterA1(current$)'!AB84)/0.58395</f>
        <v>3.4249507663327341</v>
      </c>
      <c r="AC90" s="30">
        <f>SUM('MasterA1(current$)'!AC84)/0.59885</f>
        <v>3.3397344911079569</v>
      </c>
      <c r="AD90" s="30">
        <f>SUM('MasterA1(current$)'!AD84)/0.61982</f>
        <v>3.2267432480397531</v>
      </c>
      <c r="AE90" s="30">
        <f>SUM('MasterA1(current$)'!AE84)/0.64392</f>
        <v>3.105975897627034</v>
      </c>
      <c r="AF90" s="270">
        <f>SUM('MasterA1(current$)'!AF84)/0.66773</f>
        <v>2.9952226199212255</v>
      </c>
      <c r="AG90" s="30">
        <f>SUM('MasterA1(current$)'!AG84)/0.68996</f>
        <v>4.3480781494579395</v>
      </c>
      <c r="AH90" s="30">
        <f>SUM('MasterA1(current$)'!AH84)/0.70569</f>
        <v>4.2511584406750833</v>
      </c>
      <c r="AI90" s="30">
        <f>SUM('MasterA1(current$)'!AI84)/0.72248</f>
        <v>4.1523640792824716</v>
      </c>
      <c r="AJ90" s="30">
        <f>SUM('MasterA1(current$)'!AJ84)/0.73785</f>
        <v>4.0658670461475905</v>
      </c>
      <c r="AK90" s="30">
        <f>SUM('MasterA1(current$)'!AK84)/0.75324</f>
        <v>3.982794328500876</v>
      </c>
      <c r="AL90" s="30">
        <f>SUM('MasterA1(current$)'!AL84)/0.76699</f>
        <v>3.9113938904027434</v>
      </c>
      <c r="AM90" s="30">
        <f>SUM('MasterA1(current$)'!AM84)/0.78012</f>
        <v>6.4092703686612316</v>
      </c>
      <c r="AN90" s="30">
        <f>SUM('MasterA1(current$)'!AN84)/0.78859</f>
        <v>5.072344310731812</v>
      </c>
      <c r="AO90" s="30">
        <f>SUM('MasterA1(current$)'!AO84)/0.80065</f>
        <v>4.9959407981015422</v>
      </c>
      <c r="AP90" s="857">
        <f>SUM('MasterA1(current$)'!AP84)/0.81887</f>
        <v>4.8847802459486855</v>
      </c>
      <c r="AQ90" s="328">
        <f>SUM('MasterA1(current$)'!AQ84)/0.83754</f>
        <v>5.9698641258924949</v>
      </c>
      <c r="AR90" s="328">
        <f>SUM('MasterA1(current$)'!AR84)/0.85039</f>
        <v>7.0555862604216895</v>
      </c>
      <c r="AS90" s="328">
        <f>SUM('MasterA1(current$)'!AS84)/0.86735</f>
        <v>6.917622643684787</v>
      </c>
      <c r="AT90" s="328">
        <f>SUM('MasterA1(current$)'!AT84)/0.8912</f>
        <v>6.7324955116696588</v>
      </c>
      <c r="AU90" s="328">
        <f>SUM('MasterA1(current$)'!AU84)/0.91988</f>
        <v>6.5225899030308296</v>
      </c>
      <c r="AV90" s="328">
        <f>SUM('MasterA1(current$)'!AV84)/0.94814</f>
        <v>5.2734828189929761</v>
      </c>
      <c r="AW90" s="328">
        <f>SUM('MasterA1(current$)'!AW84)/0.97337</f>
        <v>6.1641513504628254</v>
      </c>
      <c r="AX90" s="331">
        <f>SUM('MasterA1(current$)'!AX84*100)/99.246</f>
        <v>6.0455837011063425</v>
      </c>
      <c r="AY90" s="405">
        <f>SUM('MasterA1(current$)'!AY84)</f>
        <v>7</v>
      </c>
      <c r="AZ90" s="305">
        <f>SUM('MasterA1(current$)'!AZ84*100)/101.221</f>
        <v>6.9155610001877079</v>
      </c>
      <c r="BA90" s="284">
        <f>SUM('MasterA1(current$)'!BA84*100)/103.311</f>
        <v>6.7756579647859372</v>
      </c>
      <c r="BB90" s="284">
        <f>SUM('MasterA1(current$)'!BB84*100)/105.214</f>
        <v>6.6531070009694524</v>
      </c>
      <c r="BC90" s="284">
        <f>SUM('MasterA1(current$)'!BC84*100)/106.913</f>
        <v>6.5473796451320236</v>
      </c>
      <c r="BD90" s="284">
        <f>SUM('MasterA1(current$)'!BD84*100)/108.832</f>
        <v>6.4319317847691861</v>
      </c>
      <c r="BE90" s="284">
        <f>SUM('MasterA1(current$)'!BE84*100)/110.012</f>
        <v>6.3629422244846019</v>
      </c>
      <c r="BF90" s="305">
        <f>SUM('MasterA1(current$)'!BF84*100)/111.416</f>
        <v>7.1802972643067422</v>
      </c>
      <c r="BG90" s="305">
        <f>SUM('MasterA1(current$)'!BG84*100)/113.116</f>
        <v>7.0723858693730328</v>
      </c>
      <c r="BH90" s="305">
        <f>SUM('MasterA1(current$)'!BH84*100)/114.716</f>
        <v>6.9737438543882284</v>
      </c>
      <c r="BI90" s="305">
        <f>SUM('MasterA1(current$)'!BI84*100)/116.416</f>
        <v>6.8719076415612976</v>
      </c>
      <c r="BJ90" s="410">
        <f>(BH90-BG90)/BG90</f>
        <v>-1.3947487708776419E-2</v>
      </c>
      <c r="BK90" s="410">
        <f>(BI90-BH90)/BH90</f>
        <v>-1.460280373831774E-2</v>
      </c>
      <c r="BL90" s="564">
        <f>BH90-BG90</f>
        <v>-9.8642014984804405E-2</v>
      </c>
      <c r="BM90" s="564">
        <f>BI90-BH90</f>
        <v>-0.10183621282693078</v>
      </c>
      <c r="BN90" s="112"/>
      <c r="BO90" s="112"/>
      <c r="BP90" s="620"/>
      <c r="BQ90" s="620"/>
    </row>
    <row r="91" spans="1:69" ht="6" customHeight="1">
      <c r="A91" s="115"/>
      <c r="B91" s="636"/>
      <c r="C91" s="33"/>
      <c r="D91" s="33"/>
      <c r="E91" s="47"/>
      <c r="F91" s="47"/>
      <c r="G91" s="47"/>
      <c r="H91" s="47"/>
      <c r="I91" s="47"/>
      <c r="J91" s="47"/>
      <c r="K91" s="47"/>
      <c r="L91" s="281"/>
      <c r="M91" s="47"/>
      <c r="N91" s="47"/>
      <c r="O91" s="47"/>
      <c r="P91" s="47"/>
      <c r="Q91" s="47"/>
      <c r="R91" s="47"/>
      <c r="S91" s="47"/>
      <c r="T91" s="47"/>
      <c r="U91" s="47"/>
      <c r="V91" s="281"/>
      <c r="W91" s="47"/>
      <c r="X91" s="47"/>
      <c r="Y91" s="47"/>
      <c r="Z91" s="47"/>
      <c r="AA91" s="47"/>
      <c r="AB91" s="47"/>
      <c r="AC91" s="47"/>
      <c r="AD91" s="47"/>
      <c r="AE91" s="47"/>
      <c r="AF91" s="281"/>
      <c r="AG91" s="47"/>
      <c r="AH91" s="47"/>
      <c r="AI91" s="47"/>
      <c r="AJ91" s="47"/>
      <c r="AK91" s="47"/>
      <c r="AL91" s="47"/>
      <c r="AM91" s="488"/>
      <c r="AN91" s="488"/>
      <c r="AO91" s="488"/>
      <c r="AP91" s="857"/>
      <c r="AQ91" s="328"/>
      <c r="AR91" s="328"/>
      <c r="AS91" s="328"/>
      <c r="AT91" s="328"/>
      <c r="AU91" s="328"/>
      <c r="AV91" s="328"/>
      <c r="AW91" s="328"/>
      <c r="AX91" s="331"/>
      <c r="AY91" s="284"/>
      <c r="AZ91" s="305"/>
      <c r="BA91" s="284"/>
      <c r="BB91" s="284"/>
      <c r="BC91" s="284"/>
      <c r="BD91" s="284"/>
      <c r="BE91" s="284"/>
      <c r="BF91" s="305"/>
      <c r="BG91" s="305"/>
      <c r="BH91" s="305"/>
      <c r="BI91" s="305"/>
      <c r="BJ91" s="871"/>
      <c r="BK91" s="871"/>
      <c r="BL91" s="565"/>
      <c r="BM91" s="565"/>
      <c r="BP91" s="620"/>
      <c r="BQ91" s="620"/>
    </row>
    <row r="92" spans="1:69" ht="11.25" customHeight="1">
      <c r="A92" s="115" t="s">
        <v>16</v>
      </c>
      <c r="B92" s="810" t="s">
        <v>3</v>
      </c>
      <c r="C92" s="45" t="s">
        <v>3</v>
      </c>
      <c r="D92" s="45" t="s">
        <v>3</v>
      </c>
      <c r="E92" s="220" t="s">
        <v>3</v>
      </c>
      <c r="F92" s="220" t="s">
        <v>3</v>
      </c>
      <c r="G92" s="220" t="s">
        <v>3</v>
      </c>
      <c r="H92" s="30">
        <f>SUM('MasterA1(current$)'!H86)/0.19227</f>
        <v>15.603058199407084</v>
      </c>
      <c r="I92" s="30">
        <f>SUM('MasterA1(current$)'!I86)/0.19786</f>
        <v>25.270393207318303</v>
      </c>
      <c r="J92" s="30">
        <f>SUM('MasterA1(current$)'!J86)/0.20627</f>
        <v>29.088088427788819</v>
      </c>
      <c r="K92" s="30">
        <f>SUM('MasterA1(current$)'!K86)/0.21642</f>
        <v>41.585805378430827</v>
      </c>
      <c r="L92" s="270">
        <f>SUM('MasterA1(current$)'!L86)/0.22784</f>
        <v>52.668539325842701</v>
      </c>
      <c r="M92" s="30">
        <f>SUM('MasterA1(current$)'!M86)/0.23941</f>
        <v>66.830959441961483</v>
      </c>
      <c r="N92" s="30">
        <f>SUM('MasterA1(current$)'!N86)/0.24978</f>
        <v>84.073985106894071</v>
      </c>
      <c r="O92" s="30">
        <f>SUM('MasterA1(current$)'!O86)/0.26337</f>
        <v>106.31431066560353</v>
      </c>
      <c r="P92" s="30">
        <f>SUM('MasterA1(current$)'!P86)/0.28703</f>
        <v>153.29408075810889</v>
      </c>
      <c r="Q92" s="30">
        <f>SUM('MasterA1(current$)'!Q86)/0.31361</f>
        <v>178.56573451101687</v>
      </c>
      <c r="R92" s="30">
        <f>SUM('MasterA1(current$)'!R86)/0.33083</f>
        <v>178.3393283559532</v>
      </c>
      <c r="S92" s="30">
        <f>SUM('MasterA1(current$)'!S86)/0.35135</f>
        <v>204.92386509178883</v>
      </c>
      <c r="T92" s="30">
        <f>SUM('MasterA1(current$)'!T86)/0.37602</f>
        <v>196.79804265730544</v>
      </c>
      <c r="U92" s="30">
        <f>SUM('MasterA1(current$)'!U86)/0.40706</f>
        <v>226.01090748292637</v>
      </c>
      <c r="V92" s="270">
        <f>SUM('MasterA1(current$)'!V86)/0.44377</f>
        <v>295.19796290871398</v>
      </c>
      <c r="W92" s="30">
        <f>SUM('MasterA1(current$)'!W86)/0.4852</f>
        <v>276.17477328936519</v>
      </c>
      <c r="X92" s="30">
        <f>SUM('MasterA1(current$)'!X86)/0.5153</f>
        <v>267.80516204152923</v>
      </c>
      <c r="Y92" s="30">
        <f>SUM('MasterA1(current$)'!Y86)/0.53565</f>
        <v>266.96536917763467</v>
      </c>
      <c r="Z92" s="30">
        <f>SUM('MasterA1(current$)'!Z86)/0.55466</f>
        <v>274.04175530955899</v>
      </c>
      <c r="AA92" s="30">
        <f>SUM('MasterA1(current$)'!AA86)/0.5724</f>
        <v>276.03074772886094</v>
      </c>
      <c r="AB92" s="30">
        <f>SUM('MasterA1(current$)'!AB86)/0.58395</f>
        <v>272.28358592345239</v>
      </c>
      <c r="AC92" s="30">
        <f>SUM('MasterA1(current$)'!AC86)/0.59885</f>
        <v>263.83902479752862</v>
      </c>
      <c r="AD92" s="30">
        <f>SUM('MasterA1(current$)'!AD86)/0.61982</f>
        <v>283.95340582749827</v>
      </c>
      <c r="AE92" s="30">
        <f>SUM('MasterA1(current$)'!AE86)/0.64392</f>
        <v>282.64380668406011</v>
      </c>
      <c r="AF92" s="270">
        <f>SUM('MasterA1(current$)'!AF86)/0.66773</f>
        <v>271.06764710287092</v>
      </c>
      <c r="AG92" s="30">
        <f>SUM('MasterA1(current$)'!AG86)/0.68996</f>
        <v>279.72636094846075</v>
      </c>
      <c r="AH92" s="30">
        <f>SUM('MasterA1(current$)'!AH86)/0.70569</f>
        <v>296.16403803369752</v>
      </c>
      <c r="AI92" s="30">
        <f>SUM('MasterA1(current$)'!AI86)/0.72248</f>
        <v>301.7384564278596</v>
      </c>
      <c r="AJ92" s="30">
        <f>SUM('MasterA1(current$)'!AJ86)/0.73785</f>
        <v>311.71647353798198</v>
      </c>
      <c r="AK92" s="30">
        <f>SUM('MasterA1(current$)'!AK86)/0.75324</f>
        <v>310.65795762306834</v>
      </c>
      <c r="AL92" s="30">
        <f>SUM('MasterA1(current$)'!AL86)/0.76699</f>
        <v>293.35454178020575</v>
      </c>
      <c r="AM92" s="30">
        <f>SUM('MasterA1(current$)'!AM86)/0.78012</f>
        <v>297.39014510588112</v>
      </c>
      <c r="AN92" s="30">
        <f>SUM('MasterA1(current$)'!AN86)/0.78859</f>
        <v>306.87683079927467</v>
      </c>
      <c r="AO92" s="30">
        <f>SUM('MasterA1(current$)'!AO86)/0.80065</f>
        <v>319.7402110784987</v>
      </c>
      <c r="AP92" s="857">
        <f>SUM('MasterA1(current$)'!AP86)/0.81887</f>
        <v>354.1465678312797</v>
      </c>
      <c r="AQ92" s="328">
        <f>SUM('MasterA1(current$)'!AQ86)/0.83754</f>
        <v>365.35568450462068</v>
      </c>
      <c r="AR92" s="328">
        <f>SUM('MasterA1(current$)'!AR86)/0.85039</f>
        <v>382.17758910617482</v>
      </c>
      <c r="AS92" s="328">
        <f>SUM('MasterA1(current$)'!AS86)/0.86735</f>
        <v>363.17518879345135</v>
      </c>
      <c r="AT92" s="328">
        <f>SUM('MasterA1(current$)'!AT86)/0.8912</f>
        <v>364.67684021543988</v>
      </c>
      <c r="AU92" s="328">
        <f>SUM('MasterA1(current$)'!AU86)/0.91988</f>
        <v>347.87146149497761</v>
      </c>
      <c r="AV92" s="328">
        <f>SUM('MasterA1(current$)'!AV86)/0.94814</f>
        <v>337.50290041555047</v>
      </c>
      <c r="AW92" s="328">
        <f>SUM('MasterA1(current$)'!AW86)/0.97337</f>
        <v>331.83681436658208</v>
      </c>
      <c r="AX92" s="331">
        <f>SUM('MasterA1(current$)'!AX86*100)/99.246</f>
        <v>321.42353344215388</v>
      </c>
      <c r="AY92" s="405">
        <f>SUM('MasterA1(current$)'!AY86)</f>
        <v>350</v>
      </c>
      <c r="AZ92" s="305">
        <f>SUM('MasterA1(current$)'!AZ86*100)/101.221</f>
        <v>351.70567372383198</v>
      </c>
      <c r="BA92" s="284">
        <f>SUM('MasterA1(current$)'!BA86*100)/103.311</f>
        <v>371.69323692539996</v>
      </c>
      <c r="BB92" s="284">
        <f>SUM('MasterA1(current$)'!BB86*100)/105.214</f>
        <v>342.15978862128617</v>
      </c>
      <c r="BC92" s="284">
        <f>SUM('MasterA1(current$)'!BC86*100)/106.913</f>
        <v>318.95092271286001</v>
      </c>
      <c r="BD92" s="284">
        <f>SUM('MasterA1(current$)'!BD86*100)/108.832</f>
        <v>313.32696265804179</v>
      </c>
      <c r="BE92" s="284">
        <f>SUM('MasterA1(current$)'!BE86*100)/110.012</f>
        <v>330.87299567319928</v>
      </c>
      <c r="BF92" s="305">
        <f>SUM('MasterA1(current$)'!BF86*100)/111.416</f>
        <v>324.01091405184178</v>
      </c>
      <c r="BG92" s="305">
        <f>SUM('MasterA1(current$)'!BG86*100)/113.116</f>
        <v>321.79355705647299</v>
      </c>
      <c r="BH92" s="305">
        <f>SUM('MasterA1(current$)'!BH86*100)/114.716</f>
        <v>326.89424317444821</v>
      </c>
      <c r="BI92" s="305">
        <f>SUM('MasterA1(current$)'!BI86*100)/116.416</f>
        <v>312.67179769103905</v>
      </c>
      <c r="BJ92" s="410">
        <f>(BH92-BG92)/BG92</f>
        <v>1.5850802497826496E-2</v>
      </c>
      <c r="BK92" s="410">
        <f>(BI92-BH92)/BH92</f>
        <v>-4.3507788161993736E-2</v>
      </c>
      <c r="BL92" s="564">
        <f>BH92-BG92</f>
        <v>5.100686117975215</v>
      </c>
      <c r="BM92" s="564">
        <f>BI92-BH92</f>
        <v>-14.22244548340916</v>
      </c>
      <c r="BN92" s="112"/>
      <c r="BO92" s="112"/>
      <c r="BP92" s="620"/>
      <c r="BQ92" s="620"/>
    </row>
    <row r="93" spans="1:69" ht="6" customHeight="1">
      <c r="A93" s="115"/>
      <c r="B93" s="636"/>
      <c r="C93" s="33"/>
      <c r="D93" s="33"/>
      <c r="E93" s="47"/>
      <c r="F93" s="47"/>
      <c r="G93" s="47"/>
      <c r="H93" s="47"/>
      <c r="I93" s="47"/>
      <c r="J93" s="47"/>
      <c r="K93" s="47"/>
      <c r="L93" s="281"/>
      <c r="M93" s="47"/>
      <c r="N93" s="47"/>
      <c r="O93" s="47"/>
      <c r="P93" s="47"/>
      <c r="Q93" s="47"/>
      <c r="R93" s="47"/>
      <c r="S93" s="47"/>
      <c r="T93" s="47"/>
      <c r="U93" s="47"/>
      <c r="V93" s="281"/>
      <c r="W93" s="47"/>
      <c r="X93" s="47"/>
      <c r="Y93" s="47"/>
      <c r="Z93" s="47"/>
      <c r="AA93" s="47"/>
      <c r="AB93" s="47"/>
      <c r="AC93" s="47"/>
      <c r="AD93" s="47"/>
      <c r="AE93" s="47"/>
      <c r="AF93" s="281"/>
      <c r="AG93" s="47"/>
      <c r="AH93" s="47"/>
      <c r="AI93" s="47"/>
      <c r="AJ93" s="47"/>
      <c r="AK93" s="47"/>
      <c r="AL93" s="47"/>
      <c r="AM93" s="488"/>
      <c r="AN93" s="488"/>
      <c r="AO93" s="488"/>
      <c r="AP93" s="857"/>
      <c r="AQ93" s="328"/>
      <c r="AR93" s="328"/>
      <c r="AS93" s="328"/>
      <c r="AT93" s="328"/>
      <c r="AU93" s="328"/>
      <c r="AV93" s="328"/>
      <c r="AW93" s="328"/>
      <c r="AX93" s="331"/>
      <c r="AY93" s="284"/>
      <c r="AZ93" s="305"/>
      <c r="BA93" s="284"/>
      <c r="BB93" s="284"/>
      <c r="BC93" s="284"/>
      <c r="BD93" s="284"/>
      <c r="BE93" s="284"/>
      <c r="BF93" s="305"/>
      <c r="BG93" s="305"/>
      <c r="BH93" s="305"/>
      <c r="BI93" s="305"/>
      <c r="BJ93" s="410"/>
      <c r="BK93" s="410"/>
      <c r="BL93" s="566"/>
      <c r="BM93" s="566"/>
      <c r="BP93" s="620"/>
      <c r="BQ93" s="620"/>
    </row>
    <row r="94" spans="1:69" ht="11.25" customHeight="1">
      <c r="A94" s="115" t="s">
        <v>13</v>
      </c>
      <c r="B94" s="667">
        <f>SUM('MasterA1(current$)'!B88)/0.1756</f>
        <v>85.421412300683372</v>
      </c>
      <c r="C94" s="49">
        <f>SUM('MasterA1(current$)'!C88)/0.178</f>
        <v>101.12359550561798</v>
      </c>
      <c r="D94" s="49">
        <f>SUM('MasterA1(current$)'!D88)/0.1798</f>
        <v>111.23470522803116</v>
      </c>
      <c r="E94" s="30">
        <f>SUM('MasterA1(current$)'!E88)/0.182</f>
        <v>115.38461538461539</v>
      </c>
      <c r="F94" s="30">
        <f>SUM('MasterA1(current$)'!F88)/0.1842</f>
        <v>119.43539630836048</v>
      </c>
      <c r="G94" s="30">
        <f>SUM('MasterA1(current$)'!G88)/0.18702</f>
        <v>133.67554272270345</v>
      </c>
      <c r="H94" s="30">
        <f>SUM('MasterA1(current$)'!H88)/0.19227</f>
        <v>145.62854319446612</v>
      </c>
      <c r="I94" s="30">
        <f>SUM('MasterA1(current$)'!I88)/0.19786</f>
        <v>151.62235924390984</v>
      </c>
      <c r="J94" s="30">
        <f>SUM('MasterA1(current$)'!J88)/0.20627</f>
        <v>155.1364716148737</v>
      </c>
      <c r="K94" s="30">
        <f>SUM('MasterA1(current$)'!K88)/0.21642</f>
        <v>157.10193142962757</v>
      </c>
      <c r="L94" s="270">
        <f>SUM('MasterA1(current$)'!L88)/0.22784</f>
        <v>166.78370786516854</v>
      </c>
      <c r="M94" s="30">
        <f>SUM('MasterA1(current$)'!M88)/0.23941</f>
        <v>171.25433357002632</v>
      </c>
      <c r="N94" s="30">
        <f>SUM('MasterA1(current$)'!N88)/0.24978</f>
        <v>188.16558571542959</v>
      </c>
      <c r="O94" s="30">
        <f>SUM('MasterA1(current$)'!O88)/0.26337</f>
        <v>182.25310399817747</v>
      </c>
      <c r="P94" s="30">
        <f>SUM('MasterA1(current$)'!P88)/0.28703</f>
        <v>191.61760094763613</v>
      </c>
      <c r="Q94" s="30">
        <f>SUM('MasterA1(current$)'!Q88)/0.31361</f>
        <v>194.50910366378622</v>
      </c>
      <c r="R94" s="30">
        <f>SUM('MasterA1(current$)'!R88)/0.33083</f>
        <v>205.5436326814376</v>
      </c>
      <c r="S94" s="30">
        <f>SUM('MasterA1(current$)'!S88)/0.35135</f>
        <v>230.53934822826241</v>
      </c>
      <c r="T94" s="30">
        <f>SUM('MasterA1(current$)'!T88)/0.37602</f>
        <v>242.00840380830806</v>
      </c>
      <c r="U94" s="30">
        <f>SUM('MasterA1(current$)'!U88)/0.40706</f>
        <v>238.29410897656368</v>
      </c>
      <c r="V94" s="270">
        <f>SUM('MasterA1(current$)'!V88)/0.44377</f>
        <v>245.62273249656354</v>
      </c>
      <c r="W94" s="30">
        <f>SUM('MasterA1(current$)'!W88)/0.4852</f>
        <v>237.0156636438582</v>
      </c>
      <c r="X94" s="30">
        <f>SUM('MasterA1(current$)'!X88)/0.5153</f>
        <v>232.87405394915584</v>
      </c>
      <c r="Y94" s="30">
        <f>SUM('MasterA1(current$)'!Y88)/0.53565</f>
        <v>229.62755530663682</v>
      </c>
      <c r="Z94" s="30">
        <f>SUM('MasterA1(current$)'!Z88)/0.55466</f>
        <v>234.37781704107019</v>
      </c>
      <c r="AA94" s="30">
        <f>SUM('MasterA1(current$)'!AA88)/0.5724</f>
        <v>234.10202655485674</v>
      </c>
      <c r="AB94" s="30">
        <f>SUM('MasterA1(current$)'!AB88)/0.58395</f>
        <v>226.04675057796047</v>
      </c>
      <c r="AC94" s="30">
        <f>SUM('MasterA1(current$)'!AC88)/0.59885</f>
        <v>212.07314018535527</v>
      </c>
      <c r="AD94" s="30">
        <f>SUM('MasterA1(current$)'!AD88)/0.61982</f>
        <v>212.9650543706237</v>
      </c>
      <c r="AE94" s="30">
        <f>SUM('MasterA1(current$)'!AE88)/0.64392</f>
        <v>211.20636103863833</v>
      </c>
      <c r="AF94" s="270">
        <f>SUM('MasterA1(current$)'!AF88)/0.66773</f>
        <v>212.660806014407</v>
      </c>
      <c r="AG94" s="30">
        <f>SUM('MasterA1(current$)'!AG88)/0.68996</f>
        <v>207.25839179082845</v>
      </c>
      <c r="AH94" s="30">
        <f>SUM('MasterA1(current$)'!AH88)/0.70569</f>
        <v>219.64318610154598</v>
      </c>
      <c r="AI94" s="30">
        <f>SUM('MasterA1(current$)'!AI88)/0.72248</f>
        <v>236.68475251910087</v>
      </c>
      <c r="AJ94" s="30">
        <f>SUM('MasterA1(current$)'!AJ88)/0.73785</f>
        <v>234.46499966117776</v>
      </c>
      <c r="AK94" s="30">
        <f>SUM('MasterA1(current$)'!AK88)/0.75324</f>
        <v>231.00207105305083</v>
      </c>
      <c r="AL94" s="30">
        <f>SUM('MasterA1(current$)'!AL88)/0.76699</f>
        <v>216.43046193561847</v>
      </c>
      <c r="AM94" s="30">
        <f>SUM('MasterA1(current$)'!AM88)/0.78012</f>
        <v>224.32446290314309</v>
      </c>
      <c r="AN94" s="30">
        <f>SUM('MasterA1(current$)'!AN88)/0.78859</f>
        <v>224.4512357498827</v>
      </c>
      <c r="AO94" s="30">
        <f>SUM('MasterA1(current$)'!AO88)/0.80065</f>
        <v>227.3153063136202</v>
      </c>
      <c r="AP94" s="857">
        <f>SUM('MasterA1(current$)'!AP88)/0.81887</f>
        <v>241.79662217445994</v>
      </c>
      <c r="AQ94" s="328">
        <f>SUM('MasterA1(current$)'!AQ88)/0.83754</f>
        <v>278.19566826659025</v>
      </c>
      <c r="AR94" s="328">
        <f>SUM('MasterA1(current$)'!AR88)/0.85039</f>
        <v>270.4641399828314</v>
      </c>
      <c r="AS94" s="328">
        <f>SUM('MasterA1(current$)'!AS88)/0.86735</f>
        <v>266.32847178186432</v>
      </c>
      <c r="AT94" s="328">
        <f>SUM('MasterA1(current$)'!AT88)/0.8912</f>
        <v>272.66606822262116</v>
      </c>
      <c r="AU94" s="328">
        <f>SUM('MasterA1(current$)'!AU88)/0.91988</f>
        <v>266.33908770709223</v>
      </c>
      <c r="AV94" s="328">
        <f>SUM('MasterA1(current$)'!AV88)/0.94814</f>
        <v>262.61944438585022</v>
      </c>
      <c r="AW94" s="328">
        <f>SUM('MasterA1(current$)'!AW88)/0.97337</f>
        <v>259.92171527784916</v>
      </c>
      <c r="AX94" s="331">
        <f>SUM('MasterA1(current$)'!AX88*100)/99.246</f>
        <v>251.89932087943092</v>
      </c>
      <c r="AY94" s="405">
        <f>SUM('MasterA1(current$)'!AY88)</f>
        <v>256</v>
      </c>
      <c r="AZ94" s="305">
        <f>SUM('MasterA1(current$)'!AZ88*100)/101.221</f>
        <v>268.71894172157948</v>
      </c>
      <c r="BA94" s="284">
        <f>SUM('MasterA1(current$)'!BA88*100)/103.311</f>
        <v>282.64173224535625</v>
      </c>
      <c r="BB94" s="284">
        <f>SUM('MasterA1(current$)'!BB88*100)/105.214</f>
        <v>263.27294846693405</v>
      </c>
      <c r="BC94" s="284">
        <f>SUM('MasterA1(current$)'!BC88*100)/106.913</f>
        <v>248.80042651501688</v>
      </c>
      <c r="BD94" s="284">
        <f>SUM('MasterA1(current$)'!BD88*100)/108.832</f>
        <v>242.57571302558074</v>
      </c>
      <c r="BE94" s="284">
        <f>SUM('MasterA1(current$)'!BE88*100)/110.012</f>
        <v>246.33676326218958</v>
      </c>
      <c r="BF94" s="305">
        <f>SUM('MasterA1(current$)'!BF88*100)/111.416</f>
        <v>243.23256982839089</v>
      </c>
      <c r="BG94" s="305">
        <f>SUM('MasterA1(current$)'!BG88*100)/113.116</f>
        <v>242.22921602602639</v>
      </c>
      <c r="BH94" s="305">
        <f>SUM('MasterA1(current$)'!BH88*100)/114.716</f>
        <v>237.10729104919977</v>
      </c>
      <c r="BI94" s="305">
        <f>SUM('MasterA1(current$)'!BI88*100)/116.416</f>
        <v>213.88812534359539</v>
      </c>
      <c r="BJ94" s="410">
        <f>(BH94-BG94)/BG94</f>
        <v>-2.1144951302143059E-2</v>
      </c>
      <c r="BK94" s="410">
        <f>(BI94-BH94)/BH94</f>
        <v>-9.792683136338648E-2</v>
      </c>
      <c r="BL94" s="564">
        <f>BH94-BG94</f>
        <v>-5.1219249768266195</v>
      </c>
      <c r="BM94" s="564">
        <f>BI94-BH94</f>
        <v>-23.219165705604382</v>
      </c>
      <c r="BN94" s="112"/>
      <c r="BO94" s="112"/>
      <c r="BP94" s="620"/>
      <c r="BQ94" s="620"/>
    </row>
    <row r="95" spans="1:69" ht="6" customHeight="1">
      <c r="A95" s="115"/>
      <c r="B95" s="636"/>
      <c r="C95" s="33"/>
      <c r="D95" s="33"/>
      <c r="E95" s="47"/>
      <c r="F95" s="47"/>
      <c r="G95" s="47"/>
      <c r="H95" s="47"/>
      <c r="I95" s="47"/>
      <c r="J95" s="47"/>
      <c r="K95" s="47"/>
      <c r="L95" s="281"/>
      <c r="M95" s="47"/>
      <c r="N95" s="47"/>
      <c r="O95" s="47"/>
      <c r="P95" s="47"/>
      <c r="Q95" s="47"/>
      <c r="R95" s="47"/>
      <c r="S95" s="47"/>
      <c r="T95" s="47"/>
      <c r="U95" s="47"/>
      <c r="V95" s="281"/>
      <c r="W95" s="47"/>
      <c r="X95" s="47"/>
      <c r="Y95" s="47"/>
      <c r="Z95" s="47"/>
      <c r="AA95" s="47"/>
      <c r="AB95" s="47"/>
      <c r="AC95" s="47"/>
      <c r="AD95" s="47"/>
      <c r="AE95" s="47"/>
      <c r="AF95" s="281"/>
      <c r="AG95" s="47"/>
      <c r="AH95" s="47"/>
      <c r="AI95" s="47"/>
      <c r="AJ95" s="47"/>
      <c r="AK95" s="47"/>
      <c r="AL95" s="47"/>
      <c r="AM95" s="488"/>
      <c r="AN95" s="488"/>
      <c r="AO95" s="488"/>
      <c r="AP95" s="857"/>
      <c r="AQ95" s="328"/>
      <c r="AR95" s="328"/>
      <c r="AS95" s="328"/>
      <c r="AT95" s="328"/>
      <c r="AU95" s="328"/>
      <c r="AV95" s="321"/>
      <c r="AW95" s="321"/>
      <c r="AX95" s="163"/>
      <c r="AY95" s="284"/>
      <c r="AZ95" s="305"/>
      <c r="BA95" s="284"/>
      <c r="BB95" s="284"/>
      <c r="BC95" s="284"/>
      <c r="BD95" s="284"/>
      <c r="BE95" s="284"/>
      <c r="BF95" s="305"/>
      <c r="BG95" s="305"/>
      <c r="BH95" s="305"/>
      <c r="BI95" s="305"/>
      <c r="BJ95" s="871"/>
      <c r="BK95" s="871"/>
      <c r="BL95" s="565"/>
      <c r="BM95" s="565"/>
      <c r="BP95" s="620"/>
      <c r="BQ95" s="620"/>
    </row>
    <row r="96" spans="1:69" ht="11.25" customHeight="1">
      <c r="A96" s="115" t="s">
        <v>62</v>
      </c>
      <c r="B96" s="645" t="s">
        <v>3</v>
      </c>
      <c r="C96" s="109" t="s">
        <v>3</v>
      </c>
      <c r="D96" s="109" t="s">
        <v>3</v>
      </c>
      <c r="E96" s="340" t="s">
        <v>3</v>
      </c>
      <c r="F96" s="340" t="s">
        <v>3</v>
      </c>
      <c r="G96" s="340" t="s">
        <v>3</v>
      </c>
      <c r="H96" s="340" t="s">
        <v>3</v>
      </c>
      <c r="I96" s="340" t="s">
        <v>3</v>
      </c>
      <c r="J96" s="340" t="s">
        <v>3</v>
      </c>
      <c r="K96" s="340" t="s">
        <v>3</v>
      </c>
      <c r="L96" s="913" t="s">
        <v>3</v>
      </c>
      <c r="M96" s="340" t="s">
        <v>3</v>
      </c>
      <c r="N96" s="333">
        <f>SUM('MasterA1(current$)'!N90)/0.24978</f>
        <v>4.0035231003282892</v>
      </c>
      <c r="O96" s="333">
        <f>SUM('MasterA1(current$)'!O90)/0.26337</f>
        <v>15.187758666514789</v>
      </c>
      <c r="P96" s="333">
        <f>SUM('MasterA1(current$)'!P90)/0.28703</f>
        <v>17.419781904330556</v>
      </c>
      <c r="Q96" s="333">
        <f>SUM('MasterA1(current$)'!Q90)/0.31361</f>
        <v>15.943369152769364</v>
      </c>
      <c r="R96" s="333">
        <f>SUM('MasterA1(current$)'!R90)/0.33083</f>
        <v>18.136202883656257</v>
      </c>
      <c r="S96" s="333">
        <f>SUM('MasterA1(current$)'!S90)/0.35135</f>
        <v>19.92315355059058</v>
      </c>
      <c r="T96" s="333">
        <f>SUM('MasterA1(current$)'!T90)/0.37602</f>
        <v>18.616031062177544</v>
      </c>
      <c r="U96" s="30">
        <f>SUM('MasterA1(current$)'!U90)/0.40706</f>
        <v>17.196482091092225</v>
      </c>
      <c r="V96" s="269">
        <f>SUM('MasterA1(current$)'!V90)/0.44377</f>
        <v>18.02735651350925</v>
      </c>
      <c r="W96" s="333">
        <f>SUM('MasterA1(current$)'!W90)/0.4852</f>
        <v>16.488046166529266</v>
      </c>
      <c r="X96" s="333">
        <f>SUM('MasterA1(current$)'!X90)/0.5153</f>
        <v>13.584319813700757</v>
      </c>
      <c r="Y96" s="333">
        <f>SUM('MasterA1(current$)'!Y90)/0.53565</f>
        <v>11.201344161299357</v>
      </c>
      <c r="Z96" s="333">
        <f>SUM('MasterA1(current$)'!Z90)/0.55466</f>
        <v>10.817437709587855</v>
      </c>
      <c r="AA96" s="333">
        <f>SUM('MasterA1(current$)'!AA90)/0.5724</f>
        <v>10.482180293501047</v>
      </c>
      <c r="AB96" s="333">
        <f>SUM('MasterA1(current$)'!AB90)/0.58395</f>
        <v>8.5623769158318357</v>
      </c>
      <c r="AC96" s="333">
        <f>SUM('MasterA1(current$)'!AC90)/0.59885</f>
        <v>8.3493362277698928</v>
      </c>
      <c r="AD96" s="333">
        <f>SUM('MasterA1(current$)'!AD90)/0.61982</f>
        <v>8.0668581200993827</v>
      </c>
      <c r="AE96" s="333">
        <f>SUM('MasterA1(current$)'!AE90)/0.64392</f>
        <v>9.3179276928811028</v>
      </c>
      <c r="AF96" s="269">
        <f>SUM('MasterA1(current$)'!AF90)/0.66773</f>
        <v>8.9856678597636765</v>
      </c>
      <c r="AG96" s="333">
        <f>SUM('MasterA1(current$)'!AG90)/0.68996</f>
        <v>8.6961562989158789</v>
      </c>
      <c r="AH96" s="333">
        <f>SUM('MasterA1(current$)'!AH90)/0.70569</f>
        <v>9.9193696949085286</v>
      </c>
      <c r="AI96" s="333">
        <f>SUM('MasterA1(current$)'!AI90)/0.72248</f>
        <v>9.6888495183257675</v>
      </c>
      <c r="AJ96" s="333">
        <f>SUM('MasterA1(current$)'!AJ90)/0.73785</f>
        <v>10.842312123060243</v>
      </c>
      <c r="AK96" s="333">
        <f>SUM('MasterA1(current$)'!AK90)/0.75324</f>
        <v>9.2931867665020444</v>
      </c>
      <c r="AL96" s="333">
        <f>SUM('MasterA1(current$)'!AL90)/0.76699</f>
        <v>9.1265857442730685</v>
      </c>
      <c r="AM96" s="333">
        <f>SUM('MasterA1(current$)'!AM90)/0.78012</f>
        <v>10.254832589857971</v>
      </c>
      <c r="AN96" s="333">
        <f>SUM('MasterA1(current$)'!AN90)/0.78859</f>
        <v>10.144688621463624</v>
      </c>
      <c r="AO96" s="333">
        <f>SUM('MasterA1(current$)'!AO90)/0.80065</f>
        <v>9.9918815962030845</v>
      </c>
      <c r="AP96" s="799">
        <f>SUM('MasterA1(current$)'!AP90)/0.81887</f>
        <v>9.7695604918973711</v>
      </c>
      <c r="AQ96" s="321">
        <f>SUM('MasterA1(current$)'!AQ90)/0.83754</f>
        <v>10.745755426606491</v>
      </c>
      <c r="AR96" s="321">
        <f>SUM('MasterA1(current$)'!AR90)/0.85039</f>
        <v>10.583379390632533</v>
      </c>
      <c r="AS96" s="321">
        <f>SUM('MasterA1(current$)'!AS90)/0.86735</f>
        <v>10.37643396552718</v>
      </c>
      <c r="AT96" s="321">
        <f>SUM('MasterA1(current$)'!AT90)/0.8912</f>
        <v>11.220825852782765</v>
      </c>
      <c r="AU96" s="321">
        <f>SUM('MasterA1(current$)'!AU90)/0.91988</f>
        <v>10.87098317171805</v>
      </c>
      <c r="AV96" s="190">
        <f>SUM('MasterA1(current$)'!AV90)/0.94814</f>
        <v>10.546965637985952</v>
      </c>
      <c r="AW96" s="190">
        <f>SUM('MasterA1(current$)'!AW90)/0.97337</f>
        <v>10.273585584104708</v>
      </c>
      <c r="AX96" s="163">
        <f>SUM('MasterA1(current$)'!AX90*100)/99.246</f>
        <v>11.083570118694961</v>
      </c>
      <c r="AY96" s="405">
        <f>SUM('MasterA1(current$)'!AY90)</f>
        <v>10</v>
      </c>
      <c r="AZ96" s="305">
        <f>SUM('MasterA1(current$)'!AZ90*100)/101.221</f>
        <v>11.855247428893213</v>
      </c>
      <c r="BA96" s="284">
        <f>SUM('MasterA1(current$)'!BA90*100)/103.311</f>
        <v>10.647462516092187</v>
      </c>
      <c r="BB96" s="284">
        <f>SUM('MasterA1(current$)'!BB90*100)/105.214</f>
        <v>10.454882430094855</v>
      </c>
      <c r="BC96" s="284">
        <f>SUM('MasterA1(current$)'!BC90*100)/106.913</f>
        <v>10.288739442350323</v>
      </c>
      <c r="BD96" s="284">
        <f>SUM('MasterA1(current$)'!BD90*100)/108.832</f>
        <v>10.107321376065864</v>
      </c>
      <c r="BE96" s="284">
        <f>SUM('MasterA1(current$)'!BE90*100)/110.012</f>
        <v>10.907900956259317</v>
      </c>
      <c r="BF96" s="305">
        <f>SUM('MasterA1(current$)'!BF90*100)/111.416</f>
        <v>9.8729087384217706</v>
      </c>
      <c r="BG96" s="305">
        <f>SUM('MasterA1(current$)'!BG90*100)/113.116</f>
        <v>10.608578804059549</v>
      </c>
      <c r="BH96" s="305">
        <f>SUM('MasterA1(current$)'!BH90*100)/114.716</f>
        <v>10.460615781582343</v>
      </c>
      <c r="BI96" s="305">
        <f>SUM('MasterA1(current$)'!BI90*100)/116.416</f>
        <v>10.307861462341947</v>
      </c>
      <c r="BJ96" s="410">
        <f>(BH96-BG96)/BG96</f>
        <v>-1.3947487708776419E-2</v>
      </c>
      <c r="BK96" s="410">
        <f>(BI96-BH96)/BH96</f>
        <v>-1.4602803738317696E-2</v>
      </c>
      <c r="BL96" s="564">
        <f>BH96-BG96</f>
        <v>-0.14796302247720661</v>
      </c>
      <c r="BM96" s="564">
        <f>BI96-BH96</f>
        <v>-0.15275431924039573</v>
      </c>
      <c r="BN96" s="112"/>
      <c r="BO96" s="112"/>
      <c r="BP96" s="620"/>
      <c r="BQ96" s="620"/>
    </row>
    <row r="97" spans="1:93" ht="11.25" customHeight="1" thickBot="1">
      <c r="A97" s="118" t="s">
        <v>82</v>
      </c>
      <c r="B97" s="896" t="e">
        <f>SUM(#REF!)/0.1756</f>
        <v>#REF!</v>
      </c>
      <c r="C97" s="135">
        <f>SUM('MasterA1(current$)'!C92)/0.178</f>
        <v>224.71910112359552</v>
      </c>
      <c r="D97" s="136">
        <f>SUM('MasterA1(current$)'!D92)/0.1798</f>
        <v>266.96329254727476</v>
      </c>
      <c r="E97" s="475">
        <f>SUM('MasterA1(current$)'!E92)/0.182</f>
        <v>329.67032967032969</v>
      </c>
      <c r="F97" s="475">
        <f>SUM('MasterA1(current$)'!F92)/0.1842</f>
        <v>342.01954397394138</v>
      </c>
      <c r="G97" s="475">
        <f>SUM('MasterA1(current$)'!G92)/0.18702</f>
        <v>352.90343278793711</v>
      </c>
      <c r="H97" s="475">
        <f>SUM('MasterA1(current$)'!H92)/0.19227</f>
        <v>384.87543558537476</v>
      </c>
      <c r="I97" s="475">
        <f>SUM('MasterA1(current$)'!I92)/0.19786</f>
        <v>404.32629131709285</v>
      </c>
      <c r="J97" s="475">
        <f>SUM('MasterA1(current$)'!J92)/0.20627</f>
        <v>407.23323798904346</v>
      </c>
      <c r="K97" s="475">
        <f>SUM('MasterA1(current$)'!K92)/0.21642</f>
        <v>438.96127899454763</v>
      </c>
      <c r="L97" s="401">
        <f>SUM('MasterA1(current$)'!L92)/0.22784</f>
        <v>504.74016853932585</v>
      </c>
      <c r="M97" s="475">
        <f>SUM('MasterA1(current$)'!M92)/0.23941</f>
        <v>605.65556994277597</v>
      </c>
      <c r="N97" s="475">
        <f>SUM('MasterA1(current$)'!N92)/0.24978</f>
        <v>788.69405076467285</v>
      </c>
      <c r="O97" s="475">
        <f>SUM('MasterA1(current$)'!O92)/0.26337</f>
        <v>907.46858032425871</v>
      </c>
      <c r="P97" s="475">
        <f>SUM('MasterA1(current$)'!P92)/0.28703</f>
        <v>1024.2831759746368</v>
      </c>
      <c r="Q97" s="475">
        <f>SUM('MasterA1(current$)'!Q92)/0.31361</f>
        <v>1141.5452313382864</v>
      </c>
      <c r="R97" s="475">
        <f>SUM('MasterA1(current$)'!R92)/0.33083</f>
        <v>1266.5115013753286</v>
      </c>
      <c r="S97" s="475">
        <f>SUM('MasterA1(current$)'!S92)/0.35135</f>
        <v>1423.0823964707556</v>
      </c>
      <c r="T97" s="475">
        <f>SUM('MasterA1(current$)'!T92)/0.37602</f>
        <v>1457.3692888676132</v>
      </c>
      <c r="U97" s="475">
        <f>SUM('MasterA1(current$)'!U92)/0.40706</f>
        <v>1584.5329926792119</v>
      </c>
      <c r="V97" s="401">
        <f>SUM('MasterA1(current$)'!V92)/0.44377</f>
        <v>1685.5578340131149</v>
      </c>
      <c r="W97" s="475">
        <f>SUM('MasterA1(current$)'!W92)/0.4852</f>
        <v>1632.3165704863973</v>
      </c>
      <c r="X97" s="475">
        <f>SUM('MasterA1(current$)'!X92)/0.5153</f>
        <v>1492.3345623908403</v>
      </c>
      <c r="Y97" s="475">
        <f>SUM('MasterA1(current$)'!Y92)/0.53565</f>
        <v>1487.9118827592645</v>
      </c>
      <c r="Z97" s="475">
        <f>SUM('MasterA1(current$)'!Z92)/0.55466</f>
        <v>1485.5947787833986</v>
      </c>
      <c r="AA97" s="475">
        <f>SUM('MasterA1(current$)'!AA92)/0.5724</f>
        <v>1464.011180992313</v>
      </c>
      <c r="AB97" s="475">
        <f>SUM('MasterA1(current$)'!AB92)/0.58395</f>
        <v>1435.0543710934155</v>
      </c>
      <c r="AC97" s="475">
        <f>SUM('MasterA1(current$)'!AC92)/0.59885</f>
        <v>1406.0282207564499</v>
      </c>
      <c r="AD97" s="475">
        <f>SUM('MasterA1(current$)'!AD92)/0.61982</f>
        <v>1463.328062986028</v>
      </c>
      <c r="AE97" s="475">
        <f>SUM('MasterA1(current$)'!AE92)/0.64392</f>
        <v>1479.9975152192817</v>
      </c>
      <c r="AF97" s="401">
        <f>SUM('MasterA1(current$)'!AF92)/0.66773</f>
        <v>1515.5826456801401</v>
      </c>
      <c r="AG97" s="475">
        <f>SUM('MasterA1(current$)'!AG92)/0.68996</f>
        <v>1463.852976984173</v>
      </c>
      <c r="AH97" s="475">
        <f>SUM('MasterA1(current$)'!AH92)/0.70569</f>
        <v>1584.2650455582479</v>
      </c>
      <c r="AI97" s="475">
        <f>SUM('MasterA1(current$)'!AI92)/0.72248</f>
        <v>1526.6858598161887</v>
      </c>
      <c r="AJ97" s="475">
        <f>SUM('MasterA1(current$)'!AJ92)/0.73785</f>
        <v>1573.4905468591178</v>
      </c>
      <c r="AK97" s="475">
        <f>SUM('MasterA1(current$)'!AK92)/0.75324</f>
        <v>1549.3069937868408</v>
      </c>
      <c r="AL97" s="475">
        <f>SUM('MasterA1(current$)'!AL92)/0.76699</f>
        <v>1445.9119414855475</v>
      </c>
      <c r="AM97" s="475">
        <f>SUM('MasterA1(current$)'!AM92)/0.78012</f>
        <v>1540.7885966261599</v>
      </c>
      <c r="AN97" s="475">
        <f>SUM('MasterA1(current$)'!AN92)/0.78859</f>
        <v>1593.984199647472</v>
      </c>
      <c r="AO97" s="475">
        <f>SUM('MasterA1(current$)'!AO92)/0.80065</f>
        <v>1642.4155373758822</v>
      </c>
      <c r="AP97" s="931">
        <f>SUM('MasterA1(current$)'!AP92)/0.81887</f>
        <v>1743.8665478036808</v>
      </c>
      <c r="AQ97" s="137">
        <f>SUM('MasterA1(current$)'!AQ92)/0.83754</f>
        <v>1917.5203572366695</v>
      </c>
      <c r="AR97" s="137">
        <f>SUM('MasterA1(current$)'!AR92)/0.85039</f>
        <v>1919.1194628346993</v>
      </c>
      <c r="AS97" s="137">
        <f>SUM('MasterA1(current$)'!AS92)/0.86735</f>
        <v>1935.7814031244598</v>
      </c>
      <c r="AT97" s="137">
        <f>SUM('MasterA1(current$)'!AT92)/0.8912</f>
        <v>1927.737881508079</v>
      </c>
      <c r="AU97" s="137">
        <f>SUM('MasterA1(current$)'!AU92)/0.91988</f>
        <v>1855.676827412271</v>
      </c>
      <c r="AV97" s="137">
        <f>SUM('MasterA1(current$)'!AV92)/0.94814</f>
        <v>1858.3753454131247</v>
      </c>
      <c r="AW97" s="137">
        <f>SUM('MasterA1(current$)'!AW92)/0.97337</f>
        <v>1827.9259598834503</v>
      </c>
      <c r="AX97" s="783">
        <f>('MasterA1(current$)'!AX92*100)/99.246</f>
        <v>1873.8558937185742</v>
      </c>
      <c r="AY97" s="388">
        <f>('MasterA1(current$)'!AY92)</f>
        <v>1942</v>
      </c>
      <c r="AZ97" s="656">
        <f>SUM('MasterA1(current$)'!AZ92*100)/101.221</f>
        <v>2057.8733661987135</v>
      </c>
      <c r="BA97" s="422">
        <f>SUM('MasterA1(current$)'!BA92*100)/103.311</f>
        <v>2030.7614871601281</v>
      </c>
      <c r="BB97" s="422">
        <f>SUM('MasterA1(current$)'!BB92*100)/105.214</f>
        <v>1990.2294371471478</v>
      </c>
      <c r="BC97" s="422">
        <f>SUM('MasterA1(current$)'!BC92*100)/106.913</f>
        <v>1988.532732221526</v>
      </c>
      <c r="BD97" s="422">
        <f>SUM('MasterA1(current$)'!BD92*100)/108.832</f>
        <v>1924.985298441635</v>
      </c>
      <c r="BE97" s="422">
        <f>SUM('MasterA1(current$)'!BE92*100)/110.012</f>
        <v>1983.4199905464859</v>
      </c>
      <c r="BF97" s="656">
        <f>SUM('MasterA1(current$)'!BF92*100)/111.416</f>
        <v>1904.5738493573635</v>
      </c>
      <c r="BG97" s="656">
        <f>SUM('MasterA1(current$)'!BG92*100)/113.116</f>
        <v>1869.7620142154956</v>
      </c>
      <c r="BH97" s="656">
        <f>SUM('MasterA1(current$)'!BH92*100)/114.716</f>
        <v>1815.7885560863351</v>
      </c>
      <c r="BI97" s="656">
        <f>SUM('MasterA1(current$)'!BI92*100)/116.416</f>
        <v>1797.8628367234744</v>
      </c>
      <c r="BJ97" s="875">
        <f>(BH97-BG97)/BG97</f>
        <v>-2.8866485530676667E-2</v>
      </c>
      <c r="BK97" s="875">
        <f>(BI97-BH97)/BH97</f>
        <v>-9.8721402901100815E-3</v>
      </c>
      <c r="BL97" s="569">
        <f>BH97-BG97</f>
        <v>-53.973458129160463</v>
      </c>
      <c r="BM97" s="569">
        <f>BI97-BH97</f>
        <v>-17.925719362860718</v>
      </c>
      <c r="BN97" s="112"/>
      <c r="BO97" s="112"/>
      <c r="BP97" s="620"/>
      <c r="BQ97" s="620"/>
    </row>
    <row r="98" spans="1:93" ht="11.25" customHeight="1">
      <c r="B98" s="636"/>
      <c r="C98" s="33"/>
      <c r="D98" s="33"/>
      <c r="E98" s="47"/>
      <c r="F98" s="47"/>
      <c r="G98" s="47"/>
      <c r="H98" s="47"/>
      <c r="I98" s="47"/>
      <c r="J98" s="47"/>
      <c r="K98" s="47"/>
      <c r="L98" s="281"/>
      <c r="M98" s="47"/>
      <c r="N98" s="47"/>
      <c r="O98" s="47"/>
      <c r="P98" s="47"/>
      <c r="Q98" s="47"/>
      <c r="R98" s="47"/>
      <c r="S98" s="47"/>
      <c r="T98" s="47"/>
      <c r="U98" s="47"/>
      <c r="V98" s="281"/>
      <c r="W98" s="47"/>
      <c r="X98" s="47"/>
      <c r="Y98" s="47"/>
      <c r="Z98" s="47"/>
      <c r="AA98" s="47"/>
      <c r="AB98" s="47"/>
      <c r="AC98" s="47"/>
      <c r="AD98" s="47"/>
      <c r="AE98" s="47"/>
      <c r="AF98" s="281"/>
      <c r="AG98" s="47"/>
      <c r="AH98" s="47"/>
      <c r="AI98" s="47"/>
      <c r="AJ98" s="47"/>
      <c r="AK98" s="47"/>
      <c r="AL98" s="47"/>
      <c r="AM98" s="488"/>
      <c r="AN98" s="488"/>
      <c r="AO98" s="488"/>
      <c r="AP98" s="933"/>
      <c r="AQ98" s="488"/>
      <c r="AR98" s="488"/>
      <c r="AS98" s="488"/>
      <c r="AT98" s="488"/>
      <c r="AU98" s="488"/>
      <c r="AV98" s="488"/>
      <c r="AW98" s="488"/>
      <c r="AX98" s="488"/>
      <c r="AY98" s="423"/>
      <c r="AZ98" s="659"/>
      <c r="BA98" s="423"/>
      <c r="BB98" s="423"/>
      <c r="BC98" s="423"/>
      <c r="BD98" s="423"/>
      <c r="BE98" s="423"/>
      <c r="BF98" s="659"/>
      <c r="BG98" s="659"/>
      <c r="BH98" s="659"/>
      <c r="BI98" s="659"/>
      <c r="BJ98" s="871"/>
      <c r="BK98" s="871"/>
      <c r="BL98" s="570"/>
      <c r="BM98" s="570"/>
      <c r="BP98" s="620"/>
      <c r="BQ98" s="620"/>
    </row>
    <row r="99" spans="1:93" ht="11.25" customHeight="1">
      <c r="A99" s="120" t="s">
        <v>115</v>
      </c>
      <c r="B99" s="636"/>
      <c r="C99" s="32"/>
      <c r="D99" s="32"/>
      <c r="E99" s="32"/>
      <c r="F99" s="32"/>
      <c r="G99" s="32"/>
      <c r="H99" s="32"/>
      <c r="I99" s="32"/>
      <c r="J99" s="32"/>
      <c r="K99" s="32"/>
      <c r="L99" s="636"/>
      <c r="M99" s="32"/>
      <c r="N99" s="32"/>
      <c r="O99" s="32"/>
      <c r="P99" s="32"/>
      <c r="Q99" s="32"/>
      <c r="R99" s="32"/>
      <c r="S99" s="32"/>
      <c r="T99" s="32"/>
      <c r="U99" s="32"/>
      <c r="V99" s="636"/>
      <c r="W99" s="32"/>
      <c r="X99" s="32"/>
      <c r="Y99" s="32"/>
      <c r="Z99" s="32"/>
      <c r="AA99" s="32"/>
      <c r="AB99" s="32"/>
      <c r="AC99" s="32"/>
      <c r="AD99" s="32"/>
      <c r="AE99" s="32"/>
      <c r="AF99" s="636"/>
      <c r="AG99" s="32"/>
      <c r="AH99" s="32"/>
      <c r="AI99" s="32"/>
      <c r="AJ99" s="32"/>
      <c r="AK99" s="32"/>
      <c r="AL99" s="32"/>
      <c r="AM99" s="32"/>
      <c r="AN99" s="32"/>
      <c r="AO99" s="32"/>
      <c r="AP99" s="636"/>
      <c r="AQ99" s="32"/>
      <c r="AR99" s="32"/>
      <c r="AS99" s="32"/>
      <c r="AT99" s="32"/>
      <c r="AU99" s="32"/>
      <c r="AV99" s="32"/>
      <c r="AW99" s="32"/>
      <c r="AX99" s="32"/>
      <c r="AY99" s="32"/>
      <c r="AZ99" s="636"/>
      <c r="BA99" s="32"/>
      <c r="BB99" s="32"/>
      <c r="BC99" s="32"/>
      <c r="BD99" s="32"/>
      <c r="BE99" s="32"/>
      <c r="BF99" s="636"/>
      <c r="BG99" s="636"/>
      <c r="BH99" s="636"/>
      <c r="BI99" s="636"/>
      <c r="BJ99" s="871"/>
      <c r="BK99" s="871"/>
      <c r="BL99" s="565"/>
      <c r="BM99" s="565"/>
      <c r="BP99" s="620"/>
      <c r="BQ99" s="620"/>
    </row>
    <row r="100" spans="1:93" ht="8.25" customHeight="1">
      <c r="A100" s="115"/>
      <c r="B100" s="636"/>
      <c r="C100" s="33"/>
      <c r="D100" s="33"/>
      <c r="E100" s="47"/>
      <c r="F100" s="47"/>
      <c r="G100" s="47"/>
      <c r="H100" s="47"/>
      <c r="I100" s="47"/>
      <c r="J100" s="47"/>
      <c r="K100" s="47"/>
      <c r="L100" s="281"/>
      <c r="M100" s="47"/>
      <c r="N100" s="47"/>
      <c r="O100" s="47"/>
      <c r="P100" s="47"/>
      <c r="Q100" s="47"/>
      <c r="R100" s="47"/>
      <c r="S100" s="47"/>
      <c r="T100" s="47"/>
      <c r="U100" s="47"/>
      <c r="V100" s="281"/>
      <c r="W100" s="47"/>
      <c r="X100" s="47"/>
      <c r="Y100" s="47"/>
      <c r="Z100" s="47"/>
      <c r="AA100" s="47"/>
      <c r="AB100" s="47"/>
      <c r="AC100" s="47"/>
      <c r="AD100" s="47"/>
      <c r="AE100" s="47"/>
      <c r="AF100" s="281"/>
      <c r="AG100" s="47"/>
      <c r="AH100" s="47"/>
      <c r="AI100" s="47"/>
      <c r="AJ100" s="47"/>
      <c r="AK100" s="47"/>
      <c r="AL100" s="47"/>
      <c r="AM100" s="488"/>
      <c r="AN100" s="488"/>
      <c r="AO100" s="488"/>
      <c r="AP100" s="857"/>
      <c r="AQ100" s="328"/>
      <c r="AR100" s="328"/>
      <c r="AS100" s="328"/>
      <c r="AT100" s="328"/>
      <c r="AU100" s="328"/>
      <c r="AV100" s="328"/>
      <c r="AW100" s="328"/>
      <c r="AX100" s="331"/>
      <c r="AY100" s="284"/>
      <c r="AZ100" s="305"/>
      <c r="BA100" s="284"/>
      <c r="BB100" s="284"/>
      <c r="BC100" s="284"/>
      <c r="BD100" s="284"/>
      <c r="BE100" s="284"/>
      <c r="BF100" s="305"/>
      <c r="BG100" s="305"/>
      <c r="BH100" s="305"/>
      <c r="BI100" s="305"/>
      <c r="BJ100" s="871"/>
      <c r="BK100" s="871"/>
      <c r="BL100" s="565"/>
      <c r="BM100" s="565"/>
      <c r="BP100" s="620"/>
      <c r="BQ100" s="620"/>
    </row>
    <row r="101" spans="1:93" ht="11.25" customHeight="1">
      <c r="A101" s="115" t="s">
        <v>18</v>
      </c>
      <c r="B101" s="810" t="s">
        <v>3</v>
      </c>
      <c r="C101" s="45" t="s">
        <v>3</v>
      </c>
      <c r="D101" s="45" t="s">
        <v>3</v>
      </c>
      <c r="E101" s="220" t="s">
        <v>3</v>
      </c>
      <c r="F101" s="220" t="s">
        <v>3</v>
      </c>
      <c r="G101" s="220" t="s">
        <v>3</v>
      </c>
      <c r="H101" s="220" t="s">
        <v>3</v>
      </c>
      <c r="I101" s="220" t="s">
        <v>3</v>
      </c>
      <c r="J101" s="220" t="s">
        <v>3</v>
      </c>
      <c r="K101" s="220" t="s">
        <v>3</v>
      </c>
      <c r="L101" s="858" t="s">
        <v>3</v>
      </c>
      <c r="M101" s="47">
        <f>SUM('MasterA1(current$)'!M96)/0.23941</f>
        <v>4.1769349651225927</v>
      </c>
      <c r="N101" s="47">
        <f>SUM('MasterA1(current$)'!N96)/0.24978</f>
        <v>8.0070462006565783</v>
      </c>
      <c r="O101" s="47">
        <f>SUM('MasterA1(current$)'!O96)/0.26337</f>
        <v>11.390818999886092</v>
      </c>
      <c r="P101" s="47">
        <f>SUM('MasterA1(current$)'!P96)/0.28703</f>
        <v>10.451869142598335</v>
      </c>
      <c r="Q101" s="47">
        <f>SUM('MasterA1(current$)'!Q96)/0.31361</f>
        <v>6.3773476611077449</v>
      </c>
      <c r="R101" s="47">
        <f>SUM('MasterA1(current$)'!R96)/0.33083</f>
        <v>9.0681014418281283</v>
      </c>
      <c r="S101" s="47">
        <f>SUM('MasterA1(current$)'!S96)/0.35135</f>
        <v>8.5384943788245344</v>
      </c>
      <c r="T101" s="47">
        <f>SUM('MasterA1(current$)'!T96)/0.37602</f>
        <v>7.9782990266475187</v>
      </c>
      <c r="U101" s="47">
        <f>SUM('MasterA1(current$)'!U96)/0.40706</f>
        <v>7.3699208961823812</v>
      </c>
      <c r="V101" s="281">
        <f>SUM('MasterA1(current$)'!V96)/0.44377</f>
        <v>6.7602586925659685</v>
      </c>
      <c r="W101" s="47">
        <f>SUM('MasterA1(current$)'!W96)/0.4852</f>
        <v>6.1830173124484746</v>
      </c>
      <c r="X101" s="47">
        <f>SUM('MasterA1(current$)'!X96)/0.5153</f>
        <v>7.7624684649718612</v>
      </c>
      <c r="Y101" s="47">
        <f>SUM('MasterA1(current$)'!Y96)/0.53565</f>
        <v>3.7337813870997856</v>
      </c>
      <c r="Z101" s="47">
        <f>SUM('MasterA1(current$)'!Z96)/0.55466</f>
        <v>5.4087188547939276</v>
      </c>
      <c r="AA101" s="47">
        <f>SUM('MasterA1(current$)'!AA96)/0.5724</f>
        <v>3.4940600978336827</v>
      </c>
      <c r="AB101" s="47">
        <f>SUM('MasterA1(current$)'!AB96)/0.58395</f>
        <v>1.712475383166367</v>
      </c>
      <c r="AC101" s="47">
        <f>SUM('MasterA1(current$)'!AC96)/0.59885</f>
        <v>1.6698672455539785</v>
      </c>
      <c r="AD101" s="47">
        <f>SUM('MasterA1(current$)'!AD96)/0.61982</f>
        <v>1.6133716240198765</v>
      </c>
      <c r="AE101" s="47">
        <f>SUM('MasterA1(current$)'!AE96)/0.64392</f>
        <v>1.552987948813517</v>
      </c>
      <c r="AF101" s="281">
        <f>SUM('MasterA1(current$)'!AF96)/0.66773</f>
        <v>1.4976113099606128</v>
      </c>
      <c r="AG101" s="47">
        <f>SUM('MasterA1(current$)'!AG96)/0.68996</f>
        <v>2.8987187663052931</v>
      </c>
      <c r="AH101" s="47">
        <f>SUM('MasterA1(current$)'!AH96)/0.70569</f>
        <v>4.2511584406750833</v>
      </c>
      <c r="AI101" s="47">
        <f>SUM('MasterA1(current$)'!AI96)/0.72248</f>
        <v>2.7682427195216475</v>
      </c>
      <c r="AJ101" s="47">
        <f>SUM('MasterA1(current$)'!AJ96)/0.73785</f>
        <v>1.3552890153825303</v>
      </c>
      <c r="AK101" s="47">
        <f>SUM('MasterA1(current$)'!AK96)/0.75324</f>
        <v>2.655196219000584</v>
      </c>
      <c r="AL101" s="47">
        <f>SUM('MasterA1(current$)'!AL96)/0.76699</f>
        <v>2.6075959269351623</v>
      </c>
      <c r="AM101" s="47">
        <f>SUM('MasterA1(current$)'!AM96)/0.78012</f>
        <v>2.5637081474644927</v>
      </c>
      <c r="AN101" s="47">
        <f>SUM('MasterA1(current$)'!AN96)/0.78859</f>
        <v>2.536172155365906</v>
      </c>
      <c r="AO101" s="47">
        <f>SUM('MasterA1(current$)'!AO96)/0.80065</f>
        <v>3.7469555985761569</v>
      </c>
      <c r="AP101" s="857">
        <f>SUM('MasterA1(current$)'!AP96)/0.81887</f>
        <v>3.6635851844615139</v>
      </c>
      <c r="AQ101" s="328">
        <f>SUM('MasterA1(current$)'!AQ96)/0.83754</f>
        <v>3.5819184755354971</v>
      </c>
      <c r="AR101" s="328">
        <f>SUM('MasterA1(current$)'!AR96)/0.85039</f>
        <v>3.5277931302108447</v>
      </c>
      <c r="AS101" s="328">
        <f>SUM('MasterA1(current$)'!AS96)/0.86735</f>
        <v>3.4588113218423935</v>
      </c>
      <c r="AT101" s="328">
        <f>SUM('MasterA1(current$)'!AT96)/0.8912</f>
        <v>3.3662477558348294</v>
      </c>
      <c r="AU101" s="328">
        <f>SUM('MasterA1(current$)'!AU96)/0.91988</f>
        <v>3.2612949515154148</v>
      </c>
      <c r="AV101" s="328">
        <f>SUM('MasterA1(current$)'!AV96)/0.94814</f>
        <v>3.1640896913957857</v>
      </c>
      <c r="AW101" s="328">
        <f>SUM('MasterA1(current$)'!AW96)/0.97337</f>
        <v>2.0547171168209419</v>
      </c>
      <c r="AX101" s="331">
        <f>('MasterA1(current$)'!AX96*100)/99.246</f>
        <v>2.0151945670354472</v>
      </c>
      <c r="AY101" s="284">
        <f>('MasterA1(current$)'!AY96)</f>
        <v>3</v>
      </c>
      <c r="AZ101" s="305">
        <f>SUM('MasterA1(current$)'!AZ96*100)/101.221</f>
        <v>2.9638118572233032</v>
      </c>
      <c r="BA101" s="284">
        <f>SUM('MasterA1(current$)'!BA96*100)/103.311</f>
        <v>2.9038534134796872</v>
      </c>
      <c r="BB101" s="284">
        <f>SUM('MasterA1(current$)'!BB96*100)/105.214</f>
        <v>2.8513315718440513</v>
      </c>
      <c r="BC101" s="284">
        <f>SUM('MasterA1(current$)'!BC96*100)/106.913</f>
        <v>2.8060198479137242</v>
      </c>
      <c r="BD101" s="284">
        <f>SUM('MasterA1(current$)'!BD96*100)/108.832</f>
        <v>2.7565421934725083</v>
      </c>
      <c r="BE101" s="284">
        <f>SUM('MasterA1(current$)'!BE96*100)/110.012</f>
        <v>2.7269752390648292</v>
      </c>
      <c r="BF101" s="305">
        <f>SUM('MasterA1(current$)'!BF96*100)/111.416</f>
        <v>2.6926114741150284</v>
      </c>
      <c r="BG101" s="305">
        <f>SUM('MasterA1(current$)'!BG96*100)/113.116</f>
        <v>1.7680964673432582</v>
      </c>
      <c r="BH101" s="305">
        <f>SUM('MasterA1(current$)'!BH96*100)/114.716</f>
        <v>2.6151539453955857</v>
      </c>
      <c r="BI101" s="305">
        <f>SUM('MasterA1(current$)'!BI96*100)/116.416</f>
        <v>2.5769653655854867</v>
      </c>
      <c r="BJ101" s="410">
        <f>(BH101-BG101)/BG101</f>
        <v>0.47907876843683539</v>
      </c>
      <c r="BK101" s="410">
        <f>(BI101-BH101)/BH101</f>
        <v>-1.4602803738317696E-2</v>
      </c>
      <c r="BL101" s="564">
        <f>BH101-BG101</f>
        <v>0.84705747805232745</v>
      </c>
      <c r="BM101" s="564">
        <f>BI101-BH101</f>
        <v>-3.8188579810098933E-2</v>
      </c>
      <c r="BN101" s="112"/>
      <c r="BO101" s="112"/>
      <c r="BP101" s="620"/>
      <c r="BQ101" s="620"/>
    </row>
    <row r="102" spans="1:93" ht="6" customHeight="1">
      <c r="A102" s="115"/>
      <c r="B102" s="810"/>
      <c r="C102" s="45"/>
      <c r="D102" s="45"/>
      <c r="E102" s="220"/>
      <c r="F102" s="220"/>
      <c r="G102" s="220"/>
      <c r="H102" s="220"/>
      <c r="I102" s="220"/>
      <c r="J102" s="220"/>
      <c r="K102" s="220"/>
      <c r="L102" s="858"/>
      <c r="M102" s="47"/>
      <c r="N102" s="47"/>
      <c r="O102" s="47"/>
      <c r="P102" s="47"/>
      <c r="Q102" s="47"/>
      <c r="R102" s="47"/>
      <c r="S102" s="47"/>
      <c r="T102" s="47"/>
      <c r="U102" s="47"/>
      <c r="V102" s="281"/>
      <c r="W102" s="47"/>
      <c r="X102" s="47"/>
      <c r="Y102" s="47"/>
      <c r="Z102" s="47"/>
      <c r="AA102" s="47"/>
      <c r="AB102" s="47"/>
      <c r="AC102" s="47"/>
      <c r="AD102" s="47"/>
      <c r="AE102" s="47"/>
      <c r="AF102" s="281"/>
      <c r="AG102" s="47"/>
      <c r="AH102" s="47"/>
      <c r="AI102" s="47"/>
      <c r="AJ102" s="47"/>
      <c r="AK102" s="47"/>
      <c r="AL102" s="47"/>
      <c r="AM102" s="488"/>
      <c r="AN102" s="488"/>
      <c r="AO102" s="488"/>
      <c r="AP102" s="857"/>
      <c r="AQ102" s="328"/>
      <c r="AR102" s="328"/>
      <c r="AS102" s="328"/>
      <c r="AT102" s="328"/>
      <c r="AU102" s="328"/>
      <c r="AV102" s="328"/>
      <c r="AW102" s="328"/>
      <c r="AX102" s="331"/>
      <c r="AY102" s="284"/>
      <c r="AZ102" s="305"/>
      <c r="BA102" s="284"/>
      <c r="BB102" s="284"/>
      <c r="BC102" s="284"/>
      <c r="BD102" s="284"/>
      <c r="BE102" s="284"/>
      <c r="BF102" s="305"/>
      <c r="BG102" s="305"/>
      <c r="BH102" s="305"/>
      <c r="BI102" s="305"/>
      <c r="BJ102" s="871"/>
      <c r="BK102" s="871"/>
      <c r="BL102" s="565"/>
      <c r="BM102" s="565"/>
      <c r="BP102" s="620"/>
      <c r="BQ102" s="620"/>
    </row>
    <row r="103" spans="1:93" ht="9.75" customHeight="1">
      <c r="A103" s="122" t="s">
        <v>29</v>
      </c>
      <c r="B103" s="810"/>
      <c r="C103" s="45"/>
      <c r="D103" s="45"/>
      <c r="E103" s="220"/>
      <c r="F103" s="220"/>
      <c r="G103" s="220"/>
      <c r="H103" s="220"/>
      <c r="I103" s="220"/>
      <c r="J103" s="220"/>
      <c r="K103" s="220"/>
      <c r="L103" s="858"/>
      <c r="M103" s="47"/>
      <c r="N103" s="47"/>
      <c r="O103" s="47"/>
      <c r="P103" s="47"/>
      <c r="Q103" s="47"/>
      <c r="R103" s="47"/>
      <c r="S103" s="47"/>
      <c r="T103" s="47"/>
      <c r="U103" s="47"/>
      <c r="V103" s="281"/>
      <c r="W103" s="47"/>
      <c r="X103" s="47"/>
      <c r="Y103" s="47"/>
      <c r="Z103" s="47"/>
      <c r="AA103" s="47"/>
      <c r="AB103" s="47"/>
      <c r="AC103" s="47"/>
      <c r="AD103" s="47"/>
      <c r="AE103" s="47"/>
      <c r="AF103" s="281"/>
      <c r="AG103" s="47"/>
      <c r="AH103" s="47"/>
      <c r="AI103" s="47"/>
      <c r="AJ103" s="47"/>
      <c r="AK103" s="47"/>
      <c r="AL103" s="47"/>
      <c r="AM103" s="488"/>
      <c r="AN103" s="488"/>
      <c r="AO103" s="488"/>
      <c r="AP103" s="857"/>
      <c r="AQ103" s="328"/>
      <c r="AR103" s="328"/>
      <c r="AS103" s="328"/>
      <c r="AT103" s="328"/>
      <c r="AU103" s="328"/>
      <c r="AV103" s="328"/>
      <c r="AW103" s="328"/>
      <c r="AX103" s="331"/>
      <c r="AY103" s="284"/>
      <c r="AZ103" s="305"/>
      <c r="BA103" s="284"/>
      <c r="BB103" s="284"/>
      <c r="BC103" s="284"/>
      <c r="BD103" s="284"/>
      <c r="BE103" s="284"/>
      <c r="BF103" s="305"/>
      <c r="BG103" s="305"/>
      <c r="BH103" s="305"/>
      <c r="BI103" s="305"/>
      <c r="BJ103" s="410"/>
      <c r="BK103" s="410"/>
      <c r="BL103" s="566"/>
      <c r="BM103" s="566"/>
      <c r="BP103" s="620"/>
      <c r="BQ103" s="620"/>
    </row>
    <row r="104" spans="1:93" ht="9.75" customHeight="1">
      <c r="A104" s="119" t="s">
        <v>126</v>
      </c>
      <c r="B104" s="835" t="s">
        <v>3</v>
      </c>
      <c r="C104" s="54" t="s">
        <v>3</v>
      </c>
      <c r="D104" s="54" t="s">
        <v>3</v>
      </c>
      <c r="E104" s="163" t="s">
        <v>3</v>
      </c>
      <c r="F104" s="163" t="s">
        <v>3</v>
      </c>
      <c r="G104" s="163" t="s">
        <v>3</v>
      </c>
      <c r="H104" s="163" t="s">
        <v>3</v>
      </c>
      <c r="I104" s="163" t="s">
        <v>3</v>
      </c>
      <c r="J104" s="163" t="s">
        <v>3</v>
      </c>
      <c r="K104" s="163" t="s">
        <v>3</v>
      </c>
      <c r="L104" s="213" t="s">
        <v>3</v>
      </c>
      <c r="M104" s="163" t="s">
        <v>3</v>
      </c>
      <c r="N104" s="163" t="s">
        <v>3</v>
      </c>
      <c r="O104" s="163" t="s">
        <v>3</v>
      </c>
      <c r="P104" s="163" t="s">
        <v>3</v>
      </c>
      <c r="Q104" s="163" t="s">
        <v>3</v>
      </c>
      <c r="R104" s="163" t="s">
        <v>3</v>
      </c>
      <c r="S104" s="163" t="s">
        <v>3</v>
      </c>
      <c r="T104" s="163" t="s">
        <v>3</v>
      </c>
      <c r="U104" s="163" t="s">
        <v>3</v>
      </c>
      <c r="V104" s="213" t="s">
        <v>3</v>
      </c>
      <c r="W104" s="163" t="s">
        <v>3</v>
      </c>
      <c r="X104" s="163" t="s">
        <v>3</v>
      </c>
      <c r="Y104" s="163" t="s">
        <v>3</v>
      </c>
      <c r="Z104" s="163" t="s">
        <v>3</v>
      </c>
      <c r="AA104" s="163" t="s">
        <v>3</v>
      </c>
      <c r="AB104" s="163" t="s">
        <v>3</v>
      </c>
      <c r="AC104" s="163" t="s">
        <v>3</v>
      </c>
      <c r="AD104" s="163" t="s">
        <v>3</v>
      </c>
      <c r="AE104" s="163" t="s">
        <v>3</v>
      </c>
      <c r="AF104" s="213" t="s">
        <v>3</v>
      </c>
      <c r="AG104" s="163" t="s">
        <v>3</v>
      </c>
      <c r="AH104" s="163" t="s">
        <v>3</v>
      </c>
      <c r="AI104" s="163" t="s">
        <v>3</v>
      </c>
      <c r="AJ104" s="163" t="s">
        <v>3</v>
      </c>
      <c r="AK104" s="163" t="s">
        <v>3</v>
      </c>
      <c r="AL104" s="163" t="s">
        <v>3</v>
      </c>
      <c r="AM104" s="163" t="s">
        <v>3</v>
      </c>
      <c r="AN104" s="163" t="s">
        <v>3</v>
      </c>
      <c r="AO104" s="30">
        <f>SUM('MasterA1(current$)'!AO99)/0.80065</f>
        <v>242.30312870792483</v>
      </c>
      <c r="AP104" s="857">
        <f>SUM('MasterA1(current$)'!AP99)/0.81887</f>
        <v>283.31725426502373</v>
      </c>
      <c r="AQ104" s="328">
        <f>SUM('MasterA1(current$)'!AQ99)/0.83754</f>
        <v>298.49320629462477</v>
      </c>
      <c r="AR104" s="328">
        <f>SUM('MasterA1(current$)'!AR99)/0.85039</f>
        <v>325.73289902280129</v>
      </c>
      <c r="AS104" s="328">
        <f>SUM('MasterA1(current$)'!AS99)/0.86735</f>
        <v>351.64581772064338</v>
      </c>
      <c r="AT104" s="328">
        <f>SUM('MasterA1(current$)'!AT99)/0.8912</f>
        <v>365.79892280071812</v>
      </c>
      <c r="AU104" s="328">
        <f>SUM('MasterA1(current$)'!AU99)/0.91988</f>
        <v>353.30695308083659</v>
      </c>
      <c r="AV104" s="328">
        <f>SUM('MasterA1(current$)'!AV99)/0.94814</f>
        <v>359.65152825532095</v>
      </c>
      <c r="AW104" s="328">
        <f>SUM('MasterA1(current$)'!AW99)/0.97337</f>
        <v>344.16511706750777</v>
      </c>
      <c r="AX104" s="331">
        <f>('MasterA1(current$)'!AX99*100)/99.246</f>
        <v>340.56788182899061</v>
      </c>
      <c r="AY104" s="284">
        <f>('MasterA1(current$)'!AY99)</f>
        <v>340</v>
      </c>
      <c r="AZ104" s="305">
        <f>SUM('MasterA1(current$)'!AZ99*100)/101.221</f>
        <v>358.6212347240197</v>
      </c>
      <c r="BA104" s="284">
        <f>SUM('MasterA1(current$)'!BA99*100)/103.311</f>
        <v>341.68675165277654</v>
      </c>
      <c r="BB104" s="284">
        <f>SUM('MasterA1(current$)'!BB99*100)/105.214</f>
        <v>337.40756933487938</v>
      </c>
      <c r="BC104" s="284">
        <f>SUM('MasterA1(current$)'!BC99*100)/106.913</f>
        <v>319.8862626621646</v>
      </c>
      <c r="BD104" s="284">
        <f>SUM('MasterA1(current$)'!BD99*100)/108.832</f>
        <v>303.2196412819759</v>
      </c>
      <c r="BE104" s="284">
        <f>SUM('MasterA1(current$)'!BE99*100)/110.012</f>
        <v>305.42122677526089</v>
      </c>
      <c r="BF104" s="305">
        <f>SUM('MasterA1(current$)'!BF99*100)/111.416</f>
        <v>301.57248510088317</v>
      </c>
      <c r="BG104" s="305">
        <f>SUM('MasterA1(current$)'!BG99*100)/113.116</f>
        <v>295.27211004632414</v>
      </c>
      <c r="BH104" s="305">
        <f>SUM('MasterA1(current$)'!BH99*100)/114.716</f>
        <v>292.89724188430563</v>
      </c>
      <c r="BI104" s="305">
        <f>SUM('MasterA1(current$)'!BI99*100)/116.416</f>
        <v>285.18416712479387</v>
      </c>
      <c r="BJ104" s="410">
        <f>(BH104-BG104)/BG104</f>
        <v>-8.042981647152286E-3</v>
      </c>
      <c r="BK104" s="410">
        <f>(BI104-BH104)/BH104</f>
        <v>-2.6333722741433047E-2</v>
      </c>
      <c r="BL104" s="564">
        <f>BH104-BG104</f>
        <v>-2.3748681620185152</v>
      </c>
      <c r="BM104" s="564">
        <f>BI104-BH104</f>
        <v>-7.7130747595117555</v>
      </c>
      <c r="BN104" s="112"/>
      <c r="BO104" s="112"/>
      <c r="BP104" s="620"/>
      <c r="BQ104" s="620"/>
    </row>
    <row r="105" spans="1:93" ht="6" customHeight="1">
      <c r="A105" s="115"/>
      <c r="B105" s="636"/>
      <c r="C105" s="33"/>
      <c r="D105" s="33"/>
      <c r="E105" s="47"/>
      <c r="F105" s="47"/>
      <c r="G105" s="47"/>
      <c r="H105" s="47"/>
      <c r="I105" s="47"/>
      <c r="J105" s="47"/>
      <c r="K105" s="47"/>
      <c r="L105" s="281"/>
      <c r="M105" s="47"/>
      <c r="N105" s="47"/>
      <c r="O105" s="47"/>
      <c r="P105" s="47"/>
      <c r="Q105" s="47"/>
      <c r="R105" s="47"/>
      <c r="S105" s="47"/>
      <c r="T105" s="47"/>
      <c r="U105" s="47"/>
      <c r="V105" s="281"/>
      <c r="W105" s="47"/>
      <c r="X105" s="47"/>
      <c r="Y105" s="47"/>
      <c r="Z105" s="47"/>
      <c r="AA105" s="47"/>
      <c r="AB105" s="47"/>
      <c r="AC105" s="47"/>
      <c r="AD105" s="47"/>
      <c r="AE105" s="47"/>
      <c r="AF105" s="281"/>
      <c r="AG105" s="47"/>
      <c r="AH105" s="47"/>
      <c r="AI105" s="47"/>
      <c r="AJ105" s="47"/>
      <c r="AK105" s="47"/>
      <c r="AL105" s="47"/>
      <c r="AM105" s="488"/>
      <c r="AN105" s="488"/>
      <c r="AO105" s="488"/>
      <c r="AP105" s="857"/>
      <c r="AQ105" s="328"/>
      <c r="AR105" s="328"/>
      <c r="AS105" s="328"/>
      <c r="AT105" s="328"/>
      <c r="AU105" s="328"/>
      <c r="AV105" s="328"/>
      <c r="AW105" s="328"/>
      <c r="AX105" s="331"/>
      <c r="AY105" s="284"/>
      <c r="AZ105" s="305"/>
      <c r="BA105" s="284"/>
      <c r="BB105" s="284"/>
      <c r="BC105" s="284"/>
      <c r="BD105" s="284"/>
      <c r="BE105" s="284"/>
      <c r="BF105" s="305"/>
      <c r="BG105" s="305"/>
      <c r="BH105" s="305"/>
      <c r="BI105" s="305"/>
      <c r="BJ105" s="871"/>
      <c r="BK105" s="871"/>
      <c r="BL105" s="565"/>
      <c r="BM105" s="565"/>
      <c r="BP105" s="620"/>
      <c r="BQ105" s="620"/>
    </row>
    <row r="106" spans="1:93" ht="11.25" customHeight="1">
      <c r="A106" s="116" t="s">
        <v>39</v>
      </c>
      <c r="B106" s="636"/>
      <c r="C106" s="33"/>
      <c r="D106" s="33"/>
      <c r="E106" s="47"/>
      <c r="F106" s="47"/>
      <c r="G106" s="47"/>
      <c r="H106" s="47"/>
      <c r="I106" s="47"/>
      <c r="J106" s="47"/>
      <c r="K106" s="47"/>
      <c r="L106" s="281"/>
      <c r="M106" s="47"/>
      <c r="N106" s="47"/>
      <c r="O106" s="47"/>
      <c r="P106" s="47"/>
      <c r="Q106" s="47"/>
      <c r="R106" s="47"/>
      <c r="S106" s="47"/>
      <c r="T106" s="47"/>
      <c r="U106" s="47"/>
      <c r="V106" s="281"/>
      <c r="W106" s="47"/>
      <c r="X106" s="47"/>
      <c r="Y106" s="47"/>
      <c r="Z106" s="47"/>
      <c r="AA106" s="47"/>
      <c r="AB106" s="47"/>
      <c r="AC106" s="47"/>
      <c r="AD106" s="47"/>
      <c r="AE106" s="47"/>
      <c r="AF106" s="281"/>
      <c r="AG106" s="47"/>
      <c r="AH106" s="47"/>
      <c r="AI106" s="47"/>
      <c r="AJ106" s="47"/>
      <c r="AK106" s="47"/>
      <c r="AL106" s="47"/>
      <c r="AM106" s="488"/>
      <c r="AN106" s="488"/>
      <c r="AO106" s="488"/>
      <c r="AP106" s="857"/>
      <c r="AQ106" s="328"/>
      <c r="AR106" s="328"/>
      <c r="AS106" s="328"/>
      <c r="AT106" s="328"/>
      <c r="AU106" s="328"/>
      <c r="AV106" s="328"/>
      <c r="AW106" s="328"/>
      <c r="AX106" s="331"/>
      <c r="AY106" s="284"/>
      <c r="AZ106" s="305"/>
      <c r="BA106" s="284"/>
      <c r="BB106" s="284"/>
      <c r="BC106" s="284"/>
      <c r="BD106" s="284"/>
      <c r="BE106" s="284"/>
      <c r="BF106" s="305"/>
      <c r="BG106" s="305"/>
      <c r="BH106" s="305"/>
      <c r="BI106" s="305"/>
      <c r="BJ106" s="871"/>
      <c r="BK106" s="871"/>
      <c r="BL106" s="565"/>
      <c r="BM106" s="565"/>
      <c r="BP106" s="620"/>
      <c r="BQ106" s="620"/>
    </row>
    <row r="107" spans="1:93" ht="11.25" customHeight="1">
      <c r="A107" s="119" t="s">
        <v>127</v>
      </c>
      <c r="B107" s="667">
        <f>SUM('MasterA1(current$)'!B102)/0.1756</f>
        <v>5.6947608200455582</v>
      </c>
      <c r="C107" s="49">
        <f>SUM('MasterA1(current$)'!C102)/0.178</f>
        <v>5.617977528089888</v>
      </c>
      <c r="D107" s="49">
        <f>SUM('MasterA1(current$)'!D102)/0.1798</f>
        <v>5.5617352614015578</v>
      </c>
      <c r="E107" s="30">
        <f>SUM('MasterA1(current$)'!E102)/0.182</f>
        <v>5.4945054945054945</v>
      </c>
      <c r="F107" s="30">
        <f>SUM('MasterA1(current$)'!F102)/0.1842</f>
        <v>5.4288816503800215</v>
      </c>
      <c r="G107" s="30">
        <f>SUM('MasterA1(current$)'!G102)/0.18702</f>
        <v>5.3470217089081382</v>
      </c>
      <c r="H107" s="30">
        <f>SUM('MasterA1(current$)'!H102)/0.19227</f>
        <v>5.2010193998023615</v>
      </c>
      <c r="I107" s="30">
        <f>SUM('MasterA1(current$)'!I102)/0.19786</f>
        <v>5.0540786414636614</v>
      </c>
      <c r="J107" s="30">
        <f>SUM('MasterA1(current$)'!J102)/0.20627</f>
        <v>9.6960294759296062</v>
      </c>
      <c r="K107" s="30">
        <f>SUM('MasterA1(current$)'!K102)/0.21642</f>
        <v>9.2412900840957395</v>
      </c>
      <c r="L107" s="270">
        <f>SUM('MasterA1(current$)'!L102)/0.22784</f>
        <v>8.7780898876404496</v>
      </c>
      <c r="M107" s="30">
        <f>SUM('MasterA1(current$)'!M102)/0.23941</f>
        <v>37.592414686103332</v>
      </c>
      <c r="N107" s="30">
        <f>SUM('MasterA1(current$)'!N102)/0.24978</f>
        <v>40.035231003282888</v>
      </c>
      <c r="O107" s="30">
        <f>SUM('MasterA1(current$)'!O102)/0.26337</f>
        <v>53.157155332801764</v>
      </c>
      <c r="P107" s="30">
        <f>SUM('MasterA1(current$)'!P102)/0.28703</f>
        <v>45.291432951259452</v>
      </c>
      <c r="Q107" s="30">
        <f>SUM('MasterA1(current$)'!Q102)/0.31361</f>
        <v>66.962150441631323</v>
      </c>
      <c r="R107" s="30">
        <f>SUM('MasterA1(current$)'!R102)/0.33083</f>
        <v>78.590212495843787</v>
      </c>
      <c r="S107" s="30">
        <f>SUM('MasterA1(current$)'!S102)/0.35135</f>
        <v>82.538778995303829</v>
      </c>
      <c r="T107" s="30">
        <f>SUM('MasterA1(current$)'!T102)/0.37602</f>
        <v>85.101856284240199</v>
      </c>
      <c r="U107" s="30">
        <f>SUM('MasterA1(current$)'!U102)/0.40706</f>
        <v>95.808971650370964</v>
      </c>
      <c r="V107" s="270">
        <f>SUM('MasterA1(current$)'!V102)/0.44377</f>
        <v>92.39020213173491</v>
      </c>
      <c r="W107" s="30">
        <f>SUM('MasterA1(current$)'!W102)/0.4852</f>
        <v>90.684253915910958</v>
      </c>
      <c r="X107" s="30">
        <f>SUM('MasterA1(current$)'!X102)/0.5153</f>
        <v>89.2683873471764</v>
      </c>
      <c r="Y107" s="30">
        <f>SUM('MasterA1(current$)'!Y102)/0.53565</f>
        <v>85.876971903295072</v>
      </c>
      <c r="Z107" s="30">
        <f>SUM('MasterA1(current$)'!Z102)/0.55466</f>
        <v>91.948220531496773</v>
      </c>
      <c r="AA107" s="30">
        <f>SUM('MasterA1(current$)'!AA102)/0.5724</f>
        <v>94.339622641509436</v>
      </c>
      <c r="AB107" s="30">
        <f>SUM('MasterA1(current$)'!AB102)/0.58395</f>
        <v>97.611096840482929</v>
      </c>
      <c r="AC107" s="30">
        <f>SUM('MasterA1(current$)'!AC102)/0.59885</f>
        <v>93.512565751022791</v>
      </c>
      <c r="AD107" s="30">
        <f>SUM('MasterA1(current$)'!AD102)/0.61982</f>
        <v>85.508696073053457</v>
      </c>
      <c r="AE107" s="30">
        <f>SUM('MasterA1(current$)'!AE102)/0.64392</f>
        <v>91.626288979997511</v>
      </c>
      <c r="AF107" s="270">
        <f>SUM('MasterA1(current$)'!AF102)/0.66773</f>
        <v>98.842346457400438</v>
      </c>
      <c r="AG107" s="30">
        <f>SUM('MasterA1(current$)'!AG102)/0.68996</f>
        <v>107.25259435329583</v>
      </c>
      <c r="AH107" s="30">
        <f>SUM('MasterA1(current$)'!AH102)/0.70569</f>
        <v>120.4494891524607</v>
      </c>
      <c r="AI107" s="30">
        <f>SUM('MasterA1(current$)'!AI102)/0.72248</f>
        <v>121.8026796589525</v>
      </c>
      <c r="AJ107" s="30">
        <f>SUM('MasterA1(current$)'!AJ102)/0.73785</f>
        <v>126.04187843057532</v>
      </c>
      <c r="AK107" s="30">
        <f>SUM('MasterA1(current$)'!AK102)/0.75324</f>
        <v>131.4322128405289</v>
      </c>
      <c r="AL107" s="30">
        <f>SUM('MasterA1(current$)'!AL102)/0.76699</f>
        <v>130.37979634675813</v>
      </c>
      <c r="AM107" s="30">
        <f>SUM('MasterA1(current$)'!AM102)/0.78012</f>
        <v>130.74911552068912</v>
      </c>
      <c r="AN107" s="30">
        <f>SUM('MasterA1(current$)'!AN102)/0.78859</f>
        <v>131.88095207902711</v>
      </c>
      <c r="AO107" s="30">
        <f>SUM('MasterA1(current$)'!AO102)/0.80065</f>
        <v>132.39243114969088</v>
      </c>
      <c r="AP107" s="857">
        <f>SUM('MasterA1(current$)'!AP102)/0.81887</f>
        <v>135.55265182507603</v>
      </c>
      <c r="AQ107" s="328">
        <f>SUM('MasterA1(current$)'!AQ102)/0.83754</f>
        <v>152.82852162284786</v>
      </c>
      <c r="AR107" s="328">
        <f>SUM('MasterA1(current$)'!AR102)/0.85039</f>
        <v>156.39882877268079</v>
      </c>
      <c r="AS107" s="328">
        <f>SUM('MasterA1(current$)'!AS102)/0.86735</f>
        <v>162.56413212659251</v>
      </c>
      <c r="AT107" s="328">
        <f>SUM('MasterA1(current$)'!AT102)/0.8912</f>
        <v>163.82405745062837</v>
      </c>
      <c r="AU107" s="328">
        <f>SUM('MasterA1(current$)'!AU102)/0.91988</f>
        <v>157.62925598991171</v>
      </c>
      <c r="AV107" s="328">
        <f>SUM('MasterA1(current$)'!AV102)/0.94814</f>
        <v>162.42327082498366</v>
      </c>
      <c r="AW107" s="328">
        <f>SUM('MasterA1(current$)'!AW102)/0.97337</f>
        <v>166.43208646249627</v>
      </c>
      <c r="AX107" s="331">
        <f>('MasterA1(current$)'!AX102*100)/99.246</f>
        <v>181.36751103319025</v>
      </c>
      <c r="AY107" s="284">
        <f>('MasterA1(current$)'!AY102)</f>
        <v>197</v>
      </c>
      <c r="AZ107" s="305">
        <f>SUM('MasterA1(current$)'!AZ102*100)/101.221</f>
        <v>212.40651643433674</v>
      </c>
      <c r="BA107" s="284">
        <f>SUM('MasterA1(current$)'!BA102*100)/103.311</f>
        <v>200.36588553009844</v>
      </c>
      <c r="BB107" s="284">
        <f>SUM('MasterA1(current$)'!BB102*100)/105.214</f>
        <v>189.13832759898872</v>
      </c>
      <c r="BC107" s="284">
        <f>SUM('MasterA1(current$)'!BC102*100)/106.913</f>
        <v>179.58527026647835</v>
      </c>
      <c r="BD107" s="284">
        <f>SUM('MasterA1(current$)'!BD102*100)/108.832</f>
        <v>178.25639517788886</v>
      </c>
      <c r="BE107" s="284">
        <f>SUM('MasterA1(current$)'!BE102*100)/110.012</f>
        <v>191.79725848089299</v>
      </c>
      <c r="BF107" s="305">
        <f>SUM('MasterA1(current$)'!BF102*100)/111.416</f>
        <v>194.7655632943204</v>
      </c>
      <c r="BG107" s="305">
        <f>SUM('MasterA1(current$)'!BG102*100)/113.116</f>
        <v>194.49061140775842</v>
      </c>
      <c r="BH107" s="305">
        <f>SUM('MasterA1(current$)'!BH102*100)/114.716</f>
        <v>176.08703232330276</v>
      </c>
      <c r="BI107" s="305">
        <f>SUM('MasterA1(current$)'!BI102*100)/116.416</f>
        <v>174.37465640461792</v>
      </c>
      <c r="BJ107" s="410">
        <f>(BH107-BG107)/BG107</f>
        <v>-9.4624511441694814E-2</v>
      </c>
      <c r="BK107" s="410">
        <f>(BI107-BH107)/BH107</f>
        <v>-9.7245997964282328E-3</v>
      </c>
      <c r="BL107" s="564">
        <f>BH107-BG107</f>
        <v>-18.403579084455657</v>
      </c>
      <c r="BM107" s="564">
        <f>BI107-BH107</f>
        <v>-1.7123759186848417</v>
      </c>
      <c r="BN107" s="112"/>
      <c r="BO107" s="112"/>
      <c r="BP107" s="620"/>
      <c r="BQ107" s="620"/>
    </row>
    <row r="108" spans="1:93" ht="6" customHeight="1">
      <c r="A108" s="115"/>
      <c r="B108" s="636"/>
      <c r="C108" s="33"/>
      <c r="D108" s="33"/>
      <c r="E108" s="47"/>
      <c r="F108" s="47"/>
      <c r="G108" s="47"/>
      <c r="H108" s="47"/>
      <c r="I108" s="47"/>
      <c r="J108" s="47"/>
      <c r="K108" s="47"/>
      <c r="L108" s="281"/>
      <c r="M108" s="47"/>
      <c r="N108" s="47"/>
      <c r="O108" s="47"/>
      <c r="P108" s="47"/>
      <c r="Q108" s="47"/>
      <c r="R108" s="47"/>
      <c r="S108" s="47"/>
      <c r="T108" s="47"/>
      <c r="U108" s="30"/>
      <c r="V108" s="281"/>
      <c r="W108" s="47"/>
      <c r="X108" s="47"/>
      <c r="Y108" s="47"/>
      <c r="Z108" s="47"/>
      <c r="AA108" s="47"/>
      <c r="AB108" s="47"/>
      <c r="AC108" s="47"/>
      <c r="AD108" s="47"/>
      <c r="AE108" s="47"/>
      <c r="AF108" s="281"/>
      <c r="AG108" s="47"/>
      <c r="AH108" s="47"/>
      <c r="AI108" s="47"/>
      <c r="AJ108" s="47"/>
      <c r="AK108" s="47"/>
      <c r="AL108" s="47"/>
      <c r="AM108" s="488"/>
      <c r="AN108" s="488"/>
      <c r="AO108" s="488"/>
      <c r="AP108" s="857"/>
      <c r="AQ108" s="328"/>
      <c r="AR108" s="328"/>
      <c r="AS108" s="328"/>
      <c r="AT108" s="328"/>
      <c r="AU108" s="328"/>
      <c r="AV108" s="328"/>
      <c r="AW108" s="328"/>
      <c r="AX108" s="331"/>
      <c r="AY108" s="284"/>
      <c r="AZ108" s="305"/>
      <c r="BA108" s="284"/>
      <c r="BB108" s="284"/>
      <c r="BC108" s="284"/>
      <c r="BD108" s="284"/>
      <c r="BE108" s="284"/>
      <c r="BF108" s="305"/>
      <c r="BG108" s="305"/>
      <c r="BH108" s="305"/>
      <c r="BI108" s="305"/>
      <c r="BJ108" s="871"/>
      <c r="BK108" s="871"/>
      <c r="BL108" s="565"/>
      <c r="BM108" s="565"/>
      <c r="BP108" s="620"/>
      <c r="BQ108" s="620"/>
    </row>
    <row r="109" spans="1:93" ht="11.25" customHeight="1">
      <c r="A109" s="116" t="s">
        <v>40</v>
      </c>
      <c r="B109" s="636"/>
      <c r="C109" s="33"/>
      <c r="D109" s="33"/>
      <c r="E109" s="47"/>
      <c r="F109" s="47"/>
      <c r="G109" s="47"/>
      <c r="H109" s="47"/>
      <c r="I109" s="47"/>
      <c r="J109" s="47"/>
      <c r="K109" s="47"/>
      <c r="L109" s="281"/>
      <c r="M109" s="47"/>
      <c r="N109" s="47"/>
      <c r="O109" s="47"/>
      <c r="P109" s="47"/>
      <c r="Q109" s="47"/>
      <c r="R109" s="47"/>
      <c r="S109" s="47"/>
      <c r="T109" s="47"/>
      <c r="U109" s="30"/>
      <c r="V109" s="281"/>
      <c r="W109" s="47"/>
      <c r="X109" s="47"/>
      <c r="Y109" s="47"/>
      <c r="Z109" s="47"/>
      <c r="AA109" s="47"/>
      <c r="AB109" s="47"/>
      <c r="AC109" s="47"/>
      <c r="AD109" s="47"/>
      <c r="AE109" s="47"/>
      <c r="AF109" s="281"/>
      <c r="AG109" s="47"/>
      <c r="AH109" s="47"/>
      <c r="AI109" s="47"/>
      <c r="AJ109" s="47"/>
      <c r="AK109" s="47"/>
      <c r="AL109" s="47"/>
      <c r="AM109" s="488"/>
      <c r="AN109" s="488"/>
      <c r="AO109" s="488"/>
      <c r="AP109" s="857"/>
      <c r="AQ109" s="328"/>
      <c r="AR109" s="328"/>
      <c r="AS109" s="328"/>
      <c r="AT109" s="328"/>
      <c r="AU109" s="328"/>
      <c r="AV109" s="328"/>
      <c r="AW109" s="328"/>
      <c r="AX109" s="331"/>
      <c r="AY109" s="284"/>
      <c r="AZ109" s="305"/>
      <c r="BA109" s="284"/>
      <c r="BB109" s="284"/>
      <c r="BC109" s="284"/>
      <c r="BD109" s="284"/>
      <c r="BE109" s="284"/>
      <c r="BF109" s="305"/>
      <c r="BG109" s="305"/>
      <c r="BH109" s="305"/>
      <c r="BI109" s="305"/>
      <c r="BJ109" s="871"/>
      <c r="BK109" s="871"/>
      <c r="BL109" s="565"/>
      <c r="BM109" s="565"/>
      <c r="BP109" s="620"/>
      <c r="BQ109" s="620"/>
    </row>
    <row r="110" spans="1:93" ht="11.25" customHeight="1">
      <c r="A110" s="119" t="s">
        <v>128</v>
      </c>
      <c r="B110" s="667">
        <f>SUM('MasterA1(current$)'!B105)/0.1756</f>
        <v>17.084282460136674</v>
      </c>
      <c r="C110" s="49">
        <f>SUM('MasterA1(current$)'!C105)/0.178</f>
        <v>16.853932584269664</v>
      </c>
      <c r="D110" s="49">
        <f>SUM('MasterA1(current$)'!D105)/0.1798</f>
        <v>22.246941045606231</v>
      </c>
      <c r="E110" s="30">
        <f>SUM('MasterA1(current$)'!E105)/0.182</f>
        <v>27.472527472527474</v>
      </c>
      <c r="F110" s="30">
        <f>SUM('MasterA1(current$)'!F105)/0.1842</f>
        <v>27.144408251900106</v>
      </c>
      <c r="G110" s="30">
        <f>SUM('MasterA1(current$)'!G105)/0.18702</f>
        <v>21.388086835632553</v>
      </c>
      <c r="H110" s="30">
        <f>SUM('MasterA1(current$)'!H105)/0.19227</f>
        <v>26.005096999011808</v>
      </c>
      <c r="I110" s="30">
        <f>SUM('MasterA1(current$)'!I105)/0.19786</f>
        <v>25.270393207318303</v>
      </c>
      <c r="J110" s="30">
        <f>SUM('MasterA1(current$)'!J105)/0.20627</f>
        <v>24.240073689824015</v>
      </c>
      <c r="K110" s="30">
        <f>SUM('MasterA1(current$)'!K105)/0.21642</f>
        <v>27.72387025228722</v>
      </c>
      <c r="L110" s="270">
        <f>SUM('MasterA1(current$)'!L105)/0.22784</f>
        <v>30.723314606741575</v>
      </c>
      <c r="M110" s="30">
        <f>SUM('MasterA1(current$)'!M105)/0.23941</f>
        <v>29.23854475585815</v>
      </c>
      <c r="N110" s="30">
        <f>SUM('MasterA1(current$)'!N105)/0.24978</f>
        <v>52.045800304267757</v>
      </c>
      <c r="O110" s="30">
        <f>SUM('MasterA1(current$)'!O105)/0.26337</f>
        <v>64.547974332687858</v>
      </c>
      <c r="P110" s="30">
        <f>SUM('MasterA1(current$)'!P105)/0.28703</f>
        <v>62.711214855590008</v>
      </c>
      <c r="Q110" s="30">
        <f>SUM('MasterA1(current$)'!Q105)/0.31361</f>
        <v>73.339498102739071</v>
      </c>
      <c r="R110" s="30">
        <f>SUM('MasterA1(current$)'!R105)/0.33083</f>
        <v>108.81721730193755</v>
      </c>
      <c r="S110" s="30">
        <f>SUM('MasterA1(current$)'!S105)/0.35135</f>
        <v>96.769602960011383</v>
      </c>
      <c r="T110" s="30">
        <f>SUM('MasterA1(current$)'!T105)/0.37602</f>
        <v>151.58768150630286</v>
      </c>
      <c r="U110" s="30">
        <f>SUM('MasterA1(current$)'!U105)/0.40706</f>
        <v>157.22497911855746</v>
      </c>
      <c r="V110" s="270">
        <f>SUM('MasterA1(current$)'!V105)/0.44377</f>
        <v>159.99278905739459</v>
      </c>
      <c r="W110" s="30">
        <f>SUM('MasterA1(current$)'!W105)/0.4852</f>
        <v>160.75845012366034</v>
      </c>
      <c r="X110" s="30">
        <f>SUM('MasterA1(current$)'!X105)/0.5153</f>
        <v>164.95245488065206</v>
      </c>
      <c r="Y110" s="30">
        <f>SUM('MasterA1(current$)'!Y105)/0.53565</f>
        <v>134.41612993559229</v>
      </c>
      <c r="Z110" s="30">
        <f>SUM('MasterA1(current$)'!Z105)/0.55466</f>
        <v>137.0208776547795</v>
      </c>
      <c r="AA110" s="30">
        <f>SUM('MasterA1(current$)'!AA105)/0.5724</f>
        <v>151.9916142557652</v>
      </c>
      <c r="AB110" s="30">
        <f>SUM('MasterA1(current$)'!AB105)/0.58395</f>
        <v>186.65981676513402</v>
      </c>
      <c r="AC110" s="30">
        <f>SUM('MasterA1(current$)'!AC105)/0.59885</f>
        <v>188.69499874759956</v>
      </c>
      <c r="AD110" s="30">
        <f>SUM('MasterA1(current$)'!AD105)/0.61982</f>
        <v>209.73831112258395</v>
      </c>
      <c r="AE110" s="30">
        <f>SUM('MasterA1(current$)'!AE105)/0.64392</f>
        <v>222.07727668033294</v>
      </c>
      <c r="AF110" s="270">
        <f>SUM('MasterA1(current$)'!AF105)/0.66773</f>
        <v>227.63691911401312</v>
      </c>
      <c r="AG110" s="30">
        <f>SUM('MasterA1(current$)'!AG105)/0.68996</f>
        <v>286.97315786422399</v>
      </c>
      <c r="AH110" s="30">
        <f>SUM('MasterA1(current$)'!AH105)/0.70569</f>
        <v>314.58572460995617</v>
      </c>
      <c r="AI110" s="30">
        <f>SUM('MasterA1(current$)'!AI105)/0.72248</f>
        <v>359.87155353781418</v>
      </c>
      <c r="AJ110" s="30">
        <f>SUM('MasterA1(current$)'!AJ105)/0.73785</f>
        <v>369.99390119943075</v>
      </c>
      <c r="AK110" s="30">
        <f>SUM('MasterA1(current$)'!AK105)/0.75324</f>
        <v>244.27805214805375</v>
      </c>
      <c r="AL110" s="30">
        <f>SUM('MasterA1(current$)'!AL105)/0.76699</f>
        <v>211.21527008174814</v>
      </c>
      <c r="AM110" s="30">
        <f>SUM('MasterA1(current$)'!AM105)/0.78012</f>
        <v>223.04260882941085</v>
      </c>
      <c r="AN110" s="30">
        <f>SUM('MasterA1(current$)'!AN105)/0.78859</f>
        <v>234.59592437134631</v>
      </c>
      <c r="AO110" s="30">
        <f>SUM('MasterA1(current$)'!AO105)/0.80065</f>
        <v>277.2747142946356</v>
      </c>
      <c r="AP110" s="857">
        <f>SUM('MasterA1(current$)'!AP105)/0.81887</f>
        <v>288.20203451097245</v>
      </c>
      <c r="AQ110" s="328">
        <f>SUM('MasterA1(current$)'!AQ105)/0.83754</f>
        <v>304.46307042051723</v>
      </c>
      <c r="AR110" s="328">
        <f>SUM('MasterA1(current$)'!AR105)/0.85039</f>
        <v>322.20510589259044</v>
      </c>
      <c r="AS110" s="328">
        <f>SUM('MasterA1(current$)'!AS105)/0.86735</f>
        <v>332.04588689686977</v>
      </c>
      <c r="AT110" s="328">
        <f>SUM('MasterA1(current$)'!AT105)/0.8912</f>
        <v>331.01436265709157</v>
      </c>
      <c r="AU110" s="328">
        <f>SUM('MasterA1(current$)'!AU105)/0.91988</f>
        <v>343.52306822629038</v>
      </c>
      <c r="AV110" s="328">
        <f>SUM('MasterA1(current$)'!AV105)/0.94814</f>
        <v>363.87031451051536</v>
      </c>
      <c r="AW110" s="328">
        <f>SUM('MasterA1(current$)'!AW105)/0.97337</f>
        <v>323.56319200852641</v>
      </c>
      <c r="AX110" s="331">
        <f>('MasterA1(current$)'!AX105*100)/99.246</f>
        <v>414.12248352578445</v>
      </c>
      <c r="AY110" s="284">
        <f>('MasterA1(current$)'!AY105)</f>
        <v>295</v>
      </c>
      <c r="AZ110" s="305">
        <f>SUM('MasterA1(current$)'!AZ105*100)/101.221</f>
        <v>371.46441943865403</v>
      </c>
      <c r="BA110" s="284">
        <f>SUM('MasterA1(current$)'!BA105*100)/103.311</f>
        <v>373.62913920105308</v>
      </c>
      <c r="BB110" s="284">
        <f>SUM('MasterA1(current$)'!BB105*100)/105.214</f>
        <v>434.35284277757711</v>
      </c>
      <c r="BC110" s="284">
        <f>SUM('MasterA1(current$)'!BC105*100)/106.913</f>
        <v>483.57075379046518</v>
      </c>
      <c r="BD110" s="284">
        <f>SUM('MasterA1(current$)'!BD105*100)/108.832</f>
        <v>465.85563069685389</v>
      </c>
      <c r="BE110" s="284">
        <f>SUM('MasterA1(current$)'!BE105*100)/110.012</f>
        <v>316.3291277315202</v>
      </c>
      <c r="BF110" s="305">
        <f>SUM('MasterA1(current$)'!BF105*100)/111.416</f>
        <v>378.76068069218064</v>
      </c>
      <c r="BG110" s="305">
        <f>SUM('MasterA1(current$)'!BG105*100)/113.116</f>
        <v>389.86527104918844</v>
      </c>
      <c r="BH110" s="305">
        <f>SUM('MasterA1(current$)'!BH105*100)/114.716</f>
        <v>266.74570243034975</v>
      </c>
      <c r="BI110" s="305">
        <f>SUM('MasterA1(current$)'!BI105*100)/116.416</f>
        <v>261.13249037932928</v>
      </c>
      <c r="BJ110" s="410">
        <f t="shared" ref="BJ110:BK116" si="9">(BH110-BG110)/BG110</f>
        <v>-0.31580029759384481</v>
      </c>
      <c r="BK110" s="410">
        <f t="shared" si="9"/>
        <v>-2.1043308289047845E-2</v>
      </c>
      <c r="BL110" s="564">
        <f t="shared" ref="BL110:BM116" si="10">BH110-BG110</f>
        <v>-123.11956861883868</v>
      </c>
      <c r="BM110" s="564">
        <f t="shared" si="10"/>
        <v>-5.6132120510204686</v>
      </c>
      <c r="BN110" s="112"/>
      <c r="BO110" s="112"/>
      <c r="BP110" s="620"/>
      <c r="BQ110" s="620"/>
    </row>
    <row r="111" spans="1:93" ht="11.25" customHeight="1">
      <c r="A111" s="119" t="s">
        <v>129</v>
      </c>
      <c r="B111" s="803" t="s">
        <v>3</v>
      </c>
      <c r="C111" s="363" t="s">
        <v>3</v>
      </c>
      <c r="D111" s="363" t="s">
        <v>3</v>
      </c>
      <c r="E111" s="158" t="s">
        <v>3</v>
      </c>
      <c r="F111" s="158" t="s">
        <v>3</v>
      </c>
      <c r="G111" s="158" t="s">
        <v>3</v>
      </c>
      <c r="H111" s="158" t="s">
        <v>3</v>
      </c>
      <c r="I111" s="158" t="s">
        <v>3</v>
      </c>
      <c r="J111" s="158" t="s">
        <v>3</v>
      </c>
      <c r="K111" s="158" t="s">
        <v>3</v>
      </c>
      <c r="L111" s="914" t="s">
        <v>3</v>
      </c>
      <c r="M111" s="158" t="s">
        <v>3</v>
      </c>
      <c r="N111" s="158" t="s">
        <v>3</v>
      </c>
      <c r="O111" s="158" t="s">
        <v>3</v>
      </c>
      <c r="P111" s="158" t="s">
        <v>3</v>
      </c>
      <c r="Q111" s="158" t="s">
        <v>3</v>
      </c>
      <c r="R111" s="158" t="s">
        <v>3</v>
      </c>
      <c r="S111" s="158" t="s">
        <v>3</v>
      </c>
      <c r="T111" s="158" t="s">
        <v>3</v>
      </c>
      <c r="U111" s="158" t="s">
        <v>3</v>
      </c>
      <c r="V111" s="914" t="s">
        <v>3</v>
      </c>
      <c r="W111" s="158" t="s">
        <v>3</v>
      </c>
      <c r="X111" s="158" t="s">
        <v>3</v>
      </c>
      <c r="Y111" s="30">
        <f>SUM('MasterA1(current$)'!Y106)/0.53565</f>
        <v>222.15999253243723</v>
      </c>
      <c r="Z111" s="30">
        <f>SUM('MasterA1(current$)'!Z106)/0.55466</f>
        <v>283.05628673421552</v>
      </c>
      <c r="AA111" s="30">
        <f>SUM('MasterA1(current$)'!AA106)/0.5724</f>
        <v>282.82145352900068</v>
      </c>
      <c r="AB111" s="30">
        <f>SUM('MasterA1(current$)'!AB106)/0.58395</f>
        <v>268.85863515711964</v>
      </c>
      <c r="AC111" s="30">
        <f>SUM('MasterA1(current$)'!AC106)/0.59885</f>
        <v>277.19796276196041</v>
      </c>
      <c r="AD111" s="30">
        <f>SUM('MasterA1(current$)'!AD106)/0.61982</f>
        <v>266.20631796327967</v>
      </c>
      <c r="AE111" s="30">
        <f>SUM('MasterA1(current$)'!AE106)/0.64392</f>
        <v>265.56093924711143</v>
      </c>
      <c r="AF111" s="270">
        <f>SUM('MasterA1(current$)'!AF106)/0.66773</f>
        <v>268.07242448294966</v>
      </c>
      <c r="AG111" s="30">
        <f>SUM('MasterA1(current$)'!AG106)/0.68996</f>
        <v>265.23276711693433</v>
      </c>
      <c r="AH111" s="30">
        <f>SUM('MasterA1(current$)'!AH106)/0.70569</f>
        <v>284.82761552523061</v>
      </c>
      <c r="AI111" s="30">
        <f>SUM('MasterA1(current$)'!AI106)/0.72248</f>
        <v>289.2813641900122</v>
      </c>
      <c r="AJ111" s="30">
        <f>SUM('MasterA1(current$)'!AJ106)/0.73785</f>
        <v>275.12367012265366</v>
      </c>
      <c r="AK111" s="30">
        <f>SUM('MasterA1(current$)'!AK106)/0.75324</f>
        <v>256.22643513355638</v>
      </c>
      <c r="AL111" s="30">
        <f>SUM('MasterA1(current$)'!AL106)/0.76699</f>
        <v>254.24060287617831</v>
      </c>
      <c r="AM111" s="30">
        <f>SUM('MasterA1(current$)'!AM106)/0.78012</f>
        <v>258.93452289391377</v>
      </c>
      <c r="AN111" s="30">
        <f>SUM('MasterA1(current$)'!AN106)/0.78859</f>
        <v>259.95764592500541</v>
      </c>
      <c r="AO111" s="30">
        <f>SUM('MasterA1(current$)'!AO106)/0.80065</f>
        <v>267.28283269843251</v>
      </c>
      <c r="AP111" s="857">
        <f>SUM('MasterA1(current$)'!AP106)/0.81887</f>
        <v>503.13236533271458</v>
      </c>
      <c r="AQ111" s="328">
        <f>SUM('MasterA1(current$)'!AQ106)/0.83754</f>
        <v>573.10695608567949</v>
      </c>
      <c r="AR111" s="328">
        <f>SUM('MasterA1(current$)'!AR106)/0.85039</f>
        <v>896.05945507355455</v>
      </c>
      <c r="AS111" s="328">
        <f>SUM('MasterA1(current$)'!AS106)/0.86735</f>
        <v>1338.5599815530063</v>
      </c>
      <c r="AT111" s="328">
        <f>SUM('MasterA1(current$)'!AT106)/0.8912</f>
        <v>354.57809694793536</v>
      </c>
      <c r="AU111" s="328">
        <f>SUM('MasterA1(current$)'!AU106)/0.91988</f>
        <v>378.31021437578812</v>
      </c>
      <c r="AV111" s="328">
        <f>SUM('MasterA1(current$)'!AV106)/0.94814</f>
        <v>344.88577636214063</v>
      </c>
      <c r="AW111" s="328">
        <f>SUM('MasterA1(current$)'!AW106)/0.97337</f>
        <v>330.80945580817161</v>
      </c>
      <c r="AX111" s="331">
        <f>('MasterA1(current$)'!AX106*100)/99.246</f>
        <v>319.40833887511843</v>
      </c>
      <c r="AY111" s="284">
        <f>('MasterA1(current$)'!AY106)</f>
        <v>327</v>
      </c>
      <c r="AZ111" s="305">
        <f>SUM('MasterA1(current$)'!AZ106*100)/101.221</f>
        <v>351.70567372383198</v>
      </c>
      <c r="BA111" s="284">
        <f>SUM('MasterA1(current$)'!BA106*100)/103.311</f>
        <v>363.94962782278748</v>
      </c>
      <c r="BB111" s="284">
        <f>SUM('MasterA1(current$)'!BB106*100)/105.214</f>
        <v>160.62501188054821</v>
      </c>
      <c r="BC111" s="284">
        <f>SUM('MasterA1(current$)'!BC106*100)/106.913</f>
        <v>144.97769214220909</v>
      </c>
      <c r="BD111" s="284">
        <f>SUM('MasterA1(current$)'!BD106*100)/108.832</f>
        <v>140.58365186709793</v>
      </c>
      <c r="BE111" s="284">
        <f>SUM('MasterA1(current$)'!BE106*100)/110.012</f>
        <v>155.43758862669526</v>
      </c>
      <c r="BF111" s="305">
        <f>SUM('MasterA1(current$)'!BF106*100)/111.416</f>
        <v>156.17146549867164</v>
      </c>
      <c r="BG111" s="305">
        <f>SUM('MasterA1(current$)'!BG106*100)/113.116</f>
        <v>156.47653735987836</v>
      </c>
      <c r="BH111" s="305">
        <f>SUM('MasterA1(current$)'!BH106*100)/114.716</f>
        <v>130.7576972697793</v>
      </c>
      <c r="BI111" s="305">
        <f>SUM('MasterA1(current$)'!BI106*100)/116.416</f>
        <v>172.6566794942276</v>
      </c>
      <c r="BJ111" s="410">
        <f t="shared" si="9"/>
        <v>-0.16436227771930201</v>
      </c>
      <c r="BK111" s="410">
        <f t="shared" si="9"/>
        <v>0.32043224299065404</v>
      </c>
      <c r="BL111" s="564">
        <f t="shared" si="10"/>
        <v>-25.718840090099064</v>
      </c>
      <c r="BM111" s="564">
        <f t="shared" si="10"/>
        <v>41.898982224448304</v>
      </c>
      <c r="BN111" s="112"/>
      <c r="BO111" s="112"/>
      <c r="BP111" s="620"/>
      <c r="BQ111" s="620"/>
    </row>
    <row r="112" spans="1:93" s="364" customFormat="1" ht="11">
      <c r="A112" s="364" t="s">
        <v>112</v>
      </c>
      <c r="B112" s="803" t="s">
        <v>3</v>
      </c>
      <c r="C112" s="363" t="s">
        <v>3</v>
      </c>
      <c r="D112" s="363" t="s">
        <v>3</v>
      </c>
      <c r="E112" s="158" t="s">
        <v>3</v>
      </c>
      <c r="F112" s="158" t="s">
        <v>3</v>
      </c>
      <c r="G112" s="158" t="s">
        <v>3</v>
      </c>
      <c r="H112" s="158" t="s">
        <v>3</v>
      </c>
      <c r="I112" s="158" t="s">
        <v>3</v>
      </c>
      <c r="J112" s="158" t="s">
        <v>3</v>
      </c>
      <c r="K112" s="158" t="s">
        <v>3</v>
      </c>
      <c r="L112" s="914" t="s">
        <v>3</v>
      </c>
      <c r="M112" s="158" t="s">
        <v>3</v>
      </c>
      <c r="N112" s="158" t="s">
        <v>3</v>
      </c>
      <c r="O112" s="158" t="s">
        <v>3</v>
      </c>
      <c r="P112" s="158" t="s">
        <v>3</v>
      </c>
      <c r="Q112" s="158" t="s">
        <v>3</v>
      </c>
      <c r="R112" s="158" t="s">
        <v>3</v>
      </c>
      <c r="S112" s="158" t="s">
        <v>3</v>
      </c>
      <c r="T112" s="158" t="s">
        <v>3</v>
      </c>
      <c r="U112" s="158" t="s">
        <v>3</v>
      </c>
      <c r="V112" s="914" t="s">
        <v>3</v>
      </c>
      <c r="W112" s="158" t="s">
        <v>3</v>
      </c>
      <c r="X112" s="158" t="s">
        <v>3</v>
      </c>
      <c r="Y112" s="158" t="s">
        <v>3</v>
      </c>
      <c r="Z112" s="158" t="s">
        <v>3</v>
      </c>
      <c r="AA112" s="158" t="s">
        <v>3</v>
      </c>
      <c r="AB112" s="158" t="s">
        <v>3</v>
      </c>
      <c r="AC112" s="158" t="s">
        <v>3</v>
      </c>
      <c r="AD112" s="158" t="s">
        <v>3</v>
      </c>
      <c r="AE112" s="158" t="s">
        <v>3</v>
      </c>
      <c r="AF112" s="914" t="s">
        <v>3</v>
      </c>
      <c r="AG112" s="158" t="s">
        <v>3</v>
      </c>
      <c r="AH112" s="158" t="s">
        <v>3</v>
      </c>
      <c r="AI112" s="158" t="s">
        <v>3</v>
      </c>
      <c r="AJ112" s="158" t="s">
        <v>3</v>
      </c>
      <c r="AK112" s="158" t="s">
        <v>3</v>
      </c>
      <c r="AL112" s="158" t="s">
        <v>3</v>
      </c>
      <c r="AM112" s="158" t="s">
        <v>3</v>
      </c>
      <c r="AN112" s="158" t="s">
        <v>3</v>
      </c>
      <c r="AO112" s="158" t="s">
        <v>3</v>
      </c>
      <c r="AP112" s="914" t="s">
        <v>3</v>
      </c>
      <c r="AQ112" s="158" t="s">
        <v>3</v>
      </c>
      <c r="AR112" s="158" t="s">
        <v>3</v>
      </c>
      <c r="AS112" s="158" t="s">
        <v>3</v>
      </c>
      <c r="AT112" s="158" t="s">
        <v>3</v>
      </c>
      <c r="AU112" s="158" t="s">
        <v>3</v>
      </c>
      <c r="AV112" s="175" t="s">
        <v>3</v>
      </c>
      <c r="AW112" s="175" t="s">
        <v>3</v>
      </c>
      <c r="AX112" s="158" t="s">
        <v>3</v>
      </c>
      <c r="AY112" s="363" t="s">
        <v>3</v>
      </c>
      <c r="AZ112" s="803" t="s">
        <v>3</v>
      </c>
      <c r="BA112" s="363" t="s">
        <v>3</v>
      </c>
      <c r="BB112" s="284">
        <f>SUM('MasterA1(current$)'!BB107*100)/105.214</f>
        <v>118.80548216016879</v>
      </c>
      <c r="BC112" s="284">
        <f>SUM('MasterA1(current$)'!BC107*100)/106.913</f>
        <v>170.2318707734326</v>
      </c>
      <c r="BD112" s="284">
        <f>SUM('MasterA1(current$)'!BD107*100)/108.832</f>
        <v>181.93178476918555</v>
      </c>
      <c r="BE112" s="284">
        <f>SUM('MasterA1(current$)'!BE107*100)/110.012</f>
        <v>207.25011816892703</v>
      </c>
      <c r="BF112" s="305">
        <f>SUM('MasterA1(current$)'!BF107*100)/111.416</f>
        <v>211.8187692970489</v>
      </c>
      <c r="BG112" s="305">
        <f>SUM('MasterA1(current$)'!BG107*100)/113.116</f>
        <v>216.59181724954914</v>
      </c>
      <c r="BH112" s="305">
        <f>SUM('MasterA1(current$)'!BH107*100)/114.716</f>
        <v>210.95575159524392</v>
      </c>
      <c r="BI112" s="305">
        <f>SUM('MasterA1(current$)'!BI107*100)/116.416</f>
        <v>210.45217152281475</v>
      </c>
      <c r="BJ112" s="410">
        <f t="shared" si="9"/>
        <v>-2.6021600104179123E-2</v>
      </c>
      <c r="BK112" s="410">
        <f t="shared" si="9"/>
        <v>-2.3871360160654972E-3</v>
      </c>
      <c r="BL112" s="564">
        <f t="shared" si="10"/>
        <v>-5.636065654305213</v>
      </c>
      <c r="BM112" s="564">
        <f t="shared" si="10"/>
        <v>-0.50358007242917324</v>
      </c>
      <c r="BN112" s="112"/>
      <c r="BO112" s="112"/>
      <c r="BP112" s="620"/>
      <c r="BQ112" s="620"/>
      <c r="BR112" s="319"/>
      <c r="BS112" s="319"/>
      <c r="BT112" s="319"/>
      <c r="BU112" s="319"/>
      <c r="BV112" s="319"/>
      <c r="BW112" s="319"/>
      <c r="BX112" s="319"/>
      <c r="BY112" s="319"/>
      <c r="BZ112" s="319"/>
      <c r="CA112" s="319"/>
      <c r="CB112" s="319"/>
      <c r="CC112" s="319"/>
      <c r="CD112" s="319"/>
      <c r="CE112" s="319"/>
      <c r="CF112" s="319"/>
      <c r="CG112" s="319"/>
      <c r="CH112" s="319"/>
      <c r="CI112" s="319"/>
      <c r="CJ112" s="319"/>
      <c r="CK112" s="319"/>
      <c r="CL112" s="319"/>
      <c r="CM112" s="319"/>
      <c r="CN112" s="319"/>
      <c r="CO112" s="319"/>
    </row>
    <row r="113" spans="1:93" s="364" customFormat="1" ht="11">
      <c r="A113" s="364" t="s">
        <v>113</v>
      </c>
      <c r="B113" s="803" t="s">
        <v>3</v>
      </c>
      <c r="C113" s="363" t="s">
        <v>3</v>
      </c>
      <c r="D113" s="363" t="s">
        <v>3</v>
      </c>
      <c r="E113" s="158" t="s">
        <v>3</v>
      </c>
      <c r="F113" s="158" t="s">
        <v>3</v>
      </c>
      <c r="G113" s="158" t="s">
        <v>3</v>
      </c>
      <c r="H113" s="158" t="s">
        <v>3</v>
      </c>
      <c r="I113" s="158" t="s">
        <v>3</v>
      </c>
      <c r="J113" s="158" t="s">
        <v>3</v>
      </c>
      <c r="K113" s="158" t="s">
        <v>3</v>
      </c>
      <c r="L113" s="914" t="s">
        <v>3</v>
      </c>
      <c r="M113" s="158" t="s">
        <v>3</v>
      </c>
      <c r="N113" s="158" t="s">
        <v>3</v>
      </c>
      <c r="O113" s="158" t="s">
        <v>3</v>
      </c>
      <c r="P113" s="158" t="s">
        <v>3</v>
      </c>
      <c r="Q113" s="158" t="s">
        <v>3</v>
      </c>
      <c r="R113" s="158" t="s">
        <v>3</v>
      </c>
      <c r="S113" s="158" t="s">
        <v>3</v>
      </c>
      <c r="T113" s="158" t="s">
        <v>3</v>
      </c>
      <c r="U113" s="158" t="s">
        <v>3</v>
      </c>
      <c r="V113" s="914" t="s">
        <v>3</v>
      </c>
      <c r="W113" s="158" t="s">
        <v>3</v>
      </c>
      <c r="X113" s="158" t="s">
        <v>3</v>
      </c>
      <c r="Y113" s="158" t="s">
        <v>3</v>
      </c>
      <c r="Z113" s="158" t="s">
        <v>3</v>
      </c>
      <c r="AA113" s="158" t="s">
        <v>3</v>
      </c>
      <c r="AB113" s="158" t="s">
        <v>3</v>
      </c>
      <c r="AC113" s="158" t="s">
        <v>3</v>
      </c>
      <c r="AD113" s="158" t="s">
        <v>3</v>
      </c>
      <c r="AE113" s="158" t="s">
        <v>3</v>
      </c>
      <c r="AF113" s="914" t="s">
        <v>3</v>
      </c>
      <c r="AG113" s="158" t="s">
        <v>3</v>
      </c>
      <c r="AH113" s="158" t="s">
        <v>3</v>
      </c>
      <c r="AI113" s="30">
        <f>SUM('MasterA1(current$)'!AI108)/0.72248</f>
        <v>6.9206067988041191</v>
      </c>
      <c r="AJ113" s="30">
        <f>SUM('MasterA1(current$)'!AJ108)/0.73785</f>
        <v>6.7764450769126512</v>
      </c>
      <c r="AK113" s="30">
        <f>SUM('MasterA1(current$)'!AK108)/0.75324</f>
        <v>5.310392438001168</v>
      </c>
      <c r="AL113" s="30">
        <f>SUM('MasterA1(current$)'!AL108)/0.76699</f>
        <v>7.8227877808054869</v>
      </c>
      <c r="AM113" s="30">
        <f>SUM('MasterA1(current$)'!AM108)/0.78012</f>
        <v>7.6911244423934777</v>
      </c>
      <c r="AN113" s="30">
        <f>SUM('MasterA1(current$)'!AN108)/0.78859</f>
        <v>7.6085164660977185</v>
      </c>
      <c r="AO113" s="30">
        <f>SUM('MasterA1(current$)'!AO108)/0.80065</f>
        <v>7.4939111971523138</v>
      </c>
      <c r="AP113" s="857">
        <f>SUM('MasterA1(current$)'!AP108)/0.81887</f>
        <v>7.3271703689230279</v>
      </c>
      <c r="AQ113" s="328">
        <f>SUM('MasterA1(current$)'!AQ108)/0.83754</f>
        <v>8.3578097762494927</v>
      </c>
      <c r="AR113" s="328">
        <f>SUM('MasterA1(current$)'!AR108)/0.85039</f>
        <v>7.0555862604216895</v>
      </c>
      <c r="AS113" s="328">
        <f>SUM('MasterA1(current$)'!AS108)/0.86735</f>
        <v>6.917622643684787</v>
      </c>
      <c r="AT113" s="328">
        <f>SUM('MasterA1(current$)'!AT108)/0.8912</f>
        <v>6.7324955116696588</v>
      </c>
      <c r="AU113" s="328">
        <f>SUM('MasterA1(current$)'!AU108)/0.91988</f>
        <v>7.609688220202635</v>
      </c>
      <c r="AV113" s="328">
        <f>SUM('MasterA1(current$)'!AV108)/0.94814</f>
        <v>8.4375725103887618</v>
      </c>
      <c r="AW113" s="328">
        <f>SUM('MasterA1(current$)'!AW108)/0.97337</f>
        <v>7.1915099088732966</v>
      </c>
      <c r="AX113" s="331">
        <f>('MasterA1(current$)'!AX108*100)/99.246</f>
        <v>6.0455837011063425</v>
      </c>
      <c r="AY113" s="284">
        <f>('MasterA1(current$)'!AY108)</f>
        <v>7</v>
      </c>
      <c r="AZ113" s="305">
        <f>SUM('MasterA1(current$)'!AZ108*100)/101.221</f>
        <v>6.9155610001877079</v>
      </c>
      <c r="BA113" s="284">
        <f>SUM('MasterA1(current$)'!BA108*100)/103.311</f>
        <v>6.7756579647859372</v>
      </c>
      <c r="BB113" s="284">
        <f>SUM('MasterA1(current$)'!BB108*100)/105.214</f>
        <v>9.5044385728135037</v>
      </c>
      <c r="BC113" s="284">
        <f>SUM('MasterA1(current$)'!BC108*100)/106.913</f>
        <v>9.3533994930457478</v>
      </c>
      <c r="BD113" s="284">
        <f>SUM('MasterA1(current$)'!BD108*100)/108.832</f>
        <v>9.188473978241694</v>
      </c>
      <c r="BE113" s="284">
        <f>SUM('MasterA1(current$)'!BE108*100)/110.012</f>
        <v>15.452859688034033</v>
      </c>
      <c r="BF113" s="305">
        <f>SUM('MasterA1(current$)'!BF108*100)/111.416</f>
        <v>15.258131686651828</v>
      </c>
      <c r="BG113" s="305">
        <f>SUM('MasterA1(current$)'!BG108*100)/113.116</f>
        <v>12.376675271402808</v>
      </c>
      <c r="BH113" s="305">
        <f>SUM('MasterA1(current$)'!BH108*100)/114.716</f>
        <v>13.947487708776457</v>
      </c>
      <c r="BI113" s="305">
        <f>SUM('MasterA1(current$)'!BI108*100)/116.416</f>
        <v>13.743815283122595</v>
      </c>
      <c r="BJ113" s="410">
        <f t="shared" si="9"/>
        <v>0.12691715690425545</v>
      </c>
      <c r="BK113" s="410">
        <f t="shared" si="9"/>
        <v>-1.460280373831774E-2</v>
      </c>
      <c r="BL113" s="564">
        <f t="shared" si="10"/>
        <v>1.5708124373736485</v>
      </c>
      <c r="BM113" s="564">
        <f t="shared" si="10"/>
        <v>-0.20367242565386157</v>
      </c>
      <c r="BN113" s="112"/>
      <c r="BO113" s="112"/>
      <c r="BP113" s="620"/>
      <c r="BQ113" s="620"/>
      <c r="BR113" s="319"/>
      <c r="BS113" s="319"/>
      <c r="BT113" s="319"/>
      <c r="BU113" s="319"/>
      <c r="BV113" s="319"/>
      <c r="BW113" s="319"/>
      <c r="BX113" s="319"/>
      <c r="BY113" s="319"/>
      <c r="BZ113" s="319"/>
      <c r="CA113" s="319"/>
      <c r="CB113" s="319"/>
      <c r="CC113" s="319"/>
      <c r="CD113" s="319"/>
      <c r="CE113" s="319"/>
      <c r="CF113" s="319"/>
      <c r="CG113" s="319"/>
      <c r="CH113" s="319"/>
      <c r="CI113" s="319"/>
      <c r="CJ113" s="319"/>
      <c r="CK113" s="319"/>
      <c r="CL113" s="319"/>
      <c r="CM113" s="319"/>
      <c r="CN113" s="319"/>
      <c r="CO113" s="319"/>
    </row>
    <row r="114" spans="1:93" ht="11.25" customHeight="1">
      <c r="A114" s="119" t="s">
        <v>130</v>
      </c>
      <c r="B114" s="835" t="s">
        <v>3</v>
      </c>
      <c r="C114" s="54" t="s">
        <v>3</v>
      </c>
      <c r="D114" s="54" t="s">
        <v>3</v>
      </c>
      <c r="E114" s="163" t="s">
        <v>3</v>
      </c>
      <c r="F114" s="163" t="s">
        <v>3</v>
      </c>
      <c r="G114" s="163" t="s">
        <v>3</v>
      </c>
      <c r="H114" s="163" t="s">
        <v>3</v>
      </c>
      <c r="I114" s="163" t="s">
        <v>3</v>
      </c>
      <c r="J114" s="163" t="s">
        <v>3</v>
      </c>
      <c r="K114" s="163" t="s">
        <v>3</v>
      </c>
      <c r="L114" s="213" t="s">
        <v>3</v>
      </c>
      <c r="M114" s="163" t="s">
        <v>3</v>
      </c>
      <c r="N114" s="163" t="s">
        <v>3</v>
      </c>
      <c r="O114" s="163" t="s">
        <v>3</v>
      </c>
      <c r="P114" s="163" t="s">
        <v>3</v>
      </c>
      <c r="Q114" s="163" t="s">
        <v>3</v>
      </c>
      <c r="R114" s="163" t="s">
        <v>3</v>
      </c>
      <c r="S114" s="163" t="s">
        <v>3</v>
      </c>
      <c r="T114" s="30">
        <f>SUM('MasterA1(current$)'!T109)/0.37602</f>
        <v>13.29716504441253</v>
      </c>
      <c r="U114" s="30">
        <f>SUM('MasterA1(current$)'!U109)/0.40706</f>
        <v>117.9187343389181</v>
      </c>
      <c r="V114" s="270">
        <f>SUM('MasterA1(current$)'!V109)/0.44377</f>
        <v>191.54066295603579</v>
      </c>
      <c r="W114" s="30">
        <f>SUM('MasterA1(current$)'!W109)/0.4852</f>
        <v>269.99175597691675</v>
      </c>
      <c r="X114" s="30">
        <f>SUM('MasterA1(current$)'!X109)/0.5153</f>
        <v>230.93343683291289</v>
      </c>
      <c r="Y114" s="30">
        <f>SUM('MasterA1(current$)'!Y109)/0.53565</f>
        <v>306.17007374218241</v>
      </c>
      <c r="Z114" s="30">
        <f>SUM('MasterA1(current$)'!Z109)/0.55466</f>
        <v>371.39869469584966</v>
      </c>
      <c r="AA114" s="30">
        <f>SUM('MasterA1(current$)'!AA109)/0.5724</f>
        <v>475.19217330538083</v>
      </c>
      <c r="AB114" s="30">
        <f>SUM('MasterA1(current$)'!AB109)/0.58395</f>
        <v>559.97945029540199</v>
      </c>
      <c r="AC114" s="30">
        <f>SUM('MasterA1(current$)'!AC109)/0.59885</f>
        <v>542.70685480504301</v>
      </c>
      <c r="AD114" s="30">
        <f>SUM('MasterA1(current$)'!AD109)/0.61982</f>
        <v>563.0666967829369</v>
      </c>
      <c r="AE114" s="30">
        <f>SUM('MasterA1(current$)'!AE109)/0.64392</f>
        <v>501.61510746676601</v>
      </c>
      <c r="AF114" s="270">
        <f>SUM('MasterA1(current$)'!AF109)/0.66773</f>
        <v>489.71889835712034</v>
      </c>
      <c r="AG114" s="30">
        <f>SUM('MasterA1(current$)'!AG109)/0.68996</f>
        <v>468.14308075830479</v>
      </c>
      <c r="AH114" s="30">
        <f>SUM('MasterA1(current$)'!AH109)/0.70569</f>
        <v>418.03057999971656</v>
      </c>
      <c r="AI114" s="30">
        <f>SUM('MasterA1(current$)'!AI109)/0.72248</f>
        <v>422.15701472705126</v>
      </c>
      <c r="AJ114" s="30">
        <f>SUM('MasterA1(current$)'!AJ109)/0.73785</f>
        <v>425.5607508301145</v>
      </c>
      <c r="AK114" s="30">
        <f>SUM('MasterA1(current$)'!AK109)/0.75324</f>
        <v>415.53820827359141</v>
      </c>
      <c r="AL114" s="30">
        <f>SUM('MasterA1(current$)'!AL109)/0.76699</f>
        <v>412.00015645575564</v>
      </c>
      <c r="AM114" s="30">
        <f>SUM('MasterA1(current$)'!AM109)/0.78012</f>
        <v>412.75701174178329</v>
      </c>
      <c r="AN114" s="30">
        <f>SUM('MasterA1(current$)'!AN109)/0.78859</f>
        <v>419.73649171305749</v>
      </c>
      <c r="AO114" s="30">
        <f>SUM('MasterA1(current$)'!AO109)/0.80065</f>
        <v>448.38568662961347</v>
      </c>
      <c r="AP114" s="857">
        <f>SUM('MasterA1(current$)'!AP109)/0.81887</f>
        <v>478.70846410297116</v>
      </c>
      <c r="AQ114" s="328">
        <f>SUM('MasterA1(current$)'!AQ109)/0.83754</f>
        <v>526.54201590371804</v>
      </c>
      <c r="AR114" s="328">
        <f>SUM('MasterA1(current$)'!AR109)/0.85039</f>
        <v>493.89103822951824</v>
      </c>
      <c r="AS114" s="328">
        <f>SUM('MasterA1(current$)'!AS109)/0.86735</f>
        <v>442.72784919582637</v>
      </c>
      <c r="AT114" s="328">
        <f>SUM('MasterA1(current$)'!AT109)/0.8912</f>
        <v>361.310592459605</v>
      </c>
      <c r="AU114" s="328">
        <f>SUM('MasterA1(current$)'!AU109)/0.91988</f>
        <v>418.5328521111449</v>
      </c>
      <c r="AV114" s="328">
        <f>SUM('MasterA1(current$)'!AV109)/0.94814</f>
        <v>399.72999767966758</v>
      </c>
      <c r="AW114" s="328">
        <f>SUM('MasterA1(current$)'!AW109)/0.97337</f>
        <v>429.43587741557684</v>
      </c>
      <c r="AX114" s="331">
        <f>('MasterA1(current$)'!AX109*100)/99.246</f>
        <v>414.12248352578445</v>
      </c>
      <c r="AY114" s="284">
        <f>('MasterA1(current$)'!AY109)</f>
        <v>325</v>
      </c>
      <c r="AZ114" s="305">
        <f>SUM('MasterA1(current$)'!AZ109*100)/101.221</f>
        <v>177.82871143339821</v>
      </c>
      <c r="BA114" s="284">
        <f>SUM('MasterA1(current$)'!BA109*100)/103.311</f>
        <v>167.45554684399531</v>
      </c>
      <c r="BB114" s="284">
        <f>SUM('MasterA1(current$)'!BB109*100)/105.214</f>
        <v>113.10281901648069</v>
      </c>
      <c r="BC114" s="284">
        <f>SUM('MasterA1(current$)'!BC109*100)/106.913</f>
        <v>109.43477406863525</v>
      </c>
      <c r="BD114" s="284">
        <f>SUM('MasterA1(current$)'!BD109*100)/108.832</f>
        <v>101.9920611584828</v>
      </c>
      <c r="BE114" s="284">
        <f>SUM('MasterA1(current$)'!BE109*100)/110.012</f>
        <v>105.4430425771734</v>
      </c>
      <c r="BF114" s="305">
        <f>SUM('MasterA1(current$)'!BF109*100)/111.416</f>
        <v>105.0118474904861</v>
      </c>
      <c r="BG114" s="305">
        <f>SUM('MasterA1(current$)'!BG109*100)/113.116</f>
        <v>106.96983627426712</v>
      </c>
      <c r="BH114" s="305">
        <f>SUM('MasterA1(current$)'!BH109*100)/114.716</f>
        <v>104.60615781582344</v>
      </c>
      <c r="BI114" s="305">
        <f>SUM('MasterA1(current$)'!BI109*100)/116.416</f>
        <v>86.757833974711389</v>
      </c>
      <c r="BJ114" s="410">
        <f t="shared" si="9"/>
        <v>-2.2096682025232732E-2</v>
      </c>
      <c r="BK114" s="410">
        <f t="shared" si="9"/>
        <v>-0.17062402647975078</v>
      </c>
      <c r="BL114" s="564">
        <f t="shared" si="10"/>
        <v>-2.3636784584436867</v>
      </c>
      <c r="BM114" s="564">
        <f t="shared" si="10"/>
        <v>-17.848323841112048</v>
      </c>
      <c r="BN114" s="112"/>
      <c r="BO114" s="112"/>
      <c r="BP114" s="620"/>
      <c r="BQ114" s="620"/>
    </row>
    <row r="115" spans="1:93" ht="11.25" customHeight="1">
      <c r="A115" s="285" t="s">
        <v>131</v>
      </c>
      <c r="B115" s="835" t="s">
        <v>3</v>
      </c>
      <c r="C115" s="54" t="s">
        <v>3</v>
      </c>
      <c r="D115" s="54" t="s">
        <v>3</v>
      </c>
      <c r="E115" s="163" t="s">
        <v>3</v>
      </c>
      <c r="F115" s="163" t="s">
        <v>3</v>
      </c>
      <c r="G115" s="163" t="s">
        <v>3</v>
      </c>
      <c r="H115" s="163" t="s">
        <v>3</v>
      </c>
      <c r="I115" s="163" t="s">
        <v>3</v>
      </c>
      <c r="J115" s="163" t="s">
        <v>3</v>
      </c>
      <c r="K115" s="163" t="s">
        <v>3</v>
      </c>
      <c r="L115" s="213" t="s">
        <v>3</v>
      </c>
      <c r="M115" s="163" t="s">
        <v>3</v>
      </c>
      <c r="N115" s="163" t="s">
        <v>3</v>
      </c>
      <c r="O115" s="163" t="s">
        <v>3</v>
      </c>
      <c r="P115" s="163" t="s">
        <v>3</v>
      </c>
      <c r="Q115" s="163" t="s">
        <v>3</v>
      </c>
      <c r="R115" s="163" t="s">
        <v>3</v>
      </c>
      <c r="S115" s="163" t="s">
        <v>3</v>
      </c>
      <c r="T115" s="163" t="s">
        <v>3</v>
      </c>
      <c r="U115" s="163" t="s">
        <v>3</v>
      </c>
      <c r="V115" s="213" t="s">
        <v>3</v>
      </c>
      <c r="W115" s="163" t="s">
        <v>3</v>
      </c>
      <c r="X115" s="163" t="s">
        <v>3</v>
      </c>
      <c r="Y115" s="163" t="s">
        <v>3</v>
      </c>
      <c r="Z115" s="163" t="s">
        <v>3</v>
      </c>
      <c r="AA115" s="163" t="s">
        <v>3</v>
      </c>
      <c r="AB115" s="163" t="s">
        <v>3</v>
      </c>
      <c r="AC115" s="163" t="s">
        <v>3</v>
      </c>
      <c r="AD115" s="163" t="s">
        <v>3</v>
      </c>
      <c r="AE115" s="163" t="s">
        <v>3</v>
      </c>
      <c r="AF115" s="213" t="s">
        <v>3</v>
      </c>
      <c r="AG115" s="163" t="s">
        <v>3</v>
      </c>
      <c r="AH115" s="163" t="s">
        <v>3</v>
      </c>
      <c r="AI115" s="163" t="s">
        <v>3</v>
      </c>
      <c r="AJ115" s="163" t="s">
        <v>3</v>
      </c>
      <c r="AK115" s="333">
        <f>SUM('MasterA1(current$)'!AK110)/0.75324</f>
        <v>270.83001433805958</v>
      </c>
      <c r="AL115" s="333">
        <f>SUM('MasterA1(current$)'!AL110)/0.76699</f>
        <v>245.11401713190526</v>
      </c>
      <c r="AM115" s="333">
        <f>SUM('MasterA1(current$)'!AM110)/0.78012</f>
        <v>240.98856586166229</v>
      </c>
      <c r="AN115" s="333">
        <f>SUM('MasterA1(current$)'!AN110)/0.78859</f>
        <v>256.15338769195654</v>
      </c>
      <c r="AO115" s="333">
        <f>SUM('MasterA1(current$)'!AO110)/0.80065</f>
        <v>291.01355148941485</v>
      </c>
      <c r="AP115" s="799">
        <f>SUM('MasterA1(current$)'!AP110)/0.81887</f>
        <v>239.35423205148558</v>
      </c>
      <c r="AQ115" s="321">
        <f>SUM('MasterA1(current$)'!AQ110)/0.83754</f>
        <v>265.06196718962678</v>
      </c>
      <c r="AR115" s="321">
        <f>SUM('MasterA1(current$)'!AR110)/0.85039</f>
        <v>277.5197262432531</v>
      </c>
      <c r="AS115" s="321">
        <f>SUM('MasterA1(current$)'!AS110)/0.86735</f>
        <v>280.16371706923388</v>
      </c>
      <c r="AT115" s="321">
        <f>SUM('MasterA1(current$)'!AT110)/0.8912</f>
        <v>292.86355475763014</v>
      </c>
      <c r="AU115" s="321">
        <f>SUM('MasterA1(current$)'!AU110)/0.91988</f>
        <v>267.42618602426404</v>
      </c>
      <c r="AV115" s="190">
        <f>SUM('MasterA1(current$)'!AV110)/0.94814</f>
        <v>270.00232033244038</v>
      </c>
      <c r="AW115" s="190">
        <f>SUM('MasterA1(current$)'!AW110)/0.97337</f>
        <v>264.57333773151993</v>
      </c>
      <c r="AX115" s="163">
        <f>('MasterA1(current$)'!AX110*100)/99.246</f>
        <v>266.72160723433637</v>
      </c>
      <c r="AY115" s="284">
        <f>('MasterA1(current$)'!AY110)</f>
        <v>257</v>
      </c>
      <c r="AZ115" s="305">
        <f>SUM('MasterA1(current$)'!AZ110*100)/101.221</f>
        <v>270.69481629306171</v>
      </c>
      <c r="BA115" s="284">
        <f>SUM('MasterA1(current$)'!BA110*100)/103.311</f>
        <v>311.68026638015311</v>
      </c>
      <c r="BB115" s="284">
        <f>SUM('MasterA1(current$)'!BB110*100)/105.214</f>
        <v>295.58803961449996</v>
      </c>
      <c r="BC115" s="284">
        <f>SUM('MasterA1(current$)'!BC110*100)/106.913</f>
        <v>275.92528504484955</v>
      </c>
      <c r="BD115" s="284">
        <f>SUM('MasterA1(current$)'!BD110*100)/108.832</f>
        <v>265.54689797118493</v>
      </c>
      <c r="BE115" s="284">
        <f>SUM('MasterA1(current$)'!BE110*100)/110.012</f>
        <v>272.67828917099877</v>
      </c>
      <c r="BF115" s="305">
        <f>SUM('MasterA1(current$)'!BF110*100)/111.416</f>
        <v>274.64637035973288</v>
      </c>
      <c r="BG115" s="305">
        <f>SUM('MasterA1(current$)'!BG110*100)/113.116</f>
        <v>276.70709713921991</v>
      </c>
      <c r="BH115" s="305">
        <f>SUM('MasterA1(current$)'!BH110*100)/114.716</f>
        <v>273.71944628473796</v>
      </c>
      <c r="BI115" s="305">
        <f>SUM('MasterA1(current$)'!BI110*100)/116.416</f>
        <v>238.7987905442551</v>
      </c>
      <c r="BJ115" s="410">
        <f t="shared" si="9"/>
        <v>-1.0797160193469039E-2</v>
      </c>
      <c r="BK115" s="410">
        <f t="shared" si="9"/>
        <v>-0.12757827846895642</v>
      </c>
      <c r="BL115" s="564">
        <f t="shared" si="10"/>
        <v>-2.9876508544819558</v>
      </c>
      <c r="BM115" s="564">
        <f t="shared" si="10"/>
        <v>-34.920655740482857</v>
      </c>
      <c r="BN115" s="112"/>
      <c r="BO115" s="112"/>
      <c r="BP115" s="620"/>
      <c r="BQ115" s="620"/>
    </row>
    <row r="116" spans="1:93" ht="11.25" customHeight="1">
      <c r="A116" s="118" t="s">
        <v>31</v>
      </c>
      <c r="B116" s="893" t="e">
        <f>SUM(#REF!)/0.1756</f>
        <v>#REF!</v>
      </c>
      <c r="C116" s="108">
        <f>SUM('MasterA1(current$)'!C111)/0.178</f>
        <v>16.853932584269664</v>
      </c>
      <c r="D116" s="107">
        <f>SUM('MasterA1(current$)'!D111)/0.1798</f>
        <v>22.246941045606231</v>
      </c>
      <c r="E116" s="449">
        <f>SUM('MasterA1(current$)'!E111)/0.182</f>
        <v>27.472527472527474</v>
      </c>
      <c r="F116" s="449">
        <f>SUM('MasterA1(current$)'!F111)/0.1842</f>
        <v>27.144408251900106</v>
      </c>
      <c r="G116" s="449">
        <f>SUM('MasterA1(current$)'!G111)/0.18702</f>
        <v>21.388086835632553</v>
      </c>
      <c r="H116" s="449">
        <f>SUM('MasterA1(current$)'!H111)/0.19227</f>
        <v>26.005096999011808</v>
      </c>
      <c r="I116" s="449">
        <f>SUM('MasterA1(current$)'!I111)/0.19786</f>
        <v>25.270393207318303</v>
      </c>
      <c r="J116" s="449">
        <f>SUM('MasterA1(current$)'!J111)/0.20627</f>
        <v>24.240073689824015</v>
      </c>
      <c r="K116" s="449">
        <f>SUM('MasterA1(current$)'!K111)/0.21642</f>
        <v>27.72387025228722</v>
      </c>
      <c r="L116" s="855">
        <f>SUM('MasterA1(current$)'!L111)/0.22784</f>
        <v>30.723314606741575</v>
      </c>
      <c r="M116" s="449">
        <f>SUM('MasterA1(current$)'!M111)/0.23941</f>
        <v>29.23854475585815</v>
      </c>
      <c r="N116" s="449">
        <f>SUM('MasterA1(current$)'!N111)/0.24978</f>
        <v>52.045800304267757</v>
      </c>
      <c r="O116" s="449">
        <f>SUM('MasterA1(current$)'!O111)/0.26337</f>
        <v>64.547974332687858</v>
      </c>
      <c r="P116" s="449">
        <f>SUM('MasterA1(current$)'!P111)/0.28703</f>
        <v>62.711214855590008</v>
      </c>
      <c r="Q116" s="449">
        <f>SUM('MasterA1(current$)'!Q111)/0.31361</f>
        <v>73.339498102739071</v>
      </c>
      <c r="R116" s="449">
        <f>SUM('MasterA1(current$)'!R111)/0.33083</f>
        <v>108.81721730193755</v>
      </c>
      <c r="S116" s="449">
        <f>SUM('MasterA1(current$)'!S111)/0.35135</f>
        <v>96.769602960011383</v>
      </c>
      <c r="T116" s="449">
        <f>SUM('MasterA1(current$)'!T111)/0.37602</f>
        <v>164.88484655071537</v>
      </c>
      <c r="U116" s="449">
        <f>SUM('MasterA1(current$)'!U111)/0.40706</f>
        <v>275.1437134574756</v>
      </c>
      <c r="V116" s="855">
        <f>SUM('MasterA1(current$)'!V111)/0.44377</f>
        <v>351.53345201343041</v>
      </c>
      <c r="W116" s="449">
        <f>SUM('MasterA1(current$)'!W111)/0.4852</f>
        <v>430.75020610057709</v>
      </c>
      <c r="X116" s="449">
        <f>SUM('MasterA1(current$)'!X111)/0.5153</f>
        <v>395.88589171356494</v>
      </c>
      <c r="Y116" s="449">
        <f>SUM('MasterA1(current$)'!Y111)/0.53565</f>
        <v>662.74619621021191</v>
      </c>
      <c r="Z116" s="449">
        <f>SUM('MasterA1(current$)'!Z111)/0.55466</f>
        <v>791.47585908484473</v>
      </c>
      <c r="AA116" s="449">
        <f>SUM('MasterA1(current$)'!AA111)/0.5724</f>
        <v>910.00524109014657</v>
      </c>
      <c r="AB116" s="449">
        <f>SUM('MasterA1(current$)'!AB111)/0.58395</f>
        <v>1015.4979022176557</v>
      </c>
      <c r="AC116" s="449">
        <f>SUM('MasterA1(current$)'!AC111)/0.59885</f>
        <v>1008.599816314603</v>
      </c>
      <c r="AD116" s="449">
        <f>SUM('MasterA1(current$)'!AD111)/0.61982</f>
        <v>1039.0113258688007</v>
      </c>
      <c r="AE116" s="449">
        <f>SUM('MasterA1(current$)'!AE111)/0.64392</f>
        <v>989.25332339421038</v>
      </c>
      <c r="AF116" s="855">
        <f>SUM('MasterA1(current$)'!AF111)/0.66773</f>
        <v>985.42824195408321</v>
      </c>
      <c r="AG116" s="449">
        <f>SUM('MasterA1(current$)'!AG111)/0.68996</f>
        <v>1020.3490057394631</v>
      </c>
      <c r="AH116" s="449">
        <f>SUM('MasterA1(current$)'!AH111)/0.70569</f>
        <v>1017.4439201349034</v>
      </c>
      <c r="AI116" s="449">
        <f>SUM('MasterA1(current$)'!AI111)/0.72248</f>
        <v>1078.2305392536819</v>
      </c>
      <c r="AJ116" s="449">
        <f>SUM('MasterA1(current$)'!AJ111)/0.73785</f>
        <v>1077.4547672291117</v>
      </c>
      <c r="AK116" s="449">
        <f>SUM('MasterA1(current$)'!AK111)/0.75324</f>
        <v>1192.1831023312623</v>
      </c>
      <c r="AL116" s="449">
        <f>SUM('MasterA1(current$)'!AL111)/0.76699</f>
        <v>1130.3928343263929</v>
      </c>
      <c r="AM116" s="449">
        <f>SUM('MasterA1(current$)'!AM111)/0.78012</f>
        <v>1143.4138337691636</v>
      </c>
      <c r="AN116" s="449">
        <f>SUM('MasterA1(current$)'!AN111)/0.78859</f>
        <v>1178.0519661674634</v>
      </c>
      <c r="AO116" s="449">
        <f>SUM('MasterA1(current$)'!AO111)/0.80065</f>
        <v>1291.4506963092488</v>
      </c>
      <c r="AP116" s="928">
        <f>SUM('MasterA1(current$)'!AP111)/0.81887</f>
        <v>1516.7242663670668</v>
      </c>
      <c r="AQ116" s="128">
        <f>SUM('MasterA1(current$)'!AQ111)/0.83754</f>
        <v>1677.5318193757912</v>
      </c>
      <c r="AR116" s="128">
        <f>SUM('MasterA1(current$)'!AR111)/0.85039</f>
        <v>1996.7309116993381</v>
      </c>
      <c r="AS116" s="128">
        <f>SUM('MasterA1(current$)'!AS111)/0.86735</f>
        <v>2400.4150573586212</v>
      </c>
      <c r="AT116" s="128">
        <f>SUM('MasterA1(current$)'!AT111)/0.8912</f>
        <v>1346.4991023339319</v>
      </c>
      <c r="AU116" s="128">
        <f>SUM('MasterA1(current$)'!AU111)/0.91988</f>
        <v>1415.40200895769</v>
      </c>
      <c r="AV116" s="128">
        <f>SUM('MasterA1(current$)'!AV111)/0.94814</f>
        <v>1386.9259813951526</v>
      </c>
      <c r="AW116" s="128">
        <f>SUM('MasterA1(current$)'!AW111)/0.97337</f>
        <v>1355.573372872668</v>
      </c>
      <c r="AX116" s="784">
        <f>('MasterA1(current$)'!AX111*100)/99.246</f>
        <v>1420.4204968621302</v>
      </c>
      <c r="AY116" s="387">
        <f>('MasterA1(current$)'!AY111)</f>
        <v>1211</v>
      </c>
      <c r="AZ116" s="367">
        <f>SUM('MasterA1(current$)'!AZ111*100)/101.221</f>
        <v>1178.6091818891337</v>
      </c>
      <c r="BA116" s="368">
        <f>SUM('MasterA1(current$)'!BA111*100)/103.311</f>
        <v>1223.490238212775</v>
      </c>
      <c r="BB116" s="368">
        <f>SUM('MasterA1(current$)'!BB111*100)/105.214</f>
        <v>1131.9786340220883</v>
      </c>
      <c r="BC116" s="368">
        <f>SUM('MasterA1(current$)'!BC111*100)/106.913</f>
        <v>1193.4937753126374</v>
      </c>
      <c r="BD116" s="368">
        <f>SUM('MasterA1(current$)'!BD111*100)/108.832</f>
        <v>1165.0985004410468</v>
      </c>
      <c r="BE116" s="368">
        <f>SUM('MasterA1(current$)'!BE111*100)/110.012</f>
        <v>1072.5910259633488</v>
      </c>
      <c r="BF116" s="367">
        <f>SUM('MasterA1(current$)'!BF111*100)/111.416</f>
        <v>1141.667265024772</v>
      </c>
      <c r="BG116" s="367">
        <f>SUM('MasterA1(current$)'!BG111*100)/113.116</f>
        <v>1158.9872343435059</v>
      </c>
      <c r="BH116" s="367">
        <f>SUM('MasterA1(current$)'!BH111*100)/114.716</f>
        <v>1000.7322431047108</v>
      </c>
      <c r="BI116" s="367">
        <f>SUM('MasterA1(current$)'!BI111*100)/116.416</f>
        <v>983.54178119846074</v>
      </c>
      <c r="BJ116" s="872">
        <f t="shared" si="9"/>
        <v>-0.13654593126596137</v>
      </c>
      <c r="BK116" s="872">
        <f t="shared" si="9"/>
        <v>-1.7177883519489436E-2</v>
      </c>
      <c r="BL116" s="567">
        <f t="shared" si="10"/>
        <v>-158.25499123879501</v>
      </c>
      <c r="BM116" s="567">
        <f t="shared" si="10"/>
        <v>-17.190461906250107</v>
      </c>
      <c r="BN116" s="112"/>
      <c r="BO116" s="112"/>
      <c r="BP116" s="620"/>
      <c r="BQ116" s="620"/>
    </row>
    <row r="117" spans="1:93" ht="6" customHeight="1">
      <c r="A117" s="115"/>
      <c r="B117" s="636"/>
      <c r="C117" s="33"/>
      <c r="D117" s="33"/>
      <c r="E117" s="47"/>
      <c r="F117" s="47"/>
      <c r="G117" s="47"/>
      <c r="H117" s="47"/>
      <c r="I117" s="47"/>
      <c r="J117" s="47"/>
      <c r="K117" s="47"/>
      <c r="L117" s="281"/>
      <c r="M117" s="47"/>
      <c r="N117" s="47"/>
      <c r="O117" s="47"/>
      <c r="P117" s="47"/>
      <c r="Q117" s="47"/>
      <c r="R117" s="47"/>
      <c r="S117" s="47"/>
      <c r="T117" s="47"/>
      <c r="U117" s="47"/>
      <c r="V117" s="281"/>
      <c r="W117" s="47"/>
      <c r="X117" s="47"/>
      <c r="Y117" s="47"/>
      <c r="Z117" s="47"/>
      <c r="AA117" s="47"/>
      <c r="AB117" s="47"/>
      <c r="AC117" s="47"/>
      <c r="AD117" s="47"/>
      <c r="AE117" s="47"/>
      <c r="AF117" s="281"/>
      <c r="AG117" s="47"/>
      <c r="AH117" s="47"/>
      <c r="AI117" s="47"/>
      <c r="AJ117" s="47"/>
      <c r="AK117" s="47"/>
      <c r="AL117" s="47"/>
      <c r="AM117" s="488"/>
      <c r="AN117" s="488"/>
      <c r="AO117" s="488"/>
      <c r="AP117" s="857"/>
      <c r="AQ117" s="328"/>
      <c r="AR117" s="328"/>
      <c r="AS117" s="328"/>
      <c r="AT117" s="328"/>
      <c r="AU117" s="328"/>
      <c r="AV117" s="328"/>
      <c r="AW117" s="328"/>
      <c r="AX117" s="331"/>
      <c r="AY117" s="284"/>
      <c r="AZ117" s="305"/>
      <c r="BA117" s="284"/>
      <c r="BB117" s="284"/>
      <c r="BC117" s="284"/>
      <c r="BD117" s="284"/>
      <c r="BE117" s="284"/>
      <c r="BF117" s="305"/>
      <c r="BG117" s="305"/>
      <c r="BH117" s="305"/>
      <c r="BI117" s="305"/>
      <c r="BJ117" s="871"/>
      <c r="BK117" s="871"/>
      <c r="BL117" s="565"/>
      <c r="BM117" s="565"/>
      <c r="BP117" s="620"/>
      <c r="BQ117" s="620"/>
    </row>
    <row r="118" spans="1:93" ht="11.25" customHeight="1">
      <c r="A118" s="116" t="s">
        <v>41</v>
      </c>
      <c r="B118" s="636"/>
      <c r="C118" s="32"/>
      <c r="D118" s="32"/>
      <c r="E118" s="32"/>
      <c r="F118" s="32"/>
      <c r="G118" s="32"/>
      <c r="H118" s="32"/>
      <c r="I118" s="32"/>
      <c r="J118" s="32"/>
      <c r="K118" s="32"/>
      <c r="L118" s="636"/>
      <c r="M118" s="32"/>
      <c r="N118" s="32"/>
      <c r="O118" s="32"/>
      <c r="P118" s="32"/>
      <c r="Q118" s="32"/>
      <c r="R118" s="32"/>
      <c r="S118" s="32"/>
      <c r="T118" s="32"/>
      <c r="U118" s="32"/>
      <c r="V118" s="636"/>
      <c r="W118" s="32"/>
      <c r="X118" s="32"/>
      <c r="Y118" s="32"/>
      <c r="Z118" s="32"/>
      <c r="AA118" s="32"/>
      <c r="AB118" s="32"/>
      <c r="AC118" s="32"/>
      <c r="AD118" s="32"/>
      <c r="AE118" s="32"/>
      <c r="AF118" s="636"/>
      <c r="AG118" s="32"/>
      <c r="AH118" s="32"/>
      <c r="AI118" s="32"/>
      <c r="AJ118" s="32"/>
      <c r="AK118" s="32"/>
      <c r="AL118" s="32"/>
      <c r="AM118" s="32"/>
      <c r="AN118" s="32"/>
      <c r="AO118" s="32"/>
      <c r="AP118" s="636"/>
      <c r="AQ118" s="32"/>
      <c r="AR118" s="32"/>
      <c r="AS118" s="32"/>
      <c r="AT118" s="32"/>
      <c r="AU118" s="32"/>
      <c r="AV118" s="32"/>
      <c r="AW118" s="32"/>
      <c r="AX118" s="32"/>
      <c r="AY118" s="32"/>
      <c r="AZ118" s="636"/>
      <c r="BA118" s="32"/>
      <c r="BB118" s="32"/>
      <c r="BC118" s="32"/>
      <c r="BD118" s="32"/>
      <c r="BE118" s="32"/>
      <c r="BF118" s="636"/>
      <c r="BG118" s="636"/>
      <c r="BH118" s="636"/>
      <c r="BI118" s="636"/>
      <c r="BJ118" s="871"/>
      <c r="BK118" s="871"/>
      <c r="BL118" s="565"/>
      <c r="BM118" s="565"/>
      <c r="BP118" s="620"/>
      <c r="BQ118" s="620"/>
    </row>
    <row r="119" spans="1:93" ht="11.25" customHeight="1">
      <c r="A119" s="119" t="s">
        <v>132</v>
      </c>
      <c r="B119" s="810" t="s">
        <v>3</v>
      </c>
      <c r="C119" s="45" t="s">
        <v>3</v>
      </c>
      <c r="D119" s="45" t="s">
        <v>3</v>
      </c>
      <c r="E119" s="220" t="s">
        <v>3</v>
      </c>
      <c r="F119" s="220" t="s">
        <v>3</v>
      </c>
      <c r="G119" s="220" t="s">
        <v>3</v>
      </c>
      <c r="H119" s="220" t="s">
        <v>3</v>
      </c>
      <c r="I119" s="220" t="s">
        <v>3</v>
      </c>
      <c r="J119" s="220" t="s">
        <v>3</v>
      </c>
      <c r="K119" s="220" t="s">
        <v>3</v>
      </c>
      <c r="L119" s="858" t="s">
        <v>3</v>
      </c>
      <c r="M119" s="220" t="s">
        <v>3</v>
      </c>
      <c r="N119" s="220" t="s">
        <v>3</v>
      </c>
      <c r="O119" s="220" t="s">
        <v>3</v>
      </c>
      <c r="P119" s="220" t="s">
        <v>3</v>
      </c>
      <c r="Q119" s="331" t="s">
        <v>3</v>
      </c>
      <c r="R119" s="331" t="s">
        <v>3</v>
      </c>
      <c r="S119" s="331" t="s">
        <v>3</v>
      </c>
      <c r="T119" s="331" t="s">
        <v>3</v>
      </c>
      <c r="U119" s="331" t="s">
        <v>3</v>
      </c>
      <c r="V119" s="335" t="s">
        <v>3</v>
      </c>
      <c r="W119" s="30">
        <f>SUM('MasterA1(current$)'!W114)/0.4852</f>
        <v>142.20939818631493</v>
      </c>
      <c r="X119" s="30">
        <f>SUM('MasterA1(current$)'!X114)/0.5153</f>
        <v>31.049873859887445</v>
      </c>
      <c r="Y119" s="30">
        <f>SUM('MasterA1(current$)'!Y114)/0.53565</f>
        <v>24.269579016148608</v>
      </c>
      <c r="Z119" s="30">
        <f>SUM('MasterA1(current$)'!Z114)/0.55466</f>
        <v>23.437781704107017</v>
      </c>
      <c r="AA119" s="30">
        <f>SUM('MasterA1(current$)'!AA114)/0.5724</f>
        <v>20.964360587002094</v>
      </c>
      <c r="AB119" s="30">
        <f>SUM('MasterA1(current$)'!AB114)/0.58395</f>
        <v>15.412278448497304</v>
      </c>
      <c r="AC119" s="30">
        <f>SUM('MasterA1(current$)'!AC114)/0.59885</f>
        <v>16.698672455539786</v>
      </c>
      <c r="AD119" s="30">
        <f>SUM('MasterA1(current$)'!AD114)/0.61982</f>
        <v>17.747087864218642</v>
      </c>
      <c r="AE119" s="30">
        <f>SUM('MasterA1(current$)'!AE114)/0.64392</f>
        <v>17.082867436948689</v>
      </c>
      <c r="AF119" s="270">
        <f>SUM('MasterA1(current$)'!AF114)/0.66773</f>
        <v>20.966558339448579</v>
      </c>
      <c r="AG119" s="30">
        <f>SUM('MasterA1(current$)'!AG114)/0.68996</f>
        <v>20.291031364137051</v>
      </c>
      <c r="AH119" s="30">
        <f>SUM('MasterA1(current$)'!AH114)/0.70569</f>
        <v>24.089897830492141</v>
      </c>
      <c r="AI119" s="30">
        <f>SUM('MasterA1(current$)'!AI114)/0.72248</f>
        <v>23.530063115934006</v>
      </c>
      <c r="AJ119" s="30">
        <f>SUM('MasterA1(current$)'!AJ114)/0.73785</f>
        <v>24.395202276885545</v>
      </c>
      <c r="AK119" s="30">
        <f>SUM('MasterA1(current$)'!AK114)/0.75324</f>
        <v>25.224364080505548</v>
      </c>
      <c r="AL119" s="30">
        <f>SUM('MasterA1(current$)'!AL114)/0.76699</f>
        <v>23.46836334241646</v>
      </c>
      <c r="AM119" s="30">
        <f>SUM('MasterA1(current$)'!AM114)/0.78012</f>
        <v>29.482643695841663</v>
      </c>
      <c r="AN119" s="30">
        <f>SUM('MasterA1(current$)'!AN114)/0.78859</f>
        <v>26.629807631342015</v>
      </c>
      <c r="AO119" s="30">
        <f>SUM('MasterA1(current$)'!AO114)/0.80065</f>
        <v>26.228689190033098</v>
      </c>
      <c r="AP119" s="857">
        <f>SUM('MasterA1(current$)'!AP114)/0.81887</f>
        <v>29.308681475692111</v>
      </c>
      <c r="AQ119" s="328">
        <f>SUM('MasterA1(current$)'!AQ114)/0.83754</f>
        <v>29.849320629462476</v>
      </c>
      <c r="AR119" s="328">
        <f>SUM('MasterA1(current$)'!AR114)/0.85039</f>
        <v>27.046413998283143</v>
      </c>
      <c r="AS119" s="328">
        <f>SUM('MasterA1(current$)'!AS114)/0.86735</f>
        <v>26.517553467458352</v>
      </c>
      <c r="AT119" s="328">
        <f>SUM('MasterA1(current$)'!AT114)/0.8912</f>
        <v>25.807899461400361</v>
      </c>
      <c r="AU119" s="328">
        <f>SUM('MasterA1(current$)'!AU114)/0.91988</f>
        <v>23.91616297777971</v>
      </c>
      <c r="AV119" s="328">
        <f>SUM('MasterA1(current$)'!AV114)/0.94814</f>
        <v>25.312717531166285</v>
      </c>
      <c r="AW119" s="328">
        <f>SUM('MasterA1(current$)'!AW114)/0.97337</f>
        <v>25.04536594685505</v>
      </c>
      <c r="AX119" s="331">
        <f>('MasterA1(current$)'!AX114*100)/99.246</f>
        <v>27.698429491700761</v>
      </c>
      <c r="AY119" s="284">
        <f>('MasterA1(current$)'!AY114)</f>
        <v>28</v>
      </c>
      <c r="AZ119" s="305">
        <f>SUM('MasterA1(current$)'!AZ114*100)/101.221</f>
        <v>29.638118572233033</v>
      </c>
      <c r="BA119" s="284">
        <f>SUM('MasterA1(current$)'!BA114*100)/103.311</f>
        <v>30.97443641045</v>
      </c>
      <c r="BB119" s="284">
        <f>SUM('MasterA1(current$)'!BB114*100)/105.214</f>
        <v>29.463759575721863</v>
      </c>
      <c r="BC119" s="284">
        <f>SUM('MasterA1(current$)'!BC114*100)/106.913</f>
        <v>17.771459036786922</v>
      </c>
      <c r="BD119" s="284">
        <f>SUM('MasterA1(current$)'!BD114*100)/108.832</f>
        <v>29.403116730373423</v>
      </c>
      <c r="BE119" s="284">
        <f>SUM('MasterA1(current$)'!BE114*100)/110.012</f>
        <v>28.178744137003235</v>
      </c>
      <c r="BF119" s="305">
        <f>SUM('MasterA1(current$)'!BF114*100)/111.416</f>
        <v>26.028577583111943</v>
      </c>
      <c r="BG119" s="305">
        <f>SUM('MasterA1(current$)'!BG114*100)/113.116</f>
        <v>26.521447010148872</v>
      </c>
      <c r="BH119" s="305">
        <f>SUM('MasterA1(current$)'!BH114*100)/114.716</f>
        <v>34.868719271941146</v>
      </c>
      <c r="BI119" s="305">
        <f>SUM('MasterA1(current$)'!BI114*100)/116.416</f>
        <v>28.346619021440354</v>
      </c>
      <c r="BJ119" s="410">
        <f>(BH119-BG119)/BG119</f>
        <v>0.31473668305496494</v>
      </c>
      <c r="BK119" s="410">
        <f>(BI119-BH119)/BH119</f>
        <v>-0.18704731308411218</v>
      </c>
      <c r="BL119" s="564">
        <f>BH119-BG119</f>
        <v>8.3472722617922734</v>
      </c>
      <c r="BM119" s="564">
        <f>BI119-BH119</f>
        <v>-6.5221002505007917</v>
      </c>
      <c r="BN119" s="112"/>
      <c r="BO119" s="112"/>
      <c r="BP119" s="620"/>
      <c r="BQ119" s="620"/>
    </row>
    <row r="120" spans="1:93" ht="11.25" customHeight="1">
      <c r="A120" s="286" t="s">
        <v>134</v>
      </c>
      <c r="B120" s="645" t="s">
        <v>3</v>
      </c>
      <c r="C120" s="109" t="s">
        <v>3</v>
      </c>
      <c r="D120" s="109" t="s">
        <v>3</v>
      </c>
      <c r="E120" s="340" t="s">
        <v>3</v>
      </c>
      <c r="F120" s="340" t="s">
        <v>3</v>
      </c>
      <c r="G120" s="340" t="s">
        <v>3</v>
      </c>
      <c r="H120" s="340" t="s">
        <v>3</v>
      </c>
      <c r="I120" s="340" t="s">
        <v>3</v>
      </c>
      <c r="J120" s="340" t="s">
        <v>3</v>
      </c>
      <c r="K120" s="340" t="s">
        <v>3</v>
      </c>
      <c r="L120" s="913" t="s">
        <v>3</v>
      </c>
      <c r="M120" s="340" t="s">
        <v>3</v>
      </c>
      <c r="N120" s="340" t="s">
        <v>3</v>
      </c>
      <c r="O120" s="340" t="s">
        <v>3</v>
      </c>
      <c r="P120" s="340" t="s">
        <v>3</v>
      </c>
      <c r="Q120" s="340" t="s">
        <v>3</v>
      </c>
      <c r="R120" s="340" t="s">
        <v>3</v>
      </c>
      <c r="S120" s="340" t="s">
        <v>3</v>
      </c>
      <c r="T120" s="340" t="s">
        <v>3</v>
      </c>
      <c r="U120" s="340" t="s">
        <v>3</v>
      </c>
      <c r="V120" s="269">
        <f>SUM('MasterA1(current$)'!V115)/0.44377</f>
        <v>11.267097820943281</v>
      </c>
      <c r="W120" s="333">
        <f>SUM('MasterA1(current$)'!W115)/0.4852</f>
        <v>32.976092333058531</v>
      </c>
      <c r="X120" s="333">
        <f>SUM('MasterA1(current$)'!X115)/0.5153</f>
        <v>31.049873859887445</v>
      </c>
      <c r="Y120" s="333">
        <f>SUM('MasterA1(current$)'!Y115)/0.53565</f>
        <v>14.935125548399142</v>
      </c>
      <c r="Z120" s="333">
        <f>SUM('MasterA1(current$)'!Z115)/0.55466</f>
        <v>5.4087188547939276</v>
      </c>
      <c r="AA120" s="340" t="s">
        <v>3</v>
      </c>
      <c r="AB120" s="163" t="s">
        <v>3</v>
      </c>
      <c r="AC120" s="163" t="s">
        <v>3</v>
      </c>
      <c r="AD120" s="163" t="s">
        <v>3</v>
      </c>
      <c r="AE120" s="163" t="s">
        <v>3</v>
      </c>
      <c r="AF120" s="213" t="s">
        <v>3</v>
      </c>
      <c r="AG120" s="163" t="s">
        <v>3</v>
      </c>
      <c r="AH120" s="163" t="s">
        <v>3</v>
      </c>
      <c r="AI120" s="163" t="s">
        <v>3</v>
      </c>
      <c r="AJ120" s="163" t="s">
        <v>3</v>
      </c>
      <c r="AK120" s="163" t="s">
        <v>3</v>
      </c>
      <c r="AL120" s="163" t="s">
        <v>3</v>
      </c>
      <c r="AM120" s="163" t="s">
        <v>3</v>
      </c>
      <c r="AN120" s="163" t="s">
        <v>3</v>
      </c>
      <c r="AO120" s="163" t="s">
        <v>3</v>
      </c>
      <c r="AP120" s="213" t="s">
        <v>3</v>
      </c>
      <c r="AQ120" s="163" t="s">
        <v>3</v>
      </c>
      <c r="AR120" s="163" t="s">
        <v>3</v>
      </c>
      <c r="AS120" s="163" t="s">
        <v>3</v>
      </c>
      <c r="AT120" s="163" t="s">
        <v>3</v>
      </c>
      <c r="AU120" s="163" t="s">
        <v>3</v>
      </c>
      <c r="AV120" s="163" t="s">
        <v>3</v>
      </c>
      <c r="AW120" s="328">
        <f>SUM('MasterA1(current$)'!AW115)/0.97337</f>
        <v>1.027358558410471</v>
      </c>
      <c r="AX120" s="331">
        <f>('MasterA1(current$)'!AX115*100)/99.246</f>
        <v>1.0075972835177236</v>
      </c>
      <c r="AY120" s="284">
        <f>('MasterA1(current$)'!AY115)</f>
        <v>3</v>
      </c>
      <c r="AZ120" s="305">
        <f>SUM('MasterA1(current$)'!AZ115*100)/101.221</f>
        <v>3.9517491429644043</v>
      </c>
      <c r="BA120" s="284">
        <f>SUM('MasterA1(current$)'!BA115*100)/103.311</f>
        <v>3.87180455130625</v>
      </c>
      <c r="BB120" s="284">
        <f>SUM('MasterA1(current$)'!BB115*100)/105.214</f>
        <v>1.9008877145627008</v>
      </c>
      <c r="BC120" s="284">
        <f>SUM('MasterA1(current$)'!BC115*100)/106.913</f>
        <v>0.93533994930457476</v>
      </c>
      <c r="BD120" s="284">
        <f>SUM('MasterA1(current$)'!BD115*100)/108.832</f>
        <v>0.91884739782416947</v>
      </c>
      <c r="BE120" s="284">
        <f>SUM('MasterA1(current$)'!BE115*100)/110.012</f>
        <v>0.90899174635494306</v>
      </c>
      <c r="BF120" s="305" t="s">
        <v>3</v>
      </c>
      <c r="BG120" s="305" t="s">
        <v>3</v>
      </c>
      <c r="BH120" s="305" t="s">
        <v>3</v>
      </c>
      <c r="BI120" s="305" t="s">
        <v>3</v>
      </c>
      <c r="BJ120" s="874" t="s">
        <v>10</v>
      </c>
      <c r="BK120" s="874" t="s">
        <v>10</v>
      </c>
      <c r="BL120" s="568" t="s">
        <v>10</v>
      </c>
      <c r="BM120" s="568" t="s">
        <v>10</v>
      </c>
      <c r="BN120" s="112"/>
      <c r="BO120" s="112"/>
      <c r="BP120" s="620"/>
      <c r="BQ120" s="620"/>
    </row>
    <row r="121" spans="1:93" ht="11.25" customHeight="1">
      <c r="A121" s="119" t="s">
        <v>133</v>
      </c>
      <c r="B121" s="645" t="s">
        <v>3</v>
      </c>
      <c r="C121" s="109" t="s">
        <v>3</v>
      </c>
      <c r="D121" s="109" t="s">
        <v>3</v>
      </c>
      <c r="E121" s="340" t="s">
        <v>3</v>
      </c>
      <c r="F121" s="340" t="s">
        <v>3</v>
      </c>
      <c r="G121" s="340" t="s">
        <v>3</v>
      </c>
      <c r="H121" s="340" t="s">
        <v>3</v>
      </c>
      <c r="I121" s="340" t="s">
        <v>3</v>
      </c>
      <c r="J121" s="340" t="s">
        <v>3</v>
      </c>
      <c r="K121" s="340" t="s">
        <v>3</v>
      </c>
      <c r="L121" s="913" t="s">
        <v>3</v>
      </c>
      <c r="M121" s="340" t="s">
        <v>3</v>
      </c>
      <c r="N121" s="340" t="s">
        <v>3</v>
      </c>
      <c r="O121" s="340" t="s">
        <v>3</v>
      </c>
      <c r="P121" s="340" t="s">
        <v>3</v>
      </c>
      <c r="Q121" s="340" t="s">
        <v>3</v>
      </c>
      <c r="R121" s="340" t="s">
        <v>3</v>
      </c>
      <c r="S121" s="340" t="s">
        <v>3</v>
      </c>
      <c r="T121" s="211">
        <f>SUM('MasterA1(current$)'!T116)/0.37602</f>
        <v>95.73958831977022</v>
      </c>
      <c r="U121" s="333">
        <f>SUM('MasterA1(current$)'!U116)/0.40706</f>
        <v>71.24256866309635</v>
      </c>
      <c r="V121" s="853">
        <f>SUM('MasterA1(current$)'!V116)/0.44377</f>
        <v>121.68465646618743</v>
      </c>
      <c r="W121" s="211">
        <f>SUM('MasterA1(current$)'!W116)/0.4852</f>
        <v>201.97856553998349</v>
      </c>
      <c r="X121" s="211">
        <f>SUM('MasterA1(current$)'!X116)/0.5153</f>
        <v>128.08072967203572</v>
      </c>
      <c r="Y121" s="211">
        <f>SUM('MasterA1(current$)'!Y116)/0.53565</f>
        <v>65.341174274246242</v>
      </c>
      <c r="Z121" s="211">
        <f>SUM('MasterA1(current$)'!Z116)/0.55466</f>
        <v>91.948220531496773</v>
      </c>
      <c r="AA121" s="211">
        <f>SUM('MasterA1(current$)'!AA116)/0.5724</f>
        <v>69.88120195667365</v>
      </c>
      <c r="AB121" s="211">
        <f>SUM('MasterA1(current$)'!AB116)/0.58395</f>
        <v>70.211490709821049</v>
      </c>
      <c r="AC121" s="211">
        <f>SUM('MasterA1(current$)'!AC116)/0.59885</f>
        <v>56.775486348835265</v>
      </c>
      <c r="AD121" s="211">
        <f>SUM('MasterA1(current$)'!AD116)/0.61982</f>
        <v>59.694750088735432</v>
      </c>
      <c r="AE121" s="211">
        <f>SUM('MasterA1(current$)'!AE116)/0.64392</f>
        <v>48.142626413219027</v>
      </c>
      <c r="AF121" s="853">
        <f>SUM('MasterA1(current$)'!AF116)/0.66773</f>
        <v>56.909229778503281</v>
      </c>
      <c r="AG121" s="211">
        <f>SUM('MasterA1(current$)'!AG116)/0.68996</f>
        <v>62.322453475563798</v>
      </c>
      <c r="AH121" s="211">
        <f>SUM('MasterA1(current$)'!AH116)/0.70569</f>
        <v>60.933270983009535</v>
      </c>
      <c r="AI121" s="211">
        <f>SUM('MasterA1(current$)'!AI116)/0.72248</f>
        <v>69.206067988041184</v>
      </c>
      <c r="AJ121" s="211">
        <f>SUM('MasterA1(current$)'!AJ116)/0.73785</f>
        <v>90.804364030629529</v>
      </c>
      <c r="AK121" s="211">
        <f>SUM('MasterA1(current$)'!AK116)/0.75324</f>
        <v>132.75981095002919</v>
      </c>
      <c r="AL121" s="211">
        <f>SUM('MasterA1(current$)'!AL116)/0.76699</f>
        <v>132.98739227369327</v>
      </c>
      <c r="AM121" s="211">
        <f>SUM('MasterA1(current$)'!AM116)/0.78012</f>
        <v>116.6487207096344</v>
      </c>
      <c r="AN121" s="211">
        <f>SUM('MasterA1(current$)'!AN116)/0.78859</f>
        <v>102.7149722923192</v>
      </c>
      <c r="AO121" s="211">
        <f>SUM('MasterA1(current$)'!AO116)/0.80065</f>
        <v>111.15968275775933</v>
      </c>
      <c r="AP121" s="857">
        <f>SUM('MasterA1(current$)'!AP116)/0.81887</f>
        <v>125.78309133317865</v>
      </c>
      <c r="AQ121" s="328">
        <f>SUM('MasterA1(current$)'!AQ116)/0.83754</f>
        <v>134.91892924517037</v>
      </c>
      <c r="AR121" s="328">
        <f>SUM('MasterA1(current$)'!AR116)/0.85039</f>
        <v>118.7690353837651</v>
      </c>
      <c r="AS121" s="328">
        <f>SUM('MasterA1(current$)'!AS116)/0.86735</f>
        <v>111.8348994062374</v>
      </c>
      <c r="AT121" s="328">
        <f>SUM('MasterA1(current$)'!AT116)/0.8912</f>
        <v>67.324955116696586</v>
      </c>
      <c r="AU121" s="328">
        <f>SUM('MasterA1(current$)'!AU116)/0.91988</f>
        <v>72.83558725051094</v>
      </c>
      <c r="AV121" s="190">
        <f>SUM('MasterA1(current$)'!AV116)/0.94814</f>
        <v>61.172400700318519</v>
      </c>
      <c r="AW121" s="190">
        <f>SUM('MasterA1(current$)'!AW116)/0.97337</f>
        <v>91.434911698531906</v>
      </c>
      <c r="AX121" s="331">
        <f>('MasterA1(current$)'!AX116*100)/99.246</f>
        <v>49.372266892368458</v>
      </c>
      <c r="AY121" s="284">
        <f>('MasterA1(current$)'!AY116)</f>
        <v>144</v>
      </c>
      <c r="AZ121" s="305">
        <f>SUM('MasterA1(current$)'!AZ116*100)/101.221</f>
        <v>422.83715829719125</v>
      </c>
      <c r="BA121" s="284">
        <f>SUM('MasterA1(current$)'!BA116*100)/103.311</f>
        <v>834.3738808064968</v>
      </c>
      <c r="BB121" s="284">
        <f>SUM('MasterA1(current$)'!BB116*100)/105.214</f>
        <v>725.18866310567034</v>
      </c>
      <c r="BC121" s="284">
        <f>SUM('MasterA1(current$)'!BC116*100)/106.913</f>
        <v>306.79150337190055</v>
      </c>
      <c r="BD121" s="284">
        <f>SUM('MasterA1(current$)'!BD116*100)/108.832</f>
        <v>207.65951190826229</v>
      </c>
      <c r="BE121" s="284">
        <f>SUM('MasterA1(current$)'!BE116*100)/110.012</f>
        <v>170.8904483147293</v>
      </c>
      <c r="BF121" s="305">
        <f>SUM('MasterA1(current$)'!BF116*100)/111.416</f>
        <v>159.76161413082502</v>
      </c>
      <c r="BG121" s="305">
        <f>SUM('MasterA1(current$)'!BG116*100)/113.116</f>
        <v>174.15750203331095</v>
      </c>
      <c r="BH121" s="305">
        <f>SUM('MasterA1(current$)'!BH116*100)/114.716</f>
        <v>105.47787579762196</v>
      </c>
      <c r="BI121" s="305">
        <f>SUM('MasterA1(current$)'!BI116*100)/116.416</f>
        <v>103.93760307861463</v>
      </c>
      <c r="BJ121" s="410">
        <f>(BH121-BG121)/BG121</f>
        <v>-0.39435353305970533</v>
      </c>
      <c r="BK121" s="410">
        <f>(BI121-BH121)/BH121</f>
        <v>-1.460280373831779E-2</v>
      </c>
      <c r="BL121" s="564">
        <f>BH121-BG121</f>
        <v>-68.679626235688986</v>
      </c>
      <c r="BM121" s="564">
        <f>BI121-BH121</f>
        <v>-1.5402727190073335</v>
      </c>
      <c r="BN121" s="112"/>
      <c r="BO121" s="112"/>
      <c r="BP121" s="620"/>
      <c r="BQ121" s="620"/>
    </row>
    <row r="122" spans="1:93" ht="11.25" customHeight="1">
      <c r="A122" s="118" t="s">
        <v>31</v>
      </c>
      <c r="B122" s="807" t="s">
        <v>3</v>
      </c>
      <c r="C122" s="132" t="s">
        <v>3</v>
      </c>
      <c r="D122" s="132" t="s">
        <v>3</v>
      </c>
      <c r="E122" s="218" t="s">
        <v>3</v>
      </c>
      <c r="F122" s="218" t="s">
        <v>3</v>
      </c>
      <c r="G122" s="218" t="s">
        <v>3</v>
      </c>
      <c r="H122" s="218" t="s">
        <v>3</v>
      </c>
      <c r="I122" s="218" t="s">
        <v>3</v>
      </c>
      <c r="J122" s="218" t="s">
        <v>3</v>
      </c>
      <c r="K122" s="218" t="s">
        <v>3</v>
      </c>
      <c r="L122" s="280" t="s">
        <v>3</v>
      </c>
      <c r="M122" s="218" t="s">
        <v>3</v>
      </c>
      <c r="N122" s="218" t="s">
        <v>3</v>
      </c>
      <c r="O122" s="218" t="s">
        <v>3</v>
      </c>
      <c r="P122" s="218" t="s">
        <v>3</v>
      </c>
      <c r="Q122" s="218" t="s">
        <v>3</v>
      </c>
      <c r="R122" s="218" t="s">
        <v>3</v>
      </c>
      <c r="S122" s="218" t="s">
        <v>3</v>
      </c>
      <c r="T122" s="474">
        <f>SUM('MasterA1(current$)'!T117)/0.37602</f>
        <v>95.73958831977022</v>
      </c>
      <c r="U122" s="474">
        <f>SUM('MasterA1(current$)'!U117)/0.40709</f>
        <v>71.237318529072198</v>
      </c>
      <c r="V122" s="911">
        <f>SUM('MasterA1(current$)'!V117)/0.44377</f>
        <v>132.95175428713071</v>
      </c>
      <c r="W122" s="474">
        <f>SUM('MasterA1(current$)'!W117)/0.4852</f>
        <v>377.16405605935694</v>
      </c>
      <c r="X122" s="474">
        <f>SUM('MasterA1(current$)'!X117)/0.5153</f>
        <v>190.1804773918106</v>
      </c>
      <c r="Y122" s="474">
        <f>SUM('MasterA1(current$)'!Y117)/0.53565</f>
        <v>104.545878838794</v>
      </c>
      <c r="Z122" s="474">
        <f>SUM('MasterA1(current$)'!Z117)/0.55466</f>
        <v>120.79472109039772</v>
      </c>
      <c r="AA122" s="474">
        <f>SUM('MasterA1(current$)'!AA117)/0.5724</f>
        <v>90.845562543675754</v>
      </c>
      <c r="AB122" s="474">
        <f>SUM('MasterA1(current$)'!AB117)/0.58395</f>
        <v>85.623769158318353</v>
      </c>
      <c r="AC122" s="474">
        <f>SUM('MasterA1(current$)'!AC117)/0.59885</f>
        <v>73.474158804375051</v>
      </c>
      <c r="AD122" s="474">
        <f>SUM('MasterA1(current$)'!AD117)/0.61982</f>
        <v>77.441837952954074</v>
      </c>
      <c r="AE122" s="474">
        <f>SUM('MasterA1(current$)'!AE117)/0.64392</f>
        <v>65.225493850167723</v>
      </c>
      <c r="AF122" s="911">
        <f>SUM('MasterA1(current$)'!AF117)/0.66773</f>
        <v>77.875788117951856</v>
      </c>
      <c r="AG122" s="474">
        <f>SUM('MasterA1(current$)'!AG117)/0.68996</f>
        <v>82.613484839700845</v>
      </c>
      <c r="AH122" s="474">
        <f>SUM('MasterA1(current$)'!AH117)/0.70569</f>
        <v>85.02316881350167</v>
      </c>
      <c r="AI122" s="474">
        <f>SUM('MasterA1(current$)'!AI117)/0.72248</f>
        <v>92.736131103975197</v>
      </c>
      <c r="AJ122" s="474">
        <f>SUM('MasterA1(current$)'!AJ117)/0.73785</f>
        <v>115.19956630751507</v>
      </c>
      <c r="AK122" s="474">
        <f>SUM('MasterA1(current$)'!AK117)/0.75324</f>
        <v>157.98417503053474</v>
      </c>
      <c r="AL122" s="474">
        <f>SUM('MasterA1(current$)'!AL117)/0.76699</f>
        <v>156.45575561610974</v>
      </c>
      <c r="AM122" s="474">
        <f>SUM('MasterA1(current$)'!AM117)/0.78012</f>
        <v>146.13136440547606</v>
      </c>
      <c r="AN122" s="474">
        <f>SUM('MasterA1(current$)'!AN117)/0.78859</f>
        <v>129.34477992366121</v>
      </c>
      <c r="AO122" s="474">
        <f>SUM('MasterA1(current$)'!AO117)/0.80065</f>
        <v>137.38837194779242</v>
      </c>
      <c r="AP122" s="930">
        <f>SUM('MasterA1(current$)'!AP117)/0.81887</f>
        <v>155.09177280887076</v>
      </c>
      <c r="AQ122" s="123">
        <f>SUM('MasterA1(current$)'!AQ117)/0.83754</f>
        <v>164.76824987463286</v>
      </c>
      <c r="AR122" s="123">
        <f>SUM('MasterA1(current$)'!AR117)/0.85039</f>
        <v>145.81544938204823</v>
      </c>
      <c r="AS122" s="123">
        <f>SUM('MasterA1(current$)'!AS117)/0.86735</f>
        <v>138.35245287369574</v>
      </c>
      <c r="AT122" s="123">
        <f>SUM('MasterA1(current$)'!AT117)/0.8912</f>
        <v>93.132854578096953</v>
      </c>
      <c r="AU122" s="123">
        <f>SUM('MasterA1(current$)'!AU117)/0.91988</f>
        <v>96.751750228290646</v>
      </c>
      <c r="AV122" s="128">
        <f>SUM('MasterA1(current$)'!AV117)/0.94814</f>
        <v>86.485118231484805</v>
      </c>
      <c r="AW122" s="128">
        <f>SUM('MasterA1(current$)'!AW117)/0.97337</f>
        <v>117.50763620379743</v>
      </c>
      <c r="AX122" s="784">
        <f>('MasterA1(current$)'!AX117*100)/99.246</f>
        <v>78.078293667586948</v>
      </c>
      <c r="AY122" s="387">
        <f>('MasterA1(current$)'!AY117)</f>
        <v>175</v>
      </c>
      <c r="AZ122" s="367">
        <f>SUM('MasterA1(current$)'!AZ117*100)/101.221</f>
        <v>456.42702601238869</v>
      </c>
      <c r="BA122" s="368">
        <f>SUM('MasterA1(current$)'!BA117*100)/103.311</f>
        <v>869.22012176825308</v>
      </c>
      <c r="BB122" s="368">
        <f>SUM('MasterA1(current$)'!BB117*100)/105.214</f>
        <v>756.5533103959549</v>
      </c>
      <c r="BC122" s="368">
        <f>SUM('MasterA1(current$)'!BC117*100)/106.913</f>
        <v>325.49830235799203</v>
      </c>
      <c r="BD122" s="368">
        <f>SUM('MasterA1(current$)'!BD117*100)/108.832</f>
        <v>237.98147603645987</v>
      </c>
      <c r="BE122" s="368">
        <f>SUM('MasterA1(current$)'!BE117*100)/110.012</f>
        <v>199.97818419808749</v>
      </c>
      <c r="BF122" s="367">
        <f>SUM('MasterA1(current$)'!BF117*100)/111.416</f>
        <v>185.79019171393696</v>
      </c>
      <c r="BG122" s="367">
        <f>SUM('MasterA1(current$)'!BG117*100)/113.116</f>
        <v>200.67894904345982</v>
      </c>
      <c r="BH122" s="367">
        <f>SUM('MasterA1(current$)'!BH117*100)/114.716</f>
        <v>140.34659506956311</v>
      </c>
      <c r="BI122" s="367">
        <f>SUM('MasterA1(current$)'!BI117*100)/116.416</f>
        <v>132.28422210005499</v>
      </c>
      <c r="BJ122" s="872">
        <f>(BH122-BG122)/BG122</f>
        <v>-0.30064116969653304</v>
      </c>
      <c r="BK122" s="872">
        <f>(BI122-BH122)/BH122</f>
        <v>-5.7446160097521314E-2</v>
      </c>
      <c r="BL122" s="567">
        <f>BH122-BG122</f>
        <v>-60.332353973896716</v>
      </c>
      <c r="BM122" s="567">
        <f>BI122-BH122</f>
        <v>-8.0623729695081181</v>
      </c>
      <c r="BN122" s="112"/>
      <c r="BO122" s="112"/>
      <c r="BP122" s="620"/>
      <c r="BQ122" s="620"/>
    </row>
    <row r="123" spans="1:93" ht="11.25" customHeight="1">
      <c r="A123" s="118"/>
      <c r="B123" s="645"/>
      <c r="C123" s="109"/>
      <c r="D123" s="109"/>
      <c r="E123" s="340"/>
      <c r="F123" s="340"/>
      <c r="G123" s="340"/>
      <c r="H123" s="340"/>
      <c r="I123" s="340"/>
      <c r="J123" s="340"/>
      <c r="K123" s="340"/>
      <c r="L123" s="913"/>
      <c r="M123" s="340"/>
      <c r="N123" s="340"/>
      <c r="O123" s="340"/>
      <c r="P123" s="333"/>
      <c r="Q123" s="333"/>
      <c r="R123" s="333"/>
      <c r="S123" s="333"/>
      <c r="T123" s="333"/>
      <c r="U123" s="333"/>
      <c r="V123" s="269"/>
      <c r="W123" s="333"/>
      <c r="X123" s="333"/>
      <c r="Y123" s="333"/>
      <c r="Z123" s="333"/>
      <c r="AA123" s="333"/>
      <c r="AB123" s="333"/>
      <c r="AC123" s="333"/>
      <c r="AD123" s="333"/>
      <c r="AE123" s="333"/>
      <c r="AF123" s="269"/>
      <c r="AG123" s="333"/>
      <c r="AH123" s="333"/>
      <c r="AI123" s="333"/>
      <c r="AJ123" s="333"/>
      <c r="AK123" s="333"/>
      <c r="AL123" s="333"/>
      <c r="AM123" s="333"/>
      <c r="AN123" s="333"/>
      <c r="AO123" s="333"/>
      <c r="AP123" s="269"/>
      <c r="AQ123" s="333"/>
      <c r="AR123" s="333"/>
      <c r="AS123" s="333"/>
      <c r="AT123" s="333"/>
      <c r="AU123" s="333"/>
      <c r="AV123" s="333"/>
      <c r="AW123" s="333"/>
      <c r="AX123" s="333"/>
      <c r="AY123" s="333"/>
      <c r="AZ123" s="269"/>
      <c r="BA123" s="333"/>
      <c r="BB123" s="333"/>
      <c r="BC123" s="333"/>
      <c r="BD123" s="333"/>
      <c r="BE123" s="333"/>
      <c r="BF123" s="269"/>
      <c r="BG123" s="269"/>
      <c r="BH123" s="269"/>
      <c r="BI123" s="269"/>
      <c r="BJ123" s="877"/>
      <c r="BK123" s="877"/>
      <c r="BL123" s="571"/>
      <c r="BM123" s="571"/>
      <c r="BP123" s="620"/>
      <c r="BQ123" s="620"/>
    </row>
    <row r="124" spans="1:93" ht="11.25" customHeight="1">
      <c r="A124" s="119" t="s">
        <v>135</v>
      </c>
      <c r="B124" s="898">
        <f>SUM('MasterA1(current$)'!B119)/0.1756</f>
        <v>68.337129840546694</v>
      </c>
      <c r="C124" s="57">
        <f>SUM('MasterA1(current$)'!C119)/0.178</f>
        <v>78.651685393258433</v>
      </c>
      <c r="D124" s="57">
        <f>SUM('MasterA1(current$)'!D119)/0.1798</f>
        <v>111.23470522803116</v>
      </c>
      <c r="E124" s="333">
        <f>SUM('MasterA1(current$)'!E119)/0.182</f>
        <v>186.81318681318683</v>
      </c>
      <c r="F124" s="333">
        <f>SUM('MasterA1(current$)'!F119)/0.1842</f>
        <v>190.01085776330075</v>
      </c>
      <c r="G124" s="333">
        <f>SUM('MasterA1(current$)'!G119)/0.18702</f>
        <v>171.10469468506042</v>
      </c>
      <c r="H124" s="333">
        <f>SUM('MasterA1(current$)'!H119)/0.19227</f>
        <v>135.22650439486139</v>
      </c>
      <c r="I124" s="333">
        <f>SUM('MasterA1(current$)'!I119)/0.19786</f>
        <v>166.78459516830083</v>
      </c>
      <c r="J124" s="333">
        <f>SUM('MasterA1(current$)'!J119)/0.20627</f>
        <v>193.92058951859212</v>
      </c>
      <c r="K124" s="333">
        <f>SUM('MasterA1(current$)'!K119)/0.21642</f>
        <v>244.89418722853711</v>
      </c>
      <c r="L124" s="269">
        <f>SUM('MasterA1(current$)'!L119)/0.22784</f>
        <v>285.28792134831463</v>
      </c>
      <c r="M124" s="333">
        <f>SUM('MasterA1(current$)'!M119)/0.23941</f>
        <v>284.03157762833632</v>
      </c>
      <c r="N124" s="333">
        <f>SUM('MasterA1(current$)'!N119)/0.24978</f>
        <v>340.29946352790455</v>
      </c>
      <c r="O124" s="333">
        <f>SUM('MasterA1(current$)'!O119)/0.26337</f>
        <v>660.66750199339333</v>
      </c>
      <c r="P124" s="333">
        <f>SUM('MasterA1(current$)'!P119)/0.28703</f>
        <v>365.81541999094168</v>
      </c>
      <c r="Q124" s="333">
        <f>SUM('MasterA1(current$)'!Q119)/0.31361</f>
        <v>331.62207837760275</v>
      </c>
      <c r="R124" s="333">
        <f>SUM('MasterA1(current$)'!R119)/0.33083</f>
        <v>544.08608650968779</v>
      </c>
      <c r="S124" s="333">
        <f>SUM('MasterA1(current$)'!S119)/0.35135</f>
        <v>657.46406716948911</v>
      </c>
      <c r="T124" s="333">
        <f>SUM('MasterA1(current$)'!T119)/0.37602</f>
        <v>720.70634540715912</v>
      </c>
      <c r="U124" s="333">
        <f>SUM('MasterA1(current$)'!U119)/0.40706</f>
        <v>761.5584926055127</v>
      </c>
      <c r="V124" s="269">
        <f>SUM('MasterA1(current$)'!V119)/0.44377</f>
        <v>851.79259526331214</v>
      </c>
      <c r="W124" s="333">
        <f>SUM('MasterA1(current$)'!W119)/0.4852</f>
        <v>859.43940643033795</v>
      </c>
      <c r="X124" s="333">
        <f>SUM('MasterA1(current$)'!X119)/0.5153</f>
        <v>857.75276537939067</v>
      </c>
      <c r="Y124" s="333">
        <f>SUM('MasterA1(current$)'!Y119)/0.53565</f>
        <v>961.44870717819481</v>
      </c>
      <c r="Z124" s="333">
        <f>SUM('MasterA1(current$)'!Z119)/0.55466</f>
        <v>832.94270363826479</v>
      </c>
      <c r="AA124" s="333">
        <f>SUM('MasterA1(current$)'!AA119)/0.5724</f>
        <v>817.6100628930817</v>
      </c>
      <c r="AB124" s="333">
        <f>SUM('MasterA1(current$)'!AB119)/0.58395</f>
        <v>720.95213631304057</v>
      </c>
      <c r="AC124" s="333">
        <f>SUM('MasterA1(current$)'!AC119)/0.59885</f>
        <v>657.92769474826753</v>
      </c>
      <c r="AD124" s="333">
        <f>SUM('MasterA1(current$)'!AD119)/0.61982</f>
        <v>375.91558839663128</v>
      </c>
      <c r="AE124" s="333">
        <f>SUM('MasterA1(current$)'!AE119)/0.64392</f>
        <v>608.77127593489865</v>
      </c>
      <c r="AF124" s="269">
        <f>SUM('MasterA1(current$)'!AF119)/0.66773</f>
        <v>585.56602219459955</v>
      </c>
      <c r="AG124" s="333">
        <f>SUM('MasterA1(current$)'!AG119)/0.68996</f>
        <v>631.92069105455391</v>
      </c>
      <c r="AH124" s="333">
        <f>SUM('MasterA1(current$)'!AH119)/0.70569</f>
        <v>765.20851932151504</v>
      </c>
      <c r="AI124" s="333">
        <f>SUM('MasterA1(current$)'!AI119)/0.72248</f>
        <v>678.21946628280364</v>
      </c>
      <c r="AJ124" s="333">
        <f>SUM('MasterA1(current$)'!AJ119)/0.73785</f>
        <v>737.27722436809654</v>
      </c>
      <c r="AK124" s="333">
        <f>SUM('MasterA1(current$)'!AK119)/0.75324</f>
        <v>719.55817534915832</v>
      </c>
      <c r="AL124" s="333">
        <f>SUM('MasterA1(current$)'!AL119)/0.76699</f>
        <v>667.54455729540155</v>
      </c>
      <c r="AM124" s="333">
        <f>SUM('MasterA1(current$)'!AM119)/0.78012</f>
        <v>653.74557760344555</v>
      </c>
      <c r="AN124" s="333">
        <f>SUM('MasterA1(current$)'!AN119)/0.78859</f>
        <v>623.89835022001296</v>
      </c>
      <c r="AO124" s="333">
        <f>SUM('MasterA1(current$)'!AO119)/0.80065</f>
        <v>597.01492537313436</v>
      </c>
      <c r="AP124" s="799">
        <f>SUM('MasterA1(current$)'!AP119)/0.81887</f>
        <v>586.17362951384223</v>
      </c>
      <c r="AQ124" s="321">
        <f>SUM('MasterA1(current$)'!AQ119)/0.83754</f>
        <v>598.18038541442797</v>
      </c>
      <c r="AR124" s="321">
        <f>SUM('MasterA1(current$)'!AR119)/0.85039</f>
        <v>606.7804183962653</v>
      </c>
      <c r="AS124" s="321">
        <f>SUM('MasterA1(current$)'!AS119)/0.86735</f>
        <v>662.93883668645879</v>
      </c>
      <c r="AT124" s="321">
        <f>SUM('MasterA1(current$)'!AT119)/0.8912</f>
        <v>690.08078994614004</v>
      </c>
      <c r="AU124" s="321">
        <f>SUM('MasterA1(current$)'!AU119)/0.91988</f>
        <v>700.09131625864245</v>
      </c>
      <c r="AV124" s="321">
        <f>SUM('MasterA1(current$)'!AV119)/0.94814</f>
        <v>716.13896681924609</v>
      </c>
      <c r="AW124" s="321">
        <f>SUM('MasterA1(current$)'!AW119)/0.97337</f>
        <v>776.68307015831601</v>
      </c>
      <c r="AX124" s="163">
        <f>('MasterA1(current$)'!AX119*100)/99.246</f>
        <v>881.64762307800822</v>
      </c>
      <c r="AY124" s="284">
        <f>('MasterA1(current$)'!AY119)</f>
        <v>989</v>
      </c>
      <c r="AZ124" s="305">
        <f>SUM('MasterA1(current$)'!AZ119*100)/101.221</f>
        <v>1064.0084567431659</v>
      </c>
      <c r="BA124" s="284">
        <f>SUM('MasterA1(current$)'!BA119*100)/103.311</f>
        <v>1041.5154243013812</v>
      </c>
      <c r="BB124" s="284">
        <f>SUM('MasterA1(current$)'!BB119*100)/105.214</f>
        <v>1023.6280342920144</v>
      </c>
      <c r="BC124" s="284">
        <f>SUM('MasterA1(current$)'!BC119*100)/106.913</f>
        <v>960.59412793579827</v>
      </c>
      <c r="BD124" s="284">
        <f>SUM('MasterA1(current$)'!BD119*100)/108.832</f>
        <v>917.00970302852113</v>
      </c>
      <c r="BE124" s="284">
        <f>SUM('MasterA1(current$)'!BE119*100)/110.012</f>
        <v>940.80645747736605</v>
      </c>
      <c r="BF124" s="305">
        <f>SUM('MasterA1(current$)'!BF119*100)/111.416</f>
        <v>879.58641487757598</v>
      </c>
      <c r="BG124" s="305">
        <f>SUM('MasterA1(current$)'!BG119*100)/113.116</f>
        <v>807.13603734219737</v>
      </c>
      <c r="BH124" s="305">
        <f>SUM('MasterA1(current$)'!BH119*100)/114.716</f>
        <v>795.00679940025805</v>
      </c>
      <c r="BI124" s="305">
        <f>SUM('MasterA1(current$)'!BI119*100)/116.416</f>
        <v>904.51484332050575</v>
      </c>
      <c r="BJ124" s="410">
        <f>(BH124-BG124)/BG124</f>
        <v>-1.5027501413367015E-2</v>
      </c>
      <c r="BK124" s="410">
        <f>(BI124-BH124)/BH124</f>
        <v>0.13774478910477123</v>
      </c>
      <c r="BL124" s="564">
        <f>BH124-BG124</f>
        <v>-12.129237941939323</v>
      </c>
      <c r="BM124" s="564">
        <f>BI124-BH124</f>
        <v>109.5080439202477</v>
      </c>
      <c r="BN124" s="112"/>
      <c r="BO124" s="112"/>
      <c r="BP124" s="620"/>
      <c r="BQ124" s="620"/>
    </row>
    <row r="125" spans="1:93" ht="11.25" customHeight="1">
      <c r="A125" s="119"/>
      <c r="B125" s="898"/>
      <c r="C125" s="57"/>
      <c r="D125" s="57"/>
      <c r="E125" s="333"/>
      <c r="F125" s="333"/>
      <c r="G125" s="333"/>
      <c r="H125" s="333"/>
      <c r="I125" s="333"/>
      <c r="J125" s="333"/>
      <c r="K125" s="333"/>
      <c r="L125" s="269"/>
      <c r="M125" s="333"/>
      <c r="N125" s="333"/>
      <c r="O125" s="333"/>
      <c r="P125" s="333"/>
      <c r="Q125" s="333"/>
      <c r="R125" s="333"/>
      <c r="S125" s="333"/>
      <c r="T125" s="333"/>
      <c r="U125" s="333"/>
      <c r="V125" s="269"/>
      <c r="W125" s="333"/>
      <c r="X125" s="333"/>
      <c r="Y125" s="333"/>
      <c r="Z125" s="333"/>
      <c r="AA125" s="333"/>
      <c r="AB125" s="333"/>
      <c r="AC125" s="333"/>
      <c r="AD125" s="333"/>
      <c r="AE125" s="333"/>
      <c r="AF125" s="269"/>
      <c r="AG125" s="333"/>
      <c r="AH125" s="333"/>
      <c r="AI125" s="333"/>
      <c r="AJ125" s="333"/>
      <c r="AK125" s="333"/>
      <c r="AL125" s="333"/>
      <c r="AM125" s="333"/>
      <c r="AN125" s="333"/>
      <c r="AO125" s="333"/>
      <c r="AP125" s="799"/>
      <c r="AQ125" s="321"/>
      <c r="AR125" s="321"/>
      <c r="AS125" s="321"/>
      <c r="AT125" s="321"/>
      <c r="AU125" s="321"/>
      <c r="AV125" s="321"/>
      <c r="AW125" s="321"/>
      <c r="AX125" s="163"/>
      <c r="AY125" s="284"/>
      <c r="AZ125" s="305"/>
      <c r="BA125" s="284"/>
      <c r="BB125" s="284"/>
      <c r="BC125" s="284"/>
      <c r="BD125" s="284"/>
      <c r="BE125" s="284"/>
      <c r="BF125" s="305"/>
      <c r="BG125" s="305"/>
      <c r="BH125" s="305"/>
      <c r="BI125" s="305"/>
      <c r="BJ125" s="410"/>
      <c r="BK125" s="410"/>
      <c r="BL125" s="564"/>
      <c r="BM125" s="564"/>
      <c r="BP125" s="620"/>
      <c r="BQ125" s="620"/>
    </row>
    <row r="126" spans="1:93" ht="11.25" customHeight="1">
      <c r="A126" s="110" t="s">
        <v>136</v>
      </c>
      <c r="B126" s="898">
        <f>SUM('MasterA1(current$)'!B121)/0.1756</f>
        <v>74.031890660592254</v>
      </c>
      <c r="C126" s="57">
        <f>SUM('MasterA1(current$)'!C121)/0.178</f>
        <v>151.68539325842698</v>
      </c>
      <c r="D126" s="57">
        <f>SUM('MasterA1(current$)'!D121)/0.1798</f>
        <v>216.90767519466075</v>
      </c>
      <c r="E126" s="333">
        <f>SUM('MasterA1(current$)'!E121)/0.182</f>
        <v>241.75824175824175</v>
      </c>
      <c r="F126" s="333">
        <f>SUM('MasterA1(current$)'!F121)/0.1842</f>
        <v>287.73072747014112</v>
      </c>
      <c r="G126" s="333">
        <f>SUM('MasterA1(current$)'!G121)/0.18702</f>
        <v>320.82130253448832</v>
      </c>
      <c r="H126" s="333">
        <f>SUM('MasterA1(current$)'!H121)/0.19227</f>
        <v>353.66931918656059</v>
      </c>
      <c r="I126" s="333">
        <f>SUM('MasterA1(current$)'!I121)/0.19786</f>
        <v>414.43444860002018</v>
      </c>
      <c r="J126" s="333">
        <f>SUM('MasterA1(current$)'!J121)/0.20627</f>
        <v>562.36970960391716</v>
      </c>
      <c r="K126" s="333">
        <f>SUM('MasterA1(current$)'!K121)/0.21642</f>
        <v>767.0270769799464</v>
      </c>
      <c r="L126" s="269">
        <f>SUM('MasterA1(current$)'!L121)/0.22784</f>
        <v>763.69382022471916</v>
      </c>
      <c r="M126" s="333">
        <f>SUM('MasterA1(current$)'!M121)/0.23941</f>
        <v>931.45649722233816</v>
      </c>
      <c r="N126" s="333">
        <f>SUM('MasterA1(current$)'!N121)/0.24978</f>
        <v>1373.208423412603</v>
      </c>
      <c r="O126" s="333">
        <f>SUM('MasterA1(current$)'!O121)/0.26337</f>
        <v>1628.8871169837112</v>
      </c>
      <c r="P126" s="333">
        <f>SUM('MasterA1(current$)'!P121)/0.28703</f>
        <v>1529.4568512002229</v>
      </c>
      <c r="Q126" s="333">
        <f>SUM('MasterA1(current$)'!Q121)/0.31361</f>
        <v>1922.7703198239851</v>
      </c>
      <c r="R126" s="333">
        <f>SUM('MasterA1(current$)'!R121)/0.33083</f>
        <v>2082.6406311398605</v>
      </c>
      <c r="S126" s="333">
        <f>SUM('MasterA1(current$)'!S121)/0.35135</f>
        <v>2373.7014373132206</v>
      </c>
      <c r="T126" s="333">
        <f>SUM('MasterA1(current$)'!T121)/0.37602</f>
        <v>2350.9387798521352</v>
      </c>
      <c r="U126" s="333">
        <f>SUM('MasterA1(current$)'!U121)/0.40706</f>
        <v>2567.189112170196</v>
      </c>
      <c r="V126" s="269">
        <f>SUM('MasterA1(current$)'!V121)/0.44377</f>
        <v>2884.3770421614799</v>
      </c>
      <c r="W126" s="333">
        <f>SUM('MasterA1(current$)'!W121)/0.4852</f>
        <v>2864.7980214344598</v>
      </c>
      <c r="X126" s="333">
        <f>SUM('MasterA1(current$)'!X121)/0.5153</f>
        <v>2645.061129439162</v>
      </c>
      <c r="Y126" s="333">
        <f>SUM('MasterA1(current$)'!Y121)/0.53565</f>
        <v>2583.7767198730517</v>
      </c>
      <c r="Z126" s="333">
        <f>SUM('MasterA1(current$)'!Z121)/0.55466</f>
        <v>2648.4693325640933</v>
      </c>
      <c r="AA126" s="333">
        <f>SUM('MasterA1(current$)'!AA121)/0.5724</f>
        <v>2901.8169112508735</v>
      </c>
      <c r="AB126" s="333">
        <f>SUM('MasterA1(current$)'!AB121)/0.58395</f>
        <v>3051.6311328024663</v>
      </c>
      <c r="AC126" s="333">
        <f>SUM('MasterA1(current$)'!AC121)/0.59885</f>
        <v>3381.4811722468066</v>
      </c>
      <c r="AD126" s="333">
        <f>SUM('MasterA1(current$)'!AD121)/0.61982</f>
        <v>3930.1732761124194</v>
      </c>
      <c r="AE126" s="333">
        <f>SUM('MasterA1(current$)'!AE121)/0.64392</f>
        <v>4115.4180643558202</v>
      </c>
      <c r="AF126" s="269">
        <f>SUM('MasterA1(current$)'!AF121)/0.66773</f>
        <v>4395.4891947343986</v>
      </c>
      <c r="AG126" s="333">
        <f>SUM('MasterA1(current$)'!AG121)/0.68996</f>
        <v>4985.7962780451044</v>
      </c>
      <c r="AH126" s="333">
        <f>SUM('MasterA1(current$)'!AH121)/0.70569</f>
        <v>5421.6440646742903</v>
      </c>
      <c r="AI126" s="333">
        <f>SUM('MasterA1(current$)'!AI121)/0.72248</f>
        <v>5572.472594397077</v>
      </c>
      <c r="AJ126" s="333">
        <f>SUM('MasterA1(current$)'!AJ121)/0.73785</f>
        <v>5587.8566104221727</v>
      </c>
      <c r="AK126" s="333">
        <f>SUM('MasterA1(current$)'!AK121)/0.75324</f>
        <v>5740.5342254792631</v>
      </c>
      <c r="AL126" s="333">
        <f>SUM('MasterA1(current$)'!AL121)/0.76699</f>
        <v>5109.5842188294509</v>
      </c>
      <c r="AM126" s="333">
        <f>SUM('MasterA1(current$)'!AM121)/0.78012</f>
        <v>5409.4241911500794</v>
      </c>
      <c r="AN126" s="333">
        <f>SUM('MasterA1(current$)'!AN121)/0.78859</f>
        <v>5176.3273691018148</v>
      </c>
      <c r="AO126" s="333">
        <f>SUM('MasterA1(current$)'!AO121)/0.80065</f>
        <v>5424.3427215387501</v>
      </c>
      <c r="AP126" s="799">
        <f>SUM('MasterA1(current$)'!AP121)/0.81887</f>
        <v>5335.4012236374519</v>
      </c>
      <c r="AQ126" s="321">
        <f>SUM('MasterA1(current$)'!AQ121)/0.83754</f>
        <v>5302.4333166177139</v>
      </c>
      <c r="AR126" s="321">
        <f>SUM('MasterA1(current$)'!AR121)/0.85039</f>
        <v>5338.7269370524118</v>
      </c>
      <c r="AS126" s="321">
        <f>SUM('MasterA1(current$)'!AS121)/0.86735</f>
        <v>5258.546146307719</v>
      </c>
      <c r="AT126" s="321">
        <f>SUM('MasterA1(current$)'!AT121)/0.8912</f>
        <v>5127.9174147217236</v>
      </c>
      <c r="AU126" s="321">
        <f>SUM('MasterA1(current$)'!AU121)/0.91988</f>
        <v>5200.6783493499152</v>
      </c>
      <c r="AV126" s="190">
        <f>SUM('MasterA1(current$)'!AV121)/0.94814</f>
        <v>5441.1795726369528</v>
      </c>
      <c r="AW126" s="190">
        <f>SUM('MasterA1(current$)'!AW121)/0.97337</f>
        <v>4997.0720281085305</v>
      </c>
      <c r="AX126" s="163">
        <f>('MasterA1(current$)'!AX121*100)/99.246</f>
        <v>4809.2618342300948</v>
      </c>
      <c r="AY126" s="284">
        <f>('MasterA1(current$)'!AY121)</f>
        <v>5092</v>
      </c>
      <c r="AZ126" s="305">
        <f>SUM('MasterA1(current$)'!AZ121*100)/101.221</f>
        <v>5326.9578447160175</v>
      </c>
      <c r="BA126" s="284">
        <f>SUM('MasterA1(current$)'!BA121*100)/103.311</f>
        <v>5389.5519354182998</v>
      </c>
      <c r="BB126" s="284">
        <f>SUM('MasterA1(current$)'!BB121*100)/105.214</f>
        <v>5443.191970650294</v>
      </c>
      <c r="BC126" s="284">
        <f>SUM('MasterA1(current$)'!BC121*100)/106.913</f>
        <v>4948.8836717705053</v>
      </c>
      <c r="BD126" s="284">
        <f>SUM('MasterA1(current$)'!BD121*100)/108.832</f>
        <v>5789.6574536900916</v>
      </c>
      <c r="BE126" s="284">
        <f>SUM('MasterA1(current$)'!BE121*100)/110.012</f>
        <v>4705.8502708795404</v>
      </c>
      <c r="BF126" s="305">
        <f>SUM('MasterA1(current$)'!BF121*100)/111.416</f>
        <v>4829.6474474043225</v>
      </c>
      <c r="BG126" s="305">
        <f>SUM('MasterA1(current$)'!BG121*100)/113.116</f>
        <v>4553.7324516425615</v>
      </c>
      <c r="BH126" s="305">
        <f>SUM('MasterA1(current$)'!BH121*100)/114.716</f>
        <v>4508.5254018619898</v>
      </c>
      <c r="BI126" s="305">
        <f>SUM('MasterA1(current$)'!BI121*100)/116.416</f>
        <v>3387.8504672897197</v>
      </c>
      <c r="BJ126" s="410">
        <f>(BH126-BG126)/BG126</f>
        <v>-9.9274716423590429E-3</v>
      </c>
      <c r="BK126" s="410">
        <f>(BI126-BH126)/BH126</f>
        <v>-0.24856795397214332</v>
      </c>
      <c r="BL126" s="564">
        <f>BH126-BG126</f>
        <v>-45.207049780571651</v>
      </c>
      <c r="BM126" s="564">
        <f>BI126-BH126</f>
        <v>-1120.6749345722701</v>
      </c>
      <c r="BN126" s="112"/>
      <c r="BO126" s="112"/>
      <c r="BP126" s="620"/>
      <c r="BQ126" s="620"/>
    </row>
    <row r="127" spans="1:93" ht="14.25" customHeight="1" thickBot="1">
      <c r="A127" s="118" t="s">
        <v>116</v>
      </c>
      <c r="B127" s="896">
        <f>SUM('MasterA1(current$)'!B122)/0.1756</f>
        <v>165.14806378132118</v>
      </c>
      <c r="C127" s="135">
        <f>SUM('MasterA1(current$)'!C122)/0.178</f>
        <v>252.80898876404495</v>
      </c>
      <c r="D127" s="136">
        <f>SUM('MasterA1(current$)'!D122)/0.1798</f>
        <v>355.9510567296997</v>
      </c>
      <c r="E127" s="475">
        <f>SUM('MasterA1(current$)'!E122)/0.182</f>
        <v>461.53846153846155</v>
      </c>
      <c r="F127" s="475">
        <f>SUM('MasterA1(current$)'!F122)/0.1842</f>
        <v>510.31487513572205</v>
      </c>
      <c r="G127" s="475">
        <f>SUM('MasterA1(current$)'!G122)/0.18702</f>
        <v>518.66110576408937</v>
      </c>
      <c r="H127" s="475">
        <f>SUM('MasterA1(current$)'!H122)/0.19227</f>
        <v>520.10193998023612</v>
      </c>
      <c r="I127" s="475">
        <f>SUM('MasterA1(current$)'!I122)/0.19786</f>
        <v>611.54351561710303</v>
      </c>
      <c r="J127" s="475">
        <f>SUM('MasterA1(current$)'!J122)/0.20627</f>
        <v>790.22640228826288</v>
      </c>
      <c r="K127" s="475">
        <f>SUM('MasterA1(current$)'!K122)/0.21642</f>
        <v>1048.8864245448665</v>
      </c>
      <c r="L127" s="401">
        <f>SUM('MasterA1(current$)'!L122)/0.22784</f>
        <v>1088.4831460674159</v>
      </c>
      <c r="M127" s="475">
        <f>SUM('MasterA1(current$)'!M122)/0.23941</f>
        <v>1286.4959692577586</v>
      </c>
      <c r="N127" s="475">
        <f>SUM('MasterA1(current$)'!N122)/0.24978</f>
        <v>1813.5959644487148</v>
      </c>
      <c r="O127" s="475">
        <f>SUM('MasterA1(current$)'!O122)/0.26337</f>
        <v>2418.6505676424804</v>
      </c>
      <c r="P127" s="475">
        <f>SUM('MasterA1(current$)'!P122)/0.28703</f>
        <v>2013.7267881406124</v>
      </c>
      <c r="Q127" s="475">
        <f>SUM('MasterA1(current$)'!Q122)/0.31361</f>
        <v>2401.0713944070662</v>
      </c>
      <c r="R127" s="475">
        <f>SUM('MasterA1(current$)'!R122)/0.33083</f>
        <v>2823.2022488891575</v>
      </c>
      <c r="S127" s="475">
        <f>SUM('MasterA1(current$)'!S122)/0.35135</f>
        <v>3219.0123808168491</v>
      </c>
      <c r="T127" s="475">
        <f>SUM('MasterA1(current$)'!T122)/0.37602</f>
        <v>3425.3497154406678</v>
      </c>
      <c r="U127" s="475">
        <f>SUM('MasterA1(current$)'!U122)/0.40706</f>
        <v>3778.3127794428342</v>
      </c>
      <c r="V127" s="401">
        <f>SUM('MasterA1(current$)'!V122)/0.44377</f>
        <v>4319.8053045496545</v>
      </c>
      <c r="W127" s="475">
        <f>SUM('MasterA1(current$)'!W122)/0.4852</f>
        <v>4629.0189612530912</v>
      </c>
      <c r="X127" s="475">
        <f>SUM('MasterA1(current$)'!X122)/0.5153</f>
        <v>4185.9111197360762</v>
      </c>
      <c r="Y127" s="475">
        <f>SUM('MasterA1(current$)'!Y122)/0.53565</f>
        <v>4402.1282553906476</v>
      </c>
      <c r="Z127" s="475">
        <f>SUM('MasterA1(current$)'!Z122)/0.55466</f>
        <v>4491.0395557638913</v>
      </c>
      <c r="AA127" s="475">
        <f>SUM('MasterA1(current$)'!AA122)/0.5724</f>
        <v>4818.1114605171206</v>
      </c>
      <c r="AB127" s="475">
        <f>SUM('MasterA1(current$)'!AB122)/0.58395</f>
        <v>4973.0285127151301</v>
      </c>
      <c r="AC127" s="475">
        <f>SUM('MasterA1(current$)'!AC122)/0.59885</f>
        <v>5216.6652751106285</v>
      </c>
      <c r="AD127" s="475">
        <f>SUM('MasterA1(current$)'!AD122)/0.61982</f>
        <v>5509.6640960278792</v>
      </c>
      <c r="AE127" s="475">
        <f>SUM('MasterA1(current$)'!AE122)/0.64392</f>
        <v>5871.847434463908</v>
      </c>
      <c r="AF127" s="401">
        <f>SUM('MasterA1(current$)'!AF122)/0.66773</f>
        <v>6144.6992047683943</v>
      </c>
      <c r="AG127" s="475">
        <f>SUM('MasterA1(current$)'!AG122)/0.68996</f>
        <v>6830.8307727984229</v>
      </c>
      <c r="AH127" s="475">
        <f>SUM('MasterA1(current$)'!AH122)/0.70569</f>
        <v>7414.0203205373464</v>
      </c>
      <c r="AI127" s="475">
        <f>SUM('MasterA1(current$)'!AI122)/0.72248</f>
        <v>7546.2296534160114</v>
      </c>
      <c r="AJ127" s="475">
        <f>SUM('MasterA1(current$)'!AJ122)/0.73785</f>
        <v>7645.1853357728533</v>
      </c>
      <c r="AK127" s="475">
        <f>SUM('MasterA1(current$)'!AK122)/0.75324</f>
        <v>7944.3470872497473</v>
      </c>
      <c r="AL127" s="475">
        <f>SUM('MasterA1(current$)'!AL122)/0.76699</f>
        <v>7196.9647583410479</v>
      </c>
      <c r="AM127" s="475">
        <f>SUM('MasterA1(current$)'!AM122)/0.78012</f>
        <v>7486.0277905963185</v>
      </c>
      <c r="AN127" s="475">
        <f>SUM('MasterA1(current$)'!AN122)/0.78859</f>
        <v>7242.0395896473456</v>
      </c>
      <c r="AO127" s="475">
        <f>SUM('MasterA1(current$)'!AO122)/0.80065</f>
        <v>7828.6392306251173</v>
      </c>
      <c r="AP127" s="931">
        <f>SUM('MasterA1(current$)'!AP122)/0.81887</f>
        <v>8015.9243836017931</v>
      </c>
      <c r="AQ127" s="137">
        <f>SUM('MasterA1(current$)'!AQ122)/0.83754</f>
        <v>8197.8174176755747</v>
      </c>
      <c r="AR127" s="137">
        <f>SUM('MasterA1(current$)'!AR122)/0.85039</f>
        <v>8573.713237455755</v>
      </c>
      <c r="AS127" s="137">
        <f>SUM('MasterA1(current$)'!AS122)/0.86735</f>
        <v>8977.9212543955728</v>
      </c>
      <c r="AT127" s="137">
        <f>SUM('MasterA1(current$)'!AT122)/0.8912</f>
        <v>7790.6193895870738</v>
      </c>
      <c r="AU127" s="137">
        <f>SUM('MasterA1(current$)'!AU122)/0.91988</f>
        <v>7927.120928816802</v>
      </c>
      <c r="AV127" s="137">
        <f>SUM('MasterA1(current$)'!AV122)/0.94814</f>
        <v>8155.9685278545367</v>
      </c>
      <c r="AW127" s="137">
        <f>SUM('MasterA1(current$)'!AW122)/0.97337</f>
        <v>7759.4880279901372</v>
      </c>
      <c r="AX127" s="783">
        <f>('MasterA1(current$)'!AX122*100)/99.246</f>
        <v>7713.3588352670376</v>
      </c>
      <c r="AY127" s="388">
        <f>('MasterA1(current$)'!AY122)</f>
        <v>8007</v>
      </c>
      <c r="AZ127" s="656">
        <f>SUM('MasterA1(current$)'!AZ122*100)/101.221</f>
        <v>8599.9940723762847</v>
      </c>
      <c r="BA127" s="422">
        <f>SUM('MasterA1(current$)'!BA122*100)/103.311</f>
        <v>9068.7342102970633</v>
      </c>
      <c r="BB127" s="422">
        <f>SUM('MasterA1(current$)'!BB122*100)/105.214</f>
        <v>8884.7491778660642</v>
      </c>
      <c r="BC127" s="422">
        <f>SUM('MasterA1(current$)'!BC122*100)/106.913</f>
        <v>7930.7474301534894</v>
      </c>
      <c r="BD127" s="422">
        <f>SUM('MasterA1(current$)'!BD122*100)/108.832</f>
        <v>8593.9797118494571</v>
      </c>
      <c r="BE127" s="422">
        <f>SUM('MasterA1(current$)'!BE122*100)/110.012</f>
        <v>7419.1713990135613</v>
      </c>
      <c r="BF127" s="656">
        <f>SUM('MasterA1(current$)'!BF122*100)/111.416</f>
        <v>7535.7219788899265</v>
      </c>
      <c r="BG127" s="656">
        <f>SUM('MasterA1(current$)'!BG122*100)/113.116</f>
        <v>7212.0654902931501</v>
      </c>
      <c r="BH127" s="656">
        <f>SUM('MasterA1(current$)'!BH122*100)/114.716</f>
        <v>6916.2104675895262</v>
      </c>
      <c r="BI127" s="656">
        <f>SUM('MasterA1(current$)'!BI122*100)/116.416</f>
        <v>5870.3271028037389</v>
      </c>
      <c r="BJ127" s="875">
        <f>(BH127-BG127)/BG127</f>
        <v>-4.1022231856022467E-2</v>
      </c>
      <c r="BK127" s="875">
        <f>(BI127-BH127)/BH127</f>
        <v>-0.15122202681467906</v>
      </c>
      <c r="BL127" s="569">
        <f>BH127-BG127</f>
        <v>-295.85502270362394</v>
      </c>
      <c r="BM127" s="569">
        <f>BI127-BH127</f>
        <v>-1045.8833647857873</v>
      </c>
      <c r="BN127" s="112"/>
      <c r="BO127" s="112"/>
      <c r="BP127" s="620"/>
      <c r="BQ127" s="620"/>
    </row>
    <row r="128" spans="1:93" ht="11.25" customHeight="1">
      <c r="A128" s="115"/>
      <c r="B128" s="636"/>
      <c r="C128" s="33"/>
      <c r="D128" s="33"/>
      <c r="E128" s="47"/>
      <c r="F128" s="47"/>
      <c r="G128" s="47"/>
      <c r="H128" s="47"/>
      <c r="I128" s="47"/>
      <c r="J128" s="47"/>
      <c r="K128" s="47"/>
      <c r="L128" s="281"/>
      <c r="M128" s="47"/>
      <c r="N128" s="47"/>
      <c r="O128" s="47"/>
      <c r="P128" s="47"/>
      <c r="Q128" s="47"/>
      <c r="R128" s="47"/>
      <c r="S128" s="47"/>
      <c r="T128" s="47"/>
      <c r="U128" s="47"/>
      <c r="V128" s="281"/>
      <c r="W128" s="47"/>
      <c r="X128" s="47"/>
      <c r="Y128" s="47"/>
      <c r="Z128" s="47"/>
      <c r="AA128" s="47"/>
      <c r="AB128" s="47"/>
      <c r="AC128" s="47"/>
      <c r="AD128" s="47"/>
      <c r="AE128" s="47"/>
      <c r="AF128" s="281"/>
      <c r="AG128" s="47"/>
      <c r="AH128" s="47"/>
      <c r="AI128" s="47"/>
      <c r="AJ128" s="47"/>
      <c r="AK128" s="47"/>
      <c r="AL128" s="47"/>
      <c r="AM128" s="152"/>
      <c r="AN128" s="152"/>
      <c r="AO128" s="152"/>
      <c r="AP128" s="217"/>
      <c r="AQ128" s="152"/>
      <c r="AR128" s="152"/>
      <c r="AS128" s="152"/>
      <c r="AT128" s="152"/>
      <c r="AU128" s="152"/>
      <c r="AV128" s="152"/>
      <c r="AW128" s="152"/>
      <c r="AX128" s="152"/>
      <c r="AY128" s="309"/>
      <c r="AZ128" s="365"/>
      <c r="BA128" s="309"/>
      <c r="BB128" s="309"/>
      <c r="BC128" s="309"/>
      <c r="BD128" s="309"/>
      <c r="BE128" s="309"/>
      <c r="BF128" s="365"/>
      <c r="BG128" s="365"/>
      <c r="BH128" s="365"/>
      <c r="BI128" s="365"/>
      <c r="BJ128" s="871"/>
      <c r="BK128" s="871"/>
      <c r="BL128" s="572"/>
      <c r="BM128" s="572"/>
      <c r="BP128" s="620"/>
      <c r="BQ128" s="620"/>
    </row>
    <row r="129" spans="1:93" ht="13.5" customHeight="1" thickBot="1">
      <c r="A129" s="399" t="s">
        <v>42</v>
      </c>
      <c r="B129" s="896">
        <f>'MasterA1(current$)'!B124/0.1756</f>
        <v>2015.9453302961274</v>
      </c>
      <c r="C129" s="135">
        <f>SUM('MasterA1(current$)'!C124)/0.178</f>
        <v>2365.1685393258426</v>
      </c>
      <c r="D129" s="136">
        <f>SUM('MasterA1(current$)'!D124)/0.1798</f>
        <v>2686.3181312569523</v>
      </c>
      <c r="E129" s="475">
        <f>SUM('MasterA1(current$)'!E124)/0.182</f>
        <v>3032.967032967033</v>
      </c>
      <c r="F129" s="475">
        <f>SUM('MasterA1(current$)'!F124)/0.1842</f>
        <v>3203.0401737242128</v>
      </c>
      <c r="G129" s="475">
        <f>SUM('MasterA1(current$)'!G124)/0.18702</f>
        <v>3229.6011121805154</v>
      </c>
      <c r="H129" s="475">
        <f>SUM('MasterA1(current$)'!H124)/0.19227</f>
        <v>3359.0263691683572</v>
      </c>
      <c r="I129" s="475">
        <f>SUM('MasterA1(current$)'!I124)/0.19786</f>
        <v>3547.9632063074901</v>
      </c>
      <c r="J129" s="475">
        <f>SUM('MasterA1(current$)'!J124)/0.20627</f>
        <v>3972.9480777621561</v>
      </c>
      <c r="K129" s="475">
        <f>SUM('MasterA1(current$)'!K124)/0.21642</f>
        <v>4421.9573052398118</v>
      </c>
      <c r="L129" s="401">
        <f>SUM('MasterA1(current$)'!L124)/0.22784</f>
        <v>4816.5291432584281</v>
      </c>
      <c r="M129" s="475">
        <f>SUM('MasterA1(current$)'!M124)/0.23941</f>
        <v>5964.8051459838771</v>
      </c>
      <c r="N129" s="475">
        <f>SUM('MasterA1(current$)'!N124)/0.24978</f>
        <v>7307.6747537833289</v>
      </c>
      <c r="O129" s="475">
        <f>SUM('MasterA1(current$)'!O124)/0.26337</f>
        <v>9599.4418498690047</v>
      </c>
      <c r="P129" s="475">
        <f>SUM('MasterA1(current$)'!P124)/0.28703</f>
        <v>9069.5606731003718</v>
      </c>
      <c r="Q129" s="475">
        <f>SUM('MasterA1(current$)'!Q124)/0.31361</f>
        <v>9970.8013137336184</v>
      </c>
      <c r="R129" s="475">
        <f>SUM('MasterA1(current$)'!R124)/0.33083</f>
        <v>11187.631109633345</v>
      </c>
      <c r="S129" s="475">
        <f>SUM('MasterA1(current$)'!S124)/0.35135</f>
        <v>11828.40757079835</v>
      </c>
      <c r="T129" s="475">
        <f>SUM('MasterA1(current$)'!T124)/0.37602</f>
        <v>12177.471942981756</v>
      </c>
      <c r="U129" s="475">
        <f>SUM('MasterA1(current$)'!U124)/0.40706</f>
        <v>12682.125485186461</v>
      </c>
      <c r="V129" s="401">
        <f>SUM('MasterA1(current$)'!V124)/0.44377</f>
        <v>13645.717376118258</v>
      </c>
      <c r="W129" s="475">
        <f>SUM('MasterA1(current$)'!W124)/0.4852</f>
        <v>13263.307914262159</v>
      </c>
      <c r="X129" s="475">
        <f>SUM('MasterA1(current$)'!X124)/0.5153</f>
        <v>12041.812536386571</v>
      </c>
      <c r="Y129" s="475">
        <f>SUM('MasterA1(current$)'!Y124)/0.53565</f>
        <v>12107.956688135911</v>
      </c>
      <c r="Z129" s="475">
        <f>SUM('MasterA1(current$)'!Z124)/0.55466</f>
        <v>12339.999278837486</v>
      </c>
      <c r="AA129" s="475">
        <f>SUM('MasterA1(current$)'!AA124)/0.5724</f>
        <v>12603.02935010482</v>
      </c>
      <c r="AB129" s="475">
        <f>SUM('MasterA1(current$)'!AB124)/0.58395</f>
        <v>12867.081085709393</v>
      </c>
      <c r="AC129" s="475">
        <f>SUM('MasterA1(current$)'!AC124)/0.59885</f>
        <v>13774.394255656676</v>
      </c>
      <c r="AD129" s="475">
        <f>SUM('MasterA1(current$)'!AD124)/0.61982</f>
        <v>14766.683875963989</v>
      </c>
      <c r="AE129" s="475">
        <f>SUM('MasterA1(current$)'!AE124)/0.64392</f>
        <v>15690.702261150453</v>
      </c>
      <c r="AF129" s="401">
        <f>SUM('MasterA1(current$)'!AF124)/0.66773</f>
        <v>16658.182199391969</v>
      </c>
      <c r="AG129" s="475">
        <f>SUM('MasterA1(current$)'!AG124)/0.68996</f>
        <v>18235.112180416254</v>
      </c>
      <c r="AH129" s="475">
        <f>SUM('MasterA1(current$)'!AH124)/0.70569</f>
        <v>19965.635052218393</v>
      </c>
      <c r="AI129" s="475">
        <f>SUM('MasterA1(current$)'!AI124)/0.72248</f>
        <v>20067.3568818514</v>
      </c>
      <c r="AJ129" s="475">
        <f>SUM('MasterA1(current$)'!AJ124)/0.73785</f>
        <v>20361.382394795692</v>
      </c>
      <c r="AK129" s="475">
        <f>SUM('MasterA1(current$)'!AK124)/0.75324</f>
        <v>20847.273113483086</v>
      </c>
      <c r="AL129" s="475">
        <f>SUM('MasterA1(current$)'!AL124)/0.76699</f>
        <v>20673.020508741967</v>
      </c>
      <c r="AM129" s="475">
        <f>SUM('MasterA1(current$)'!AM124)/0.78012</f>
        <v>21686.407219402143</v>
      </c>
      <c r="AN129" s="475">
        <f>SUM('MasterA1(current$)'!AN124)/0.78859</f>
        <v>23626.979799388781</v>
      </c>
      <c r="AO129" s="475">
        <f>SUM('MasterA1(current$)'!AO124)/0.80065</f>
        <v>24435.146443514644</v>
      </c>
      <c r="AP129" s="931">
        <f>SUM('MasterA1(current$)'!AP124)/0.81887</f>
        <v>25655.610419396307</v>
      </c>
      <c r="AQ129" s="137">
        <f>SUM('MasterA1(current$)'!AQ124)/0.83754</f>
        <v>26825.666973430485</v>
      </c>
      <c r="AR129" s="137">
        <f>SUM('MasterA1(current$)'!AR124)/0.85039</f>
        <v>31814.549735329481</v>
      </c>
      <c r="AS129" s="137">
        <f>SUM('MasterA1(current$)'!AS124)/0.86735</f>
        <v>40864.702830460599</v>
      </c>
      <c r="AT129" s="137">
        <f>SUM('MasterA1(current$)'!AT124)/0.8912</f>
        <v>35970.601436265708</v>
      </c>
      <c r="AU129" s="137">
        <f>SUM('MasterA1(current$)'!AU124)/0.91988</f>
        <v>36317.780580075661</v>
      </c>
      <c r="AV129" s="137">
        <f>SUM('MasterA1(current$)'!AV124)/0.94814</f>
        <v>37582.002657835343</v>
      </c>
      <c r="AW129" s="137">
        <f>SUM('MasterA1(current$)'!AW124)/0.97337</f>
        <v>38045.246055843629</v>
      </c>
      <c r="AX129" s="783">
        <f>('MasterA1(current$)'!AX124*100)/99.246</f>
        <v>40347.144600214684</v>
      </c>
      <c r="AY129" s="388">
        <f>('MasterA1(current$)'!AY124)</f>
        <v>43542</v>
      </c>
      <c r="AZ129" s="656">
        <f>SUM('MasterA1(current$)'!AZ124*100)/101.221</f>
        <v>45116.132027938867</v>
      </c>
      <c r="BA129" s="422">
        <f>SUM('MasterA1(current$)'!BA124*100)/103.311</f>
        <v>45579.851129114999</v>
      </c>
      <c r="BB129" s="422">
        <f>SUM('MasterA1(current$)'!BB124*100)/105.214</f>
        <v>45842.758568251375</v>
      </c>
      <c r="BC129" s="422">
        <f>SUM('MasterA1(current$)'!BC124*100)/106.913</f>
        <v>44219.13144332308</v>
      </c>
      <c r="BD129" s="422">
        <f>SUM('MasterA1(current$)'!BD124*100)/108.832</f>
        <v>44422.596295207295</v>
      </c>
      <c r="BE129" s="422">
        <f>SUM('MasterA1(current$)'!BE124*100)/110.012</f>
        <v>45130.511980041083</v>
      </c>
      <c r="BF129" s="656">
        <f>SUM('MasterA1(current$)'!BF124*100)/111.416</f>
        <v>46195.339987075466</v>
      </c>
      <c r="BG129" s="656">
        <f>SUM('MasterA1(current$)'!BG124*100)/113.116</f>
        <v>47402.666289472756</v>
      </c>
      <c r="BH129" s="656">
        <f>SUM('MasterA1(current$)'!BH124*100)/114.716</f>
        <v>49651.312807280592</v>
      </c>
      <c r="BI129" s="656">
        <f>SUM('MasterA1(current$)'!BI124*100)/116.416</f>
        <v>49781.816932380432</v>
      </c>
      <c r="BJ129" s="875">
        <f>(BH129-BG129)/BG129</f>
        <v>4.7437131575597008E-2</v>
      </c>
      <c r="BK129" s="875">
        <f>(BI129-BH129)/BH129</f>
        <v>2.6284123766553008E-3</v>
      </c>
      <c r="BL129" s="569">
        <f>BH129-BG129</f>
        <v>2248.6465178078361</v>
      </c>
      <c r="BM129" s="569">
        <f>BI129-BH129</f>
        <v>130.50412509984017</v>
      </c>
      <c r="BN129" s="112"/>
      <c r="BO129" s="112"/>
      <c r="BP129" s="620"/>
      <c r="BQ129" s="620"/>
    </row>
    <row r="130" spans="1:93" ht="13.5" customHeight="1">
      <c r="A130" s="399"/>
      <c r="B130" s="636"/>
      <c r="C130" s="32"/>
      <c r="D130" s="32"/>
      <c r="E130" s="32"/>
      <c r="F130" s="32"/>
      <c r="G130" s="32"/>
      <c r="H130" s="32"/>
      <c r="I130" s="32"/>
      <c r="J130" s="32"/>
      <c r="K130" s="32"/>
      <c r="L130" s="636"/>
      <c r="M130" s="32"/>
      <c r="N130" s="32"/>
      <c r="O130" s="32"/>
      <c r="P130" s="32"/>
      <c r="Q130" s="32"/>
      <c r="R130" s="32"/>
      <c r="S130" s="32"/>
      <c r="T130" s="32"/>
      <c r="U130" s="32"/>
      <c r="V130" s="636"/>
      <c r="W130" s="32"/>
      <c r="X130" s="32"/>
      <c r="Y130" s="32"/>
      <c r="Z130" s="32"/>
      <c r="AA130" s="32"/>
      <c r="AB130" s="32"/>
      <c r="AC130" s="32"/>
      <c r="AD130" s="32"/>
      <c r="AE130" s="32"/>
      <c r="AF130" s="636"/>
      <c r="AG130" s="32"/>
      <c r="AH130" s="32"/>
      <c r="AI130" s="32"/>
      <c r="AJ130" s="32"/>
      <c r="AK130" s="32"/>
      <c r="AL130" s="32"/>
      <c r="AM130" s="32"/>
      <c r="AN130" s="32"/>
      <c r="AO130" s="32"/>
      <c r="AP130" s="636"/>
      <c r="AQ130" s="32"/>
      <c r="AR130" s="32"/>
      <c r="AS130" s="32"/>
      <c r="AT130" s="32"/>
      <c r="AU130" s="32"/>
      <c r="AV130" s="32"/>
      <c r="AW130" s="32"/>
      <c r="AX130" s="32"/>
      <c r="AY130" s="32"/>
      <c r="AZ130" s="636"/>
      <c r="BA130" s="32"/>
      <c r="BB130" s="32"/>
      <c r="BC130" s="32"/>
      <c r="BD130" s="32"/>
      <c r="BE130" s="32"/>
      <c r="BF130" s="636"/>
      <c r="BG130" s="636"/>
      <c r="BH130" s="636"/>
      <c r="BI130" s="636"/>
      <c r="BJ130" s="871"/>
      <c r="BK130" s="871"/>
      <c r="BL130" s="565"/>
      <c r="BM130" s="565"/>
      <c r="BP130" s="620"/>
      <c r="BQ130" s="620"/>
    </row>
    <row r="131" spans="1:93" ht="15.75" customHeight="1">
      <c r="A131" s="115"/>
      <c r="B131" s="660"/>
      <c r="C131" s="438"/>
      <c r="D131" s="438"/>
      <c r="E131" s="438"/>
      <c r="F131" s="438"/>
      <c r="G131" s="438"/>
      <c r="H131" s="438"/>
      <c r="I131" s="438"/>
      <c r="J131" s="438"/>
      <c r="K131" s="438"/>
      <c r="L131" s="660"/>
      <c r="M131" s="438"/>
      <c r="N131" s="438"/>
      <c r="O131" s="438"/>
      <c r="P131" s="438"/>
      <c r="Q131" s="438"/>
      <c r="R131" s="438"/>
      <c r="S131" s="438"/>
      <c r="T131" s="438"/>
      <c r="U131" s="438"/>
      <c r="V131" s="660"/>
      <c r="W131" s="438"/>
      <c r="X131" s="438"/>
      <c r="Y131" s="438"/>
      <c r="Z131" s="438"/>
      <c r="AA131" s="438"/>
      <c r="AB131" s="438"/>
      <c r="AC131" s="438"/>
      <c r="AD131" s="438"/>
      <c r="AE131" s="438"/>
      <c r="AF131" s="660"/>
      <c r="AG131" s="438"/>
      <c r="AH131" s="438"/>
      <c r="AI131" s="438"/>
      <c r="AJ131" s="438"/>
      <c r="AK131" s="438"/>
      <c r="AL131" s="438"/>
      <c r="AM131" s="438"/>
      <c r="AN131" s="438"/>
      <c r="AO131" s="438"/>
      <c r="AP131" s="660"/>
      <c r="AQ131" s="438"/>
      <c r="AR131" s="438"/>
      <c r="AS131" s="328"/>
      <c r="AT131" s="328"/>
      <c r="AU131" s="328"/>
      <c r="AV131" s="328"/>
      <c r="AW131" s="328"/>
      <c r="AX131" s="328"/>
      <c r="AY131" s="328"/>
      <c r="AZ131" s="660"/>
      <c r="BA131" s="438"/>
      <c r="BB131" s="438"/>
      <c r="BC131" s="438"/>
      <c r="BD131" s="438"/>
      <c r="BE131" s="438"/>
      <c r="BF131" s="660"/>
      <c r="BG131" s="660"/>
      <c r="BH131" s="660"/>
      <c r="BI131" s="660"/>
      <c r="BJ131" s="871"/>
      <c r="BK131" s="871"/>
      <c r="BL131" s="565"/>
      <c r="BM131" s="565"/>
      <c r="BP131" s="620"/>
      <c r="BQ131" s="620"/>
    </row>
    <row r="132" spans="1:93" ht="15.75" customHeight="1">
      <c r="A132" s="160" t="s">
        <v>43</v>
      </c>
      <c r="B132" s="636"/>
      <c r="C132" s="33"/>
      <c r="D132" s="33"/>
      <c r="E132" s="47"/>
      <c r="F132" s="47"/>
      <c r="G132" s="47"/>
      <c r="H132" s="47"/>
      <c r="I132" s="47"/>
      <c r="J132" s="47"/>
      <c r="K132" s="47"/>
      <c r="L132" s="281"/>
      <c r="M132" s="47"/>
      <c r="N132" s="47"/>
      <c r="O132" s="47"/>
      <c r="P132" s="47"/>
      <c r="Q132" s="47"/>
      <c r="R132" s="47"/>
      <c r="S132" s="47"/>
      <c r="T132" s="47"/>
      <c r="U132" s="47"/>
      <c r="V132" s="281"/>
      <c r="W132" s="47"/>
      <c r="X132" s="47"/>
      <c r="Y132" s="47"/>
      <c r="Z132" s="47"/>
      <c r="AA132" s="47"/>
      <c r="AB132" s="47"/>
      <c r="AC132" s="47"/>
      <c r="AD132" s="47"/>
      <c r="AE132" s="47"/>
      <c r="AF132" s="281"/>
      <c r="AG132" s="47"/>
      <c r="AH132" s="47"/>
      <c r="AI132" s="47"/>
      <c r="AJ132" s="47"/>
      <c r="AK132" s="47"/>
      <c r="AL132" s="47"/>
      <c r="AM132" s="152"/>
      <c r="AN132" s="152"/>
      <c r="AO132" s="152"/>
      <c r="AP132" s="281"/>
      <c r="AQ132" s="328"/>
      <c r="AR132" s="328"/>
      <c r="AS132" s="328"/>
      <c r="AT132" s="328"/>
      <c r="AU132" s="328"/>
      <c r="AV132" s="328"/>
      <c r="AW132" s="328"/>
      <c r="AX132" s="328"/>
      <c r="AY132" s="328"/>
      <c r="AZ132" s="372"/>
      <c r="BA132" s="404"/>
      <c r="BB132" s="404"/>
      <c r="BC132" s="404"/>
      <c r="BD132" s="404"/>
      <c r="BE132" s="404"/>
      <c r="BF132" s="634"/>
      <c r="BG132" s="634"/>
      <c r="BH132" s="634"/>
      <c r="BI132" s="634"/>
      <c r="BJ132" s="871"/>
      <c r="BK132" s="871"/>
      <c r="BL132" s="565"/>
      <c r="BM132" s="565"/>
      <c r="BP132" s="620"/>
      <c r="BQ132" s="620"/>
    </row>
    <row r="133" spans="1:93" ht="15.75" customHeight="1">
      <c r="A133" s="160"/>
      <c r="B133" s="636"/>
      <c r="C133" s="33"/>
      <c r="D133" s="33"/>
      <c r="E133" s="47"/>
      <c r="F133" s="47"/>
      <c r="G133" s="47"/>
      <c r="H133" s="47"/>
      <c r="I133" s="47"/>
      <c r="J133" s="47"/>
      <c r="K133" s="47"/>
      <c r="L133" s="281"/>
      <c r="M133" s="47"/>
      <c r="N133" s="47"/>
      <c r="O133" s="47"/>
      <c r="P133" s="47"/>
      <c r="Q133" s="47"/>
      <c r="R133" s="47"/>
      <c r="S133" s="47"/>
      <c r="T133" s="47"/>
      <c r="U133" s="47"/>
      <c r="V133" s="281"/>
      <c r="W133" s="47"/>
      <c r="X133" s="47"/>
      <c r="Y133" s="47"/>
      <c r="Z133" s="47"/>
      <c r="AA133" s="47"/>
      <c r="AB133" s="47"/>
      <c r="AC133" s="47"/>
      <c r="AD133" s="47"/>
      <c r="AE133" s="47"/>
      <c r="AF133" s="281"/>
      <c r="AG133" s="47"/>
      <c r="AH133" s="47"/>
      <c r="AI133" s="47"/>
      <c r="AJ133" s="47"/>
      <c r="AK133" s="47"/>
      <c r="AL133" s="47"/>
      <c r="AM133" s="152"/>
      <c r="AN133" s="152"/>
      <c r="AO133" s="152"/>
      <c r="AP133" s="857"/>
      <c r="AQ133" s="328"/>
      <c r="AR133" s="328"/>
      <c r="AS133" s="328"/>
      <c r="AT133" s="328"/>
      <c r="AU133" s="328"/>
      <c r="AV133" s="328"/>
      <c r="AW133" s="328"/>
      <c r="AX133" s="328"/>
      <c r="AY133" s="328"/>
      <c r="AZ133" s="634"/>
      <c r="BA133" s="404"/>
      <c r="BB133" s="404"/>
      <c r="BC133" s="404"/>
      <c r="BD133" s="404"/>
      <c r="BE133" s="404"/>
      <c r="BF133" s="634"/>
      <c r="BG133" s="634"/>
      <c r="BH133" s="634"/>
      <c r="BI133" s="634"/>
      <c r="BJ133" s="871"/>
      <c r="BK133" s="871"/>
      <c r="BL133" s="565"/>
      <c r="BM133" s="565"/>
      <c r="BP133" s="620"/>
      <c r="BQ133" s="620"/>
    </row>
    <row r="134" spans="1:93" ht="11.25" customHeight="1">
      <c r="A134" s="120" t="s">
        <v>67</v>
      </c>
      <c r="B134" s="636"/>
      <c r="C134" s="33"/>
      <c r="D134" s="33"/>
      <c r="E134" s="47"/>
      <c r="F134" s="47"/>
      <c r="G134" s="47"/>
      <c r="H134" s="47"/>
      <c r="I134" s="47"/>
      <c r="J134" s="47"/>
      <c r="K134" s="47"/>
      <c r="L134" s="281"/>
      <c r="M134" s="47"/>
      <c r="N134" s="47"/>
      <c r="O134" s="47"/>
      <c r="P134" s="47"/>
      <c r="Q134" s="47"/>
      <c r="R134" s="47"/>
      <c r="S134" s="47"/>
      <c r="T134" s="47"/>
      <c r="U134" s="47"/>
      <c r="V134" s="281"/>
      <c r="W134" s="47"/>
      <c r="X134" s="47"/>
      <c r="Y134" s="47"/>
      <c r="Z134" s="47"/>
      <c r="AA134" s="47"/>
      <c r="AB134" s="47"/>
      <c r="AC134" s="47"/>
      <c r="AD134" s="47"/>
      <c r="AE134" s="47"/>
      <c r="AF134" s="281"/>
      <c r="AG134" s="47"/>
      <c r="AH134" s="47"/>
      <c r="AI134" s="47"/>
      <c r="AJ134" s="47"/>
      <c r="AK134" s="47"/>
      <c r="AL134" s="47"/>
      <c r="AM134" s="152"/>
      <c r="AN134" s="152"/>
      <c r="AO134" s="152"/>
      <c r="AP134" s="857"/>
      <c r="AQ134" s="328"/>
      <c r="AR134" s="328"/>
      <c r="AS134" s="328"/>
      <c r="AT134" s="328"/>
      <c r="AU134" s="328"/>
      <c r="AV134" s="328"/>
      <c r="AX134" s="89"/>
      <c r="AY134" s="404"/>
      <c r="AZ134" s="634"/>
      <c r="BA134" s="404"/>
      <c r="BB134" s="404"/>
      <c r="BC134" s="404"/>
      <c r="BD134" s="404"/>
      <c r="BE134" s="404"/>
      <c r="BF134" s="634"/>
      <c r="BG134" s="634"/>
      <c r="BH134" s="634"/>
      <c r="BI134" s="634"/>
      <c r="BJ134" s="871"/>
      <c r="BK134" s="871"/>
      <c r="BL134" s="565"/>
      <c r="BM134" s="565"/>
      <c r="BP134" s="620"/>
      <c r="BQ134" s="620"/>
    </row>
    <row r="135" spans="1:93" ht="12" customHeight="1">
      <c r="A135" s="112"/>
      <c r="B135" s="177"/>
      <c r="C135"/>
      <c r="D135"/>
      <c r="E135"/>
      <c r="F135"/>
      <c r="G135"/>
      <c r="H135"/>
      <c r="I135"/>
      <c r="J135"/>
      <c r="K135"/>
      <c r="L135" s="177"/>
      <c r="M135"/>
      <c r="N135"/>
      <c r="O135"/>
      <c r="P135"/>
      <c r="Q135"/>
      <c r="R135"/>
      <c r="S135"/>
      <c r="T135"/>
      <c r="U135"/>
      <c r="V135" s="177"/>
      <c r="W135"/>
      <c r="X135"/>
      <c r="Y135"/>
      <c r="Z135"/>
      <c r="AA135"/>
      <c r="AB135"/>
      <c r="AC135"/>
      <c r="AD135"/>
      <c r="AE135"/>
      <c r="AF135" s="177"/>
      <c r="AG135"/>
      <c r="AH135"/>
      <c r="AI135"/>
      <c r="AJ135"/>
      <c r="AK135"/>
      <c r="AL135"/>
      <c r="AM135"/>
      <c r="AN135"/>
      <c r="AO135"/>
      <c r="AP135" s="177"/>
      <c r="AQ135"/>
      <c r="AR135"/>
      <c r="AS135"/>
      <c r="AT135"/>
      <c r="AU135"/>
      <c r="AV135"/>
      <c r="AW135"/>
      <c r="AX135"/>
      <c r="AY135"/>
      <c r="AZ135" s="177"/>
      <c r="BA135"/>
      <c r="BB135"/>
      <c r="BC135"/>
      <c r="BD135"/>
      <c r="BE135"/>
      <c r="BF135" s="177"/>
      <c r="BG135" s="177"/>
      <c r="BH135" s="177"/>
      <c r="BI135" s="177"/>
      <c r="BJ135" s="871"/>
      <c r="BK135" s="871"/>
      <c r="BL135" s="565"/>
      <c r="BM135" s="565"/>
      <c r="BP135" s="620"/>
      <c r="BQ135" s="620"/>
    </row>
    <row r="136" spans="1:93" ht="11.25" customHeight="1">
      <c r="A136" s="116" t="s">
        <v>44</v>
      </c>
      <c r="B136" s="177"/>
      <c r="C136"/>
      <c r="D136"/>
      <c r="AP136" s="857"/>
      <c r="AQ136" s="328"/>
      <c r="AR136" s="328"/>
      <c r="AS136" s="328"/>
      <c r="AT136" s="328"/>
      <c r="AU136" s="328"/>
      <c r="AV136" s="328"/>
      <c r="AX136" s="89"/>
      <c r="AY136" s="404"/>
      <c r="AZ136" s="634"/>
      <c r="BA136" s="404"/>
      <c r="BB136" s="404"/>
      <c r="BC136" s="404"/>
      <c r="BD136" s="404"/>
      <c r="BE136" s="404"/>
      <c r="BF136" s="634"/>
      <c r="BG136" s="634"/>
      <c r="BH136" s="634"/>
      <c r="BI136" s="634"/>
      <c r="BJ136" s="871"/>
      <c r="BK136" s="871"/>
      <c r="BL136" s="565"/>
      <c r="BM136" s="565"/>
      <c r="BP136" s="620"/>
      <c r="BQ136" s="620"/>
    </row>
    <row r="137" spans="1:93" ht="11.25" customHeight="1">
      <c r="A137" s="287" t="s">
        <v>137</v>
      </c>
      <c r="B137" s="667">
        <f>SUM('MasterA1(current$)'!B131)/0.1756</f>
        <v>62.642369020501135</v>
      </c>
      <c r="C137" s="49">
        <f>SUM('MasterA1(current$)'!C131)/0.178</f>
        <v>67.415730337078656</v>
      </c>
      <c r="D137" s="49">
        <f>SUM('MasterA1(current$)'!D131)/0.1798</f>
        <v>77.864293659621808</v>
      </c>
      <c r="E137" s="30">
        <f>SUM('MasterA1(current$)'!E131)/0.182</f>
        <v>87.912087912087912</v>
      </c>
      <c r="F137" s="30">
        <f>SUM('MasterA1(current$)'!F131)/0.1842</f>
        <v>86.862106406080343</v>
      </c>
      <c r="G137" s="30">
        <f>SUM('MasterA1(current$)'!G131)/0.18702</f>
        <v>90.899369051438356</v>
      </c>
      <c r="H137" s="30">
        <f>SUM('MasterA1(current$)'!H131)/0.19227</f>
        <v>98.819368596244871</v>
      </c>
      <c r="I137" s="30">
        <f>SUM('MasterA1(current$)'!I131)/0.19786</f>
        <v>106.13565147073687</v>
      </c>
      <c r="J137" s="30">
        <f>SUM('MasterA1(current$)'!J131)/0.20627</f>
        <v>106.65632423522567</v>
      </c>
      <c r="K137" s="30">
        <f>SUM('MasterA1(current$)'!K131)/0.21642</f>
        <v>124.75741613529249</v>
      </c>
      <c r="L137" s="270">
        <f>SUM('MasterA1(current$)'!L131)/0.22784</f>
        <v>140.44943820224719</v>
      </c>
      <c r="M137" s="30">
        <f>SUM('MasterA1(current$)'!M131)/0.23941</f>
        <v>154.54659370953593</v>
      </c>
      <c r="N137" s="30">
        <f>SUM('MasterA1(current$)'!N131)/0.24978</f>
        <v>156.13740091280326</v>
      </c>
      <c r="O137" s="30">
        <f>SUM('MasterA1(current$)'!O131)/0.26337</f>
        <v>163.26840566503398</v>
      </c>
      <c r="P137" s="30">
        <f>SUM('MasterA1(current$)'!P131)/0.28703</f>
        <v>170.71386266243945</v>
      </c>
      <c r="Q137" s="30">
        <f>SUM('MasterA1(current$)'!Q131)/0.31361</f>
        <v>197.6977774943401</v>
      </c>
      <c r="R137" s="30">
        <f>SUM('MasterA1(current$)'!R131)/0.33083</f>
        <v>226.70253604570323</v>
      </c>
      <c r="S137" s="30">
        <f>SUM('MasterA1(current$)'!S131)/0.35135</f>
        <v>236.23167781414543</v>
      </c>
      <c r="T137" s="30">
        <f>SUM('MasterA1(current$)'!T131)/0.37602</f>
        <v>242.00840380830806</v>
      </c>
      <c r="U137" s="30">
        <f>SUM('MasterA1(current$)'!U131)/0.40706</f>
        <v>235.8374686778362</v>
      </c>
      <c r="V137" s="270">
        <f>SUM('MasterA1(current$)'!V131)/0.44377</f>
        <v>254.63641075331816</v>
      </c>
      <c r="W137" s="30">
        <f>SUM('MasterA1(current$)'!W131)/0.4852</f>
        <v>247.32069249793898</v>
      </c>
      <c r="X137" s="30">
        <f>SUM('MasterA1(current$)'!X131)/0.5153</f>
        <v>248.39899087909956</v>
      </c>
      <c r="Y137" s="30">
        <f>SUM('MasterA1(current$)'!Y131)/0.53565</f>
        <v>270.69915056473445</v>
      </c>
      <c r="Z137" s="30">
        <f>SUM('MasterA1(current$)'!Z131)/0.55466</f>
        <v>295.67663072873472</v>
      </c>
      <c r="AA137" s="30">
        <f>SUM('MasterA1(current$)'!AA131)/0.5724</f>
        <v>295.24807826694621</v>
      </c>
      <c r="AB137" s="30">
        <f>SUM('MasterA1(current$)'!AB131)/0.58395</f>
        <v>315.09547050261153</v>
      </c>
      <c r="AC137" s="30">
        <f>SUM('MasterA1(current$)'!AC131)/0.59885</f>
        <v>322.28437839191787</v>
      </c>
      <c r="AD137" s="30">
        <f>SUM('MasterA1(current$)'!AD131)/0.61982</f>
        <v>351.71501403633312</v>
      </c>
      <c r="AE137" s="30">
        <f>SUM('MasterA1(current$)'!AE131)/0.64392</f>
        <v>364.95216797117649</v>
      </c>
      <c r="AF137" s="270">
        <f>SUM('MasterA1(current$)'!AF131)/0.66773</f>
        <v>383.38849534991687</v>
      </c>
      <c r="AG137" s="30">
        <f>SUM('MasterA1(current$)'!AG131)/0.68996</f>
        <v>413.06742419850423</v>
      </c>
      <c r="AH137" s="30">
        <f>SUM('MasterA1(current$)'!AH131)/0.70569</f>
        <v>388.272470914991</v>
      </c>
      <c r="AI137" s="30">
        <f>SUM('MasterA1(current$)'!AI131)/0.72248</f>
        <v>480.29011183700584</v>
      </c>
      <c r="AJ137" s="30">
        <f>SUM('MasterA1(current$)'!AJ131)/0.73785</f>
        <v>485.19346750694586</v>
      </c>
      <c r="AK137" s="30">
        <f>SUM('MasterA1(current$)'!AK131)/0.75324</f>
        <v>515.10806648611333</v>
      </c>
      <c r="AL137" s="30">
        <f>SUM('MasterA1(current$)'!AL131)/0.76699</f>
        <v>465.45587295792649</v>
      </c>
      <c r="AM137" s="30">
        <f>SUM('MasterA1(current$)'!AM131)/0.78012</f>
        <v>442.23965543762495</v>
      </c>
      <c r="AN137" s="30">
        <f>SUM('MasterA1(current$)'!AN131)/0.78859</f>
        <v>447.63438542208246</v>
      </c>
      <c r="AO137" s="30">
        <f>SUM('MasterA1(current$)'!AO131)/0.80065</f>
        <v>503.34103540873042</v>
      </c>
      <c r="AP137" s="857">
        <f>SUM('MasterA1(current$)'!AP131)/0.81887</f>
        <v>466.49651348809948</v>
      </c>
      <c r="AQ137" s="328">
        <f>SUM('MasterA1(current$)'!AQ131)/0.83754</f>
        <v>497.88666809943408</v>
      </c>
      <c r="AR137" s="328">
        <f>SUM('MasterA1(current$)'!AR131)/0.85039</f>
        <v>485.6595209256929</v>
      </c>
      <c r="AS137" s="328">
        <f>SUM('MasterA1(current$)'!AS131)/0.86735</f>
        <v>494.61001902346231</v>
      </c>
      <c r="AT137" s="328">
        <f>SUM('MasterA1(current$)'!AT131)/0.8912</f>
        <v>506.05924596050272</v>
      </c>
      <c r="AU137" s="328">
        <f>SUM('MasterA1(current$)'!AU131)/0.91988</f>
        <v>515.28460233943554</v>
      </c>
      <c r="AV137" s="328">
        <f>SUM('MasterA1(current$)'!AV131)/0.94814</f>
        <v>567.42675132364423</v>
      </c>
      <c r="AW137" s="328">
        <f>SUM('MasterA1(current$)'!AW131)/0.97337</f>
        <v>621.5519278383349</v>
      </c>
      <c r="AX137" s="328">
        <f>('MasterA1(current$)'!AX131*100)/99.246</f>
        <v>665.01420712169761</v>
      </c>
      <c r="AY137" s="284">
        <f>('MasterA1(current$)'!AY131)</f>
        <v>704</v>
      </c>
      <c r="AZ137" s="536">
        <f>SUM('MasterA1(current$)'!AZ131*100)/101.221</f>
        <v>724.15803044822712</v>
      </c>
      <c r="BA137" s="405">
        <f>SUM('MasterA1(current$)'!BA131*100)/103.311</f>
        <v>716.28384199165623</v>
      </c>
      <c r="BB137" s="405">
        <f>SUM('MasterA1(current$)'!BB131*100)/105.214</f>
        <v>776.51263139886328</v>
      </c>
      <c r="BC137" s="405">
        <f>SUM('MasterA1(current$)'!BC131*100)/106.913</f>
        <v>1007.361125401027</v>
      </c>
      <c r="BD137" s="405">
        <f>SUM('MasterA1(current$)'!BD131*100)/108.832</f>
        <v>922.52278741546604</v>
      </c>
      <c r="BE137" s="405">
        <f>SUM('MasterA1(current$)'!BE131*100)/110.012</f>
        <v>900.81082063774863</v>
      </c>
      <c r="BF137" s="536">
        <f>SUM('MasterA1(current$)'!BF131*100)/111.416</f>
        <v>935.23371867595324</v>
      </c>
      <c r="BG137" s="536">
        <f>SUM('MasterA1(current$)'!BG131*100)/113.116</f>
        <v>964.49662293574738</v>
      </c>
      <c r="BH137" s="536">
        <f>SUM('MasterA1(current$)'!BH131*100)/114.716</f>
        <v>1175.9475574462151</v>
      </c>
      <c r="BI137" s="536">
        <f>SUM('MasterA1(current$)'!BI131*100)/116.416</f>
        <v>1098.6462341946124</v>
      </c>
      <c r="BJ137" s="410">
        <f>(BH137-BG137)/BG137</f>
        <v>0.21923449961582098</v>
      </c>
      <c r="BK137" s="410">
        <f>(BI137-BH137)/BH137</f>
        <v>-6.5735349133660942E-2</v>
      </c>
      <c r="BL137" s="564">
        <f>BH137-BG137</f>
        <v>211.45093451046773</v>
      </c>
      <c r="BM137" s="564">
        <f>BI137-BH137</f>
        <v>-77.301323251602753</v>
      </c>
      <c r="BN137" s="112"/>
      <c r="BO137" s="112"/>
      <c r="BP137" s="620"/>
      <c r="BQ137" s="620"/>
    </row>
    <row r="138" spans="1:93" ht="11.25" customHeight="1">
      <c r="A138" s="115" t="s">
        <v>78</v>
      </c>
      <c r="B138" s="810" t="s">
        <v>3</v>
      </c>
      <c r="C138" s="45" t="s">
        <v>3</v>
      </c>
      <c r="D138" s="45" t="s">
        <v>3</v>
      </c>
      <c r="E138" s="220" t="s">
        <v>3</v>
      </c>
      <c r="F138" s="220" t="s">
        <v>3</v>
      </c>
      <c r="G138" s="220" t="s">
        <v>3</v>
      </c>
      <c r="H138" s="220" t="s">
        <v>3</v>
      </c>
      <c r="I138" s="220" t="s">
        <v>3</v>
      </c>
      <c r="J138" s="220" t="s">
        <v>3</v>
      </c>
      <c r="K138" s="220" t="s">
        <v>3</v>
      </c>
      <c r="L138" s="858" t="s">
        <v>3</v>
      </c>
      <c r="M138" s="220" t="s">
        <v>3</v>
      </c>
      <c r="N138" s="220" t="s">
        <v>3</v>
      </c>
      <c r="O138" s="220" t="s">
        <v>3</v>
      </c>
      <c r="P138" s="220" t="s">
        <v>3</v>
      </c>
      <c r="Q138" s="220" t="s">
        <v>3</v>
      </c>
      <c r="R138" s="220" t="s">
        <v>3</v>
      </c>
      <c r="S138" s="220" t="s">
        <v>3</v>
      </c>
      <c r="T138" s="220" t="s">
        <v>3</v>
      </c>
      <c r="U138" s="220" t="s">
        <v>3</v>
      </c>
      <c r="V138" s="858" t="s">
        <v>3</v>
      </c>
      <c r="W138" s="220" t="s">
        <v>3</v>
      </c>
      <c r="X138" s="220" t="s">
        <v>3</v>
      </c>
      <c r="Y138" s="220" t="s">
        <v>3</v>
      </c>
      <c r="Z138" s="220" t="s">
        <v>3</v>
      </c>
      <c r="AA138" s="220" t="s">
        <v>3</v>
      </c>
      <c r="AB138" s="220" t="s">
        <v>3</v>
      </c>
      <c r="AC138" s="220" t="s">
        <v>3</v>
      </c>
      <c r="AD138" s="220" t="s">
        <v>3</v>
      </c>
      <c r="AE138" s="220" t="s">
        <v>3</v>
      </c>
      <c r="AF138" s="858" t="s">
        <v>3</v>
      </c>
      <c r="AG138" s="30">
        <f>SUM('MasterA1(current$)'!AG132)/0.68996</f>
        <v>27.537828279900282</v>
      </c>
      <c r="AH138" s="30">
        <f>SUM('MasterA1(current$)'!AH132)/0.70569</f>
        <v>22.672845016933781</v>
      </c>
      <c r="AI138" s="30">
        <f>SUM('MasterA1(current$)'!AI132)/0.72248</f>
        <v>29.066548554977299</v>
      </c>
      <c r="AJ138" s="30">
        <f>SUM('MasterA1(current$)'!AJ132)/0.73785</f>
        <v>27.105780307650605</v>
      </c>
      <c r="AK138" s="30">
        <f>SUM('MasterA1(current$)'!AK132)/0.75324</f>
        <v>29.207158409006425</v>
      </c>
      <c r="AL138" s="30">
        <f>SUM('MasterA1(current$)'!AL132)/0.76699</f>
        <v>28.683555196286786</v>
      </c>
      <c r="AM138" s="30">
        <f>SUM('MasterA1(current$)'!AM132)/0.78012</f>
        <v>32.046351843306155</v>
      </c>
      <c r="AN138" s="30">
        <f>SUM('MasterA1(current$)'!AN132)/0.78859</f>
        <v>32.970238019756778</v>
      </c>
      <c r="AO138" s="30">
        <f>SUM('MasterA1(current$)'!AO132)/0.80065</f>
        <v>32.47361518766003</v>
      </c>
      <c r="AP138" s="857">
        <f>SUM('MasterA1(current$)'!AP132)/0.81887</f>
        <v>35.414656783127967</v>
      </c>
      <c r="AQ138" s="328">
        <f>SUM('MasterA1(current$)'!AQ132)/0.83754</f>
        <v>39.40110323089047</v>
      </c>
      <c r="AR138" s="328">
        <f>SUM('MasterA1(current$)'!AR132)/0.85039</f>
        <v>54.092827996566285</v>
      </c>
      <c r="AS138" s="328">
        <f>SUM('MasterA1(current$)'!AS132)/0.86735</f>
        <v>63.411540900443882</v>
      </c>
      <c r="AT138" s="328">
        <f>SUM('MasterA1(current$)'!AT132)/0.8912</f>
        <v>62.836624775583481</v>
      </c>
      <c r="AU138" s="328">
        <f>SUM('MasterA1(current$)'!AU132)/0.91988</f>
        <v>71.748488933339132</v>
      </c>
      <c r="AV138" s="328">
        <f>SUM('MasterA1(current$)'!AV132)/0.94814</f>
        <v>79.102242284894643</v>
      </c>
      <c r="AW138" s="328">
        <f>SUM('MasterA1(current$)'!AW132)/0.97337</f>
        <v>82.188684672837667</v>
      </c>
      <c r="AX138" s="330">
        <f>('MasterA1(current$)'!AX132*100)/99.246</f>
        <v>85.645769099006515</v>
      </c>
      <c r="AY138" s="284">
        <f>('MasterA1(current$)'!AY132)</f>
        <v>100</v>
      </c>
      <c r="AZ138" s="637">
        <f>SUM('MasterA1(current$)'!AZ132*100)/101.221</f>
        <v>100.76960314559231</v>
      </c>
      <c r="BA138" s="408">
        <f>SUM('MasterA1(current$)'!BA132*100)/103.311</f>
        <v>115.18618540136093</v>
      </c>
      <c r="BB138" s="408">
        <f>SUM('MasterA1(current$)'!BB132*100)/105.214</f>
        <v>103.5983804436672</v>
      </c>
      <c r="BC138" s="408">
        <f>SUM('MasterA1(current$)'!BC132*100)/106.913</f>
        <v>101.95205447419865</v>
      </c>
      <c r="BD138" s="408">
        <f>SUM('MasterA1(current$)'!BD132*100)/108.832</f>
        <v>87.290502793296099</v>
      </c>
      <c r="BE138" s="408">
        <f>SUM('MasterA1(current$)'!BE132*100)/110.012</f>
        <v>92.71715812820419</v>
      </c>
      <c r="BF138" s="637">
        <f>SUM('MasterA1(current$)'!BF132*100)/111.416</f>
        <v>98.729087384217706</v>
      </c>
      <c r="BG138" s="637">
        <f>SUM('MasterA1(current$)'!BG132*100)/113.116</f>
        <v>103.43364333958061</v>
      </c>
      <c r="BH138" s="637">
        <f>SUM('MasterA1(current$)'!BH132*100)/114.716</f>
        <v>108.09302974301754</v>
      </c>
      <c r="BI138" s="637">
        <f>SUM('MasterA1(current$)'!BI132*100)/116.416</f>
        <v>107.37355689939527</v>
      </c>
      <c r="BJ138" s="410">
        <f>(BH138-BG138)/BG138</f>
        <v>4.5047107043689853E-2</v>
      </c>
      <c r="BK138" s="410">
        <f>(BI138-BH138)/BH138</f>
        <v>-6.6560521555622879E-3</v>
      </c>
      <c r="BL138" s="564">
        <f>BH138-BG138</f>
        <v>4.6593864034369261</v>
      </c>
      <c r="BM138" s="564">
        <f>BI138-BH138</f>
        <v>-0.71947284362227037</v>
      </c>
      <c r="BN138" s="112"/>
      <c r="BO138" s="112"/>
      <c r="BP138" s="620"/>
      <c r="BQ138" s="620"/>
    </row>
    <row r="139" spans="1:93" ht="11.25" customHeight="1">
      <c r="A139" s="119" t="s">
        <v>138</v>
      </c>
      <c r="B139" s="667">
        <f>SUM('MasterA1(current$)'!B133)/0.1756</f>
        <v>51.252847380410024</v>
      </c>
      <c r="C139" s="49">
        <f>SUM('MasterA1(current$)'!C133)/0.178</f>
        <v>61.797752808988768</v>
      </c>
      <c r="D139" s="49">
        <f>SUM('MasterA1(current$)'!D133)/0.1798</f>
        <v>66.74082313681869</v>
      </c>
      <c r="E139" s="30">
        <f>SUM('MasterA1(current$)'!E133)/0.182</f>
        <v>76.92307692307692</v>
      </c>
      <c r="F139" s="30">
        <f>SUM('MasterA1(current$)'!F133)/0.1842</f>
        <v>81.433224755700323</v>
      </c>
      <c r="G139" s="30">
        <f>SUM('MasterA1(current$)'!G133)/0.18702</f>
        <v>85.552347342530211</v>
      </c>
      <c r="H139" s="30">
        <f>SUM('MasterA1(current$)'!H133)/0.19227</f>
        <v>83.216310396837784</v>
      </c>
      <c r="I139" s="30">
        <f>SUM('MasterA1(current$)'!I133)/0.19786</f>
        <v>85.919336904882243</v>
      </c>
      <c r="J139" s="30">
        <f>SUM('MasterA1(current$)'!J133)/0.20627</f>
        <v>92.112280021331259</v>
      </c>
      <c r="K139" s="30">
        <f>SUM('MasterA1(current$)'!K133)/0.21642</f>
        <v>83.171610756861654</v>
      </c>
      <c r="L139" s="270">
        <f>SUM('MasterA1(current$)'!L133)/0.22784</f>
        <v>92.169943820224731</v>
      </c>
      <c r="M139" s="30">
        <f>SUM('MasterA1(current$)'!M133)/0.23941</f>
        <v>104.42337412806482</v>
      </c>
      <c r="N139" s="30">
        <f>SUM('MasterA1(current$)'!N133)/0.24978</f>
        <v>108.0951237088638</v>
      </c>
      <c r="O139" s="30">
        <f>SUM('MasterA1(current$)'!O133)/0.26337</f>
        <v>117.70512966548962</v>
      </c>
      <c r="P139" s="30">
        <f>SUM('MasterA1(current$)'!P133)/0.28703</f>
        <v>97.550778664251126</v>
      </c>
      <c r="Q139" s="30">
        <f>SUM('MasterA1(current$)'!Q133)/0.31361</f>
        <v>105.2262364082778</v>
      </c>
      <c r="R139" s="30">
        <f>SUM('MasterA1(current$)'!R133)/0.33083</f>
        <v>102.7718163407188</v>
      </c>
      <c r="S139" s="30">
        <f>SUM('MasterA1(current$)'!S133)/0.35135</f>
        <v>116.69275651060197</v>
      </c>
      <c r="T139" s="30">
        <f>SUM('MasterA1(current$)'!T133)/0.37602</f>
        <v>117.01505239083026</v>
      </c>
      <c r="U139" s="30">
        <f>SUM('MasterA1(current$)'!U133)/0.40706</f>
        <v>120.37537463764556</v>
      </c>
      <c r="V139" s="270">
        <f>SUM('MasterA1(current$)'!V133)/0.44377</f>
        <v>45.068391283773124</v>
      </c>
      <c r="W139" s="30">
        <f>SUM('MasterA1(current$)'!W133)/0.4852</f>
        <v>115.41632316570485</v>
      </c>
      <c r="X139" s="30">
        <f>SUM('MasterA1(current$)'!X133)/0.5153</f>
        <v>128.08072967203572</v>
      </c>
      <c r="Y139" s="30">
        <f>SUM('MasterA1(current$)'!Y133)/0.53565</f>
        <v>123.21478577429292</v>
      </c>
      <c r="Z139" s="30">
        <f>SUM('MasterA1(current$)'!Z133)/0.55466</f>
        <v>122.59762737532903</v>
      </c>
      <c r="AA139" s="30">
        <f>SUM('MasterA1(current$)'!AA133)/0.5724</f>
        <v>106.56883298392732</v>
      </c>
      <c r="AB139" s="30">
        <f>SUM('MasterA1(current$)'!AB133)/0.58395</f>
        <v>92.473670690983823</v>
      </c>
      <c r="AC139" s="30">
        <f>SUM('MasterA1(current$)'!AC133)/0.59885</f>
        <v>35.067212156633545</v>
      </c>
      <c r="AD139" s="30">
        <f>SUM('MasterA1(current$)'!AD133)/0.61982</f>
        <v>64.534864960795062</v>
      </c>
      <c r="AE139" s="30">
        <f>SUM('MasterA1(current$)'!AE133)/0.64392</f>
        <v>62.119517952540683</v>
      </c>
      <c r="AF139" s="270">
        <f>SUM('MasterA1(current$)'!AF133)/0.66773</f>
        <v>372.90521618019255</v>
      </c>
      <c r="AG139" s="30">
        <f>SUM('MasterA1(current$)'!AG133)/0.68996</f>
        <v>327.55522059249813</v>
      </c>
      <c r="AH139" s="30">
        <f>SUM('MasterA1(current$)'!AH133)/0.70569</f>
        <v>334.42446399977325</v>
      </c>
      <c r="AI139" s="30">
        <f>SUM('MasterA1(current$)'!AI133)/0.72248</f>
        <v>276.82427195216474</v>
      </c>
      <c r="AJ139" s="30">
        <f>SUM('MasterA1(current$)'!AJ133)/0.73785</f>
        <v>143.6606356305482</v>
      </c>
      <c r="AK139" s="30">
        <f>SUM('MasterA1(current$)'!AK133)/0.75324</f>
        <v>256.22643513355638</v>
      </c>
      <c r="AL139" s="30">
        <f>SUM('MasterA1(current$)'!AL133)/0.76699</f>
        <v>187.74690673933168</v>
      </c>
      <c r="AM139" s="30">
        <f>SUM('MasterA1(current$)'!AM133)/0.78012</f>
        <v>175.61400810131775</v>
      </c>
      <c r="AN139" s="30">
        <f>SUM('MasterA1(current$)'!AN133)/0.78859</f>
        <v>173.72779264256457</v>
      </c>
      <c r="AO139" s="30">
        <f>SUM('MasterA1(current$)'!AO133)/0.80065</f>
        <v>177.35589833260477</v>
      </c>
      <c r="AP139" s="857">
        <f>SUM('MasterA1(current$)'!AP133)/0.81887</f>
        <v>194.17001477646025</v>
      </c>
      <c r="AQ139" s="328">
        <f>SUM('MasterA1(current$)'!AQ133)/0.83754</f>
        <v>188.64770637820286</v>
      </c>
      <c r="AR139" s="328">
        <f>SUM('MasterA1(current$)'!AR133)/0.85039</f>
        <v>179.91744964075306</v>
      </c>
      <c r="AS139" s="328">
        <f>SUM('MasterA1(current$)'!AS133)/0.86735</f>
        <v>174.09350319940049</v>
      </c>
      <c r="AT139" s="328">
        <f>SUM('MasterA1(current$)'!AT133)/0.8912</f>
        <v>191.87612208258528</v>
      </c>
      <c r="AU139" s="328">
        <f>SUM('MasterA1(current$)'!AU133)/0.91988</f>
        <v>190.24220550506587</v>
      </c>
      <c r="AV139" s="190">
        <f>SUM('MasterA1(current$)'!AV133)/0.94814</f>
        <v>208.82991963212183</v>
      </c>
      <c r="AW139" s="190">
        <f>SUM('MasterA1(current$)'!AW133)/0.97337</f>
        <v>221.90944861666171</v>
      </c>
      <c r="AX139" s="231">
        <f>('MasterA1(current$)'!AX133*100)/99.246</f>
        <v>242.83094532777142</v>
      </c>
      <c r="AY139" s="284">
        <f>('MasterA1(current$)'!AY133)</f>
        <v>232</v>
      </c>
      <c r="AZ139" s="637">
        <f>SUM('MasterA1(current$)'!AZ133*100)/101.221</f>
        <v>227.22557572045326</v>
      </c>
      <c r="BA139" s="408">
        <f>SUM('MasterA1(current$)'!BA133*100)/103.311</f>
        <v>187.78252073835313</v>
      </c>
      <c r="BB139" s="284" t="s">
        <v>3</v>
      </c>
      <c r="BC139" s="284" t="s">
        <v>3</v>
      </c>
      <c r="BD139" s="284" t="s">
        <v>3</v>
      </c>
      <c r="BE139" s="284" t="s">
        <v>3</v>
      </c>
      <c r="BF139" s="305" t="s">
        <v>3</v>
      </c>
      <c r="BG139" s="305" t="s">
        <v>3</v>
      </c>
      <c r="BH139" s="305" t="s">
        <v>3</v>
      </c>
      <c r="BI139" s="305" t="s">
        <v>3</v>
      </c>
      <c r="BJ139" s="874" t="s">
        <v>10</v>
      </c>
      <c r="BK139" s="874" t="s">
        <v>10</v>
      </c>
      <c r="BL139" s="568" t="s">
        <v>10</v>
      </c>
      <c r="BM139" s="568" t="s">
        <v>10</v>
      </c>
      <c r="BP139" s="620"/>
      <c r="BQ139" s="620"/>
    </row>
    <row r="140" spans="1:93" ht="12.75" customHeight="1">
      <c r="A140" s="118" t="s">
        <v>31</v>
      </c>
      <c r="B140" s="897">
        <f>SUM('MasterA1(current$)'!B134)/0.1756</f>
        <v>113.89521640091115</v>
      </c>
      <c r="C140" s="447">
        <f>SUM('MasterA1(current$)'!C134)/0.178</f>
        <v>129.21348314606743</v>
      </c>
      <c r="D140" s="447">
        <f>SUM('MasterA1(current$)'!D134)/0.1798</f>
        <v>144.60511679644051</v>
      </c>
      <c r="E140" s="477">
        <f>SUM('MasterA1(current$)'!E134)/0.182</f>
        <v>164.83516483516485</v>
      </c>
      <c r="F140" s="477">
        <f>SUM('MasterA1(current$)'!F134)/0.1842</f>
        <v>168.29533116178067</v>
      </c>
      <c r="G140" s="477">
        <f>SUM('MasterA1(current$)'!G134)/0.18702</f>
        <v>176.45171639396855</v>
      </c>
      <c r="H140" s="477">
        <f>SUM('MasterA1(current$)'!H134)/0.19227</f>
        <v>182.03567899308266</v>
      </c>
      <c r="I140" s="477">
        <f>SUM('MasterA1(current$)'!I134)/0.19786</f>
        <v>192.0549883756191</v>
      </c>
      <c r="J140" s="477">
        <f>SUM('MasterA1(current$)'!J134)/0.20627</f>
        <v>198.76860425655693</v>
      </c>
      <c r="K140" s="477">
        <f>SUM('MasterA1(current$)'!K134)/0.21642</f>
        <v>207.92902689215416</v>
      </c>
      <c r="L140" s="915">
        <f>SUM('MasterA1(current$)'!L134)/0.22784</f>
        <v>232.61938202247191</v>
      </c>
      <c r="M140" s="477">
        <f>SUM('MasterA1(current$)'!M134)/0.23941</f>
        <v>258.96996783760073</v>
      </c>
      <c r="N140" s="477">
        <f>SUM('MasterA1(current$)'!N134)/0.24978</f>
        <v>264.23252462166704</v>
      </c>
      <c r="O140" s="477">
        <f>SUM('MasterA1(current$)'!O134)/0.26337</f>
        <v>280.97353533052359</v>
      </c>
      <c r="P140" s="477">
        <f>SUM('MasterA1(current$)'!P134)/0.28703</f>
        <v>268.26464132669059</v>
      </c>
      <c r="Q140" s="477">
        <f>SUM('MasterA1(current$)'!Q134)/0.31361</f>
        <v>302.9240139026179</v>
      </c>
      <c r="R140" s="477">
        <f>SUM('MasterA1(current$)'!R134)/0.33083</f>
        <v>329.47435238642203</v>
      </c>
      <c r="S140" s="477">
        <f>SUM('MasterA1(current$)'!S134)/0.35135</f>
        <v>352.92443432474738</v>
      </c>
      <c r="T140" s="477">
        <f>SUM('MasterA1(current$)'!T134)/0.37602</f>
        <v>359.02345619913831</v>
      </c>
      <c r="U140" s="477">
        <f>SUM('MasterA1(current$)'!U134)/0.40706</f>
        <v>356.21284331548179</v>
      </c>
      <c r="V140" s="915">
        <f>SUM('MasterA1(current$)'!V134)/0.44377</f>
        <v>299.70480203709127</v>
      </c>
      <c r="W140" s="477">
        <f>SUM('MasterA1(current$)'!W134)/0.4852</f>
        <v>362.73701566364383</v>
      </c>
      <c r="X140" s="477">
        <f>SUM('MasterA1(current$)'!X134)/0.5153</f>
        <v>376.4797205511353</v>
      </c>
      <c r="Y140" s="477">
        <f>SUM('MasterA1(current$)'!Y134)/0.53565</f>
        <v>393.91393633902737</v>
      </c>
      <c r="Z140" s="477">
        <f>SUM('MasterA1(current$)'!Z134)/0.55466</f>
        <v>418.27425810406373</v>
      </c>
      <c r="AA140" s="477">
        <f>SUM('MasterA1(current$)'!AA134)/0.5724</f>
        <v>401.81691125087349</v>
      </c>
      <c r="AB140" s="477">
        <f>SUM('MasterA1(current$)'!AB134)/0.58395</f>
        <v>407.56914119359539</v>
      </c>
      <c r="AC140" s="477">
        <f>SUM('MasterA1(current$)'!AC134)/0.59885</f>
        <v>357.35159054855137</v>
      </c>
      <c r="AD140" s="477">
        <f>SUM('MasterA1(current$)'!AD134)/0.61982</f>
        <v>416.24987899712818</v>
      </c>
      <c r="AE140" s="477">
        <f>SUM('MasterA1(current$)'!AE134)/0.64392</f>
        <v>427.07168592371721</v>
      </c>
      <c r="AF140" s="915">
        <f>SUM('MasterA1(current$)'!AF134)/0.66773</f>
        <v>756.29371153010948</v>
      </c>
      <c r="AG140" s="477">
        <f>SUM('MasterA1(current$)'!AG134)/0.68996</f>
        <v>768.16047307090264</v>
      </c>
      <c r="AH140" s="477">
        <f>SUM('MasterA1(current$)'!AH134)/0.70569</f>
        <v>745.36977993169796</v>
      </c>
      <c r="AI140" s="477">
        <f>SUM('MasterA1(current$)'!AI134)/0.72248</f>
        <v>786.18093234414789</v>
      </c>
      <c r="AJ140" s="477">
        <f>SUM('MasterA1(current$)'!AJ134)/0.73785</f>
        <v>655.95988344514467</v>
      </c>
      <c r="AK140" s="477">
        <f>SUM('MasterA1(current$)'!AK134)/0.75324</f>
        <v>800.54166002867612</v>
      </c>
      <c r="AL140" s="477">
        <f>SUM('MasterA1(current$)'!AL134)/0.76699</f>
        <v>681.88633489354493</v>
      </c>
      <c r="AM140" s="477">
        <f>SUM('MasterA1(current$)'!AM134)/0.78012</f>
        <v>649.90001538224885</v>
      </c>
      <c r="AN140" s="477">
        <f>SUM('MasterA1(current$)'!AN134)/0.78859</f>
        <v>654.3324160844038</v>
      </c>
      <c r="AO140" s="477">
        <f>SUM('MasterA1(current$)'!AO134)/0.80065</f>
        <v>713.17054892899523</v>
      </c>
      <c r="AP140" s="929">
        <f>SUM('MasterA1(current$)'!AP134)/0.81887</f>
        <v>696.08118504768765</v>
      </c>
      <c r="AQ140" s="448">
        <f>SUM('MasterA1(current$)'!AQ134)/0.83754</f>
        <v>725.9354777085274</v>
      </c>
      <c r="AR140" s="448">
        <f>SUM('MasterA1(current$)'!AR134)/0.85039</f>
        <v>719.66979856301225</v>
      </c>
      <c r="AS140" s="448">
        <f>SUM('MasterA1(current$)'!AS134)/0.86735</f>
        <v>732.11506312330664</v>
      </c>
      <c r="AT140" s="448">
        <f>SUM('MasterA1(current$)'!AT134)/0.8912</f>
        <v>760.77199281867149</v>
      </c>
      <c r="AU140" s="448">
        <f>SUM('MasterA1(current$)'!AU134)/0.91988</f>
        <v>777.27529677784059</v>
      </c>
      <c r="AV140" s="128">
        <f>SUM('MasterA1(current$)'!AV134)/0.94814</f>
        <v>855.35891324066063</v>
      </c>
      <c r="AW140" s="128">
        <f>SUM('MasterA1(current$)'!AW134)/0.97337</f>
        <v>925.65006112783431</v>
      </c>
      <c r="AX140" s="781">
        <f>('MasterA1(current$)'!AX134*100)/99.246</f>
        <v>993.49092154847551</v>
      </c>
      <c r="AY140" s="406">
        <f>SUM('MasterA1(current$)'!AY134)</f>
        <v>1036</v>
      </c>
      <c r="AZ140" s="635">
        <f>SUM('MasterA1(current$)'!AZ134*100)/101.221</f>
        <v>1052.1532093142728</v>
      </c>
      <c r="BA140" s="406">
        <f>SUM('MasterA1(current$)'!BA134*100)/103.311</f>
        <v>1019.2525481313703</v>
      </c>
      <c r="BB140" s="406">
        <f>SUM('MasterA1(current$)'!BB134*100)/105.214</f>
        <v>880.1110118425305</v>
      </c>
      <c r="BC140" s="406">
        <f>SUM('MasterA1(current$)'!BC134*100)/106.913</f>
        <v>1109.3131798752256</v>
      </c>
      <c r="BD140" s="406">
        <f>SUM('MasterA1(current$)'!BD134*100)/108.832</f>
        <v>1009.8132902087622</v>
      </c>
      <c r="BE140" s="406">
        <f>SUM('MasterA1(current$)'!BE134*100)/110.012</f>
        <v>993.52797876595275</v>
      </c>
      <c r="BF140" s="635">
        <f>SUM('MasterA1(current$)'!BF134*100)/111.416</f>
        <v>1033.962806060171</v>
      </c>
      <c r="BG140" s="635">
        <f>SUM('MasterA1(current$)'!BG134*100)/113.116</f>
        <v>1067.930266275328</v>
      </c>
      <c r="BH140" s="635">
        <f>SUM('MasterA1(current$)'!BH134*100)/114.716</f>
        <v>1284.0405871892326</v>
      </c>
      <c r="BI140" s="635">
        <f>SUM('MasterA1(current$)'!BI134*100)/116.416</f>
        <v>1206.0197910940078</v>
      </c>
      <c r="BJ140" s="872">
        <f>(BH140-BG140)/BG140</f>
        <v>0.20236370083193075</v>
      </c>
      <c r="BK140" s="872">
        <f>(BI140-BH140)/BH140</f>
        <v>-6.0761939204750898E-2</v>
      </c>
      <c r="BL140" s="567">
        <f>BH140-BG140</f>
        <v>216.11032091390462</v>
      </c>
      <c r="BM140" s="567">
        <f>BI140-BH140</f>
        <v>-78.020796095224796</v>
      </c>
      <c r="BN140" s="112"/>
      <c r="BO140" s="112"/>
      <c r="BP140" s="620"/>
      <c r="BQ140" s="620"/>
    </row>
    <row r="141" spans="1:93" ht="6" customHeight="1">
      <c r="A141" s="115"/>
      <c r="B141" s="898"/>
      <c r="C141" s="57"/>
      <c r="D141" s="57"/>
      <c r="E141" s="333"/>
      <c r="F141" s="333"/>
      <c r="G141" s="333"/>
      <c r="H141" s="333"/>
      <c r="I141" s="333"/>
      <c r="J141" s="333"/>
      <c r="K141" s="333"/>
      <c r="L141" s="269"/>
      <c r="M141" s="333"/>
      <c r="N141" s="333"/>
      <c r="O141" s="333"/>
      <c r="P141" s="333"/>
      <c r="Q141" s="333"/>
      <c r="R141" s="333"/>
      <c r="S141" s="333"/>
      <c r="T141" s="333"/>
      <c r="U141" s="333"/>
      <c r="V141" s="269"/>
      <c r="W141" s="333"/>
      <c r="X141" s="333"/>
      <c r="Y141" s="333"/>
      <c r="Z141" s="333"/>
      <c r="AA141" s="333"/>
      <c r="AB141" s="333"/>
      <c r="AC141" s="333"/>
      <c r="AD141" s="333"/>
      <c r="AE141" s="333"/>
      <c r="AF141" s="269"/>
      <c r="AG141" s="333"/>
      <c r="AH141" s="333"/>
      <c r="AI141" s="333"/>
      <c r="AJ141" s="333"/>
      <c r="AK141" s="333"/>
      <c r="AL141" s="333"/>
      <c r="AM141" s="333"/>
      <c r="AN141" s="333"/>
      <c r="AO141" s="333"/>
      <c r="AP141" s="799"/>
      <c r="AQ141" s="321"/>
      <c r="AR141" s="321"/>
      <c r="AS141" s="321"/>
      <c r="AT141" s="321"/>
      <c r="AU141" s="321"/>
      <c r="AV141" s="165"/>
      <c r="AW141" s="165"/>
      <c r="AX141" s="165"/>
      <c r="AY141" s="437"/>
      <c r="AZ141" s="661"/>
      <c r="BA141" s="437"/>
      <c r="BB141" s="437"/>
      <c r="BC141" s="437"/>
      <c r="BD141" s="437"/>
      <c r="BE141" s="437"/>
      <c r="BF141" s="661"/>
      <c r="BG141" s="661"/>
      <c r="BH141" s="661"/>
      <c r="BI141" s="661"/>
      <c r="BJ141" s="871"/>
      <c r="BK141" s="871"/>
      <c r="BL141" s="565"/>
      <c r="BM141" s="565"/>
      <c r="BP141" s="620"/>
      <c r="BQ141" s="620"/>
    </row>
    <row r="142" spans="1:93" s="343" customFormat="1" ht="10.5" customHeight="1">
      <c r="A142" s="413" t="s">
        <v>111</v>
      </c>
      <c r="B142" s="306" t="s">
        <v>3</v>
      </c>
      <c r="C142" s="356" t="s">
        <v>3</v>
      </c>
      <c r="D142" s="356" t="s">
        <v>3</v>
      </c>
      <c r="E142" s="93" t="s">
        <v>3</v>
      </c>
      <c r="F142" s="93" t="s">
        <v>3</v>
      </c>
      <c r="G142" s="93" t="s">
        <v>3</v>
      </c>
      <c r="H142" s="93" t="s">
        <v>3</v>
      </c>
      <c r="I142" s="93" t="s">
        <v>3</v>
      </c>
      <c r="J142" s="93" t="s">
        <v>3</v>
      </c>
      <c r="K142" s="93" t="s">
        <v>3</v>
      </c>
      <c r="L142" s="225" t="s">
        <v>3</v>
      </c>
      <c r="M142" s="93" t="s">
        <v>3</v>
      </c>
      <c r="N142" s="93" t="s">
        <v>3</v>
      </c>
      <c r="O142" s="93" t="s">
        <v>3</v>
      </c>
      <c r="P142" s="93" t="s">
        <v>3</v>
      </c>
      <c r="Q142" s="93" t="s">
        <v>3</v>
      </c>
      <c r="R142" s="93" t="s">
        <v>3</v>
      </c>
      <c r="S142" s="93" t="s">
        <v>3</v>
      </c>
      <c r="T142" s="93" t="s">
        <v>3</v>
      </c>
      <c r="U142" s="93" t="s">
        <v>3</v>
      </c>
      <c r="V142" s="225" t="s">
        <v>3</v>
      </c>
      <c r="W142" s="93" t="s">
        <v>3</v>
      </c>
      <c r="X142" s="93" t="s">
        <v>3</v>
      </c>
      <c r="Y142" s="93" t="s">
        <v>3</v>
      </c>
      <c r="Z142" s="93" t="s">
        <v>3</v>
      </c>
      <c r="AA142" s="93" t="s">
        <v>3</v>
      </c>
      <c r="AB142" s="93" t="s">
        <v>3</v>
      </c>
      <c r="AC142" s="93" t="s">
        <v>3</v>
      </c>
      <c r="AD142" s="93" t="s">
        <v>3</v>
      </c>
      <c r="AE142" s="93" t="s">
        <v>3</v>
      </c>
      <c r="AF142" s="225" t="s">
        <v>3</v>
      </c>
      <c r="AG142" s="93" t="s">
        <v>3</v>
      </c>
      <c r="AH142" s="93" t="s">
        <v>3</v>
      </c>
      <c r="AI142" s="93" t="s">
        <v>3</v>
      </c>
      <c r="AJ142" s="93" t="s">
        <v>3</v>
      </c>
      <c r="AK142" s="93" t="s">
        <v>3</v>
      </c>
      <c r="AL142" s="93" t="s">
        <v>3</v>
      </c>
      <c r="AM142" s="93" t="s">
        <v>3</v>
      </c>
      <c r="AN142" s="93" t="s">
        <v>3</v>
      </c>
      <c r="AO142" s="93" t="s">
        <v>3</v>
      </c>
      <c r="AP142" s="225" t="s">
        <v>3</v>
      </c>
      <c r="AQ142" s="93" t="s">
        <v>3</v>
      </c>
      <c r="AR142" s="93" t="s">
        <v>3</v>
      </c>
      <c r="AS142" s="93" t="s">
        <v>3</v>
      </c>
      <c r="AT142" s="93" t="s">
        <v>3</v>
      </c>
      <c r="AU142" s="93" t="s">
        <v>3</v>
      </c>
      <c r="AV142" s="93" t="s">
        <v>3</v>
      </c>
      <c r="AW142" s="93" t="s">
        <v>3</v>
      </c>
      <c r="AX142" s="93" t="s">
        <v>3</v>
      </c>
      <c r="AY142" s="356" t="s">
        <v>3</v>
      </c>
      <c r="AZ142" s="306" t="s">
        <v>3</v>
      </c>
      <c r="BA142" s="408">
        <f>SUM('MasterA1(current$)'!BA136*100)/103.311</f>
        <v>51.30141030480781</v>
      </c>
      <c r="BB142" s="408">
        <f>SUM('MasterA1(current$)'!BB136*100)/105.214</f>
        <v>222.40386260383599</v>
      </c>
      <c r="BC142" s="408">
        <f>SUM('MasterA1(current$)'!BC136*100)/106.913</f>
        <v>333.91636190173318</v>
      </c>
      <c r="BD142" s="408">
        <f>SUM('MasterA1(current$)'!BD136*100)/108.832</f>
        <v>396.02322846221699</v>
      </c>
      <c r="BE142" s="408">
        <f>SUM('MasterA1(current$)'!BE136*100)/110.012</f>
        <v>439.0430134894375</v>
      </c>
      <c r="BF142" s="637">
        <f>SUM('MasterA1(current$)'!BF136*100)/111.416</f>
        <v>525.95677461046887</v>
      </c>
      <c r="BG142" s="637">
        <f>SUM('MasterA1(current$)'!BG136*100)/113.116</f>
        <v>567.55896601718587</v>
      </c>
      <c r="BH142" s="637">
        <f>SUM('MasterA1(current$)'!BH136*100)/114.716</f>
        <v>597.12681753199206</v>
      </c>
      <c r="BI142" s="637">
        <f>SUM('MasterA1(current$)'!BI136*100)/116.416</f>
        <v>535.14980758658601</v>
      </c>
      <c r="BJ142" s="410">
        <f>(BH142-BG142)/BG142</f>
        <v>5.2096527911975353E-2</v>
      </c>
      <c r="BK142" s="410">
        <f>(BI142-BH142)/BH142</f>
        <v>-0.10379203902039709</v>
      </c>
      <c r="BL142" s="564">
        <f>BH142-BG142</f>
        <v>29.567851514806193</v>
      </c>
      <c r="BM142" s="564">
        <f>BI142-BH142</f>
        <v>-61.977009945406053</v>
      </c>
      <c r="BN142" s="112"/>
      <c r="BO142" s="112"/>
      <c r="BP142" s="620"/>
      <c r="BQ142" s="620"/>
      <c r="BR142" s="320"/>
      <c r="BS142" s="320"/>
      <c r="BT142" s="320"/>
      <c r="BU142" s="320"/>
      <c r="BV142" s="320"/>
      <c r="BW142" s="320"/>
      <c r="BX142" s="320"/>
      <c r="BY142" s="320"/>
      <c r="BZ142" s="320"/>
      <c r="CA142" s="320"/>
      <c r="CB142" s="320"/>
      <c r="CC142" s="320"/>
      <c r="CD142" s="320"/>
      <c r="CE142" s="320"/>
      <c r="CF142" s="320"/>
      <c r="CG142" s="320"/>
      <c r="CH142" s="320"/>
      <c r="CI142" s="320"/>
      <c r="CJ142" s="320"/>
      <c r="CK142" s="320"/>
      <c r="CL142" s="320"/>
      <c r="CM142" s="320"/>
      <c r="CN142" s="320"/>
      <c r="CO142" s="320"/>
    </row>
    <row r="143" spans="1:93" ht="6" customHeight="1">
      <c r="A143" s="115"/>
      <c r="B143" s="667"/>
      <c r="C143" s="49"/>
      <c r="D143" s="49"/>
      <c r="E143" s="30"/>
      <c r="F143" s="30"/>
      <c r="G143" s="30"/>
      <c r="H143" s="30"/>
      <c r="I143" s="30"/>
      <c r="J143" s="30"/>
      <c r="K143" s="30"/>
      <c r="L143" s="270"/>
      <c r="M143" s="30"/>
      <c r="N143" s="30"/>
      <c r="O143" s="30"/>
      <c r="P143" s="30"/>
      <c r="Q143" s="30"/>
      <c r="R143" s="30"/>
      <c r="S143" s="30"/>
      <c r="T143" s="30"/>
      <c r="U143" s="30"/>
      <c r="V143" s="270"/>
      <c r="W143" s="30"/>
      <c r="X143" s="30"/>
      <c r="Y143" s="30"/>
      <c r="Z143" s="30"/>
      <c r="AA143" s="30"/>
      <c r="AB143" s="30"/>
      <c r="AC143" s="30"/>
      <c r="AD143" s="30"/>
      <c r="AE143" s="30"/>
      <c r="AF143" s="270"/>
      <c r="AG143" s="30"/>
      <c r="AH143" s="30"/>
      <c r="AI143" s="30"/>
      <c r="AJ143" s="30"/>
      <c r="AK143" s="30"/>
      <c r="AL143" s="30"/>
      <c r="AM143" s="30"/>
      <c r="AN143" s="30"/>
      <c r="AO143" s="30"/>
      <c r="AP143" s="857"/>
      <c r="AQ143" s="328"/>
      <c r="AR143" s="328"/>
      <c r="AS143" s="328"/>
      <c r="AT143" s="328"/>
      <c r="AU143" s="328"/>
      <c r="AV143" s="328"/>
      <c r="AW143" s="328"/>
      <c r="AX143" s="89"/>
      <c r="AY143" s="404"/>
      <c r="AZ143" s="634"/>
      <c r="BA143" s="404"/>
      <c r="BB143" s="404"/>
      <c r="BC143" s="404"/>
      <c r="BD143" s="404"/>
      <c r="BE143" s="404"/>
      <c r="BF143" s="634"/>
      <c r="BG143" s="634"/>
      <c r="BH143" s="634"/>
      <c r="BI143" s="634"/>
      <c r="BJ143" s="871"/>
      <c r="BK143" s="871"/>
      <c r="BL143" s="565"/>
      <c r="BM143" s="565"/>
      <c r="BP143" s="620"/>
      <c r="BQ143" s="620"/>
    </row>
    <row r="144" spans="1:93" ht="11.25" customHeight="1">
      <c r="A144" s="115" t="s">
        <v>23</v>
      </c>
      <c r="B144" s="667">
        <f>SUM('MasterA1(current$)'!B138)/0.1756</f>
        <v>11.389521640091116</v>
      </c>
      <c r="C144" s="49">
        <f>SUM('MasterA1(current$)'!C138)/0.178</f>
        <v>16.853932584269664</v>
      </c>
      <c r="D144" s="49">
        <f>SUM('MasterA1(current$)'!D138)/0.1798</f>
        <v>11.123470522803116</v>
      </c>
      <c r="E144" s="30">
        <f>SUM('MasterA1(current$)'!E138)/0.182</f>
        <v>16.483516483516485</v>
      </c>
      <c r="F144" s="30">
        <f>SUM('MasterA1(current$)'!F138)/0.1842</f>
        <v>16.286644951140065</v>
      </c>
      <c r="G144" s="30">
        <f>SUM('MasterA1(current$)'!G138)/0.18702</f>
        <v>16.041065126724416</v>
      </c>
      <c r="H144" s="30">
        <f>SUM('MasterA1(current$)'!H138)/0.19227</f>
        <v>15.603058199407084</v>
      </c>
      <c r="I144" s="30">
        <f>SUM('MasterA1(current$)'!I138)/0.19786</f>
        <v>15.162235924390982</v>
      </c>
      <c r="J144" s="30">
        <f>SUM('MasterA1(current$)'!J138)/0.20627</f>
        <v>14.544044213894409</v>
      </c>
      <c r="K144" s="30">
        <f>SUM('MasterA1(current$)'!K138)/0.21642</f>
        <v>18.482580168191479</v>
      </c>
      <c r="L144" s="270">
        <f>SUM('MasterA1(current$)'!L138)/0.22784</f>
        <v>17.556179775280899</v>
      </c>
      <c r="M144" s="30">
        <f>SUM('MasterA1(current$)'!M138)/0.23941</f>
        <v>16.707739860490371</v>
      </c>
      <c r="N144" s="30">
        <f>SUM('MasterA1(current$)'!N138)/0.24978</f>
        <v>20.017615501641444</v>
      </c>
      <c r="O144" s="30">
        <f>SUM('MasterA1(current$)'!O138)/0.26337</f>
        <v>22.781637999772183</v>
      </c>
      <c r="P144" s="30">
        <f>SUM('MasterA1(current$)'!P138)/0.28703</f>
        <v>20.90373828519667</v>
      </c>
      <c r="Q144" s="30">
        <f>SUM('MasterA1(current$)'!Q138)/0.31361</f>
        <v>22.320716813877109</v>
      </c>
      <c r="R144" s="30">
        <f>SUM('MasterA1(current$)'!R138)/0.33083</f>
        <v>24.18160384487501</v>
      </c>
      <c r="S144" s="30">
        <f>SUM('MasterA1(current$)'!S138)/0.35135</f>
        <v>22.769318343532092</v>
      </c>
      <c r="T144" s="30">
        <f>SUM('MasterA1(current$)'!T138)/0.37602</f>
        <v>23.934897079942555</v>
      </c>
      <c r="U144" s="30">
        <f>SUM('MasterA1(current$)'!U138)/0.40706</f>
        <v>24.566402987274603</v>
      </c>
      <c r="V144" s="270">
        <f>SUM('MasterA1(current$)'!V138)/0.44377</f>
        <v>27.041034770263874</v>
      </c>
      <c r="W144" s="30">
        <f>SUM('MasterA1(current$)'!W138)/0.4852</f>
        <v>28.854080791426213</v>
      </c>
      <c r="X144" s="30">
        <f>SUM('MasterA1(current$)'!X138)/0.5153</f>
        <v>29.10925674364448</v>
      </c>
      <c r="Y144" s="30">
        <f>SUM('MasterA1(current$)'!Y138)/0.53565</f>
        <v>28.003360403248394</v>
      </c>
      <c r="Z144" s="30">
        <f>SUM('MasterA1(current$)'!Z138)/0.55466</f>
        <v>32.452313128763564</v>
      </c>
      <c r="AA144" s="30">
        <f>SUM('MasterA1(current$)'!AA138)/0.5724</f>
        <v>38.434661076170507</v>
      </c>
      <c r="AB144" s="30">
        <f>SUM('MasterA1(current$)'!AB138)/0.58395</f>
        <v>44.524359962325541</v>
      </c>
      <c r="AC144" s="30">
        <f>SUM('MasterA1(current$)'!AC138)/0.59885</f>
        <v>45.086415629957422</v>
      </c>
      <c r="AD144" s="30">
        <f>SUM('MasterA1(current$)'!AD138)/0.61982</f>
        <v>53.241263592655926</v>
      </c>
      <c r="AE144" s="30">
        <f>SUM('MasterA1(current$)'!AE138)/0.64392</f>
        <v>52.801590259659584</v>
      </c>
      <c r="AF144" s="270">
        <f>SUM('MasterA1(current$)'!AF138)/0.66773</f>
        <v>53.914007158582059</v>
      </c>
      <c r="AG144" s="30">
        <f>SUM('MasterA1(current$)'!AG138)/0.68996</f>
        <v>53.626297176647917</v>
      </c>
      <c r="AH144" s="30">
        <f>SUM('MasterA1(current$)'!AH138)/0.70569</f>
        <v>55.265059728776087</v>
      </c>
      <c r="AI144" s="30">
        <f>SUM('MasterA1(current$)'!AI138)/0.72248</f>
        <v>52.596611670911308</v>
      </c>
      <c r="AJ144" s="30">
        <f>SUM('MasterA1(current$)'!AJ138)/0.73785</f>
        <v>47.435115538388558</v>
      </c>
      <c r="AK144" s="30">
        <f>SUM('MasterA1(current$)'!AK138)/0.75324</f>
        <v>53.103924380011684</v>
      </c>
      <c r="AL144" s="30">
        <f>SUM('MasterA1(current$)'!AL138)/0.76699</f>
        <v>52.151918538703249</v>
      </c>
      <c r="AM144" s="30">
        <f>SUM('MasterA1(current$)'!AM138)/0.78012</f>
        <v>42.301184433164124</v>
      </c>
      <c r="AN144" s="30">
        <f>SUM('MasterA1(current$)'!AN138)/0.78859</f>
        <v>40.578754485854496</v>
      </c>
      <c r="AO144" s="30">
        <f>SUM('MasterA1(current$)'!AO138)/0.80065</f>
        <v>42.465496783863109</v>
      </c>
      <c r="AP144" s="857">
        <f>SUM('MasterA1(current$)'!AP138)/0.81887</f>
        <v>39.078241967589484</v>
      </c>
      <c r="AQ144" s="328">
        <f>SUM('MasterA1(current$)'!AQ138)/0.83754</f>
        <v>45.370967356782963</v>
      </c>
      <c r="AR144" s="328">
        <f>SUM('MasterA1(current$)'!AR138)/0.85039</f>
        <v>42.333517562530133</v>
      </c>
      <c r="AS144" s="328">
        <f>SUM('MasterA1(current$)'!AS138)/0.86735</f>
        <v>42.658672969389521</v>
      </c>
      <c r="AT144" s="328">
        <f>SUM('MasterA1(current$)'!AT138)/0.8912</f>
        <v>43.761220825852782</v>
      </c>
      <c r="AU144" s="328">
        <f>SUM('MasterA1(current$)'!AU138)/0.91988</f>
        <v>43.483932686872201</v>
      </c>
      <c r="AV144" s="328">
        <f>SUM('MasterA1(current$)'!AV138)/0.94814</f>
        <v>41.133165988145208</v>
      </c>
      <c r="AW144" s="328">
        <f>SUM('MasterA1(current$)'!AW138)/0.97337</f>
        <v>41.094342336418833</v>
      </c>
      <c r="AX144" s="330">
        <f>('MasterA1(current$)'!AX138*100)/99.246</f>
        <v>42.319085907744395</v>
      </c>
      <c r="AY144" s="408">
        <f>SUM('MasterA1(current$)'!AY138)</f>
        <v>45</v>
      </c>
      <c r="AZ144" s="637">
        <f>SUM('MasterA1(current$)'!AZ138*100)/101.221</f>
        <v>49.396864287055053</v>
      </c>
      <c r="BA144" s="408">
        <f>SUM('MasterA1(current$)'!BA138*100)/103.311</f>
        <v>51.30141030480781</v>
      </c>
      <c r="BB144" s="408">
        <f>SUM('MasterA1(current$)'!BB138*100)/105.214</f>
        <v>50.37352443591157</v>
      </c>
      <c r="BC144" s="408">
        <f>SUM('MasterA1(current$)'!BC138*100)/106.913</f>
        <v>49.573017313142465</v>
      </c>
      <c r="BD144" s="408">
        <f>SUM('MasterA1(current$)'!BD138*100)/108.832</f>
        <v>48.698912084680977</v>
      </c>
      <c r="BE144" s="408">
        <f>SUM('MasterA1(current$)'!BE138*100)/110.012</f>
        <v>51.812529542231758</v>
      </c>
      <c r="BF144" s="637">
        <f>SUM('MasterA1(current$)'!BF138*100)/111.416</f>
        <v>56.544840956415598</v>
      </c>
      <c r="BG144" s="637">
        <f>SUM('MasterA1(current$)'!BG138*100)/113.116</f>
        <v>57.46313518865589</v>
      </c>
      <c r="BH144" s="637">
        <f>SUM('MasterA1(current$)'!BH138*100)/114.716</f>
        <v>73.224310471076407</v>
      </c>
      <c r="BI144" s="637">
        <f>SUM('MasterA1(current$)'!BI138*100)/116.416</f>
        <v>64.424134139637161</v>
      </c>
      <c r="BJ144" s="410">
        <f>(BH144-BG144)/BG144</f>
        <v>0.27428324665327375</v>
      </c>
      <c r="BK144" s="410">
        <f>(BI144-BH144)/BH144</f>
        <v>-0.12018107476635528</v>
      </c>
      <c r="BL144" s="564">
        <f>BH144-BG144</f>
        <v>15.761175282420517</v>
      </c>
      <c r="BM144" s="564">
        <f>BI144-BH144</f>
        <v>-8.8001763314392463</v>
      </c>
      <c r="BN144" s="112"/>
      <c r="BO144" s="112"/>
      <c r="BP144" s="620"/>
      <c r="BQ144" s="620"/>
    </row>
    <row r="145" spans="1:69" ht="6" customHeight="1">
      <c r="A145" s="115"/>
      <c r="B145" s="667"/>
      <c r="C145" s="49"/>
      <c r="D145" s="49"/>
      <c r="E145" s="30"/>
      <c r="F145" s="30"/>
      <c r="G145" s="30"/>
      <c r="H145" s="30"/>
      <c r="I145" s="30"/>
      <c r="J145" s="30"/>
      <c r="K145" s="30"/>
      <c r="L145" s="270"/>
      <c r="M145" s="30"/>
      <c r="N145" s="30"/>
      <c r="O145" s="30"/>
      <c r="P145" s="30"/>
      <c r="Q145" s="30"/>
      <c r="R145" s="30"/>
      <c r="S145" s="30"/>
      <c r="T145" s="30"/>
      <c r="U145" s="30"/>
      <c r="V145" s="270"/>
      <c r="W145" s="30"/>
      <c r="X145" s="30"/>
      <c r="Y145" s="30"/>
      <c r="Z145" s="30"/>
      <c r="AA145" s="30"/>
      <c r="AB145" s="30"/>
      <c r="AC145" s="30"/>
      <c r="AD145" s="30"/>
      <c r="AE145" s="30"/>
      <c r="AF145" s="270"/>
      <c r="AG145" s="30"/>
      <c r="AH145" s="30"/>
      <c r="AI145" s="30"/>
      <c r="AJ145" s="30"/>
      <c r="AK145" s="30"/>
      <c r="AL145" s="30"/>
      <c r="AM145" s="30"/>
      <c r="AN145" s="30"/>
      <c r="AO145" s="30"/>
      <c r="AP145" s="857"/>
      <c r="AQ145" s="328"/>
      <c r="AR145" s="328"/>
      <c r="AS145" s="328"/>
      <c r="AT145" s="328"/>
      <c r="AU145" s="328"/>
      <c r="AV145" s="328"/>
      <c r="AW145" s="328"/>
      <c r="AX145" s="330"/>
      <c r="AY145" s="408"/>
      <c r="AZ145" s="637"/>
      <c r="BA145" s="408"/>
      <c r="BB145" s="408"/>
      <c r="BC145" s="408"/>
      <c r="BD145" s="408"/>
      <c r="BE145" s="408"/>
      <c r="BF145" s="637"/>
      <c r="BG145" s="637"/>
      <c r="BH145" s="637"/>
      <c r="BI145" s="637"/>
      <c r="BJ145" s="871"/>
      <c r="BK145" s="871"/>
      <c r="BL145" s="565"/>
      <c r="BM145" s="565"/>
      <c r="BP145" s="620"/>
      <c r="BQ145" s="620"/>
    </row>
    <row r="146" spans="1:69" ht="10.5" customHeight="1">
      <c r="A146" s="115" t="s">
        <v>5</v>
      </c>
      <c r="B146" s="667">
        <f>SUM('MasterA1(current$)'!B140)/0.1756</f>
        <v>74.031890660592254</v>
      </c>
      <c r="C146" s="49">
        <f>SUM('MasterA1(current$)'!C140)/0.178</f>
        <v>78.651685393258433</v>
      </c>
      <c r="D146" s="49">
        <f>SUM('MasterA1(current$)'!D140)/0.1798</f>
        <v>77.864293659621808</v>
      </c>
      <c r="E146" s="30">
        <f>SUM('MasterA1(current$)'!E140)/0.182</f>
        <v>76.92307692307692</v>
      </c>
      <c r="F146" s="30">
        <f>SUM('MasterA1(current$)'!F140)/0.1842</f>
        <v>81.433224755700323</v>
      </c>
      <c r="G146" s="30">
        <f>SUM('MasterA1(current$)'!G140)/0.18702</f>
        <v>80.205325633622081</v>
      </c>
      <c r="H146" s="30">
        <f>SUM('MasterA1(current$)'!H140)/0.19227</f>
        <v>26.005096999011808</v>
      </c>
      <c r="I146" s="30">
        <f>SUM('MasterA1(current$)'!I140)/0.19786</f>
        <v>55.594865056100268</v>
      </c>
      <c r="J146" s="30">
        <f>SUM('MasterA1(current$)'!J140)/0.20627</f>
        <v>96.960294759296062</v>
      </c>
      <c r="K146" s="30">
        <f>SUM('MasterA1(current$)'!K140)/0.21642</f>
        <v>55.44774050457444</v>
      </c>
      <c r="L146" s="270">
        <f>SUM('MasterA1(current$)'!L140)/0.22784</f>
        <v>131.67134831460675</v>
      </c>
      <c r="M146" s="30">
        <f>SUM('MasterA1(current$)'!M140)/0.23941</f>
        <v>196.31594336076185</v>
      </c>
      <c r="N146" s="30">
        <f>SUM('MasterA1(current$)'!N140)/0.24978</f>
        <v>88.077508207222351</v>
      </c>
      <c r="O146" s="30">
        <f>SUM('MasterA1(current$)'!O140)/0.26337</f>
        <v>151.8775866651479</v>
      </c>
      <c r="P146" s="30">
        <f>SUM('MasterA1(current$)'!P140)/0.28703</f>
        <v>243.87694666062779</v>
      </c>
      <c r="Q146" s="30">
        <f>SUM('MasterA1(current$)'!Q140)/0.31361</f>
        <v>220.01849430821721</v>
      </c>
      <c r="R146" s="30">
        <f>SUM('MasterA1(current$)'!R140)/0.33083</f>
        <v>205.5436326814376</v>
      </c>
      <c r="S146" s="30">
        <f>SUM('MasterA1(current$)'!S140)/0.35135</f>
        <v>202.0777002988473</v>
      </c>
      <c r="T146" s="30">
        <f>SUM('MasterA1(current$)'!T140)/0.37602</f>
        <v>226.05180575501302</v>
      </c>
      <c r="U146" s="30">
        <f>SUM('MasterA1(current$)'!U140)/0.40706</f>
        <v>218.64098658674399</v>
      </c>
      <c r="V146" s="270">
        <f>SUM('MasterA1(current$)'!V140)/0.44377</f>
        <v>272.66376726682739</v>
      </c>
      <c r="W146" s="30">
        <f>SUM('MasterA1(current$)'!W140)/0.4852</f>
        <v>92.745259686727124</v>
      </c>
      <c r="X146" s="30">
        <f>SUM('MasterA1(current$)'!X140)/0.5153</f>
        <v>254.22084222782846</v>
      </c>
      <c r="Y146" s="30">
        <f>SUM('MasterA1(current$)'!Y140)/0.53565</f>
        <v>175.48772519368993</v>
      </c>
      <c r="Z146" s="30">
        <f>SUM('MasterA1(current$)'!Z140)/0.55466</f>
        <v>292.0708181588721</v>
      </c>
      <c r="AA146" s="30">
        <f>SUM('MasterA1(current$)'!AA140)/0.5724</f>
        <v>482.1802935010482</v>
      </c>
      <c r="AB146" s="30">
        <f>SUM('MasterA1(current$)'!AB140)/0.58395</f>
        <v>899.04957616234276</v>
      </c>
      <c r="AC146" s="30">
        <f>SUM('MasterA1(current$)'!AC140)/0.59885</f>
        <v>520.99858061284124</v>
      </c>
      <c r="AD146" s="30">
        <f>SUM('MasterA1(current$)'!AD140)/0.61982</f>
        <v>772.80500790552094</v>
      </c>
      <c r="AE146" s="30">
        <f>SUM('MasterA1(current$)'!AE140)/0.64392</f>
        <v>792.0238538948937</v>
      </c>
      <c r="AF146" s="270">
        <f>SUM('MasterA1(current$)'!AF140)/0.66773</f>
        <v>712.86298354125165</v>
      </c>
      <c r="AG146" s="30">
        <f>SUM('MasterA1(current$)'!AG140)/0.68996</f>
        <v>381.18151776914601</v>
      </c>
      <c r="AH146" s="30">
        <f>SUM('MasterA1(current$)'!AH140)/0.70569</f>
        <v>520.05838257591859</v>
      </c>
      <c r="AI146" s="30">
        <f>SUM('MasterA1(current$)'!AI140)/0.72248</f>
        <v>849.85051489314583</v>
      </c>
      <c r="AJ146" s="30">
        <f>SUM('MasterA1(current$)'!AJ140)/0.73785</f>
        <v>538.04973910686454</v>
      </c>
      <c r="AK146" s="30">
        <f>SUM('MasterA1(current$)'!AK140)/0.75324</f>
        <v>924.00828421220331</v>
      </c>
      <c r="AL146" s="30">
        <f>SUM('MasterA1(current$)'!AL140)/0.76699</f>
        <v>701.44330434555866</v>
      </c>
      <c r="AM146" s="30">
        <f>SUM('MasterA1(current$)'!AM140)/0.78012</f>
        <v>917.80751679228831</v>
      </c>
      <c r="AN146" s="30">
        <f>SUM('MasterA1(current$)'!AN140)/0.78859</f>
        <v>740.56226936684459</v>
      </c>
      <c r="AO146" s="30">
        <f>SUM('MasterA1(current$)'!AO140)/0.80065</f>
        <v>651.97027415225136</v>
      </c>
      <c r="AP146" s="857">
        <f>SUM('MasterA1(current$)'!AP140)/0.81887</f>
        <v>805.98874058153308</v>
      </c>
      <c r="AQ146" s="328">
        <f>SUM('MasterA1(current$)'!AQ140)/0.83754</f>
        <v>718.77164075745645</v>
      </c>
      <c r="AR146" s="328">
        <f>SUM('MasterA1(current$)'!AR140)/0.85039</f>
        <v>769.05890238596407</v>
      </c>
      <c r="AS146" s="328">
        <f>SUM('MasterA1(current$)'!AS140)/0.86735</f>
        <v>743.64443419611462</v>
      </c>
      <c r="AT146" s="328">
        <f>SUM('MasterA1(current$)'!AT140)/0.8912</f>
        <v>748.42908438061045</v>
      </c>
      <c r="AU146" s="328">
        <f>SUM('MasterA1(current$)'!AU140)/0.91988</f>
        <v>555.50724007479232</v>
      </c>
      <c r="AV146" s="328">
        <f>SUM('MasterA1(current$)'!AV140)/0.94814</f>
        <v>619.10688294977535</v>
      </c>
      <c r="AW146" s="328">
        <f>SUM('MasterA1(current$)'!AW140)/0.97337</f>
        <v>588.01400725535268</v>
      </c>
      <c r="AX146" s="330">
        <f>('MasterA1(current$)'!AX140*100)/99.246</f>
        <v>660.41832728875625</v>
      </c>
      <c r="AY146" s="408">
        <f>SUM('MasterA1(current$)'!AY140)</f>
        <v>759</v>
      </c>
      <c r="AZ146" s="637">
        <f>SUM('MasterA1(current$)'!AZ140*100)/101.221</f>
        <v>855.55368945179362</v>
      </c>
      <c r="BA146" s="408">
        <f>SUM('MasterA1(current$)'!BA140*100)/103.311</f>
        <v>953.43187075916398</v>
      </c>
      <c r="BB146" s="405">
        <f>SUM('MasterA1(current$)'!BB140*100)/105.214</f>
        <v>958.99785199688256</v>
      </c>
      <c r="BC146" s="405">
        <f>SUM('MasterA1(current$)'!BC140*100)/106.913</f>
        <v>949.3700485441434</v>
      </c>
      <c r="BD146" s="405">
        <f>SUM('MasterA1(current$)'!BD140*100)/108.832</f>
        <v>925.97431427829667</v>
      </c>
      <c r="BE146" s="405">
        <f>SUM('MasterA1(current$)'!BE140*100)/110.012</f>
        <v>920.80863905755734</v>
      </c>
      <c r="BF146" s="536">
        <f>SUM('MasterA1(current$)'!BF140*100)/111.416</f>
        <v>1043.8357147985928</v>
      </c>
      <c r="BG146" s="536">
        <f>SUM('MasterA1(current$)'!BG140*100)/113.116</f>
        <v>901.72919834506172</v>
      </c>
      <c r="BH146" s="536">
        <f>SUM('MasterA1(current$)'!BH140*100)/114.716</f>
        <v>1057.3939119216152</v>
      </c>
      <c r="BI146" s="536">
        <f>SUM('MasterA1(current$)'!BI140*100)/116.416</f>
        <v>1023.0552501374382</v>
      </c>
      <c r="BJ146" s="410">
        <f>(BH146-BG146)/BG146</f>
        <v>0.17262911510711199</v>
      </c>
      <c r="BK146" s="410">
        <f>(BI146-BH146)/BH146</f>
        <v>-3.2474805649082034E-2</v>
      </c>
      <c r="BL146" s="564">
        <f>BH146-BG146</f>
        <v>155.66471357655348</v>
      </c>
      <c r="BM146" s="564">
        <f>BI146-BH146</f>
        <v>-34.33866178417702</v>
      </c>
      <c r="BN146" s="112"/>
      <c r="BO146" s="112"/>
      <c r="BP146" s="620"/>
      <c r="BQ146" s="620"/>
    </row>
    <row r="147" spans="1:69" ht="6" customHeight="1">
      <c r="A147" s="115"/>
      <c r="B147" s="636"/>
      <c r="C147" s="33"/>
      <c r="D147" s="33"/>
      <c r="E147" s="47"/>
      <c r="F147" s="47"/>
      <c r="G147" s="47"/>
      <c r="H147" s="47"/>
      <c r="I147" s="47"/>
      <c r="J147" s="47"/>
      <c r="K147" s="47"/>
      <c r="L147" s="281"/>
      <c r="M147" s="47"/>
      <c r="N147" s="47"/>
      <c r="O147" s="47"/>
      <c r="P147" s="47"/>
      <c r="Q147" s="47"/>
      <c r="R147" s="47"/>
      <c r="S147" s="47"/>
      <c r="T147" s="47"/>
      <c r="U147" s="47"/>
      <c r="V147" s="281"/>
      <c r="W147" s="47"/>
      <c r="X147" s="47"/>
      <c r="Y147" s="47"/>
      <c r="Z147" s="47"/>
      <c r="AA147" s="47"/>
      <c r="AB147" s="47"/>
      <c r="AC147" s="47"/>
      <c r="AD147" s="47"/>
      <c r="AE147" s="47"/>
      <c r="AF147" s="281"/>
      <c r="AG147" s="47"/>
      <c r="AH147" s="47"/>
      <c r="AI147" s="47"/>
      <c r="AJ147" s="47"/>
      <c r="AK147" s="47"/>
      <c r="AL147" s="47"/>
      <c r="AM147" s="488"/>
      <c r="AN147" s="488"/>
      <c r="AO147" s="488"/>
      <c r="AP147" s="857"/>
      <c r="AQ147" s="328"/>
      <c r="AR147" s="328"/>
      <c r="AS147" s="328"/>
      <c r="AT147" s="328"/>
      <c r="AU147" s="328"/>
      <c r="AV147" s="328"/>
      <c r="AW147" s="328"/>
      <c r="AX147" s="330"/>
      <c r="AY147" s="408"/>
      <c r="AZ147" s="637"/>
      <c r="BA147" s="408"/>
      <c r="BB147" s="408"/>
      <c r="BC147" s="408"/>
      <c r="BD147" s="408"/>
      <c r="BE147" s="408"/>
      <c r="BF147" s="637"/>
      <c r="BG147" s="637"/>
      <c r="BH147" s="637"/>
      <c r="BI147" s="637"/>
      <c r="BJ147" s="871"/>
      <c r="BK147" s="871"/>
      <c r="BL147" s="565"/>
      <c r="BM147" s="565"/>
      <c r="BP147" s="620"/>
      <c r="BQ147" s="620"/>
    </row>
    <row r="148" spans="1:69" ht="12" customHeight="1">
      <c r="A148" s="413" t="s">
        <v>114</v>
      </c>
      <c r="B148" s="335" t="s">
        <v>3</v>
      </c>
      <c r="C148" s="327" t="s">
        <v>3</v>
      </c>
      <c r="D148" s="327" t="s">
        <v>3</v>
      </c>
      <c r="E148" s="331" t="s">
        <v>3</v>
      </c>
      <c r="F148" s="331" t="s">
        <v>3</v>
      </c>
      <c r="G148" s="331" t="s">
        <v>3</v>
      </c>
      <c r="H148" s="331" t="s">
        <v>3</v>
      </c>
      <c r="I148" s="331" t="s">
        <v>3</v>
      </c>
      <c r="J148" s="331" t="s">
        <v>3</v>
      </c>
      <c r="K148" s="331" t="s">
        <v>3</v>
      </c>
      <c r="L148" s="335" t="s">
        <v>3</v>
      </c>
      <c r="M148" s="331" t="s">
        <v>3</v>
      </c>
      <c r="N148" s="331" t="s">
        <v>3</v>
      </c>
      <c r="O148" s="331" t="s">
        <v>3</v>
      </c>
      <c r="P148" s="331" t="s">
        <v>3</v>
      </c>
      <c r="Q148" s="331" t="s">
        <v>3</v>
      </c>
      <c r="R148" s="331" t="s">
        <v>3</v>
      </c>
      <c r="S148" s="331" t="s">
        <v>3</v>
      </c>
      <c r="T148" s="331" t="s">
        <v>3</v>
      </c>
      <c r="U148" s="331" t="s">
        <v>3</v>
      </c>
      <c r="V148" s="335" t="s">
        <v>3</v>
      </c>
      <c r="W148" s="331" t="s">
        <v>3</v>
      </c>
      <c r="X148" s="331" t="s">
        <v>3</v>
      </c>
      <c r="Y148" s="331" t="s">
        <v>3</v>
      </c>
      <c r="Z148" s="331" t="s">
        <v>3</v>
      </c>
      <c r="AA148" s="331" t="s">
        <v>3</v>
      </c>
      <c r="AB148" s="331" t="s">
        <v>3</v>
      </c>
      <c r="AC148" s="331" t="s">
        <v>3</v>
      </c>
      <c r="AD148" s="331" t="s">
        <v>3</v>
      </c>
      <c r="AE148" s="331" t="s">
        <v>3</v>
      </c>
      <c r="AF148" s="270">
        <f>SUM('MasterA1(current$)'!AF142)/0.66773</f>
        <v>7.4880565498030638</v>
      </c>
      <c r="AG148" s="30">
        <f>SUM('MasterA1(current$)'!AG142)/0.68996</f>
        <v>1.4493593831526466</v>
      </c>
      <c r="AH148" s="30">
        <f>SUM('MasterA1(current$)'!AH142)/0.70569</f>
        <v>1.4170528135583613</v>
      </c>
      <c r="AI148" s="30">
        <f>SUM('MasterA1(current$)'!AI142)/0.72248</f>
        <v>1.3841213597608237</v>
      </c>
      <c r="AJ148" s="30">
        <f>SUM('MasterA1(current$)'!AJ142)/0.73785</f>
        <v>1.3552890153825303</v>
      </c>
      <c r="AK148" s="30">
        <f>SUM('MasterA1(current$)'!AK142)/0.75324</f>
        <v>2.655196219000584</v>
      </c>
      <c r="AL148" s="30">
        <f>SUM('MasterA1(current$)'!AL142)/0.76699</f>
        <v>2.6075959269351623</v>
      </c>
      <c r="AM148" s="30">
        <f>SUM('MasterA1(current$)'!AM142)/0.78012</f>
        <v>1.2818540737322464</v>
      </c>
      <c r="AN148" s="30">
        <f>SUM('MasterA1(current$)'!AN142)/0.78859</f>
        <v>2.536172155365906</v>
      </c>
      <c r="AO148" s="30">
        <f>SUM('MasterA1(current$)'!AO142)/0.80065</f>
        <v>1.2489851995253856</v>
      </c>
      <c r="AP148" s="857">
        <f>SUM('MasterA1(current$)'!AP142)/0.81887</f>
        <v>3.6635851844615139</v>
      </c>
      <c r="AQ148" s="328">
        <f>SUM('MasterA1(current$)'!AQ142)/0.83754</f>
        <v>2.3879456503569978</v>
      </c>
      <c r="AR148" s="328">
        <f>SUM('MasterA1(current$)'!AR142)/0.85039</f>
        <v>2.3518620868072295</v>
      </c>
      <c r="AS148" s="328">
        <f>SUM('MasterA1(current$)'!AS142)/0.86735</f>
        <v>2.3058742145615958</v>
      </c>
      <c r="AT148" s="328">
        <f>SUM('MasterA1(current$)'!AT142)/0.8912</f>
        <v>2.2441651705565531</v>
      </c>
      <c r="AU148" s="328">
        <f>SUM('MasterA1(current$)'!AU142)/0.91988</f>
        <v>2.1741966343436099</v>
      </c>
      <c r="AV148" s="328">
        <f>SUM('MasterA1(current$)'!AV142)/0.94814</f>
        <v>2.1093931275971904</v>
      </c>
      <c r="AW148" s="328">
        <f>SUM('MasterA1(current$)'!AW142)/0.97337</f>
        <v>14.383019817746593</v>
      </c>
      <c r="AX148" s="330">
        <f>('MasterA1(current$)'!AX142*100)/99.246</f>
        <v>16.121556536283578</v>
      </c>
      <c r="AY148" s="408">
        <f>SUM('MasterA1(current$)'!AY142)</f>
        <v>16</v>
      </c>
      <c r="AZ148" s="637">
        <f>SUM('MasterA1(current$)'!AZ142*100)/101.221</f>
        <v>16.794933857598718</v>
      </c>
      <c r="BA148" s="408">
        <f>SUM('MasterA1(current$)'!BA142*100)/103.311</f>
        <v>16.455169343051562</v>
      </c>
      <c r="BB148" s="408">
        <f>SUM('MasterA1(current$)'!BB142*100)/105.214</f>
        <v>16.157545573782958</v>
      </c>
      <c r="BC148" s="408">
        <f>SUM('MasterA1(current$)'!BC142*100)/106.913</f>
        <v>16.836119087482345</v>
      </c>
      <c r="BD148" s="408">
        <f>SUM('MasterA1(current$)'!BD142*100)/108.832</f>
        <v>19.295795354307558</v>
      </c>
      <c r="BE148" s="408">
        <f>SUM('MasterA1(current$)'!BE142*100)/110.012</f>
        <v>16.361851434388974</v>
      </c>
      <c r="BF148" s="637">
        <f>SUM('MasterA1(current$)'!BF142*100)/111.416</f>
        <v>17.053206002728512</v>
      </c>
      <c r="BG148" s="637">
        <f>SUM('MasterA1(current$)'!BG142*100)/113.116</f>
        <v>16.796916439760952</v>
      </c>
      <c r="BH148" s="637">
        <f>SUM('MasterA1(current$)'!BH142*100)/114.716</f>
        <v>17.434359635970573</v>
      </c>
      <c r="BI148" s="637">
        <f>SUM('MasterA1(current$)'!BI142*100)/116.416</f>
        <v>13.743815283122595</v>
      </c>
      <c r="BJ148" s="410">
        <f>(BH148-BG148)/BG148</f>
        <v>3.7950012938130218E-2</v>
      </c>
      <c r="BK148" s="410">
        <f>(BI148-BH148)/BH148</f>
        <v>-0.21168224299065427</v>
      </c>
      <c r="BL148" s="564">
        <f>BH148-BG148</f>
        <v>0.63744319620962031</v>
      </c>
      <c r="BM148" s="564">
        <f>BI148-BH148</f>
        <v>-3.6905443528479775</v>
      </c>
      <c r="BN148" s="112"/>
      <c r="BO148" s="112"/>
      <c r="BP148" s="620"/>
      <c r="BQ148" s="620"/>
    </row>
    <row r="149" spans="1:69" ht="6" customHeight="1">
      <c r="A149" s="115"/>
      <c r="B149" s="636"/>
      <c r="C149" s="33"/>
      <c r="D149" s="33"/>
      <c r="E149" s="47"/>
      <c r="F149" s="47"/>
      <c r="G149" s="47"/>
      <c r="H149" s="47"/>
      <c r="I149" s="47"/>
      <c r="J149" s="47"/>
      <c r="K149" s="47"/>
      <c r="L149" s="281"/>
      <c r="M149" s="47"/>
      <c r="N149" s="47"/>
      <c r="O149" s="47"/>
      <c r="P149" s="47"/>
      <c r="Q149" s="47"/>
      <c r="R149" s="47"/>
      <c r="S149" s="47"/>
      <c r="T149" s="47"/>
      <c r="U149" s="47"/>
      <c r="V149" s="281"/>
      <c r="W149" s="47"/>
      <c r="X149" s="47"/>
      <c r="Y149" s="47"/>
      <c r="Z149" s="47"/>
      <c r="AA149" s="47"/>
      <c r="AB149" s="47"/>
      <c r="AC149" s="47"/>
      <c r="AD149" s="47"/>
      <c r="AE149" s="47"/>
      <c r="AF149" s="281"/>
      <c r="AG149" s="47"/>
      <c r="AH149" s="47"/>
      <c r="AI149" s="47"/>
      <c r="AJ149" s="47"/>
      <c r="AK149" s="47"/>
      <c r="AL149" s="47"/>
      <c r="AM149" s="488"/>
      <c r="AN149" s="488"/>
      <c r="AO149" s="488"/>
      <c r="AP149" s="857"/>
      <c r="AQ149" s="328"/>
      <c r="AR149" s="328"/>
      <c r="AS149" s="328"/>
      <c r="AT149" s="328"/>
      <c r="AU149" s="328"/>
      <c r="AV149" s="328"/>
      <c r="AW149" s="328"/>
      <c r="AX149" s="330"/>
      <c r="AY149" s="408"/>
      <c r="AZ149" s="637"/>
      <c r="BA149" s="408"/>
      <c r="BB149" s="408"/>
      <c r="BC149" s="408"/>
      <c r="BD149" s="408"/>
      <c r="BE149" s="408"/>
      <c r="BF149" s="637"/>
      <c r="BG149" s="637"/>
      <c r="BH149" s="637"/>
      <c r="BI149" s="637"/>
      <c r="BJ149" s="871"/>
      <c r="BK149" s="871"/>
      <c r="BL149" s="565"/>
      <c r="BM149" s="565"/>
      <c r="BP149" s="620"/>
      <c r="BQ149" s="620"/>
    </row>
    <row r="150" spans="1:69" ht="11.25" customHeight="1">
      <c r="A150" s="119" t="s">
        <v>139</v>
      </c>
      <c r="B150" s="335" t="s">
        <v>3</v>
      </c>
      <c r="C150" s="327" t="s">
        <v>3</v>
      </c>
      <c r="D150" s="327" t="s">
        <v>3</v>
      </c>
      <c r="E150" s="331" t="s">
        <v>3</v>
      </c>
      <c r="F150" s="331" t="s">
        <v>3</v>
      </c>
      <c r="G150" s="331" t="s">
        <v>3</v>
      </c>
      <c r="H150" s="331" t="s">
        <v>3</v>
      </c>
      <c r="I150" s="331" t="s">
        <v>3</v>
      </c>
      <c r="J150" s="331" t="s">
        <v>3</v>
      </c>
      <c r="K150" s="331" t="s">
        <v>3</v>
      </c>
      <c r="L150" s="335" t="s">
        <v>3</v>
      </c>
      <c r="M150" s="331" t="s">
        <v>3</v>
      </c>
      <c r="N150" s="331" t="s">
        <v>3</v>
      </c>
      <c r="O150" s="331" t="s">
        <v>3</v>
      </c>
      <c r="P150" s="331" t="s">
        <v>3</v>
      </c>
      <c r="Q150" s="331" t="s">
        <v>3</v>
      </c>
      <c r="R150" s="331" t="s">
        <v>3</v>
      </c>
      <c r="S150" s="331" t="s">
        <v>3</v>
      </c>
      <c r="T150" s="331" t="s">
        <v>3</v>
      </c>
      <c r="U150" s="331" t="s">
        <v>3</v>
      </c>
      <c r="V150" s="335" t="s">
        <v>3</v>
      </c>
      <c r="W150" s="331" t="s">
        <v>3</v>
      </c>
      <c r="X150" s="331" t="s">
        <v>3</v>
      </c>
      <c r="Y150" s="331" t="s">
        <v>3</v>
      </c>
      <c r="Z150" s="331" t="s">
        <v>3</v>
      </c>
      <c r="AA150" s="331" t="s">
        <v>3</v>
      </c>
      <c r="AB150" s="331" t="s">
        <v>3</v>
      </c>
      <c r="AC150" s="331" t="s">
        <v>3</v>
      </c>
      <c r="AD150" s="331" t="s">
        <v>3</v>
      </c>
      <c r="AE150" s="331" t="s">
        <v>3</v>
      </c>
      <c r="AF150" s="270">
        <f>SUM('MasterA1(current$)'!AF144)/0.66773</f>
        <v>1.4976113099606128</v>
      </c>
      <c r="AG150" s="30">
        <f>SUM('MasterA1(current$)'!AG144)/0.68996</f>
        <v>15.942953214679111</v>
      </c>
      <c r="AH150" s="30">
        <f>SUM('MasterA1(current$)'!AH144)/0.70569</f>
        <v>18.421686576258697</v>
      </c>
      <c r="AI150" s="30">
        <f>SUM('MasterA1(current$)'!AI144)/0.72248</f>
        <v>22.14594175617318</v>
      </c>
      <c r="AJ150" s="30">
        <f>SUM('MasterA1(current$)'!AJ144)/0.73785</f>
        <v>18.974046215355425</v>
      </c>
      <c r="AK150" s="30">
        <f>SUM('MasterA1(current$)'!AK144)/0.75324</f>
        <v>17.258775423503796</v>
      </c>
      <c r="AL150" s="30">
        <f>SUM('MasterA1(current$)'!AL144)/0.76699</f>
        <v>18.253171488546137</v>
      </c>
      <c r="AM150" s="30">
        <f>SUM('MasterA1(current$)'!AM144)/0.78012</f>
        <v>19.227811105983694</v>
      </c>
      <c r="AN150" s="30">
        <f>SUM('MasterA1(current$)'!AN144)/0.78859</f>
        <v>21.557463320610204</v>
      </c>
      <c r="AO150" s="30">
        <f>SUM('MasterA1(current$)'!AO144)/0.80065</f>
        <v>22.481733591456941</v>
      </c>
      <c r="AP150" s="857">
        <f>SUM('MasterA1(current$)'!AP144)/0.81887</f>
        <v>21.981511106769084</v>
      </c>
      <c r="AQ150" s="328">
        <f>SUM('MasterA1(current$)'!AQ144)/0.83754</f>
        <v>22.685483678391481</v>
      </c>
      <c r="AR150" s="328">
        <f>SUM('MasterA1(current$)'!AR144)/0.85039</f>
        <v>27.046413998283143</v>
      </c>
      <c r="AS150" s="328">
        <f>SUM('MasterA1(current$)'!AS144)/0.86735</f>
        <v>26.517553467458352</v>
      </c>
      <c r="AT150" s="328">
        <f>SUM('MasterA1(current$)'!AT144)/0.8912</f>
        <v>25.807899461400361</v>
      </c>
      <c r="AU150" s="328">
        <f>SUM('MasterA1(current$)'!AU144)/0.91988</f>
        <v>34.787146149497758</v>
      </c>
      <c r="AV150" s="328">
        <f>SUM('MasterA1(current$)'!AV144)/0.94814</f>
        <v>32.695593477756447</v>
      </c>
      <c r="AW150" s="328">
        <f>SUM('MasterA1(current$)'!AW144)/0.97337</f>
        <v>33.90283242754554</v>
      </c>
      <c r="AX150" s="330">
        <f>('MasterA1(current$)'!AX144*100)/99.246</f>
        <v>37.281099490155775</v>
      </c>
      <c r="AY150" s="408">
        <f>SUM('MasterA1(current$)'!AY144)</f>
        <v>33</v>
      </c>
      <c r="AZ150" s="305" t="s">
        <v>3</v>
      </c>
      <c r="BA150" s="284" t="s">
        <v>3</v>
      </c>
      <c r="BB150" s="284" t="s">
        <v>3</v>
      </c>
      <c r="BC150" s="284" t="s">
        <v>3</v>
      </c>
      <c r="BD150" s="284" t="s">
        <v>3</v>
      </c>
      <c r="BE150" s="284" t="s">
        <v>3</v>
      </c>
      <c r="BF150" s="305" t="s">
        <v>3</v>
      </c>
      <c r="BG150" s="305" t="s">
        <v>3</v>
      </c>
      <c r="BH150" s="305" t="s">
        <v>3</v>
      </c>
      <c r="BI150" s="305" t="s">
        <v>3</v>
      </c>
      <c r="BJ150" s="874" t="s">
        <v>10</v>
      </c>
      <c r="BK150" s="874" t="s">
        <v>10</v>
      </c>
      <c r="BL150" s="568" t="s">
        <v>10</v>
      </c>
      <c r="BM150" s="568" t="s">
        <v>10</v>
      </c>
      <c r="BP150" s="620"/>
      <c r="BQ150" s="620"/>
    </row>
    <row r="151" spans="1:69" ht="6" customHeight="1">
      <c r="A151" s="115"/>
      <c r="B151" s="636"/>
      <c r="C151" s="33"/>
      <c r="D151" s="33"/>
      <c r="E151" s="47"/>
      <c r="F151" s="47"/>
      <c r="G151" s="47"/>
      <c r="H151" s="47"/>
      <c r="I151" s="47"/>
      <c r="J151" s="47"/>
      <c r="K151" s="47"/>
      <c r="L151" s="281"/>
      <c r="M151" s="47"/>
      <c r="N151" s="47"/>
      <c r="O151" s="47"/>
      <c r="P151" s="47"/>
      <c r="Q151" s="47"/>
      <c r="R151" s="47"/>
      <c r="S151" s="47"/>
      <c r="T151" s="47"/>
      <c r="U151" s="47"/>
      <c r="V151" s="281"/>
      <c r="W151" s="47"/>
      <c r="X151" s="47"/>
      <c r="Y151" s="47"/>
      <c r="Z151" s="47"/>
      <c r="AA151" s="47"/>
      <c r="AB151" s="47"/>
      <c r="AC151" s="47"/>
      <c r="AD151" s="47"/>
      <c r="AE151" s="47"/>
      <c r="AF151" s="281"/>
      <c r="AG151" s="47"/>
      <c r="AH151" s="47"/>
      <c r="AI151" s="47"/>
      <c r="AJ151" s="47"/>
      <c r="AK151" s="47"/>
      <c r="AL151" s="47"/>
      <c r="AM151" s="488"/>
      <c r="AN151" s="488"/>
      <c r="AO151" s="488"/>
      <c r="AP151" s="857"/>
      <c r="AQ151" s="328"/>
      <c r="AR151" s="328"/>
      <c r="AS151" s="328"/>
      <c r="AT151" s="328"/>
      <c r="AU151" s="328"/>
      <c r="AV151" s="328"/>
      <c r="AW151" s="328"/>
      <c r="AX151" s="330"/>
      <c r="AY151" s="408"/>
      <c r="AZ151" s="637"/>
      <c r="BA151" s="408"/>
      <c r="BB151" s="408"/>
      <c r="BC151" s="408"/>
      <c r="BD151" s="408"/>
      <c r="BE151" s="408"/>
      <c r="BF151" s="637"/>
      <c r="BG151" s="637"/>
      <c r="BH151" s="637"/>
      <c r="BI151" s="637"/>
      <c r="BJ151" s="410"/>
      <c r="BK151" s="410"/>
      <c r="BL151" s="566"/>
      <c r="BM151" s="566"/>
      <c r="BP151" s="620"/>
      <c r="BQ151" s="620"/>
    </row>
    <row r="152" spans="1:69" ht="11.25" customHeight="1">
      <c r="A152" s="119" t="s">
        <v>140</v>
      </c>
      <c r="B152" s="335" t="s">
        <v>3</v>
      </c>
      <c r="C152" s="60" t="s">
        <v>3</v>
      </c>
      <c r="D152" s="60" t="s">
        <v>3</v>
      </c>
      <c r="E152" s="331" t="s">
        <v>3</v>
      </c>
      <c r="F152" s="331" t="s">
        <v>3</v>
      </c>
      <c r="G152" s="331" t="s">
        <v>3</v>
      </c>
      <c r="H152" s="331" t="s">
        <v>3</v>
      </c>
      <c r="I152" s="331" t="s">
        <v>3</v>
      </c>
      <c r="J152" s="331" t="s">
        <v>3</v>
      </c>
      <c r="K152" s="331" t="s">
        <v>3</v>
      </c>
      <c r="L152" s="335" t="s">
        <v>3</v>
      </c>
      <c r="M152" s="331" t="s">
        <v>3</v>
      </c>
      <c r="N152" s="331" t="s">
        <v>3</v>
      </c>
      <c r="O152" s="331" t="s">
        <v>3</v>
      </c>
      <c r="P152" s="331" t="s">
        <v>3</v>
      </c>
      <c r="Q152" s="331" t="s">
        <v>3</v>
      </c>
      <c r="R152" s="331" t="s">
        <v>3</v>
      </c>
      <c r="S152" s="331" t="s">
        <v>3</v>
      </c>
      <c r="T152" s="331" t="s">
        <v>3</v>
      </c>
      <c r="U152" s="331" t="s">
        <v>3</v>
      </c>
      <c r="V152" s="335" t="s">
        <v>3</v>
      </c>
      <c r="W152" s="331" t="s">
        <v>3</v>
      </c>
      <c r="X152" s="331" t="s">
        <v>3</v>
      </c>
      <c r="Y152" s="331" t="s">
        <v>3</v>
      </c>
      <c r="Z152" s="331" t="s">
        <v>3</v>
      </c>
      <c r="AA152" s="331" t="s">
        <v>3</v>
      </c>
      <c r="AB152" s="331" t="s">
        <v>3</v>
      </c>
      <c r="AC152" s="331" t="s">
        <v>3</v>
      </c>
      <c r="AD152" s="331" t="s">
        <v>3</v>
      </c>
      <c r="AE152" s="331" t="s">
        <v>3</v>
      </c>
      <c r="AF152" s="335" t="s">
        <v>3</v>
      </c>
      <c r="AG152" s="331" t="s">
        <v>3</v>
      </c>
      <c r="AH152" s="331" t="s">
        <v>3</v>
      </c>
      <c r="AI152" s="331" t="s">
        <v>3</v>
      </c>
      <c r="AJ152" s="331" t="s">
        <v>3</v>
      </c>
      <c r="AK152" s="331" t="s">
        <v>3</v>
      </c>
      <c r="AL152" s="331" t="s">
        <v>3</v>
      </c>
      <c r="AM152" s="331" t="s">
        <v>3</v>
      </c>
      <c r="AN152" s="331" t="s">
        <v>3</v>
      </c>
      <c r="AO152" s="331" t="s">
        <v>3</v>
      </c>
      <c r="AP152" s="335" t="s">
        <v>3</v>
      </c>
      <c r="AQ152" s="331" t="s">
        <v>3</v>
      </c>
      <c r="AR152" s="331" t="s">
        <v>3</v>
      </c>
      <c r="AS152" s="331" t="s">
        <v>3</v>
      </c>
      <c r="AT152" s="331" t="s">
        <v>3</v>
      </c>
      <c r="AU152" s="331" t="s">
        <v>3</v>
      </c>
      <c r="AV152" s="331" t="s">
        <v>3</v>
      </c>
      <c r="AW152" s="331" t="s">
        <v>3</v>
      </c>
      <c r="AX152" s="331" t="s">
        <v>3</v>
      </c>
      <c r="AY152" s="408">
        <f>SUM('MasterA1(current$)'!AY146)</f>
        <v>33</v>
      </c>
      <c r="AZ152" s="637">
        <f>SUM('MasterA1(current$)'!AZ146*100)/101.221</f>
        <v>121.51628614615544</v>
      </c>
      <c r="BA152" s="408">
        <f>SUM('MasterA1(current$)'!BA146*100)/103.311</f>
        <v>167.45554684399531</v>
      </c>
      <c r="BB152" s="408">
        <f>SUM('MasterA1(current$)'!BB146*100)/105.214</f>
        <v>216.7011994601479</v>
      </c>
      <c r="BC152" s="408">
        <f>SUM('MasterA1(current$)'!BC146*100)/106.913</f>
        <v>219.80488808657506</v>
      </c>
      <c r="BD152" s="408">
        <f>SUM('MasterA1(current$)'!BD146*100)/108.832</f>
        <v>226.95530726256985</v>
      </c>
      <c r="BE152" s="408">
        <f>SUM('MasterA1(current$)'!BE146*100)/110.012</f>
        <v>222.70297785696107</v>
      </c>
      <c r="BF152" s="637">
        <f>SUM('MasterA1(current$)'!BF146*100)/111.416</f>
        <v>225.28182666762405</v>
      </c>
      <c r="BG152" s="637">
        <f>SUM('MasterA1(current$)'!BG146*100)/113.116</f>
        <v>230.73658898829521</v>
      </c>
      <c r="BH152" s="637">
        <f>SUM('MasterA1(current$)'!BH146*100)/114.716</f>
        <v>223.15980334042331</v>
      </c>
      <c r="BI152" s="637">
        <f>SUM('MasterA1(current$)'!BI146*100)/116.416</f>
        <v>225.05497526113248</v>
      </c>
      <c r="BJ152" s="410">
        <f>(BH152-BG152)/BG152</f>
        <v>-3.2837382580255862E-2</v>
      </c>
      <c r="BK152" s="410">
        <f>(BI152-BH152)/BH152</f>
        <v>8.4924430490653756E-3</v>
      </c>
      <c r="BL152" s="564">
        <f>BH152-BG152</f>
        <v>-7.5767856478719011</v>
      </c>
      <c r="BM152" s="564">
        <f>BI152-BH152</f>
        <v>1.8951719207091742</v>
      </c>
      <c r="BN152" s="112"/>
      <c r="BO152" s="112"/>
      <c r="BP152" s="620"/>
      <c r="BQ152" s="620"/>
    </row>
    <row r="153" spans="1:69" ht="6" customHeight="1">
      <c r="A153" s="115"/>
      <c r="B153" s="636"/>
      <c r="C153" s="33"/>
      <c r="D153" s="33"/>
      <c r="E153" s="47"/>
      <c r="F153" s="47"/>
      <c r="G153" s="47"/>
      <c r="H153" s="47"/>
      <c r="I153" s="47"/>
      <c r="J153" s="47"/>
      <c r="K153" s="47"/>
      <c r="L153" s="281"/>
      <c r="M153" s="47"/>
      <c r="N153" s="47"/>
      <c r="O153" s="47"/>
      <c r="P153" s="47"/>
      <c r="Q153" s="47"/>
      <c r="R153" s="47"/>
      <c r="S153" s="47"/>
      <c r="T153" s="47"/>
      <c r="U153" s="47"/>
      <c r="V153" s="281"/>
      <c r="W153" s="47"/>
      <c r="X153" s="47"/>
      <c r="Y153" s="47"/>
      <c r="Z153" s="47"/>
      <c r="AA153" s="47"/>
      <c r="AB153" s="47"/>
      <c r="AC153" s="47"/>
      <c r="AD153" s="47"/>
      <c r="AE153" s="47"/>
      <c r="AF153" s="281"/>
      <c r="AG153" s="47"/>
      <c r="AH153" s="47"/>
      <c r="AI153" s="47"/>
      <c r="AJ153" s="47"/>
      <c r="AK153" s="47"/>
      <c r="AL153" s="47"/>
      <c r="AM153" s="488"/>
      <c r="AN153" s="488"/>
      <c r="AO153" s="488"/>
      <c r="AP153" s="857"/>
      <c r="AQ153" s="328"/>
      <c r="AR153" s="328"/>
      <c r="AS153" s="328"/>
      <c r="AT153" s="328"/>
      <c r="AU153" s="328"/>
      <c r="AV153" s="328"/>
      <c r="AW153" s="328"/>
      <c r="AX153" s="330"/>
      <c r="AY153" s="408"/>
      <c r="AZ153" s="637"/>
      <c r="BA153" s="408"/>
      <c r="BB153" s="408"/>
      <c r="BC153" s="408"/>
      <c r="BD153" s="408"/>
      <c r="BE153" s="408"/>
      <c r="BF153" s="637"/>
      <c r="BG153" s="637"/>
      <c r="BH153" s="637"/>
      <c r="BI153" s="637"/>
      <c r="BJ153" s="871"/>
      <c r="BK153" s="871"/>
      <c r="BL153" s="565"/>
      <c r="BM153" s="565"/>
      <c r="BP153" s="620"/>
      <c r="BQ153" s="620"/>
    </row>
    <row r="154" spans="1:69" ht="11.25" customHeight="1">
      <c r="A154" s="116" t="s">
        <v>141</v>
      </c>
      <c r="B154" s="636"/>
      <c r="C154" s="33"/>
      <c r="D154" s="33"/>
      <c r="E154" s="47"/>
      <c r="F154" s="47"/>
      <c r="G154" s="47"/>
      <c r="H154" s="47"/>
      <c r="I154" s="47"/>
      <c r="J154" s="47"/>
      <c r="K154" s="47"/>
      <c r="L154" s="281"/>
      <c r="M154" s="47"/>
      <c r="N154" s="47"/>
      <c r="O154" s="47"/>
      <c r="P154" s="47"/>
      <c r="Q154" s="47"/>
      <c r="R154" s="47"/>
      <c r="S154" s="47"/>
      <c r="T154" s="47"/>
      <c r="U154" s="47"/>
      <c r="V154" s="281"/>
      <c r="W154" s="47"/>
      <c r="X154" s="47"/>
      <c r="Y154" s="47"/>
      <c r="Z154" s="47"/>
      <c r="AA154" s="47"/>
      <c r="AB154" s="47"/>
      <c r="AC154" s="47"/>
      <c r="AD154" s="47"/>
      <c r="AE154" s="47"/>
      <c r="AF154" s="281"/>
      <c r="AG154" s="47"/>
      <c r="AH154" s="47"/>
      <c r="AI154" s="47"/>
      <c r="AJ154" s="47"/>
      <c r="AK154" s="47"/>
      <c r="AL154" s="47"/>
      <c r="AM154" s="47"/>
      <c r="AN154" s="47"/>
      <c r="AO154" s="47"/>
      <c r="AP154" s="281"/>
      <c r="AQ154" s="47"/>
      <c r="AR154" s="47"/>
      <c r="AS154" s="47"/>
      <c r="AT154" s="47"/>
      <c r="AU154" s="47"/>
      <c r="AV154" s="47"/>
      <c r="AW154" s="47"/>
      <c r="AX154" s="47"/>
      <c r="AY154" s="47"/>
      <c r="AZ154" s="281"/>
      <c r="BA154" s="47"/>
      <c r="BB154" s="47"/>
      <c r="BC154" s="47"/>
      <c r="BD154" s="47"/>
      <c r="BE154" s="47"/>
      <c r="BF154" s="281"/>
      <c r="BG154" s="281"/>
      <c r="BH154" s="281"/>
      <c r="BI154" s="281"/>
      <c r="BJ154" s="871"/>
      <c r="BK154" s="871"/>
      <c r="BL154" s="565"/>
      <c r="BM154" s="565"/>
      <c r="BP154" s="620"/>
      <c r="BQ154" s="620"/>
    </row>
    <row r="155" spans="1:69" ht="10.5" customHeight="1">
      <c r="A155" s="119" t="s">
        <v>142</v>
      </c>
      <c r="B155" s="810" t="s">
        <v>3</v>
      </c>
      <c r="C155" s="45" t="s">
        <v>3</v>
      </c>
      <c r="D155" s="45" t="s">
        <v>3</v>
      </c>
      <c r="E155" s="220" t="s">
        <v>3</v>
      </c>
      <c r="F155" s="220" t="s">
        <v>3</v>
      </c>
      <c r="G155" s="220" t="s">
        <v>3</v>
      </c>
      <c r="H155" s="220" t="s">
        <v>3</v>
      </c>
      <c r="I155" s="220" t="s">
        <v>3</v>
      </c>
      <c r="J155" s="220" t="s">
        <v>3</v>
      </c>
      <c r="K155" s="220" t="s">
        <v>3</v>
      </c>
      <c r="L155" s="858" t="s">
        <v>3</v>
      </c>
      <c r="M155" s="220" t="s">
        <v>3</v>
      </c>
      <c r="N155" s="220" t="s">
        <v>3</v>
      </c>
      <c r="O155" s="220" t="s">
        <v>3</v>
      </c>
      <c r="P155" s="220" t="s">
        <v>3</v>
      </c>
      <c r="Q155" s="220" t="s">
        <v>3</v>
      </c>
      <c r="R155" s="220" t="s">
        <v>3</v>
      </c>
      <c r="S155" s="30">
        <f>SUM('MasterA1(current$)'!S149)/0.35135</f>
        <v>150.8467340259001</v>
      </c>
      <c r="T155" s="30">
        <f>SUM('MasterA1(current$)'!T149)/0.37602</f>
        <v>154.24711451518536</v>
      </c>
      <c r="U155" s="30">
        <f>SUM('MasterA1(current$)'!U149)/0.40706</f>
        <v>167.05154031346731</v>
      </c>
      <c r="V155" s="270">
        <f>SUM('MasterA1(current$)'!V149)/0.44377</f>
        <v>193.79408252022444</v>
      </c>
      <c r="W155" s="30">
        <f>SUM('MasterA1(current$)'!W149)/0.4852</f>
        <v>206.10057708161582</v>
      </c>
      <c r="X155" s="30">
        <f>SUM('MasterA1(current$)'!X149)/0.5153</f>
        <v>230.93343683291289</v>
      </c>
      <c r="Y155" s="30">
        <f>SUM('MasterA1(current$)'!Y149)/0.53565</f>
        <v>246.42957154858584</v>
      </c>
      <c r="Z155" s="30">
        <f>SUM('MasterA1(current$)'!Z149)/0.55466</f>
        <v>254.20978617531458</v>
      </c>
      <c r="AA155" s="30">
        <f>SUM('MasterA1(current$)'!AA149)/0.5724</f>
        <v>265.54856743535987</v>
      </c>
      <c r="AB155" s="30">
        <f>SUM('MasterA1(current$)'!AB149)/0.58395</f>
        <v>280.8459628392842</v>
      </c>
      <c r="AC155" s="30">
        <f>SUM('MasterA1(current$)'!AC149)/0.59885</f>
        <v>283.87743174417636</v>
      </c>
      <c r="AD155" s="30">
        <f>SUM('MasterA1(current$)'!AD149)/0.61982</f>
        <v>301.70049369171693</v>
      </c>
      <c r="AE155" s="30">
        <f>SUM('MasterA1(current$)'!AE149)/0.64392</f>
        <v>305.93862591626288</v>
      </c>
      <c r="AF155" s="270">
        <f>SUM('MasterA1(current$)'!AF149)/0.66773</f>
        <v>317.4935977116499</v>
      </c>
      <c r="AG155" s="30">
        <f>SUM('MasterA1(current$)'!AG149)/0.68996</f>
        <v>343.49817380717724</v>
      </c>
      <c r="AH155" s="30">
        <f>SUM('MasterA1(current$)'!AH149)/0.70569</f>
        <v>391.10657654210769</v>
      </c>
      <c r="AI155" s="30">
        <f>SUM('MasterA1(current$)'!AI149)/0.72248</f>
        <v>451.22356328202858</v>
      </c>
      <c r="AJ155" s="30">
        <f>SUM('MasterA1(current$)'!AJ149)/0.73785</f>
        <v>489.25933455309342</v>
      </c>
      <c r="AK155" s="30">
        <f>SUM('MasterA1(current$)'!AK149)/0.75324</f>
        <v>520.41845892411447</v>
      </c>
      <c r="AL155" s="30">
        <f>SUM('MasterA1(current$)'!AL149)/0.76699</f>
        <v>552.81033651025439</v>
      </c>
      <c r="AM155" s="30">
        <f>SUM('MasterA1(current$)'!AM149)/0.78012</f>
        <v>558.88837614725935</v>
      </c>
      <c r="AN155" s="30">
        <f>SUM('MasterA1(current$)'!AN149)/0.78859</f>
        <v>573.17490711269477</v>
      </c>
      <c r="AO155" s="30">
        <f>SUM('MasterA1(current$)'!AO149)/0.80065</f>
        <v>595.76594017360901</v>
      </c>
      <c r="AP155" s="857">
        <f>SUM('MasterA1(current$)'!AP149)/0.81887</f>
        <v>655.78174801861098</v>
      </c>
      <c r="AQ155" s="328">
        <f>SUM('MasterA1(current$)'!AQ149)/0.83754</f>
        <v>531.317907204432</v>
      </c>
      <c r="AR155" s="328">
        <f>SUM('MasterA1(current$)'!AR149)/0.85039</f>
        <v>553.86352144310263</v>
      </c>
      <c r="AS155" s="328">
        <f>SUM('MasterA1(current$)'!AS149)/0.86735</f>
        <v>579.92736496224131</v>
      </c>
      <c r="AT155" s="328">
        <f>SUM('MasterA1(current$)'!AT149)/0.8912</f>
        <v>554.30879712746855</v>
      </c>
      <c r="AU155" s="328">
        <f>SUM('MasterA1(current$)'!AU149)/0.91988</f>
        <v>564.20402661216679</v>
      </c>
      <c r="AV155" s="328">
        <f>SUM('MasterA1(current$)'!AV149)/0.94814</f>
        <v>586.41128947201889</v>
      </c>
      <c r="AW155" s="328">
        <f>SUM('MasterA1(current$)'!AW149)/0.97337</f>
        <v>609.22362513740927</v>
      </c>
      <c r="AX155" s="330">
        <f>('MasterA1(current$)'!AX149*100)/99.246</f>
        <v>646.87745601837855</v>
      </c>
      <c r="AY155" s="408">
        <f>SUM('MasterA1(current$)'!AY149)</f>
        <v>725</v>
      </c>
      <c r="AZ155" s="637">
        <f>SUM('MasterA1(current$)'!AZ149*100)/101.221</f>
        <v>792.32570316436306</v>
      </c>
      <c r="BA155" s="408">
        <f>SUM('MasterA1(current$)'!BA149*100)/103.311</f>
        <v>904.06636273000936</v>
      </c>
      <c r="BB155" s="405">
        <f>SUM('MasterA1(current$)'!BB149*100)/105.214</f>
        <v>1004.6191571463874</v>
      </c>
      <c r="BC155" s="405">
        <f>SUM('MasterA1(current$)'!BC149*100)/106.913</f>
        <v>1046.6454032718191</v>
      </c>
      <c r="BD155" s="405">
        <f>SUM('MasterA1(current$)'!BD149*100)/108.832</f>
        <v>1074.132608056454</v>
      </c>
      <c r="BE155" s="405">
        <f>SUM('MasterA1(current$)'!BE149*100)/110.012</f>
        <v>1138.0576664363887</v>
      </c>
      <c r="BF155" s="536">
        <f>SUM('MasterA1(current$)'!BE149*100)/111.416</f>
        <v>1123.7165218640052</v>
      </c>
      <c r="BG155" s="536">
        <f>SUM('MasterA1(current$)'!BG149*100)/113.116</f>
        <v>1184.6246331199829</v>
      </c>
      <c r="BH155" s="536">
        <f>SUM('MasterA1(current$)'!BH149*100)/114.716</f>
        <v>1168.1020956100283</v>
      </c>
      <c r="BI155" s="536">
        <f>SUM('MasterA1(current$)'!BI149*100)/116.416</f>
        <v>1151.0445299615174</v>
      </c>
      <c r="BJ155" s="410">
        <f t="shared" ref="BJ155:BK157" si="11">(BH155-BG155)/BG155</f>
        <v>-1.3947487708776341E-2</v>
      </c>
      <c r="BK155" s="410">
        <f t="shared" si="11"/>
        <v>-1.4602803738317773E-2</v>
      </c>
      <c r="BL155" s="564">
        <f t="shared" ref="BL155:BM157" si="12">BH155-BG155</f>
        <v>-16.522537509954645</v>
      </c>
      <c r="BM155" s="564">
        <f t="shared" si="12"/>
        <v>-17.057565648510945</v>
      </c>
      <c r="BN155" s="112"/>
      <c r="BO155" s="112"/>
      <c r="BP155" s="620"/>
      <c r="BQ155" s="620"/>
    </row>
    <row r="156" spans="1:69" ht="11.25" customHeight="1">
      <c r="A156" s="115" t="s">
        <v>24</v>
      </c>
      <c r="B156" s="898">
        <f>SUM('MasterA1(current$)'!B150)/0.1756</f>
        <v>11.389521640091116</v>
      </c>
      <c r="C156" s="57">
        <f>SUM('MasterA1(current$)'!C150)/0.178</f>
        <v>11.235955056179776</v>
      </c>
      <c r="D156" s="57">
        <f>SUM('MasterA1(current$)'!D150)/0.1798</f>
        <v>11.123470522803116</v>
      </c>
      <c r="E156" s="333">
        <f>SUM('MasterA1(current$)'!E150)/0.182</f>
        <v>10.989010989010989</v>
      </c>
      <c r="F156" s="333">
        <f>SUM('MasterA1(current$)'!F150)/0.1842</f>
        <v>10.857763300760043</v>
      </c>
      <c r="G156" s="333">
        <f>SUM('MasterA1(current$)'!G150)/0.18702</f>
        <v>10.694043417816276</v>
      </c>
      <c r="H156" s="333">
        <f>SUM('MasterA1(current$)'!H150)/0.19227</f>
        <v>15.603058199407084</v>
      </c>
      <c r="I156" s="333">
        <f>SUM('MasterA1(current$)'!I150)/0.19786</f>
        <v>15.162235924390982</v>
      </c>
      <c r="J156" s="333">
        <f>SUM('MasterA1(current$)'!J150)/0.20627</f>
        <v>19.392058951859212</v>
      </c>
      <c r="K156" s="333">
        <f>SUM('MasterA1(current$)'!K150)/0.21642</f>
        <v>18.482580168191479</v>
      </c>
      <c r="L156" s="269">
        <f>SUM('MasterA1(current$)'!L150)/0.22784</f>
        <v>21.945224719101123</v>
      </c>
      <c r="M156" s="333">
        <f>SUM('MasterA1(current$)'!M150)/0.23941</f>
        <v>25.061609790735556</v>
      </c>
      <c r="N156" s="333">
        <f>SUM('MasterA1(current$)'!N150)/0.24978</f>
        <v>24.021138601969731</v>
      </c>
      <c r="O156" s="333">
        <f>SUM('MasterA1(current$)'!O150)/0.26337</f>
        <v>30.375517333029578</v>
      </c>
      <c r="P156" s="333">
        <f>SUM('MasterA1(current$)'!P150)/0.28703</f>
        <v>31.355607427795004</v>
      </c>
      <c r="Q156" s="333">
        <f>SUM('MasterA1(current$)'!Q150)/0.31361</f>
        <v>35.075412136092602</v>
      </c>
      <c r="R156" s="333">
        <f>SUM('MasterA1(current$)'!R150)/0.33083</f>
        <v>36.272405767312513</v>
      </c>
      <c r="S156" s="333">
        <f>SUM('MasterA1(current$)'!S150)/0.35135</f>
        <v>37.000142308239646</v>
      </c>
      <c r="T156" s="333">
        <f>SUM('MasterA1(current$)'!T150)/0.37602</f>
        <v>37.232062124355089</v>
      </c>
      <c r="U156" s="30">
        <f>SUM('MasterA1(current$)'!U150)/0.40706</f>
        <v>44.219525377094286</v>
      </c>
      <c r="V156" s="269">
        <f>SUM('MasterA1(current$)'!V150)/0.44377</f>
        <v>42.81497171958447</v>
      </c>
      <c r="W156" s="333">
        <f>SUM('MasterA1(current$)'!W150)/0.4852</f>
        <v>43.28112118713932</v>
      </c>
      <c r="X156" s="333">
        <f>SUM('MasterA1(current$)'!X150)/0.5153</f>
        <v>42.693576557345239</v>
      </c>
      <c r="Y156" s="333">
        <f>SUM('MasterA1(current$)'!Y150)/0.53565</f>
        <v>46.672267338747318</v>
      </c>
      <c r="Z156" s="333">
        <f>SUM('MasterA1(current$)'!Z150)/0.55466</f>
        <v>45.072657123282731</v>
      </c>
      <c r="AA156" s="333">
        <f>SUM('MasterA1(current$)'!AA150)/0.5724</f>
        <v>47.169811320754718</v>
      </c>
      <c r="AB156" s="333">
        <f>SUM('MasterA1(current$)'!AB150)/0.58395</f>
        <v>51.374261494991011</v>
      </c>
      <c r="AC156" s="333">
        <f>SUM('MasterA1(current$)'!AC150)/0.59885</f>
        <v>40.076813893295487</v>
      </c>
      <c r="AD156" s="333">
        <f>SUM('MasterA1(current$)'!AD150)/0.61982</f>
        <v>40.334290600496914</v>
      </c>
      <c r="AE156" s="333">
        <f>SUM('MasterA1(current$)'!AE150)/0.64392</f>
        <v>41.930674617964961</v>
      </c>
      <c r="AF156" s="269">
        <f>SUM('MasterA1(current$)'!AF150)/0.66773</f>
        <v>44.928339298818379</v>
      </c>
      <c r="AG156" s="333">
        <f>SUM('MasterA1(current$)'!AG150)/0.68996</f>
        <v>56.52501594295321</v>
      </c>
      <c r="AH156" s="333">
        <f>SUM('MasterA1(current$)'!AH150)/0.70569</f>
        <v>59.516218169451172</v>
      </c>
      <c r="AI156" s="333">
        <f>SUM('MasterA1(current$)'!AI150)/0.72248</f>
        <v>70.59018934780201</v>
      </c>
      <c r="AJ156" s="333">
        <f>SUM('MasterA1(current$)'!AJ150)/0.73785</f>
        <v>78.606762892186765</v>
      </c>
      <c r="AK156" s="333">
        <f>SUM('MasterA1(current$)'!AK150)/0.75324</f>
        <v>90.276671446019861</v>
      </c>
      <c r="AL156" s="333">
        <f>SUM('MasterA1(current$)'!AL150)/0.76699</f>
        <v>87.354463552327942</v>
      </c>
      <c r="AM156" s="333">
        <f>SUM('MasterA1(current$)'!AM150)/0.78012</f>
        <v>91.011639234989488</v>
      </c>
      <c r="AN156" s="333">
        <f>SUM('MasterA1(current$)'!AN150)/0.78859</f>
        <v>88.766025437806718</v>
      </c>
      <c r="AO156" s="333">
        <f>SUM('MasterA1(current$)'!AO150)/0.80065</f>
        <v>97.420845562980077</v>
      </c>
      <c r="AP156" s="799">
        <f>SUM('MasterA1(current$)'!AP150)/0.81887</f>
        <v>96.474409857486535</v>
      </c>
      <c r="AQ156" s="321">
        <f>SUM('MasterA1(current$)'!AQ150)/0.83754</f>
        <v>112.23344556677891</v>
      </c>
      <c r="AR156" s="321">
        <f>SUM('MasterA1(current$)'!AR150)/0.85039</f>
        <v>118.7690353837651</v>
      </c>
      <c r="AS156" s="321">
        <f>SUM('MasterA1(current$)'!AS150)/0.86735</f>
        <v>126.82308180088776</v>
      </c>
      <c r="AT156" s="321">
        <f>SUM('MasterA1(current$)'!AT150)/0.8912</f>
        <v>125.67324955116696</v>
      </c>
      <c r="AU156" s="321">
        <f>SUM('MasterA1(current$)'!AU150)/0.91988</f>
        <v>132.62599469496021</v>
      </c>
      <c r="AV156" s="190">
        <f>SUM('MasterA1(current$)'!AV150)/0.94814</f>
        <v>129.7276773472272</v>
      </c>
      <c r="AW156" s="190">
        <f>SUM('MasterA1(current$)'!AW150)/0.97337</f>
        <v>158.21321799521252</v>
      </c>
      <c r="AX156" s="231">
        <f>('MasterA1(current$)'!AX150*100)/99.246</f>
        <v>149.1243979606231</v>
      </c>
      <c r="AY156" s="408">
        <f>SUM('MasterA1(current$)'!AY150)</f>
        <v>164</v>
      </c>
      <c r="AZ156" s="637">
        <f>SUM('MasterA1(current$)'!AZ150*100)/101.221</f>
        <v>139.29915728949527</v>
      </c>
      <c r="BA156" s="408">
        <f>SUM('MasterA1(current$)'!BA150*100)/103.311</f>
        <v>141.32086612267813</v>
      </c>
      <c r="BB156" s="408">
        <f>SUM('MasterA1(current$)'!BB150*100)/105.214</f>
        <v>164.42678730967361</v>
      </c>
      <c r="BC156" s="408">
        <f>SUM('MasterA1(current$)'!BC150*100)/106.913</f>
        <v>164.61983107760517</v>
      </c>
      <c r="BD156" s="408">
        <f>SUM('MasterA1(current$)'!BD150*100)/108.832</f>
        <v>181.93178476918555</v>
      </c>
      <c r="BE156" s="408">
        <f>SUM('MasterA1(current$)'!BE150*100)/110.012</f>
        <v>202.7051594371523</v>
      </c>
      <c r="BF156" s="637">
        <f>SUM('MasterA1(current$)'!BF150*100)/111.416</f>
        <v>211.8187692970489</v>
      </c>
      <c r="BG156" s="637">
        <f>SUM('MasterA1(current$)'!BG150*100)/113.116</f>
        <v>225.43229958626543</v>
      </c>
      <c r="BH156" s="637">
        <f>SUM('MasterA1(current$)'!BH150*100)/114.716</f>
        <v>227.51839324941596</v>
      </c>
      <c r="BI156" s="637">
        <f>SUM('MasterA1(current$)'!BI150*100)/116.416</f>
        <v>224.19598680593734</v>
      </c>
      <c r="BJ156" s="410">
        <f t="shared" si="11"/>
        <v>9.2537478745465078E-3</v>
      </c>
      <c r="BK156" s="410">
        <f t="shared" si="11"/>
        <v>-1.4602803738317785E-2</v>
      </c>
      <c r="BL156" s="564">
        <f t="shared" si="12"/>
        <v>2.0860936631505353</v>
      </c>
      <c r="BM156" s="564">
        <f t="shared" si="12"/>
        <v>-3.3224064434786271</v>
      </c>
      <c r="BN156" s="112"/>
      <c r="BO156" s="112"/>
      <c r="BP156" s="620"/>
      <c r="BQ156" s="620"/>
    </row>
    <row r="157" spans="1:69" ht="11.25" customHeight="1">
      <c r="A157" s="118" t="s">
        <v>31</v>
      </c>
      <c r="B157" s="893" t="e">
        <f>SUM(#REF!)/0.1756</f>
        <v>#REF!</v>
      </c>
      <c r="C157" s="108">
        <f>SUM('MasterA1(current$)'!C151)/0.178</f>
        <v>11.235955056179776</v>
      </c>
      <c r="D157" s="107">
        <f>SUM('MasterA1(current$)'!D151)/0.1798</f>
        <v>11.123470522803116</v>
      </c>
      <c r="E157" s="449">
        <f>SUM('MasterA1(current$)'!E151)/0.182</f>
        <v>10.989010989010989</v>
      </c>
      <c r="F157" s="449">
        <f>SUM('MasterA1(current$)'!F151)/0.1842</f>
        <v>10.857763300760043</v>
      </c>
      <c r="G157" s="449">
        <f>SUM('MasterA1(current$)'!G151)/0.18702</f>
        <v>10.694043417816276</v>
      </c>
      <c r="H157" s="449">
        <f>SUM('MasterA1(current$)'!H151)/0.19227</f>
        <v>15.603058199407084</v>
      </c>
      <c r="I157" s="449">
        <f>SUM('MasterA1(current$)'!I151)/0.19786</f>
        <v>15.162235924390982</v>
      </c>
      <c r="J157" s="449">
        <f>SUM('MasterA1(current$)'!J151)/0.20627</f>
        <v>19.392058951859212</v>
      </c>
      <c r="K157" s="449">
        <f>SUM('MasterA1(current$)'!K151)/0.21642</f>
        <v>18.482580168191479</v>
      </c>
      <c r="L157" s="855">
        <f>SUM('MasterA1(current$)'!L151)/0.22784</f>
        <v>21.945224719101123</v>
      </c>
      <c r="M157" s="449">
        <f>SUM('MasterA1(current$)'!M151)/0.23941</f>
        <v>25.061609790735556</v>
      </c>
      <c r="N157" s="449">
        <f>SUM('MasterA1(current$)'!N151)/0.24978</f>
        <v>24.021138601969731</v>
      </c>
      <c r="O157" s="449">
        <f>SUM('MasterA1(current$)'!O151)/0.26337</f>
        <v>30.375517333029578</v>
      </c>
      <c r="P157" s="449">
        <f>SUM('MasterA1(current$)'!P151)/0.28703</f>
        <v>31.355607427795004</v>
      </c>
      <c r="Q157" s="449">
        <f>SUM('MasterA1(current$)'!Q151)/0.31361</f>
        <v>35.075412136092602</v>
      </c>
      <c r="R157" s="449">
        <f>SUM('MasterA1(current$)'!R151)/0.33083</f>
        <v>36.272405767312513</v>
      </c>
      <c r="S157" s="449">
        <f>SUM('MasterA1(current$)'!S151)/0.35135</f>
        <v>187.84687633413975</v>
      </c>
      <c r="T157" s="449">
        <f>SUM('MasterA1(current$)'!T151)/0.37602</f>
        <v>191.47917663954044</v>
      </c>
      <c r="U157" s="449">
        <f>SUM('MasterA1(current$)'!U151)/0.40706</f>
        <v>211.27106569056161</v>
      </c>
      <c r="V157" s="855">
        <f>SUM('MasterA1(current$)'!V151)/0.44377</f>
        <v>236.6090542398089</v>
      </c>
      <c r="W157" s="449">
        <f>SUM('MasterA1(current$)'!W151)/0.4852</f>
        <v>249.38169826875514</v>
      </c>
      <c r="X157" s="449">
        <f>SUM('MasterA1(current$)'!X151)/0.5153</f>
        <v>273.62701339025813</v>
      </c>
      <c r="Y157" s="449">
        <f>SUM('MasterA1(current$)'!Y151)/0.53565</f>
        <v>293.10183888733314</v>
      </c>
      <c r="Z157" s="449">
        <f>SUM('MasterA1(current$)'!Z151)/0.55466</f>
        <v>299.28244329859734</v>
      </c>
      <c r="AA157" s="449">
        <f>SUM('MasterA1(current$)'!AA151)/0.5724</f>
        <v>312.71837875611459</v>
      </c>
      <c r="AB157" s="449">
        <f>SUM('MasterA1(current$)'!AB151)/0.58395</f>
        <v>332.2202243342752</v>
      </c>
      <c r="AC157" s="449">
        <f>SUM('MasterA1(current$)'!AC151)/0.59885</f>
        <v>323.95424563747184</v>
      </c>
      <c r="AD157" s="449">
        <f>SUM('MasterA1(current$)'!AD151)/0.61982</f>
        <v>342.03478429221383</v>
      </c>
      <c r="AE157" s="449">
        <f>SUM('MasterA1(current$)'!AE151)/0.64392</f>
        <v>347.86930053422782</v>
      </c>
      <c r="AF157" s="855">
        <f>SUM('MasterA1(current$)'!AF151)/0.66773</f>
        <v>362.4219370104683</v>
      </c>
      <c r="AG157" s="449">
        <f>SUM('MasterA1(current$)'!AG151)/0.68996</f>
        <v>400.02318975013043</v>
      </c>
      <c r="AH157" s="449">
        <f>SUM('MasterA1(current$)'!AH151)/0.70569</f>
        <v>450.62279471155887</v>
      </c>
      <c r="AI157" s="449">
        <f>SUM('MasterA1(current$)'!AI151)/0.72248</f>
        <v>521.81375262983056</v>
      </c>
      <c r="AJ157" s="449">
        <f>SUM('MasterA1(current$)'!AJ151)/0.73785</f>
        <v>567.86609744528016</v>
      </c>
      <c r="AK157" s="449">
        <f>SUM('MasterA1(current$)'!AK151)/0.75324</f>
        <v>610.69513037013428</v>
      </c>
      <c r="AL157" s="449">
        <f>SUM('MasterA1(current$)'!AL151)/0.76699</f>
        <v>640.16480006258234</v>
      </c>
      <c r="AM157" s="449">
        <f>SUM('MasterA1(current$)'!AM151)/0.78012</f>
        <v>649.90001538224885</v>
      </c>
      <c r="AN157" s="449">
        <f>SUM('MasterA1(current$)'!AN151)/0.78859</f>
        <v>661.94093255050154</v>
      </c>
      <c r="AO157" s="449">
        <f>SUM('MasterA1(current$)'!AO151)/0.80065</f>
        <v>693.18678573658906</v>
      </c>
      <c r="AP157" s="928">
        <f>SUM('MasterA1(current$)'!AP151)/0.81887</f>
        <v>752.25615787609752</v>
      </c>
      <c r="AQ157" s="128">
        <f>SUM('MasterA1(current$)'!AQ151)/0.83754</f>
        <v>643.55135277121099</v>
      </c>
      <c r="AR157" s="128">
        <f>SUM('MasterA1(current$)'!AR151)/0.85039</f>
        <v>672.6325568268677</v>
      </c>
      <c r="AS157" s="128">
        <f>SUM('MasterA1(current$)'!AS151)/0.86735</f>
        <v>706.75044676312916</v>
      </c>
      <c r="AT157" s="128">
        <f>SUM('MasterA1(current$)'!AT151)/0.8912</f>
        <v>679.98204667863558</v>
      </c>
      <c r="AU157" s="128">
        <f>SUM('MasterA1(current$)'!AU151)/0.91988</f>
        <v>696.83002130712703</v>
      </c>
      <c r="AV157" s="128">
        <f>SUM('MasterA1(current$)'!AV151)/0.94814</f>
        <v>716.13896681924609</v>
      </c>
      <c r="AW157" s="128">
        <f>SUM('MasterA1(current$)'!AW151)/0.97337</f>
        <v>767.43684313262179</v>
      </c>
      <c r="AX157" s="781">
        <f>('MasterA1(current$)'!AX151*100)/99.246</f>
        <v>796.00185397900168</v>
      </c>
      <c r="AY157" s="406">
        <f>SUM('MasterA1(current$)'!AY151)</f>
        <v>889</v>
      </c>
      <c r="AZ157" s="635">
        <f>SUM('MasterA1(current$)'!AZ151*100)/101.221</f>
        <v>931.62486045385833</v>
      </c>
      <c r="BA157" s="406">
        <f>SUM('MasterA1(current$)'!BA151*100)/103.311</f>
        <v>1045.3872288526875</v>
      </c>
      <c r="BB157" s="406">
        <f>SUM('MasterA1(current$)'!BB151*100)/105.214</f>
        <v>1169.0459444560611</v>
      </c>
      <c r="BC157" s="406">
        <f>SUM('MasterA1(current$)'!BC151*100)/106.913</f>
        <v>1211.2652343494244</v>
      </c>
      <c r="BD157" s="406">
        <f>SUM('MasterA1(current$)'!BD151*100)/108.832</f>
        <v>1256.0643928256395</v>
      </c>
      <c r="BE157" s="406">
        <f>SUM('MasterA1(current$)'!BE151*100)/110.012</f>
        <v>1340.762825873541</v>
      </c>
      <c r="BF157" s="635">
        <f>SUM('MasterA1(current$)'!BF151*100)/111.416</f>
        <v>1387.5924463272779</v>
      </c>
      <c r="BG157" s="635">
        <f>SUM('MasterA1(current$)'!BG151*100)/113.116</f>
        <v>1410.0569327062485</v>
      </c>
      <c r="BH157" s="635">
        <f>SUM('MasterA1(current$)'!BH151*100)/114.716</f>
        <v>1395.6204888594443</v>
      </c>
      <c r="BI157" s="635">
        <f>SUM('MasterA1(current$)'!BI151*100)/116.416</f>
        <v>1375.2405167674547</v>
      </c>
      <c r="BJ157" s="872">
        <f t="shared" si="11"/>
        <v>-1.0238199261285915E-2</v>
      </c>
      <c r="BK157" s="872">
        <f t="shared" si="11"/>
        <v>-1.4602803738317835E-2</v>
      </c>
      <c r="BL157" s="567">
        <f t="shared" si="12"/>
        <v>-14.436443846804195</v>
      </c>
      <c r="BM157" s="567">
        <f t="shared" si="12"/>
        <v>-20.379972091989657</v>
      </c>
      <c r="BN157" s="112"/>
      <c r="BO157" s="112"/>
      <c r="BP157" s="620"/>
      <c r="BQ157" s="620"/>
    </row>
    <row r="158" spans="1:69" ht="6" customHeight="1">
      <c r="A158" s="115"/>
      <c r="B158" s="636"/>
      <c r="C158" s="33"/>
      <c r="D158" s="33"/>
      <c r="E158" s="47"/>
      <c r="F158" s="47"/>
      <c r="G158" s="47"/>
      <c r="H158" s="47"/>
      <c r="I158" s="47"/>
      <c r="J158" s="47"/>
      <c r="K158" s="47"/>
      <c r="L158" s="281"/>
      <c r="M158" s="47"/>
      <c r="N158" s="47"/>
      <c r="O158" s="47"/>
      <c r="P158" s="47"/>
      <c r="Q158" s="47"/>
      <c r="R158" s="47"/>
      <c r="S158" s="47"/>
      <c r="T158" s="47"/>
      <c r="U158" s="47"/>
      <c r="V158" s="281"/>
      <c r="W158" s="47"/>
      <c r="X158" s="47"/>
      <c r="Y158" s="47"/>
      <c r="Z158" s="47"/>
      <c r="AA158" s="47"/>
      <c r="AB158" s="47"/>
      <c r="AC158" s="47"/>
      <c r="AD158" s="47"/>
      <c r="AE158" s="47"/>
      <c r="AF158" s="281"/>
      <c r="AG158" s="47"/>
      <c r="AH158" s="47"/>
      <c r="AI158" s="47"/>
      <c r="AJ158" s="47"/>
      <c r="AK158" s="47"/>
      <c r="AL158" s="47"/>
      <c r="AM158" s="488"/>
      <c r="AN158" s="488"/>
      <c r="AO158" s="488"/>
      <c r="AP158" s="857"/>
      <c r="AQ158" s="328"/>
      <c r="AR158" s="328"/>
      <c r="AS158" s="328"/>
      <c r="AT158" s="328"/>
      <c r="AU158" s="328"/>
      <c r="AV158" s="328"/>
      <c r="AW158" s="328"/>
      <c r="AX158" s="89"/>
      <c r="AY158" s="404"/>
      <c r="AZ158" s="634"/>
      <c r="BA158" s="404"/>
      <c r="BB158" s="404"/>
      <c r="BC158" s="404"/>
      <c r="BD158" s="404"/>
      <c r="BE158" s="404"/>
      <c r="BF158" s="634"/>
      <c r="BG158" s="634"/>
      <c r="BH158" s="634"/>
      <c r="BI158" s="634"/>
      <c r="BJ158" s="410"/>
      <c r="BK158" s="410"/>
      <c r="BL158" s="566"/>
      <c r="BM158" s="566"/>
      <c r="BN158" s="112"/>
      <c r="BO158" s="112"/>
      <c r="BP158" s="620"/>
      <c r="BQ158" s="620"/>
    </row>
    <row r="159" spans="1:69" ht="11.25" customHeight="1">
      <c r="A159" s="119" t="s">
        <v>143</v>
      </c>
      <c r="B159" s="898">
        <f>SUM('MasterA1(current$)'!B153)/0.1756</f>
        <v>17.084282460136674</v>
      </c>
      <c r="C159" s="57">
        <f>SUM('MasterA1(current$)'!C153)/0.178</f>
        <v>16.853932584269664</v>
      </c>
      <c r="D159" s="57">
        <f>SUM('MasterA1(current$)'!D153)/0.1798</f>
        <v>22.246941045606231</v>
      </c>
      <c r="E159" s="333">
        <f>SUM('MasterA1(current$)'!E153)/0.182</f>
        <v>21.978021978021978</v>
      </c>
      <c r="F159" s="333">
        <f>SUM('MasterA1(current$)'!F153)/0.1842</f>
        <v>21.715526601520086</v>
      </c>
      <c r="G159" s="333">
        <f>SUM('MasterA1(current$)'!G153)/0.18702</f>
        <v>21.388086835632553</v>
      </c>
      <c r="H159" s="333">
        <f>SUM('MasterA1(current$)'!H153)/0.19227</f>
        <v>26.005096999011808</v>
      </c>
      <c r="I159" s="333">
        <f>SUM('MasterA1(current$)'!I153)/0.19786</f>
        <v>25.270393207318303</v>
      </c>
      <c r="J159" s="333">
        <f>SUM('MasterA1(current$)'!J153)/0.20627</f>
        <v>29.088088427788819</v>
      </c>
      <c r="K159" s="333">
        <f>SUM('MasterA1(current$)'!K153)/0.21642</f>
        <v>27.72387025228722</v>
      </c>
      <c r="L159" s="269">
        <f>SUM('MasterA1(current$)'!L153)/0.22784</f>
        <v>26.334269662921351</v>
      </c>
      <c r="M159" s="333">
        <f>SUM('MasterA1(current$)'!M153)/0.23941</f>
        <v>29.23854475585815</v>
      </c>
      <c r="N159" s="333">
        <f>SUM('MasterA1(current$)'!N153)/0.24978</f>
        <v>32.028184802626313</v>
      </c>
      <c r="O159" s="333">
        <f>SUM('MasterA1(current$)'!O153)/0.26337</f>
        <v>30.375517333029578</v>
      </c>
      <c r="P159" s="333">
        <f>SUM('MasterA1(current$)'!P153)/0.28703</f>
        <v>31.355607427795004</v>
      </c>
      <c r="Q159" s="333">
        <f>SUM('MasterA1(current$)'!Q153)/0.31361</f>
        <v>31.886738305538728</v>
      </c>
      <c r="R159" s="333">
        <f>SUM('MasterA1(current$)'!R153)/0.33083</f>
        <v>33.24970528670314</v>
      </c>
      <c r="S159" s="333">
        <f>SUM('MasterA1(current$)'!S153)/0.35135</f>
        <v>37.000142308239646</v>
      </c>
      <c r="T159" s="333">
        <f>SUM('MasterA1(current$)'!T153)/0.37602</f>
        <v>39.891495133237591</v>
      </c>
      <c r="U159" s="30">
        <f>SUM('MasterA1(current$)'!U153)/0.40706</f>
        <v>22.109762688547143</v>
      </c>
      <c r="V159" s="269">
        <f>SUM('MasterA1(current$)'!V153)/0.44377</f>
        <v>47.321810847961785</v>
      </c>
      <c r="W159" s="333">
        <f>SUM('MasterA1(current$)'!W153)/0.4852</f>
        <v>39.159109645507009</v>
      </c>
      <c r="X159" s="333">
        <f>SUM('MasterA1(current$)'!X153)/0.5153</f>
        <v>42.693576557345239</v>
      </c>
      <c r="Y159" s="333">
        <f>SUM('MasterA1(current$)'!Y153)/0.53565</f>
        <v>24.269579016148608</v>
      </c>
      <c r="Z159" s="333">
        <f>SUM('MasterA1(current$)'!Z153)/0.55466</f>
        <v>37.861031983557488</v>
      </c>
      <c r="AA159" s="333">
        <f>SUM('MasterA1(current$)'!AA153)/0.5724</f>
        <v>38.434661076170507</v>
      </c>
      <c r="AB159" s="333">
        <f>SUM('MasterA1(current$)'!AB153)/0.58395</f>
        <v>39.386933812826442</v>
      </c>
      <c r="AC159" s="333">
        <f>SUM('MasterA1(current$)'!AC153)/0.59885</f>
        <v>50.096017366619357</v>
      </c>
      <c r="AD159" s="333">
        <f>SUM('MasterA1(current$)'!AD153)/0.61982</f>
        <v>56.468006840695679</v>
      </c>
      <c r="AE159" s="333">
        <f>SUM('MasterA1(current$)'!AE153)/0.64392</f>
        <v>59.01354205491365</v>
      </c>
      <c r="AF159" s="269">
        <f>SUM('MasterA1(current$)'!AF153)/0.66773</f>
        <v>65.894897638266954</v>
      </c>
      <c r="AG159" s="333">
        <f>SUM('MasterA1(current$)'!AG153)/0.68996</f>
        <v>73.917328540784965</v>
      </c>
      <c r="AH159" s="333">
        <f>SUM('MasterA1(current$)'!AH153)/0.70569</f>
        <v>85.02316881350167</v>
      </c>
      <c r="AI159" s="333">
        <f>SUM('MasterA1(current$)'!AI153)/0.72248</f>
        <v>83.047281585649429</v>
      </c>
      <c r="AJ159" s="333">
        <f>SUM('MasterA1(current$)'!AJ153)/0.73785</f>
        <v>85.383207969099416</v>
      </c>
      <c r="AK159" s="333">
        <f>SUM('MasterA1(current$)'!AK153)/0.75324</f>
        <v>91.604269555520148</v>
      </c>
      <c r="AL159" s="333">
        <f>SUM('MasterA1(current$)'!AL153)/0.76699</f>
        <v>65.189898173379063</v>
      </c>
      <c r="AM159" s="333">
        <f>SUM('MasterA1(current$)'!AM153)/0.78012</f>
        <v>96.139055529918465</v>
      </c>
      <c r="AN159" s="333">
        <f>SUM('MasterA1(current$)'!AN153)/0.78859</f>
        <v>84.961767204757862</v>
      </c>
      <c r="AO159" s="333">
        <f>SUM('MasterA1(current$)'!AO153)/0.80065</f>
        <v>81.184037969150069</v>
      </c>
      <c r="AP159" s="799">
        <f>SUM('MasterA1(current$)'!AP153)/0.81887</f>
        <v>84.262459242614824</v>
      </c>
      <c r="AQ159" s="321">
        <f>SUM('MasterA1(current$)'!AQ153)/0.83754</f>
        <v>78.802206461780941</v>
      </c>
      <c r="AR159" s="321">
        <f>SUM('MasterA1(current$)'!AR153)/0.85039</f>
        <v>109.36158703653618</v>
      </c>
      <c r="AS159" s="321">
        <f>SUM('MasterA1(current$)'!AS153)/0.86735</f>
        <v>104.9172767625526</v>
      </c>
      <c r="AT159" s="321">
        <f>SUM('MasterA1(current$)'!AT153)/0.8912</f>
        <v>103.23159784560144</v>
      </c>
      <c r="AU159" s="321">
        <f>SUM('MasterA1(current$)'!AU153)/0.91988</f>
        <v>101.10014349697786</v>
      </c>
      <c r="AV159" s="190">
        <f>SUM('MasterA1(current$)'!AV153)/0.94814</f>
        <v>107.5790495074567</v>
      </c>
      <c r="AW159" s="190">
        <f>SUM('MasterA1(current$)'!AW153)/0.97337</f>
        <v>101.55680675723373</v>
      </c>
      <c r="AX159" s="231">
        <f>('MasterA1(current$)'!AX153*100)/99.246</f>
        <v>112.29733922168211</v>
      </c>
      <c r="AY159" s="408">
        <f>SUM('MasterA1(current$)'!AY153)</f>
        <v>119</v>
      </c>
      <c r="AZ159" s="637">
        <f>SUM('MasterA1(current$)'!AZ153*100)/101.221</f>
        <v>113.61278786022663</v>
      </c>
      <c r="BA159" s="408">
        <f>SUM('MasterA1(current$)'!BA153*100)/103.311</f>
        <v>153.90423091442344</v>
      </c>
      <c r="BB159" s="408">
        <f>SUM('MasterA1(current$)'!BB153*100)/105.214</f>
        <v>144.46746630676526</v>
      </c>
      <c r="BC159" s="408">
        <f>SUM('MasterA1(current$)'!BC153*100)/106.913</f>
        <v>152.46041173664568</v>
      </c>
      <c r="BD159" s="408">
        <f>SUM('MasterA1(current$)'!BD153*100)/108.832</f>
        <v>148.85327844751544</v>
      </c>
      <c r="BE159" s="408">
        <f>SUM('MasterA1(current$)'!BE153*100)/110.012</f>
        <v>169.07246482201941</v>
      </c>
      <c r="BF159" s="637">
        <f>SUM('MasterA1(current$)'!BF153*100)/111.416</f>
        <v>162.45422560494004</v>
      </c>
      <c r="BG159" s="637">
        <f>SUM('MasterA1(current$)'!BG153*100)/113.116</f>
        <v>178.57774320166908</v>
      </c>
      <c r="BH159" s="637">
        <f>SUM('MasterA1(current$)'!BH153*100)/114.716</f>
        <v>155.1658007601381</v>
      </c>
      <c r="BI159" s="637">
        <f>SUM('MasterA1(current$)'!BI153*100)/116.416</f>
        <v>164.06679494227598</v>
      </c>
      <c r="BJ159" s="410">
        <f>(BH159-BG159)/BG159</f>
        <v>-0.13110224164436726</v>
      </c>
      <c r="BK159" s="410">
        <f>(BI159-BH159)/BH159</f>
        <v>5.7364407224613979E-2</v>
      </c>
      <c r="BL159" s="564">
        <f>BH159-BG159</f>
        <v>-23.411942441530982</v>
      </c>
      <c r="BM159" s="564">
        <f>BI159-BH159</f>
        <v>8.9009941821378789</v>
      </c>
      <c r="BN159" s="112"/>
      <c r="BO159" s="112"/>
      <c r="BP159" s="620"/>
      <c r="BQ159" s="620"/>
    </row>
    <row r="160" spans="1:69" ht="13.5" customHeight="1" thickBot="1">
      <c r="A160" s="393" t="s">
        <v>45</v>
      </c>
      <c r="B160" s="896" t="e">
        <f>SUM(#REF!)/0.1756</f>
        <v>#REF!</v>
      </c>
      <c r="C160" s="135">
        <f>SUM('MasterA1(current$)'!C154)/0.178</f>
        <v>252.80898876404495</v>
      </c>
      <c r="D160" s="136">
        <f>SUM('MasterA1(current$)'!D154)/0.1798</f>
        <v>266.96329254727476</v>
      </c>
      <c r="E160" s="475">
        <f>SUM('MasterA1(current$)'!E154)/0.182</f>
        <v>291.20879120879124</v>
      </c>
      <c r="F160" s="475">
        <f>SUM('MasterA1(current$)'!F154)/0.1842</f>
        <v>298.58849077090122</v>
      </c>
      <c r="G160" s="475">
        <f>SUM('MasterA1(current$)'!G154)/0.18702</f>
        <v>304.78023740776388</v>
      </c>
      <c r="H160" s="475">
        <f>SUM('MasterA1(current$)'!H154)/0.19227</f>
        <v>265.25198938992042</v>
      </c>
      <c r="I160" s="475">
        <f>SUM('MasterA1(current$)'!I154)/0.19786</f>
        <v>303.24471848781968</v>
      </c>
      <c r="J160" s="475">
        <f>SUM('MasterA1(current$)'!J154)/0.20627</f>
        <v>358.75309060939543</v>
      </c>
      <c r="K160" s="475">
        <f>SUM('MasterA1(current$)'!K154)/0.21642</f>
        <v>328.06579798539877</v>
      </c>
      <c r="L160" s="401">
        <f>SUM('MasterA1(current$)'!L154)/0.22784</f>
        <v>430.12640449438203</v>
      </c>
      <c r="M160" s="475">
        <f>SUM('MasterA1(current$)'!M154)/0.23941</f>
        <v>526.29380560544666</v>
      </c>
      <c r="N160" s="475">
        <f>SUM('MasterA1(current$)'!N154)/0.24978</f>
        <v>428.37697173512692</v>
      </c>
      <c r="O160" s="475">
        <f>SUM('MasterA1(current$)'!O154)/0.26337</f>
        <v>516.38379466150286</v>
      </c>
      <c r="P160" s="475">
        <f>SUM('MasterA1(current$)'!P154)/0.28703</f>
        <v>595.75654112810503</v>
      </c>
      <c r="Q160" s="475">
        <f>SUM('MasterA1(current$)'!Q154)/0.31361</f>
        <v>612.22537546634351</v>
      </c>
      <c r="R160" s="475">
        <f>SUM('MasterA1(current$)'!R154)/0.33083</f>
        <v>628.72169996675029</v>
      </c>
      <c r="S160" s="475">
        <f>SUM('MasterA1(current$)'!S154)/0.35135</f>
        <v>802.61847160950617</v>
      </c>
      <c r="T160" s="475">
        <f>SUM('MasterA1(current$)'!T154)/0.37602</f>
        <v>840.38083080687193</v>
      </c>
      <c r="U160" s="475">
        <f>SUM('MasterA1(current$)'!U154)/0.40706</f>
        <v>832.80106126860915</v>
      </c>
      <c r="V160" s="401">
        <f>SUM('MasterA1(current$)'!V154)/0.44377</f>
        <v>883.34046916195325</v>
      </c>
      <c r="W160" s="475">
        <f>SUM('MasterA1(current$)'!W154)/0.4852</f>
        <v>772.87716405605931</v>
      </c>
      <c r="X160" s="475">
        <f>SUM('MasterA1(current$)'!X154)/0.5153</f>
        <v>976.13040947021159</v>
      </c>
      <c r="Y160" s="475">
        <f>SUM('MasterA1(current$)'!Y154)/0.53565</f>
        <v>914.77643983944745</v>
      </c>
      <c r="Z160" s="475">
        <f>SUM('MasterA1(current$)'!Z154)/0.55466</f>
        <v>1079.9408646738541</v>
      </c>
      <c r="AA160" s="475">
        <f>SUM('MasterA1(current$)'!AA154)/0.5724</f>
        <v>1273.5849056603772</v>
      </c>
      <c r="AB160" s="475">
        <f>SUM('MasterA1(current$)'!AB154)/0.58395</f>
        <v>1722.7502354653652</v>
      </c>
      <c r="AC160" s="475">
        <f>SUM('MasterA1(current$)'!AC154)/0.59885</f>
        <v>1297.4868497954412</v>
      </c>
      <c r="AD160" s="475">
        <f>SUM('MasterA1(current$)'!AD154)/0.61982</f>
        <v>1640.7989416282146</v>
      </c>
      <c r="AE160" s="475">
        <f>SUM('MasterA1(current$)'!AE154)/0.64392</f>
        <v>1678.779972667412</v>
      </c>
      <c r="AF160" s="401">
        <f>SUM('MasterA1(current$)'!AF154)/0.66773</f>
        <v>1960.3732047384422</v>
      </c>
      <c r="AG160" s="475">
        <f>SUM('MasterA1(current$)'!AG154)/0.68996</f>
        <v>1694.3011189054437</v>
      </c>
      <c r="AH160" s="475">
        <f>SUM('MasterA1(current$)'!AH154)/0.70569</f>
        <v>1876.1779251512703</v>
      </c>
      <c r="AI160" s="475">
        <f>SUM('MasterA1(current$)'!AI154)/0.72248</f>
        <v>2317.019156239619</v>
      </c>
      <c r="AJ160" s="475">
        <f>SUM('MasterA1(current$)'!AJ154)/0.73785</f>
        <v>1915.0233787355153</v>
      </c>
      <c r="AK160" s="475">
        <f>SUM('MasterA1(current$)'!AK154)/0.75324</f>
        <v>2499.8672401890499</v>
      </c>
      <c r="AL160" s="475">
        <f>SUM('MasterA1(current$)'!AL154)/0.76699</f>
        <v>2161.6970234292494</v>
      </c>
      <c r="AM160" s="475">
        <f>SUM('MasterA1(current$)'!AM154)/0.78012</f>
        <v>2376.5574526995847</v>
      </c>
      <c r="AN160" s="475">
        <f>SUM('MasterA1(current$)'!AN154)/0.78859</f>
        <v>2206.4697751683384</v>
      </c>
      <c r="AO160" s="475">
        <f>SUM('MasterA1(current$)'!AO154)/0.80065</f>
        <v>2205.7078623618313</v>
      </c>
      <c r="AP160" s="931">
        <f>SUM('MasterA1(current$)'!AP154)/0.81887</f>
        <v>2403.3118810067531</v>
      </c>
      <c r="AQ160" s="137">
        <f>SUM('MasterA1(current$)'!AQ154)/0.83754</f>
        <v>2237.5050743845072</v>
      </c>
      <c r="AR160" s="137">
        <f>SUM('MasterA1(current$)'!AR154)/0.85039</f>
        <v>2342.4546384600008</v>
      </c>
      <c r="AS160" s="137">
        <f>SUM('MasterA1(current$)'!AS154)/0.86735</f>
        <v>2358.9093214965123</v>
      </c>
      <c r="AT160" s="137">
        <f>SUM('MasterA1(current$)'!AT154)/0.8912</f>
        <v>2364.2280071813284</v>
      </c>
      <c r="AU160" s="137">
        <f>SUM('MasterA1(current$)'!AU154)/0.91988</f>
        <v>2211.1579771274514</v>
      </c>
      <c r="AV160" s="137">
        <f>SUM('MasterA1(current$)'!AV154)/0.94814</f>
        <v>2374.1219651106376</v>
      </c>
      <c r="AW160" s="137">
        <f>SUM('MasterA1(current$)'!AW154)/0.97337</f>
        <v>2472.0379128547534</v>
      </c>
      <c r="AX160" s="782">
        <f>('MasterA1(current$)'!AX154*100)/99.246</f>
        <v>2657.9301839720997</v>
      </c>
      <c r="AY160" s="420">
        <f>SUM('MasterA1(current$)'!AY154)</f>
        <v>2930</v>
      </c>
      <c r="AZ160" s="654">
        <f>SUM('MasterA1(current$)'!AZ154*100)/101.221</f>
        <v>3140.6526313709605</v>
      </c>
      <c r="BA160" s="420">
        <f>SUM('MasterA1(current$)'!BA154*100)/103.311</f>
        <v>3458.4894154543076</v>
      </c>
      <c r="BB160" s="420">
        <f>SUM('MasterA1(current$)'!BB154*100)/105.214</f>
        <v>3658.2584066759177</v>
      </c>
      <c r="BC160" s="420">
        <f>SUM('MasterA1(current$)'!BC154*100)/106.913</f>
        <v>4042.5392608943721</v>
      </c>
      <c r="BD160" s="420">
        <f>SUM('MasterA1(current$)'!BD154*100)/108.832</f>
        <v>4031.6785189239895</v>
      </c>
      <c r="BE160" s="420">
        <f>SUM('MasterA1(current$)'!BE154*100)/110.012</f>
        <v>4154.0922808420901</v>
      </c>
      <c r="BF160" s="654">
        <f>SUM('MasterA1(current$)'!BF154*100)/111.416</f>
        <v>4452.6818410282185</v>
      </c>
      <c r="BG160" s="654">
        <f>SUM('MasterA1(current$)'!BG154*100)/113.116</f>
        <v>4430.8497471622049</v>
      </c>
      <c r="BH160" s="654">
        <f>SUM('MasterA1(current$)'!BH154*100)/114.716</f>
        <v>4803.1660797098921</v>
      </c>
      <c r="BI160" s="654">
        <f>SUM('MasterA1(current$)'!BI154*100)/116.416</f>
        <v>4606.7550852116547</v>
      </c>
      <c r="BJ160" s="875">
        <f>(BH160-BG160)/BG160</f>
        <v>8.4028200862857505E-2</v>
      </c>
      <c r="BK160" s="875">
        <f>(BI160-BH160)/BH160</f>
        <v>-4.089198483640618E-2</v>
      </c>
      <c r="BL160" s="569">
        <f>BH160-BG160</f>
        <v>372.31633254768713</v>
      </c>
      <c r="BM160" s="569">
        <f>BI160-BH160</f>
        <v>-196.41099449823741</v>
      </c>
      <c r="BN160" s="112"/>
      <c r="BO160" s="112"/>
      <c r="BP160" s="620"/>
      <c r="BQ160" s="620"/>
    </row>
    <row r="161" spans="1:70" ht="11.25" customHeight="1">
      <c r="A161" s="115"/>
      <c r="B161" s="660"/>
      <c r="C161" s="48"/>
      <c r="D161" s="48"/>
      <c r="E161" s="478"/>
      <c r="F161" s="478"/>
      <c r="G161" s="478"/>
      <c r="H161" s="478"/>
      <c r="I161" s="478"/>
      <c r="J161" s="478"/>
      <c r="K161" s="478"/>
      <c r="L161" s="916"/>
      <c r="M161" s="478"/>
      <c r="N161" s="478"/>
      <c r="O161" s="478"/>
      <c r="P161" s="478"/>
      <c r="Q161" s="478"/>
      <c r="R161" s="478"/>
      <c r="S161" s="478"/>
      <c r="T161" s="478"/>
      <c r="U161" s="478"/>
      <c r="V161" s="916"/>
      <c r="W161" s="478"/>
      <c r="X161" s="478"/>
      <c r="Y161" s="478"/>
      <c r="Z161" s="478"/>
      <c r="AA161" s="478"/>
      <c r="AB161" s="478"/>
      <c r="AC161" s="478"/>
      <c r="AD161" s="478"/>
      <c r="AE161" s="478"/>
      <c r="AF161" s="916"/>
      <c r="AG161" s="478"/>
      <c r="AH161" s="478"/>
      <c r="AI161" s="478"/>
      <c r="AJ161" s="478"/>
      <c r="AK161" s="478"/>
      <c r="AL161" s="478"/>
      <c r="AM161" s="478"/>
      <c r="AN161" s="478"/>
      <c r="AO161" s="478"/>
      <c r="AP161" s="916"/>
      <c r="AQ161" s="478"/>
      <c r="AR161" s="478"/>
      <c r="AS161" s="478"/>
      <c r="AT161" s="478"/>
      <c r="AU161" s="478"/>
      <c r="AV161" s="478"/>
      <c r="AW161" s="478"/>
      <c r="AX161" s="478"/>
      <c r="AY161" s="440"/>
      <c r="AZ161" s="662"/>
      <c r="BA161" s="440"/>
      <c r="BB161" s="440"/>
      <c r="BC161" s="440"/>
      <c r="BD161" s="440"/>
      <c r="BE161" s="440"/>
      <c r="BF161" s="662"/>
      <c r="BG161" s="662"/>
      <c r="BH161" s="662"/>
      <c r="BI161" s="662"/>
      <c r="BJ161" s="871"/>
      <c r="BK161" s="871"/>
      <c r="BL161" s="565"/>
      <c r="BM161" s="565"/>
      <c r="BP161" s="620"/>
      <c r="BQ161" s="620"/>
    </row>
    <row r="162" spans="1:70" ht="15.75" customHeight="1">
      <c r="A162" s="159" t="s">
        <v>46</v>
      </c>
      <c r="B162" s="636"/>
      <c r="C162" s="32"/>
      <c r="D162" s="32"/>
      <c r="E162" s="32"/>
      <c r="F162" s="32"/>
      <c r="G162" s="32"/>
      <c r="H162" s="32"/>
      <c r="I162" s="32"/>
      <c r="J162" s="32"/>
      <c r="K162" s="32"/>
      <c r="L162" s="636"/>
      <c r="M162" s="32"/>
      <c r="N162" s="32"/>
      <c r="O162" s="32"/>
      <c r="P162" s="32"/>
      <c r="Q162" s="32"/>
      <c r="R162" s="32"/>
      <c r="S162" s="32"/>
      <c r="T162" s="32"/>
      <c r="U162" s="32"/>
      <c r="V162" s="636"/>
      <c r="W162" s="32"/>
      <c r="X162" s="32"/>
      <c r="Y162" s="32"/>
      <c r="Z162" s="32"/>
      <c r="AA162" s="32"/>
      <c r="AB162" s="32"/>
      <c r="AC162" s="32"/>
      <c r="AD162" s="32"/>
      <c r="AE162" s="32"/>
      <c r="AF162" s="636"/>
      <c r="AG162" s="32"/>
      <c r="AH162" s="32"/>
      <c r="AI162" s="32"/>
      <c r="AJ162" s="32"/>
      <c r="AK162" s="32"/>
      <c r="AL162" s="32"/>
      <c r="AM162" s="32"/>
      <c r="AN162" s="32"/>
      <c r="AO162" s="32"/>
      <c r="AP162" s="636"/>
      <c r="AQ162" s="32"/>
      <c r="AR162" s="32"/>
      <c r="AS162" s="32"/>
      <c r="AT162" s="32"/>
      <c r="AU162" s="32"/>
      <c r="AV162" s="32"/>
      <c r="AW162" s="32"/>
      <c r="AX162" s="32"/>
      <c r="AY162" s="32"/>
      <c r="AZ162" s="636"/>
      <c r="BA162" s="32"/>
      <c r="BB162" s="32"/>
      <c r="BC162" s="32"/>
      <c r="BD162" s="32"/>
      <c r="BE162" s="32"/>
      <c r="BF162" s="636"/>
      <c r="BG162" s="636"/>
      <c r="BH162" s="636"/>
      <c r="BI162" s="636"/>
      <c r="BJ162" s="808"/>
      <c r="BK162" s="808"/>
      <c r="BL162" s="565"/>
      <c r="BM162" s="565"/>
      <c r="BP162" s="620"/>
      <c r="BQ162" s="620"/>
    </row>
    <row r="163" spans="1:70" ht="6" customHeight="1">
      <c r="A163" s="115"/>
      <c r="B163" s="636"/>
      <c r="C163" s="33"/>
      <c r="D163" s="33"/>
      <c r="E163" s="47"/>
      <c r="F163" s="47"/>
      <c r="G163" s="47"/>
      <c r="H163" s="47"/>
      <c r="I163" s="47"/>
      <c r="J163" s="47"/>
      <c r="K163" s="47"/>
      <c r="L163" s="281"/>
      <c r="M163" s="47"/>
      <c r="N163" s="47"/>
      <c r="O163" s="47"/>
      <c r="P163" s="47"/>
      <c r="Q163" s="47"/>
      <c r="R163" s="47"/>
      <c r="S163" s="47"/>
      <c r="T163" s="47"/>
      <c r="U163" s="47"/>
      <c r="V163" s="281"/>
      <c r="W163" s="47"/>
      <c r="X163" s="47"/>
      <c r="Y163" s="47"/>
      <c r="Z163" s="47"/>
      <c r="AA163" s="47"/>
      <c r="AB163" s="47"/>
      <c r="AC163" s="47"/>
      <c r="AD163" s="47"/>
      <c r="AE163" s="47"/>
      <c r="AF163" s="281"/>
      <c r="AG163" s="47"/>
      <c r="AH163" s="47"/>
      <c r="AI163" s="47"/>
      <c r="AJ163" s="47"/>
      <c r="AK163" s="47"/>
      <c r="AL163" s="47"/>
      <c r="AM163" s="152"/>
      <c r="AN163" s="152"/>
      <c r="AO163" s="152"/>
      <c r="AP163" s="857"/>
      <c r="AQ163" s="328"/>
      <c r="AR163" s="328"/>
      <c r="AS163" s="328"/>
      <c r="AT163" s="328"/>
      <c r="AU163" s="328"/>
      <c r="AV163" s="328"/>
      <c r="AX163" s="89"/>
      <c r="AY163" s="404"/>
      <c r="AZ163" s="634"/>
      <c r="BA163" s="404"/>
      <c r="BB163" s="404"/>
      <c r="BC163" s="404"/>
      <c r="BD163" s="404"/>
      <c r="BE163" s="404"/>
      <c r="BF163" s="634"/>
      <c r="BG163" s="634"/>
      <c r="BH163" s="634"/>
      <c r="BI163" s="634"/>
      <c r="BJ163" s="871"/>
      <c r="BK163" s="871"/>
      <c r="BL163" s="565"/>
      <c r="BM163" s="565"/>
      <c r="BP163" s="620"/>
      <c r="BQ163" s="620"/>
    </row>
    <row r="164" spans="1:70" ht="12" customHeight="1">
      <c r="A164" s="116" t="s">
        <v>29</v>
      </c>
      <c r="B164" s="636"/>
      <c r="C164" s="33"/>
      <c r="D164" s="33"/>
      <c r="E164" s="47"/>
      <c r="F164" s="47"/>
      <c r="G164" s="47"/>
      <c r="H164" s="47"/>
      <c r="I164" s="47"/>
      <c r="J164" s="47"/>
      <c r="K164" s="47"/>
      <c r="L164" s="281"/>
      <c r="M164" s="47"/>
      <c r="N164" s="47"/>
      <c r="O164" s="47"/>
      <c r="P164" s="47"/>
      <c r="Q164" s="47"/>
      <c r="R164" s="47"/>
      <c r="S164" s="47"/>
      <c r="T164" s="47"/>
      <c r="U164" s="47"/>
      <c r="V164" s="281"/>
      <c r="W164" s="47"/>
      <c r="X164" s="47"/>
      <c r="Y164" s="47"/>
      <c r="Z164" s="47"/>
      <c r="AA164" s="47"/>
      <c r="AB164" s="47"/>
      <c r="AC164" s="47"/>
      <c r="AD164" s="47"/>
      <c r="AE164" s="47"/>
      <c r="AF164" s="281"/>
      <c r="AG164" s="47"/>
      <c r="AH164" s="47"/>
      <c r="AI164" s="47"/>
      <c r="AJ164" s="47"/>
      <c r="AK164" s="47"/>
      <c r="AL164" s="47"/>
      <c r="AM164" s="152"/>
      <c r="AN164" s="152"/>
      <c r="AO164" s="152"/>
      <c r="AP164" s="857"/>
      <c r="AQ164" s="328"/>
      <c r="AR164" s="328"/>
      <c r="AS164" s="328"/>
      <c r="AT164" s="328"/>
      <c r="AU164" s="328"/>
      <c r="AV164" s="328"/>
      <c r="AX164" s="89"/>
      <c r="AY164" s="404"/>
      <c r="AZ164" s="936"/>
      <c r="BA164" s="404"/>
      <c r="BB164" s="404"/>
      <c r="BC164" s="404"/>
      <c r="BD164" s="404"/>
      <c r="BE164" s="404"/>
      <c r="BF164" s="634"/>
      <c r="BG164" s="634"/>
      <c r="BH164" s="634"/>
      <c r="BI164" s="634"/>
      <c r="BJ164" s="871"/>
      <c r="BK164" s="871"/>
      <c r="BL164" s="565"/>
      <c r="BM164" s="565"/>
      <c r="BP164" s="620"/>
      <c r="BQ164" s="620"/>
    </row>
    <row r="165" spans="1:70" ht="12" customHeight="1">
      <c r="A165" s="119" t="s">
        <v>144</v>
      </c>
      <c r="B165" s="667">
        <f>SUM('MasterA1(current$)'!B159)/0.1756</f>
        <v>239.17995444191342</v>
      </c>
      <c r="C165" s="49">
        <f>SUM('MasterA1(current$)'!C159)/0.178</f>
        <v>303.37078651685397</v>
      </c>
      <c r="D165" s="49">
        <f>SUM('MasterA1(current$)'!D159)/0.1798</f>
        <v>272.52502780867633</v>
      </c>
      <c r="E165" s="30">
        <f>SUM('MasterA1(current$)'!E159)/0.182</f>
        <v>362.63736263736263</v>
      </c>
      <c r="F165" s="30">
        <f>SUM('MasterA1(current$)'!F159)/0.1842</f>
        <v>407.16612377850163</v>
      </c>
      <c r="G165" s="30">
        <f>SUM('MasterA1(current$)'!G159)/0.18702</f>
        <v>577.47834456207897</v>
      </c>
      <c r="H165" s="30">
        <f>SUM('MasterA1(current$)'!H159)/0.19227</f>
        <v>577.31315337806211</v>
      </c>
      <c r="I165" s="30">
        <f>SUM('MasterA1(current$)'!I159)/0.19786</f>
        <v>611.54351561710303</v>
      </c>
      <c r="J165" s="30">
        <f>SUM('MasterA1(current$)'!J159)/0.20627</f>
        <v>649.63397488728367</v>
      </c>
      <c r="K165" s="30">
        <f>SUM('MasterA1(current$)'!K159)/0.21642</f>
        <v>706.95869143332413</v>
      </c>
      <c r="L165" s="270">
        <f>SUM('MasterA1(current$)'!L159)/0.22784</f>
        <v>816.36235955056179</v>
      </c>
      <c r="M165" s="30">
        <f>SUM('MasterA1(current$)'!M159)/0.23941</f>
        <v>881.3332776408671</v>
      </c>
      <c r="N165" s="30">
        <f>SUM('MasterA1(current$)'!N159)/0.24978</f>
        <v>804.70814316598603</v>
      </c>
      <c r="O165" s="30">
        <f>SUM('MasterA1(current$)'!O159)/0.26337</f>
        <v>322.73987166343926</v>
      </c>
      <c r="P165" s="30">
        <f>SUM('MasterA1(current$)'!P159)/0.28703</f>
        <v>334.45981256314673</v>
      </c>
      <c r="Q165" s="30">
        <f>SUM('MasterA1(current$)'!Q159)/0.31361</f>
        <v>306.11268773317175</v>
      </c>
      <c r="R165" s="30">
        <f>SUM('MasterA1(current$)'!R159)/0.33083</f>
        <v>308.31544902215637</v>
      </c>
      <c r="S165" s="30">
        <f>SUM('MasterA1(current$)'!S159)/0.35135</f>
        <v>244.77017219296997</v>
      </c>
      <c r="T165" s="30">
        <f>SUM('MasterA1(current$)'!T159)/0.37602</f>
        <v>135.63108345300782</v>
      </c>
      <c r="U165" s="30">
        <f>SUM('MasterA1(current$)'!U159)/0.40706</f>
        <v>127.74529553382794</v>
      </c>
      <c r="V165" s="270">
        <f>SUM('MasterA1(current$)'!V159)/0.44377</f>
        <v>135.20517385131939</v>
      </c>
      <c r="W165" s="30">
        <f>SUM('MasterA1(current$)'!W159)/0.4852</f>
        <v>125.72135201978566</v>
      </c>
      <c r="X165" s="30">
        <f>SUM('MasterA1(current$)'!X159)/0.5153</f>
        <v>250.33960799534253</v>
      </c>
      <c r="Y165" s="30">
        <f>SUM('MasterA1(current$)'!Y159)/0.53565</f>
        <v>293.10183888733314</v>
      </c>
      <c r="Z165" s="30">
        <f>SUM('MasterA1(current$)'!Z159)/0.55466</f>
        <v>243.39234846572674</v>
      </c>
      <c r="AA165" s="30">
        <f>SUM('MasterA1(current$)'!AA159)/0.5724</f>
        <v>263.80153738644304</v>
      </c>
      <c r="AB165" s="30">
        <f>SUM('MasterA1(current$)'!AB159)/0.58395</f>
        <v>277.42101207295144</v>
      </c>
      <c r="AC165" s="30">
        <f>SUM('MasterA1(current$)'!AC159)/0.59885</f>
        <v>215.41287467646322</v>
      </c>
      <c r="AD165" s="30">
        <f>SUM('MasterA1(current$)'!AD159)/0.61982</f>
        <v>251.68597334710077</v>
      </c>
      <c r="AE165" s="30">
        <f>SUM('MasterA1(current$)'!AE159)/0.64392</f>
        <v>245.37209591253571</v>
      </c>
      <c r="AF165" s="270">
        <f>SUM('MasterA1(current$)'!AF159)/0.66773</f>
        <v>241.11542090365865</v>
      </c>
      <c r="AG165" s="30">
        <f>SUM('MasterA1(current$)'!AG159)/0.68996</f>
        <v>262.33404835062902</v>
      </c>
      <c r="AH165" s="30">
        <f>SUM('MasterA1(current$)'!AH159)/0.70569</f>
        <v>274.90824583032207</v>
      </c>
      <c r="AI165" s="30">
        <f>SUM('MasterA1(current$)'!AI159)/0.72248</f>
        <v>305.89082050714205</v>
      </c>
      <c r="AJ165" s="30">
        <f>SUM('MasterA1(current$)'!AJ159)/0.73785</f>
        <v>266.99193603035849</v>
      </c>
      <c r="AK165" s="30">
        <f>SUM('MasterA1(current$)'!AK159)/0.75324</f>
        <v>286.76119165206308</v>
      </c>
      <c r="AL165" s="30">
        <f>SUM('MasterA1(current$)'!AL159)/0.76699</f>
        <v>252.93680491271076</v>
      </c>
      <c r="AM165" s="30">
        <f>SUM('MasterA1(current$)'!AM159)/0.78012</f>
        <v>233.29744141926881</v>
      </c>
      <c r="AN165" s="30">
        <f>SUM('MasterA1(current$)'!AN159)/0.78859</f>
        <v>240.93635475976109</v>
      </c>
      <c r="AO165" s="30">
        <f>SUM('MasterA1(current$)'!AO159)/0.80065</f>
        <v>267.28283269843251</v>
      </c>
      <c r="AP165" s="857">
        <f>SUM('MasterA1(current$)'!AP159)/0.81887</f>
        <v>241.79662217445994</v>
      </c>
      <c r="AQ165" s="328">
        <f>SUM('MasterA1(current$)'!AQ159)/0.83754</f>
        <v>273.41977696587628</v>
      </c>
      <c r="AR165" s="328">
        <f>SUM('MasterA1(current$)'!AR159)/0.85039</f>
        <v>258.70482954879526</v>
      </c>
      <c r="AS165" s="328">
        <f>SUM('MasterA1(current$)'!AS159)/0.86735</f>
        <v>212.14042773966682</v>
      </c>
      <c r="AT165" s="328">
        <f>SUM('MasterA1(current$)'!AT159)/0.8912</f>
        <v>287.25314183123879</v>
      </c>
      <c r="AU165" s="328">
        <f>SUM('MasterA1(current$)'!AU159)/0.91988</f>
        <v>277.21007087881026</v>
      </c>
      <c r="AV165" s="328">
        <f>SUM('MasterA1(current$)'!AV159)/0.94814</f>
        <v>311.13548632058558</v>
      </c>
      <c r="AW165" s="328">
        <f>SUM('MasterA1(current$)'!AW159)/0.97337</f>
        <v>265.66936991544281</v>
      </c>
      <c r="AX165" s="330">
        <f>('MasterA1(current$)'!AX159*100)/99.246</f>
        <v>312.35515789049435</v>
      </c>
      <c r="AY165" s="408">
        <f>SUM('MasterA1(current$)'!AY159)</f>
        <v>304</v>
      </c>
      <c r="AZ165" s="637">
        <f>SUM('MasterA1(current$)'!AZ159*100)/101.221</f>
        <v>285.5138755791782</v>
      </c>
      <c r="BA165" s="408">
        <f>SUM('MasterA1(current$)'!BA159*100)/103.311</f>
        <v>276.83402541839683</v>
      </c>
      <c r="BB165" s="408">
        <f>SUM('MasterA1(current$)'!BB159*100)/105.214</f>
        <v>280.38093789799836</v>
      </c>
      <c r="BC165" s="408">
        <f>SUM('MasterA1(current$)'!BC159*100)/106.913</f>
        <v>288.084704385809</v>
      </c>
      <c r="BD165" s="408">
        <f>SUM('MasterA1(current$)'!BD159*100)/108.832</f>
        <v>303.2196412819759</v>
      </c>
      <c r="BE165" s="408">
        <f>SUM('MasterA1(current$)'!BE159*100)/110.012</f>
        <v>313.60215249245539</v>
      </c>
      <c r="BF165" s="637">
        <f>SUM('MasterA1(current$)'!BF159*100)/111.416</f>
        <v>325.80598836791842</v>
      </c>
      <c r="BG165" s="637">
        <f>SUM('MasterA1(current$)'!BG159*100)/113.116</f>
        <v>316.48926765444321</v>
      </c>
      <c r="BH165" s="637">
        <f>SUM('MasterA1(current$)'!BH159*100)/114.716</f>
        <v>312.07503748387325</v>
      </c>
      <c r="BI165" s="637">
        <f>SUM('MasterA1(current$)'!BI159*100)/116.416</f>
        <v>306.65887850467288</v>
      </c>
      <c r="BJ165" s="410">
        <f>(BH165-BG165)/BG165</f>
        <v>-1.3947487708776319E-2</v>
      </c>
      <c r="BK165" s="410">
        <f>(BI165-BH165)/BH165</f>
        <v>-1.7355309873127056E-2</v>
      </c>
      <c r="BL165" s="564">
        <f>BH165-BG165</f>
        <v>-4.4142301705699651</v>
      </c>
      <c r="BM165" s="564">
        <f>BI165-BH165</f>
        <v>-5.416158979200361</v>
      </c>
      <c r="BN165" s="112"/>
      <c r="BO165" s="112"/>
      <c r="BP165" s="620"/>
      <c r="BQ165" s="620"/>
    </row>
    <row r="166" spans="1:70" ht="6" customHeight="1">
      <c r="A166" s="115"/>
      <c r="B166" s="636"/>
      <c r="C166" s="33"/>
      <c r="D166" s="33"/>
      <c r="E166" s="47"/>
      <c r="F166" s="47"/>
      <c r="G166" s="47"/>
      <c r="H166" s="47"/>
      <c r="I166" s="47"/>
      <c r="J166" s="47"/>
      <c r="K166" s="47"/>
      <c r="L166" s="281"/>
      <c r="M166" s="47"/>
      <c r="N166" s="47"/>
      <c r="O166" s="47"/>
      <c r="P166" s="47"/>
      <c r="Q166" s="47"/>
      <c r="R166" s="47"/>
      <c r="S166" s="47"/>
      <c r="T166" s="47"/>
      <c r="U166" s="47"/>
      <c r="V166" s="281"/>
      <c r="W166" s="47"/>
      <c r="X166" s="47"/>
      <c r="Y166" s="47"/>
      <c r="Z166" s="47"/>
      <c r="AA166" s="47"/>
      <c r="AB166" s="47"/>
      <c r="AC166" s="47"/>
      <c r="AD166" s="47"/>
      <c r="AE166" s="47"/>
      <c r="AF166" s="281"/>
      <c r="AG166" s="47"/>
      <c r="AH166" s="47"/>
      <c r="AI166" s="47"/>
      <c r="AJ166" s="47"/>
      <c r="AK166" s="47"/>
      <c r="AL166" s="47"/>
      <c r="AM166" s="152"/>
      <c r="AN166" s="152"/>
      <c r="AO166" s="152"/>
      <c r="AP166" s="857"/>
      <c r="AQ166" s="328"/>
      <c r="AR166" s="328"/>
      <c r="AS166" s="328"/>
      <c r="AT166" s="328"/>
      <c r="AU166" s="328"/>
      <c r="AV166" s="328"/>
      <c r="AW166" s="328"/>
      <c r="AX166" s="89"/>
      <c r="AY166" s="404"/>
      <c r="AZ166" s="634"/>
      <c r="BA166" s="404"/>
      <c r="BB166" s="404"/>
      <c r="BC166" s="404"/>
      <c r="BD166" s="404"/>
      <c r="BE166" s="404"/>
      <c r="BF166" s="634"/>
      <c r="BG166" s="634"/>
      <c r="BH166" s="634"/>
      <c r="BI166" s="634"/>
      <c r="BJ166" s="871"/>
      <c r="BK166" s="871"/>
      <c r="BL166" s="565"/>
      <c r="BM166" s="565"/>
      <c r="BP166" s="620"/>
      <c r="BQ166" s="620"/>
    </row>
    <row r="167" spans="1:70" ht="9.75" customHeight="1">
      <c r="A167" s="116" t="s">
        <v>49</v>
      </c>
      <c r="B167" s="636"/>
      <c r="C167" s="33"/>
      <c r="D167" s="33"/>
      <c r="E167" s="47"/>
      <c r="F167" s="47"/>
      <c r="G167" s="47"/>
      <c r="H167" s="47"/>
      <c r="I167" s="47"/>
      <c r="J167" s="47"/>
      <c r="K167" s="47"/>
      <c r="L167" s="281"/>
      <c r="M167" s="47"/>
      <c r="N167" s="47"/>
      <c r="O167" s="47"/>
      <c r="P167" s="47"/>
      <c r="Q167" s="47"/>
      <c r="R167" s="47"/>
      <c r="S167" s="47"/>
      <c r="T167" s="47"/>
      <c r="U167" s="47"/>
      <c r="V167" s="281"/>
      <c r="W167" s="47"/>
      <c r="X167" s="47"/>
      <c r="Y167" s="47"/>
      <c r="Z167" s="47"/>
      <c r="AA167" s="47"/>
      <c r="AB167" s="47"/>
      <c r="AC167" s="47"/>
      <c r="AD167" s="47"/>
      <c r="AE167" s="47"/>
      <c r="AF167" s="281"/>
      <c r="AG167" s="47"/>
      <c r="AH167" s="47"/>
      <c r="AI167" s="47"/>
      <c r="AJ167" s="47"/>
      <c r="AK167" s="47"/>
      <c r="AL167" s="47"/>
      <c r="AM167" s="152"/>
      <c r="AN167" s="152"/>
      <c r="AO167" s="152"/>
      <c r="AP167" s="857"/>
      <c r="AQ167" s="328"/>
      <c r="AR167" s="328"/>
      <c r="AS167" s="328"/>
      <c r="AT167" s="328"/>
      <c r="AU167" s="328"/>
      <c r="AV167" s="328"/>
      <c r="AW167" s="328"/>
      <c r="AX167" s="89"/>
      <c r="AY167" s="404"/>
      <c r="AZ167" s="634"/>
      <c r="BA167" s="404"/>
      <c r="BB167" s="404"/>
      <c r="BC167" s="404"/>
      <c r="BD167" s="404"/>
      <c r="BE167" s="404"/>
      <c r="BF167" s="634"/>
      <c r="BG167" s="634"/>
      <c r="BH167" s="634"/>
      <c r="BI167" s="634"/>
      <c r="BJ167" s="871"/>
      <c r="BK167" s="871"/>
      <c r="BL167" s="565"/>
      <c r="BM167" s="565"/>
      <c r="BP167" s="620"/>
      <c r="BQ167" s="620"/>
    </row>
    <row r="168" spans="1:70" ht="12.75" customHeight="1">
      <c r="A168" s="115" t="s">
        <v>75</v>
      </c>
      <c r="B168" s="810" t="s">
        <v>3</v>
      </c>
      <c r="C168" s="45" t="s">
        <v>3</v>
      </c>
      <c r="D168" s="45" t="s">
        <v>3</v>
      </c>
      <c r="E168" s="220" t="s">
        <v>3</v>
      </c>
      <c r="F168" s="220" t="s">
        <v>3</v>
      </c>
      <c r="G168" s="220" t="s">
        <v>3</v>
      </c>
      <c r="H168" s="220" t="s">
        <v>3</v>
      </c>
      <c r="I168" s="220" t="s">
        <v>3</v>
      </c>
      <c r="J168" s="220" t="s">
        <v>3</v>
      </c>
      <c r="K168" s="220" t="s">
        <v>3</v>
      </c>
      <c r="L168" s="858" t="s">
        <v>3</v>
      </c>
      <c r="M168" s="220" t="s">
        <v>3</v>
      </c>
      <c r="N168" s="220" t="s">
        <v>3</v>
      </c>
      <c r="O168" s="220" t="s">
        <v>3</v>
      </c>
      <c r="P168" s="220" t="s">
        <v>3</v>
      </c>
      <c r="Q168" s="220" t="s">
        <v>3</v>
      </c>
      <c r="R168" s="220" t="s">
        <v>3</v>
      </c>
      <c r="S168" s="220" t="s">
        <v>3</v>
      </c>
      <c r="T168" s="30">
        <f>SUM('MasterA1(current$)'!T162)/0.37602</f>
        <v>10.637732035530025</v>
      </c>
      <c r="U168" s="30">
        <f>SUM('MasterA1(current$)'!U162)/0.40706</f>
        <v>29.479683584729525</v>
      </c>
      <c r="V168" s="270">
        <f>SUM('MasterA1(current$)'!V162)/0.44377</f>
        <v>36.054713027018501</v>
      </c>
      <c r="W168" s="30">
        <f>SUM('MasterA1(current$)'!W162)/0.4852</f>
        <v>39.159109645507009</v>
      </c>
      <c r="X168" s="30">
        <f>SUM('MasterA1(current$)'!X162)/0.5153</f>
        <v>32.99049097613041</v>
      </c>
      <c r="Y168" s="30">
        <f>SUM('MasterA1(current$)'!Y162)/0.53565</f>
        <v>28.003360403248394</v>
      </c>
      <c r="Z168" s="30">
        <f>SUM('MasterA1(current$)'!Z162)/0.55466</f>
        <v>25.240687989038328</v>
      </c>
      <c r="AA168" s="30">
        <f>SUM('MasterA1(current$)'!AA162)/0.5724</f>
        <v>22.711390635918939</v>
      </c>
      <c r="AB168" s="30">
        <f>SUM('MasterA1(current$)'!AB162)/0.58395</f>
        <v>23.974655364329138</v>
      </c>
      <c r="AC168" s="30">
        <f>SUM('MasterA1(current$)'!AC162)/0.59885</f>
        <v>21.708274192201721</v>
      </c>
      <c r="AD168" s="30">
        <f>SUM('MasterA1(current$)'!AD162)/0.61982</f>
        <v>22.587202736278272</v>
      </c>
      <c r="AE168" s="30">
        <f>SUM('MasterA1(current$)'!AE162)/0.64392</f>
        <v>20.188843334575722</v>
      </c>
      <c r="AF168" s="270">
        <f>SUM('MasterA1(current$)'!AF162)/0.66773</f>
        <v>31.449837509172866</v>
      </c>
      <c r="AG168" s="30">
        <f>SUM('MasterA1(current$)'!AG162)/0.68996</f>
        <v>31.885906429358222</v>
      </c>
      <c r="AH168" s="30">
        <f>SUM('MasterA1(current$)'!AH162)/0.70569</f>
        <v>39.677478779634114</v>
      </c>
      <c r="AI168" s="30">
        <f>SUM('MasterA1(current$)'!AI162)/0.72248</f>
        <v>34.603033994020592</v>
      </c>
      <c r="AJ168" s="30">
        <f>SUM('MasterA1(current$)'!AJ162)/0.73785</f>
        <v>37.948092430710851</v>
      </c>
      <c r="AK168" s="30">
        <f>SUM('MasterA1(current$)'!AK162)/0.75324</f>
        <v>31.862354628007008</v>
      </c>
      <c r="AL168" s="30">
        <f>SUM('MasterA1(current$)'!AL162)/0.76699</f>
        <v>32.594949086689532</v>
      </c>
      <c r="AM168" s="30">
        <f>SUM('MasterA1(current$)'!AM162)/0.78012</f>
        <v>35.891914064502899</v>
      </c>
      <c r="AN168" s="30">
        <f>SUM('MasterA1(current$)'!AN162)/0.78859</f>
        <v>44.383012718903359</v>
      </c>
      <c r="AO168" s="30">
        <f>SUM('MasterA1(current$)'!AO162)/0.80065</f>
        <v>38.718541185286959</v>
      </c>
      <c r="AP168" s="857">
        <f>SUM('MasterA1(current$)'!AP162)/0.81887</f>
        <v>36.635851844615139</v>
      </c>
      <c r="AQ168" s="328">
        <f>SUM('MasterA1(current$)'!AQ162)/0.83754</f>
        <v>29.849320629462476</v>
      </c>
      <c r="AR168" s="328">
        <f>SUM('MasterA1(current$)'!AR162)/0.85039</f>
        <v>42.333517562530133</v>
      </c>
      <c r="AS168" s="328">
        <f>SUM('MasterA1(current$)'!AS162)/0.86735</f>
        <v>39.199861647547131</v>
      </c>
      <c r="AT168" s="328">
        <f>SUM('MasterA1(current$)'!AT162)/0.8912</f>
        <v>47.127468581687616</v>
      </c>
      <c r="AU168" s="328">
        <f>SUM('MasterA1(current$)'!AU162)/0.91988</f>
        <v>44.571031004044002</v>
      </c>
      <c r="AV168" s="328">
        <f>SUM('MasterA1(current$)'!AV162)/0.94814</f>
        <v>50.625435062332571</v>
      </c>
      <c r="AW168" s="328">
        <f>SUM('MasterA1(current$)'!AW162)/0.97337</f>
        <v>47.258493686881664</v>
      </c>
      <c r="AX168" s="330">
        <f>('MasterA1(current$)'!AX162*100)/99.246</f>
        <v>52.395058742921634</v>
      </c>
      <c r="AY168" s="408">
        <f>SUM('MasterA1(current$)'!AY162)</f>
        <v>47</v>
      </c>
      <c r="AZ168" s="637">
        <f>SUM('MasterA1(current$)'!AZ162*100)/101.221</f>
        <v>48.408927001313955</v>
      </c>
      <c r="BA168" s="408">
        <f>SUM('MasterA1(current$)'!BA162*100)/103.311</f>
        <v>73.564286474818743</v>
      </c>
      <c r="BB168" s="408">
        <f>SUM('MasterA1(current$)'!BB162*100)/105.214</f>
        <v>76.985952439789386</v>
      </c>
      <c r="BC168" s="408">
        <f>SUM('MasterA1(current$)'!BC162*100)/106.913</f>
        <v>76.697875842975137</v>
      </c>
      <c r="BD168" s="408">
        <f>SUM('MasterA1(current$)'!BD162*100)/108.832</f>
        <v>75.345486621581898</v>
      </c>
      <c r="BE168" s="408">
        <f>SUM('MasterA1(current$)'!BE162*100)/110.012</f>
        <v>61.811438752136134</v>
      </c>
      <c r="BF168" s="637">
        <f>SUM('MasterA1(current$)'!BF162*100)/111.416</f>
        <v>70.905435485029088</v>
      </c>
      <c r="BG168" s="637">
        <f>SUM('MasterA1(current$)'!BG162*100)/113.116</f>
        <v>70.723858693730335</v>
      </c>
      <c r="BH168" s="637">
        <f>SUM('MasterA1(current$)'!BH162*100)/114.716</f>
        <v>72.352592489277868</v>
      </c>
      <c r="BI168" s="637">
        <f>SUM('MasterA1(current$)'!BI162*100)/116.416</f>
        <v>70.437053326003294</v>
      </c>
      <c r="BJ168" s="410">
        <f>(BH168-BG168)/BG168</f>
        <v>2.3029481502144331E-2</v>
      </c>
      <c r="BK168" s="410">
        <f>(BI168-BH168)/BH168</f>
        <v>-2.6475059114964571E-2</v>
      </c>
      <c r="BL168" s="564">
        <f>BH168-BG168</f>
        <v>1.6287337955475323</v>
      </c>
      <c r="BM168" s="564">
        <f>BI168-BH168</f>
        <v>-1.9155391632745733</v>
      </c>
      <c r="BN168" s="112"/>
      <c r="BO168" s="112"/>
      <c r="BP168" s="620"/>
      <c r="BQ168" s="620"/>
    </row>
    <row r="169" spans="1:70" ht="9.75" customHeight="1">
      <c r="A169" s="115"/>
      <c r="B169" s="636"/>
      <c r="C169" s="33"/>
      <c r="D169" s="33"/>
      <c r="E169" s="47"/>
      <c r="F169" s="47"/>
      <c r="G169" s="47"/>
      <c r="H169" s="47"/>
      <c r="I169" s="47"/>
      <c r="J169" s="47"/>
      <c r="K169" s="47"/>
      <c r="L169" s="281"/>
      <c r="M169" s="47"/>
      <c r="N169" s="47"/>
      <c r="O169" s="47"/>
      <c r="P169" s="47"/>
      <c r="Q169" s="47"/>
      <c r="R169" s="47"/>
      <c r="S169" s="47"/>
      <c r="T169" s="47"/>
      <c r="U169" s="47"/>
      <c r="V169" s="281"/>
      <c r="W169" s="47"/>
      <c r="X169" s="47"/>
      <c r="Y169" s="47"/>
      <c r="Z169" s="47"/>
      <c r="AA169" s="47"/>
      <c r="AB169" s="47"/>
      <c r="AC169" s="47"/>
      <c r="AD169" s="47"/>
      <c r="AE169" s="47"/>
      <c r="AF169" s="281"/>
      <c r="AG169" s="47"/>
      <c r="AH169" s="47"/>
      <c r="AI169" s="47"/>
      <c r="AJ169" s="47"/>
      <c r="AK169" s="47"/>
      <c r="AL169" s="47"/>
      <c r="AM169" s="152"/>
      <c r="AN169" s="152"/>
      <c r="AO169" s="152"/>
      <c r="AP169" s="857"/>
      <c r="AQ169" s="328"/>
      <c r="AR169" s="328"/>
      <c r="AS169" s="328"/>
      <c r="AT169" s="328"/>
      <c r="AU169" s="328"/>
      <c r="AV169" s="328"/>
      <c r="AW169" s="328"/>
      <c r="AX169" s="89"/>
      <c r="AY169" s="404"/>
      <c r="AZ169" s="634"/>
      <c r="BA169" s="404"/>
      <c r="BB169" s="404"/>
      <c r="BC169" s="404"/>
      <c r="BD169" s="404"/>
      <c r="BE169" s="404"/>
      <c r="BF169" s="634"/>
      <c r="BG169" s="634"/>
      <c r="BH169" s="634"/>
      <c r="BI169" s="634"/>
      <c r="BJ169" s="871"/>
      <c r="BK169" s="871"/>
      <c r="BL169" s="565"/>
      <c r="BM169" s="565"/>
      <c r="BP169" s="620"/>
      <c r="BQ169" s="620"/>
    </row>
    <row r="170" spans="1:70" ht="12" customHeight="1">
      <c r="A170" s="116" t="s">
        <v>41</v>
      </c>
      <c r="B170" s="636"/>
      <c r="C170" s="33"/>
      <c r="D170" s="33"/>
      <c r="E170" s="47"/>
      <c r="F170" s="47"/>
      <c r="G170" s="47"/>
      <c r="H170" s="47"/>
      <c r="I170" s="47"/>
      <c r="J170" s="47"/>
      <c r="K170" s="47"/>
      <c r="L170" s="281"/>
      <c r="M170" s="47"/>
      <c r="N170" s="47"/>
      <c r="O170" s="47"/>
      <c r="P170" s="47"/>
      <c r="Q170" s="47"/>
      <c r="R170" s="47"/>
      <c r="S170" s="47"/>
      <c r="T170" s="47"/>
      <c r="U170" s="47"/>
      <c r="V170" s="281"/>
      <c r="W170" s="47"/>
      <c r="X170" s="47"/>
      <c r="Y170" s="47"/>
      <c r="Z170" s="47"/>
      <c r="AA170" s="47"/>
      <c r="AB170" s="47"/>
      <c r="AC170" s="47"/>
      <c r="AD170" s="47"/>
      <c r="AE170" s="47"/>
      <c r="AF170" s="281"/>
      <c r="AG170" s="47"/>
      <c r="AH170" s="47"/>
      <c r="AI170" s="47"/>
      <c r="AJ170" s="47"/>
      <c r="AK170" s="47"/>
      <c r="AL170" s="47"/>
      <c r="AM170" s="152"/>
      <c r="AN170" s="152"/>
      <c r="AO170" s="152"/>
      <c r="AP170" s="857"/>
      <c r="AQ170" s="328"/>
      <c r="AR170" s="328"/>
      <c r="AS170" s="328"/>
      <c r="AT170" s="328"/>
      <c r="AU170" s="328"/>
      <c r="AV170" s="328"/>
      <c r="AW170" s="328"/>
      <c r="AX170" s="89"/>
      <c r="AY170" s="404"/>
      <c r="AZ170" s="634"/>
      <c r="BA170" s="404"/>
      <c r="BB170" s="404"/>
      <c r="BC170" s="404"/>
      <c r="BD170" s="404"/>
      <c r="BE170" s="404"/>
      <c r="BF170" s="634"/>
      <c r="BG170" s="634"/>
      <c r="BH170" s="634"/>
      <c r="BI170" s="634"/>
      <c r="BJ170" s="410"/>
      <c r="BK170" s="410"/>
      <c r="BL170" s="566"/>
      <c r="BM170" s="566"/>
      <c r="BP170" s="620"/>
      <c r="BQ170" s="620"/>
    </row>
    <row r="171" spans="1:70" ht="12" customHeight="1">
      <c r="A171" s="119" t="s">
        <v>145</v>
      </c>
      <c r="B171" s="667">
        <f>SUM('MasterA1(current$)'!B165)/0.1756</f>
        <v>39.863325740318906</v>
      </c>
      <c r="C171" s="49">
        <f>SUM('MasterA1(current$)'!C165)/0.178</f>
        <v>44.943820224719104</v>
      </c>
      <c r="D171" s="49">
        <f>SUM('MasterA1(current$)'!D165)/0.1798</f>
        <v>50.055617352614021</v>
      </c>
      <c r="E171" s="30">
        <f>SUM('MasterA1(current$)'!E165)/0.182</f>
        <v>60.439560439560438</v>
      </c>
      <c r="F171" s="30">
        <f>SUM('MasterA1(current$)'!F165)/0.1842</f>
        <v>65.146579804560261</v>
      </c>
      <c r="G171" s="30">
        <f>SUM('MasterA1(current$)'!G165)/0.18702</f>
        <v>69.511282215805792</v>
      </c>
      <c r="H171" s="30">
        <f>SUM('MasterA1(current$)'!H165)/0.19227</f>
        <v>67.613252197430697</v>
      </c>
      <c r="I171" s="30">
        <f>SUM('MasterA1(current$)'!I165)/0.19786</f>
        <v>70.757100980491259</v>
      </c>
      <c r="J171" s="30">
        <f>SUM('MasterA1(current$)'!J165)/0.20627</f>
        <v>72.720221069472046</v>
      </c>
      <c r="K171" s="30">
        <f>SUM('MasterA1(current$)'!K165)/0.21642</f>
        <v>73.930320672765916</v>
      </c>
      <c r="L171" s="270">
        <f>SUM('MasterA1(current$)'!L165)/0.22784</f>
        <v>79.002808988764045</v>
      </c>
      <c r="M171" s="30">
        <f>SUM('MasterA1(current$)'!M165)/0.23941</f>
        <v>79.361764337329262</v>
      </c>
      <c r="N171" s="30">
        <f>SUM('MasterA1(current$)'!N165)/0.24978</f>
        <v>84.073985106894071</v>
      </c>
      <c r="O171" s="30">
        <f>SUM('MasterA1(current$)'!O165)/0.26337</f>
        <v>83.532672665831342</v>
      </c>
      <c r="P171" s="30">
        <f>SUM('MasterA1(current$)'!P165)/0.28703</f>
        <v>94.066822283385008</v>
      </c>
      <c r="Q171" s="30">
        <f>SUM('MasterA1(current$)'!Q165)/0.31361</f>
        <v>108.41491023883167</v>
      </c>
      <c r="R171" s="30">
        <f>SUM('MasterA1(current$)'!R165)/0.33083</f>
        <v>108.81721730193755</v>
      </c>
      <c r="S171" s="30">
        <f>SUM('MasterA1(current$)'!S165)/0.35135</f>
        <v>116.69275651060197</v>
      </c>
      <c r="T171" s="30">
        <f>SUM('MasterA1(current$)'!T165)/0.37602</f>
        <v>101.05845433753524</v>
      </c>
      <c r="U171" s="30">
        <f>SUM('MasterA1(current$)'!U165)/0.40706</f>
        <v>122.83201493637303</v>
      </c>
      <c r="V171" s="270">
        <f>SUM('MasterA1(current$)'!V165)/0.44377</f>
        <v>150.97911080063997</v>
      </c>
      <c r="W171" s="30">
        <f>SUM('MasterA1(current$)'!W165)/0.4852</f>
        <v>142.20939818631493</v>
      </c>
      <c r="X171" s="30">
        <f>SUM('MasterA1(current$)'!X165)/0.5153</f>
        <v>155.24936929943723</v>
      </c>
      <c r="Y171" s="30">
        <f>SUM('MasterA1(current$)'!Y165)/0.53565</f>
        <v>145.61747409689164</v>
      </c>
      <c r="Z171" s="30">
        <f>SUM('MasterA1(current$)'!Z165)/0.55466</f>
        <v>160.45865935888651</v>
      </c>
      <c r="AA171" s="30">
        <f>SUM('MasterA1(current$)'!AA165)/0.5724</f>
        <v>164.22082459818307</v>
      </c>
      <c r="AB171" s="30">
        <f>SUM('MasterA1(current$)'!AB165)/0.58395</f>
        <v>160.97268601763849</v>
      </c>
      <c r="AC171" s="30">
        <f>SUM('MasterA1(current$)'!AC165)/0.59885</f>
        <v>158.63738832762795</v>
      </c>
      <c r="AD171" s="30">
        <f>SUM('MasterA1(current$)'!AD165)/0.61982</f>
        <v>159.72379077796779</v>
      </c>
      <c r="AE171" s="30">
        <f>SUM('MasterA1(current$)'!AE165)/0.64392</f>
        <v>169.27568642067337</v>
      </c>
      <c r="AF171" s="270">
        <f>SUM('MasterA1(current$)'!AF165)/0.66773</f>
        <v>169.23007802554923</v>
      </c>
      <c r="AG171" s="30">
        <f>SUM('MasterA1(current$)'!AG165)/0.68996</f>
        <v>171.02440721201228</v>
      </c>
      <c r="AH171" s="30">
        <f>SUM('MasterA1(current$)'!AH165)/0.70569</f>
        <v>184.21686576258696</v>
      </c>
      <c r="AI171" s="30">
        <f>SUM('MasterA1(current$)'!AI165)/0.72248</f>
        <v>196.54523308603697</v>
      </c>
      <c r="AJ171" s="30">
        <f>SUM('MasterA1(current$)'!AJ165)/0.73785</f>
        <v>200.58277427661449</v>
      </c>
      <c r="AK171" s="30">
        <f>SUM('MasterA1(current$)'!AK165)/0.75324</f>
        <v>213.74329562954702</v>
      </c>
      <c r="AL171" s="30">
        <f>SUM('MasterA1(current$)'!AL165)/0.76699</f>
        <v>220.3418558260212</v>
      </c>
      <c r="AM171" s="30">
        <f>SUM('MasterA1(current$)'!AM165)/0.78012</f>
        <v>202.53294364969491</v>
      </c>
      <c r="AN171" s="30">
        <f>SUM('MasterA1(current$)'!AN165)/0.78859</f>
        <v>206.69803066232134</v>
      </c>
      <c r="AO171" s="30">
        <f>SUM('MasterA1(current$)'!AO165)/0.80065</f>
        <v>209.82951352026478</v>
      </c>
      <c r="AP171" s="857">
        <f>SUM('MasterA1(current$)'!AP165)/0.81887</f>
        <v>203.93957526835763</v>
      </c>
      <c r="AQ171" s="328">
        <f>SUM('MasterA1(current$)'!AQ165)/0.83754</f>
        <v>212.52716288177282</v>
      </c>
      <c r="AR171" s="328">
        <f>SUM('MasterA1(current$)'!AR165)/0.85039</f>
        <v>218.72317407307236</v>
      </c>
      <c r="AS171" s="328">
        <f>SUM('MasterA1(current$)'!AS165)/0.86735</f>
        <v>228.28154724159799</v>
      </c>
      <c r="AT171" s="328">
        <f>SUM('MasterA1(current$)'!AT165)/0.8912</f>
        <v>225.53859964093357</v>
      </c>
      <c r="AU171" s="328">
        <f>SUM('MasterA1(current$)'!AU165)/0.91988</f>
        <v>230.46484324042265</v>
      </c>
      <c r="AV171" s="328">
        <f>SUM('MasterA1(current$)'!AV165)/0.94814</f>
        <v>232.03324403569093</v>
      </c>
      <c r="AW171" s="328">
        <f>SUM('MasterA1(current$)'!AW165)/0.97337</f>
        <v>233.2103927591769</v>
      </c>
      <c r="AX171" s="330">
        <f>('MasterA1(current$)'!AX165*100)/99.246</f>
        <v>236.78536162666506</v>
      </c>
      <c r="AY171" s="408">
        <f>SUM('MasterA1(current$)'!AY165)</f>
        <v>274</v>
      </c>
      <c r="AZ171" s="637">
        <f>SUM('MasterA1(current$)'!AZ165*100)/101.221</f>
        <v>285.5138755791782</v>
      </c>
      <c r="BA171" s="408">
        <f>SUM('MasterA1(current$)'!BA165*100)/103.311</f>
        <v>293.28919476144841</v>
      </c>
      <c r="BB171" s="408">
        <f>SUM('MasterA1(current$)'!BB165*100)/105.214</f>
        <v>286.08360104168645</v>
      </c>
      <c r="BC171" s="408">
        <f>SUM('MasterA1(current$)'!BC165*100)/106.913</f>
        <v>274.98994509554501</v>
      </c>
      <c r="BD171" s="408">
        <f>SUM('MasterA1(current$)'!BD165*100)/108.832</f>
        <v>266.46574536900914</v>
      </c>
      <c r="BE171" s="408">
        <f>SUM('MasterA1(current$)'!BE165*100)/110.012</f>
        <v>271.788532160128</v>
      </c>
      <c r="BF171" s="637">
        <f>SUM('MasterA1(current$)'!BF165*100)/111.416</f>
        <v>279.13405614992462</v>
      </c>
      <c r="BG171" s="637">
        <f>SUM('MasterA1(current$)'!BG165*100)/113.116</f>
        <v>288.19972417695112</v>
      </c>
      <c r="BH171" s="637">
        <f>SUM('MasterA1(current$)'!BH165*100)/114.716</f>
        <v>315.56190941106735</v>
      </c>
      <c r="BI171" s="637">
        <f>SUM('MasterA1(current$)'!BI165*100)/116.416</f>
        <v>355.62122045079713</v>
      </c>
      <c r="BJ171" s="410">
        <f>(BH171-BG171)/BG171</f>
        <v>9.4941746777370883E-2</v>
      </c>
      <c r="BK171" s="410">
        <f>(BI171-BH171)/BH171</f>
        <v>0.12694596478545969</v>
      </c>
      <c r="BL171" s="564">
        <f>BH171-BG171</f>
        <v>27.362185234116225</v>
      </c>
      <c r="BM171" s="564">
        <f>BI171-BH171</f>
        <v>40.059311039729778</v>
      </c>
      <c r="BN171" s="112"/>
      <c r="BO171" s="112"/>
      <c r="BP171" s="620"/>
      <c r="BQ171" s="620"/>
    </row>
    <row r="172" spans="1:70" ht="12" customHeight="1">
      <c r="A172" s="119" t="s">
        <v>146</v>
      </c>
      <c r="B172" s="810" t="s">
        <v>3</v>
      </c>
      <c r="C172" s="45" t="s">
        <v>3</v>
      </c>
      <c r="D172" s="45" t="s">
        <v>3</v>
      </c>
      <c r="E172" s="220" t="s">
        <v>3</v>
      </c>
      <c r="F172" s="220" t="s">
        <v>3</v>
      </c>
      <c r="G172" s="220" t="s">
        <v>3</v>
      </c>
      <c r="H172" s="220" t="s">
        <v>3</v>
      </c>
      <c r="I172" s="220" t="s">
        <v>3</v>
      </c>
      <c r="J172" s="220" t="s">
        <v>3</v>
      </c>
      <c r="K172" s="220" t="s">
        <v>3</v>
      </c>
      <c r="L172" s="858" t="s">
        <v>3</v>
      </c>
      <c r="M172" s="220" t="s">
        <v>3</v>
      </c>
      <c r="N172" s="220" t="s">
        <v>3</v>
      </c>
      <c r="O172" s="220" t="s">
        <v>3</v>
      </c>
      <c r="P172" s="30">
        <f>SUM('MasterA1(current$)'!P166)/0.28703</f>
        <v>114.97056056858167</v>
      </c>
      <c r="Q172" s="30">
        <f>SUM('MasterA1(current$)'!Q166)/0.31361</f>
        <v>385.82953349701859</v>
      </c>
      <c r="R172" s="30">
        <f>SUM('MasterA1(current$)'!R166)/0.33083</f>
        <v>411.0872653628752</v>
      </c>
      <c r="S172" s="30">
        <f>SUM('MasterA1(current$)'!S166)/0.35135</f>
        <v>333.00128077415684</v>
      </c>
      <c r="T172" s="30">
        <f>SUM('MasterA1(current$)'!T166)/0.37602</f>
        <v>210.09520770171798</v>
      </c>
      <c r="U172" s="30">
        <f>SUM('MasterA1(current$)'!U166)/0.40706</f>
        <v>201.44450449565176</v>
      </c>
      <c r="V172" s="270">
        <f>SUM('MasterA1(current$)'!V166)/0.44377</f>
        <v>297.45138247290265</v>
      </c>
      <c r="W172" s="30">
        <f>SUM('MasterA1(current$)'!W166)/0.4852</f>
        <v>197.85655399835119</v>
      </c>
      <c r="X172" s="30">
        <f>SUM('MasterA1(current$)'!X166)/0.5153</f>
        <v>126.14011255579274</v>
      </c>
      <c r="Y172" s="30">
        <f>SUM('MasterA1(current$)'!Y166)/0.53565</f>
        <v>82.14319051619529</v>
      </c>
      <c r="Z172" s="30">
        <f>SUM('MasterA1(current$)'!Z166)/0.55466</f>
        <v>57.693001117801892</v>
      </c>
      <c r="AA172" s="30">
        <f>SUM('MasterA1(current$)'!AA166)/0.5724</f>
        <v>43.675751222921029</v>
      </c>
      <c r="AB172" s="30">
        <f>SUM('MasterA1(current$)'!AB166)/0.58395</f>
        <v>41.099409195992813</v>
      </c>
      <c r="AC172" s="30">
        <f>SUM('MasterA1(current$)'!AC166)/0.59885</f>
        <v>38.406946647741506</v>
      </c>
      <c r="AD172" s="30">
        <f>SUM('MasterA1(current$)'!AD166)/0.61982</f>
        <v>33.880804104417408</v>
      </c>
      <c r="AE172" s="30">
        <f>SUM('MasterA1(current$)'!AE166)/0.64392</f>
        <v>29.506771027456825</v>
      </c>
      <c r="AF172" s="270">
        <f>SUM('MasterA1(current$)'!AF166)/0.66773</f>
        <v>23.961780959369804</v>
      </c>
      <c r="AG172" s="30">
        <f>SUM('MasterA1(current$)'!AG166)/0.68996</f>
        <v>20.291031364137051</v>
      </c>
      <c r="AH172" s="30">
        <f>SUM('MasterA1(current$)'!AH166)/0.70569</f>
        <v>21.255792203375417</v>
      </c>
      <c r="AI172" s="30">
        <f>SUM('MasterA1(current$)'!AI166)/0.72248</f>
        <v>17.993577676890709</v>
      </c>
      <c r="AJ172" s="30">
        <f>SUM('MasterA1(current$)'!AJ166)/0.73785</f>
        <v>17.618757199972894</v>
      </c>
      <c r="AK172" s="30">
        <f>SUM('MasterA1(current$)'!AK166)/0.75324</f>
        <v>15.931177314003504</v>
      </c>
      <c r="AL172" s="30">
        <f>SUM('MasterA1(current$)'!AL166)/0.76699</f>
        <v>10.430383707740649</v>
      </c>
      <c r="AM172" s="30">
        <f>SUM('MasterA1(current$)'!AM166)/0.78012</f>
        <v>6.4092703686612316</v>
      </c>
      <c r="AN172" s="30">
        <f>SUM('MasterA1(current$)'!AN166)/0.78859</f>
        <v>3.8042582330488592</v>
      </c>
      <c r="AO172" s="30">
        <f>SUM('MasterA1(current$)'!AO166)/0.80065</f>
        <v>2.4979703990507711</v>
      </c>
      <c r="AP172" s="857">
        <f>SUM('MasterA1(current$)'!AP166)/0.81887</f>
        <v>2.4423901229743428</v>
      </c>
      <c r="AQ172" s="328">
        <f>SUM('MasterA1(current$)'!AQ166)/0.83754</f>
        <v>2.3879456503569978</v>
      </c>
      <c r="AR172" s="328">
        <f>SUM('MasterA1(current$)'!AR166)/0.85039</f>
        <v>2.3518620868072295</v>
      </c>
      <c r="AS172" s="328">
        <f>SUM('MasterA1(current$)'!AS166)/0.86735</f>
        <v>1.1529371072807979</v>
      </c>
      <c r="AT172" s="328">
        <f>SUM('MasterA1(current$)'!AT166)/0.8912</f>
        <v>1.1220825852782765</v>
      </c>
      <c r="AU172" s="328">
        <f>SUM('MasterA1(current$)'!AU166)/0.91988</f>
        <v>0</v>
      </c>
      <c r="AV172" s="331" t="s">
        <v>3</v>
      </c>
      <c r="AW172" s="331" t="s">
        <v>3</v>
      </c>
      <c r="AX172" s="220" t="s">
        <v>3</v>
      </c>
      <c r="AY172" s="373" t="s">
        <v>3</v>
      </c>
      <c r="AZ172" s="658" t="s">
        <v>3</v>
      </c>
      <c r="BA172" s="373" t="s">
        <v>3</v>
      </c>
      <c r="BB172" s="373" t="s">
        <v>3</v>
      </c>
      <c r="BC172" s="373" t="s">
        <v>3</v>
      </c>
      <c r="BD172" s="373" t="s">
        <v>3</v>
      </c>
      <c r="BE172" s="373" t="s">
        <v>3</v>
      </c>
      <c r="BF172" s="658" t="s">
        <v>3</v>
      </c>
      <c r="BG172" s="658" t="s">
        <v>3</v>
      </c>
      <c r="BH172" s="658" t="s">
        <v>3</v>
      </c>
      <c r="BI172" s="658" t="s">
        <v>3</v>
      </c>
      <c r="BJ172" s="878"/>
      <c r="BK172" s="878"/>
      <c r="BL172" s="565"/>
      <c r="BM172" s="565"/>
      <c r="BP172" s="620"/>
      <c r="BQ172" s="620"/>
    </row>
    <row r="173" spans="1:70" ht="12" customHeight="1">
      <c r="A173" s="393" t="s">
        <v>31</v>
      </c>
      <c r="B173" s="895">
        <f>SUM('MasterA1(current$)'!B167)/0.1756</f>
        <v>39.863325740318906</v>
      </c>
      <c r="C173" s="138">
        <f>SUM('MasterA1(current$)'!C167)/0.178</f>
        <v>44.943820224719104</v>
      </c>
      <c r="D173" s="138">
        <f>SUM('MasterA1(current$)'!D167)/0.1798</f>
        <v>50.055617352614021</v>
      </c>
      <c r="E173" s="474">
        <f>SUM('MasterA1(current$)'!E167)/0.182</f>
        <v>60.439560439560438</v>
      </c>
      <c r="F173" s="474">
        <f>SUM('MasterA1(current$)'!F167)/0.1842</f>
        <v>65.146579804560261</v>
      </c>
      <c r="G173" s="474">
        <f>SUM('MasterA1(current$)'!G167)/0.18702</f>
        <v>69.511282215805792</v>
      </c>
      <c r="H173" s="474">
        <f>SUM('MasterA1(current$)'!H167)/0.19227</f>
        <v>67.613252197430697</v>
      </c>
      <c r="I173" s="474">
        <f>SUM('MasterA1(current$)'!I167)/0.19786</f>
        <v>70.757100980491259</v>
      </c>
      <c r="J173" s="474">
        <f>SUM('MasterA1(current$)'!J167)/0.20627</f>
        <v>72.720221069472046</v>
      </c>
      <c r="K173" s="474">
        <f>SUM('MasterA1(current$)'!K167)/0.21642</f>
        <v>73.930320672765916</v>
      </c>
      <c r="L173" s="911">
        <f>SUM('MasterA1(current$)'!L167)/0.22784</f>
        <v>79.002808988764045</v>
      </c>
      <c r="M173" s="474">
        <f>SUM('MasterA1(current$)'!M167)/0.23941</f>
        <v>79.361764337329262</v>
      </c>
      <c r="N173" s="474">
        <f>SUM('MasterA1(current$)'!N167)/0.24978</f>
        <v>84.073985106894071</v>
      </c>
      <c r="O173" s="474">
        <f>SUM('MasterA1(current$)'!O167)/0.26337</f>
        <v>83.532672665831342</v>
      </c>
      <c r="P173" s="474">
        <f>SUM('MasterA1(current$)'!P167)/0.28703</f>
        <v>209.0373828519667</v>
      </c>
      <c r="Q173" s="474">
        <f>SUM('MasterA1(current$)'!Q167)/0.31361</f>
        <v>494.24444373585027</v>
      </c>
      <c r="R173" s="474">
        <f>SUM('MasterA1(current$)'!R167)/0.33083</f>
        <v>519.90448266481269</v>
      </c>
      <c r="S173" s="474">
        <f>SUM('MasterA1(current$)'!S167)/0.35135</f>
        <v>449.69403728475879</v>
      </c>
      <c r="T173" s="474">
        <f>SUM('MasterA1(current$)'!T167)/0.37602</f>
        <v>311.15366203925322</v>
      </c>
      <c r="U173" s="474">
        <f>SUM('MasterA1(current$)'!U167)/0.40706</f>
        <v>324.27651943202477</v>
      </c>
      <c r="V173" s="911">
        <f>SUM('MasterA1(current$)'!V167)/0.44377</f>
        <v>448.4304932735426</v>
      </c>
      <c r="W173" s="474">
        <f>SUM('MasterA1(current$)'!W167)/0.4852</f>
        <v>340.06595218466612</v>
      </c>
      <c r="X173" s="474">
        <f>SUM('MasterA1(current$)'!X167)/0.5153</f>
        <v>281.38948185522997</v>
      </c>
      <c r="Y173" s="474">
        <f>SUM('MasterA1(current$)'!Y167)/0.53565</f>
        <v>227.76066461308693</v>
      </c>
      <c r="Z173" s="474">
        <f>SUM('MasterA1(current$)'!Z167)/0.55466</f>
        <v>218.15166047668839</v>
      </c>
      <c r="AA173" s="474">
        <f>SUM('MasterA1(current$)'!AA167)/0.5724</f>
        <v>207.89657582110411</v>
      </c>
      <c r="AB173" s="474">
        <f>SUM('MasterA1(current$)'!AB167)/0.58395</f>
        <v>202.07209521363131</v>
      </c>
      <c r="AC173" s="474">
        <f>SUM('MasterA1(current$)'!AC167)/0.59885</f>
        <v>197.04433497536945</v>
      </c>
      <c r="AD173" s="474">
        <f>SUM('MasterA1(current$)'!AD167)/0.61982</f>
        <v>193.60459488238519</v>
      </c>
      <c r="AE173" s="474">
        <f>SUM('MasterA1(current$)'!AE167)/0.64392</f>
        <v>198.78245744813017</v>
      </c>
      <c r="AF173" s="911">
        <f>SUM('MasterA1(current$)'!AF167)/0.66773</f>
        <v>193.19185898491904</v>
      </c>
      <c r="AG173" s="474">
        <f>SUM('MasterA1(current$)'!AG167)/0.68996</f>
        <v>191.31543857614935</v>
      </c>
      <c r="AH173" s="474">
        <f>SUM('MasterA1(current$)'!AH167)/0.70569</f>
        <v>205.47265796596238</v>
      </c>
      <c r="AI173" s="474">
        <f>SUM('MasterA1(current$)'!AI167)/0.72248</f>
        <v>214.53881076292768</v>
      </c>
      <c r="AJ173" s="474">
        <f>SUM('MasterA1(current$)'!AJ167)/0.73785</f>
        <v>218.20153147658738</v>
      </c>
      <c r="AK173" s="474">
        <f>SUM('MasterA1(current$)'!AK167)/0.75324</f>
        <v>229.67447294355051</v>
      </c>
      <c r="AL173" s="474">
        <f>SUM('MasterA1(current$)'!AL167)/0.76699</f>
        <v>230.77223953376188</v>
      </c>
      <c r="AM173" s="474">
        <f>SUM('MasterA1(current$)'!AM167)/0.78012</f>
        <v>208.94221401835614</v>
      </c>
      <c r="AN173" s="474">
        <f>SUM('MasterA1(current$)'!AN167)/0.78859</f>
        <v>210.50228889537021</v>
      </c>
      <c r="AO173" s="474">
        <f>SUM('MasterA1(current$)'!AO167)/0.80065</f>
        <v>212.32748391931557</v>
      </c>
      <c r="AP173" s="930">
        <f>SUM('MasterA1(current$)'!AP167)/0.81887</f>
        <v>206.38196539133196</v>
      </c>
      <c r="AQ173" s="123">
        <f>SUM('MasterA1(current$)'!AQ167)/0.83754</f>
        <v>214.91510853212984</v>
      </c>
      <c r="AR173" s="123">
        <f>SUM('MasterA1(current$)'!AR167)/0.85039</f>
        <v>221.0750361598796</v>
      </c>
      <c r="AS173" s="123">
        <f>SUM('MasterA1(current$)'!AS167)/0.86735</f>
        <v>229.43448434887878</v>
      </c>
      <c r="AT173" s="123">
        <f>SUM('MasterA1(current$)'!AT167)/0.8912</f>
        <v>226.66068222621186</v>
      </c>
      <c r="AU173" s="123">
        <f>SUM('MasterA1(current$)'!AU167)/0.91988</f>
        <v>230.46484324042265</v>
      </c>
      <c r="AV173" s="123">
        <f>SUM('MasterA1(current$)'!AV167)/0.94814</f>
        <v>232.03324403569093</v>
      </c>
      <c r="AW173" s="123">
        <f>SUM('MasterA1(current$)'!AW167)/0.97337</f>
        <v>233.2103927591769</v>
      </c>
      <c r="AX173" s="459">
        <f>('MasterA1(current$)'!AX167*100)/99.246</f>
        <v>236.78536162666506</v>
      </c>
      <c r="AY173" s="460">
        <f>SUM('MasterA1(current$)'!AY167)</f>
        <v>274</v>
      </c>
      <c r="AZ173" s="663">
        <f>SUM('MasterA1(current$)'!AZ167*100)/101.221</f>
        <v>285.5138755791782</v>
      </c>
      <c r="BA173" s="460">
        <f>SUM('MasterA1(current$)'!BA167*100)/103.311</f>
        <v>293.28919476144841</v>
      </c>
      <c r="BB173" s="460">
        <f>SUM('MasterA1(current$)'!BB167*100)/105.214</f>
        <v>286.08360104168645</v>
      </c>
      <c r="BC173" s="460">
        <f>SUM('MasterA1(current$)'!BC167*100)/106.913</f>
        <v>274.98994509554501</v>
      </c>
      <c r="BD173" s="460">
        <f>SUM('MasterA1(current$)'!BD167*100)/108.832</f>
        <v>266.46574536900914</v>
      </c>
      <c r="BE173" s="460">
        <f>SUM('MasterA1(current$)'!BE167*100)/110.012</f>
        <v>271.788532160128</v>
      </c>
      <c r="BF173" s="663">
        <f>SUM('MasterA1(current$)'!BF167*100)/111.416</f>
        <v>279.13405614992462</v>
      </c>
      <c r="BG173" s="663">
        <f>SUM('MasterA1(current$)'!BG167*100)/113.116</f>
        <v>288.19972417695112</v>
      </c>
      <c r="BH173" s="663">
        <f>SUM('MasterA1(current$)'!BH167*100)/114.716</f>
        <v>315.56190941106735</v>
      </c>
      <c r="BI173" s="663">
        <f>SUM('MasterA1(current$)'!BI167*100)/116.416</f>
        <v>355.62122045079713</v>
      </c>
      <c r="BJ173" s="872">
        <f>(BH173-BG173)/BG173</f>
        <v>9.4941746777370883E-2</v>
      </c>
      <c r="BK173" s="872">
        <f>(BI173-BH173)/BH173</f>
        <v>0.12694596478545969</v>
      </c>
      <c r="BL173" s="567">
        <f>BH173-BG173</f>
        <v>27.362185234116225</v>
      </c>
      <c r="BM173" s="567">
        <f>BI173-BH173</f>
        <v>40.059311039729778</v>
      </c>
      <c r="BN173" s="112"/>
      <c r="BO173" s="112"/>
      <c r="BP173" s="620"/>
      <c r="BQ173" s="620"/>
    </row>
    <row r="174" spans="1:70" ht="6" customHeight="1">
      <c r="A174" s="115"/>
      <c r="B174" s="636"/>
      <c r="C174" s="33"/>
      <c r="D174" s="33"/>
      <c r="E174" s="47"/>
      <c r="F174" s="47"/>
      <c r="G174" s="47"/>
      <c r="H174" s="47"/>
      <c r="I174" s="47"/>
      <c r="J174" s="47"/>
      <c r="K174" s="47"/>
      <c r="L174" s="281"/>
      <c r="M174" s="47"/>
      <c r="N174" s="47"/>
      <c r="O174" s="47"/>
      <c r="P174" s="47"/>
      <c r="Q174" s="47"/>
      <c r="R174" s="47"/>
      <c r="S174" s="47"/>
      <c r="T174" s="47"/>
      <c r="U174" s="47"/>
      <c r="V174" s="281"/>
      <c r="W174" s="47"/>
      <c r="X174" s="47"/>
      <c r="Y174" s="47"/>
      <c r="Z174" s="47"/>
      <c r="AA174" s="47"/>
      <c r="AB174" s="47"/>
      <c r="AC174" s="47"/>
      <c r="AD174" s="47"/>
      <c r="AE174" s="47"/>
      <c r="AF174" s="281"/>
      <c r="AG174" s="47"/>
      <c r="AH174" s="47"/>
      <c r="AI174" s="47"/>
      <c r="AJ174" s="47"/>
      <c r="AK174" s="47"/>
      <c r="AL174" s="47"/>
      <c r="AM174" s="152"/>
      <c r="AN174" s="152"/>
      <c r="AO174" s="152"/>
      <c r="AP174" s="857"/>
      <c r="AQ174" s="328"/>
      <c r="AR174" s="328"/>
      <c r="AS174" s="328"/>
      <c r="AT174" s="328"/>
      <c r="AU174" s="328"/>
      <c r="AV174" s="328"/>
      <c r="AW174" s="328"/>
      <c r="AX174" s="89"/>
      <c r="AY174" s="404"/>
      <c r="AZ174" s="634"/>
      <c r="BA174" s="404"/>
      <c r="BB174" s="404"/>
      <c r="BC174" s="404"/>
      <c r="BD174" s="404"/>
      <c r="BE174" s="404"/>
      <c r="BF174" s="634"/>
      <c r="BG174" s="634"/>
      <c r="BH174" s="634"/>
      <c r="BI174" s="634"/>
      <c r="BJ174" s="871"/>
      <c r="BK174" s="871"/>
      <c r="BL174" s="565"/>
      <c r="BM174" s="565"/>
      <c r="BP174" s="620"/>
      <c r="BQ174" s="620"/>
    </row>
    <row r="175" spans="1:70" ht="11.25" customHeight="1">
      <c r="A175" s="116" t="s">
        <v>76</v>
      </c>
      <c r="AY175" s="206"/>
      <c r="AZ175" s="664"/>
      <c r="BA175" s="206"/>
      <c r="BB175" s="206"/>
      <c r="BC175" s="206"/>
      <c r="BD175" s="206"/>
      <c r="BE175" s="206"/>
      <c r="BF175" s="664"/>
      <c r="BG175" s="664"/>
      <c r="BH175" s="664"/>
      <c r="BI175" s="664"/>
      <c r="BJ175" s="871"/>
      <c r="BK175" s="871"/>
      <c r="BL175" s="565"/>
      <c r="BM175" s="565"/>
      <c r="BP175" s="152"/>
      <c r="BQ175" s="620"/>
      <c r="BR175" s="621"/>
    </row>
    <row r="176" spans="1:70" ht="11.25" customHeight="1">
      <c r="A176" s="115" t="s">
        <v>77</v>
      </c>
      <c r="B176" s="810" t="s">
        <v>3</v>
      </c>
      <c r="C176" s="45" t="s">
        <v>3</v>
      </c>
      <c r="D176" s="45" t="s">
        <v>3</v>
      </c>
      <c r="E176" s="220" t="s">
        <v>3</v>
      </c>
      <c r="F176" s="220" t="s">
        <v>3</v>
      </c>
      <c r="G176" s="220" t="s">
        <v>3</v>
      </c>
      <c r="H176" s="220" t="s">
        <v>3</v>
      </c>
      <c r="I176" s="220" t="s">
        <v>3</v>
      </c>
      <c r="J176" s="220" t="s">
        <v>3</v>
      </c>
      <c r="K176" s="220" t="s">
        <v>3</v>
      </c>
      <c r="L176" s="858" t="s">
        <v>3</v>
      </c>
      <c r="M176" s="220" t="s">
        <v>3</v>
      </c>
      <c r="N176" s="220" t="s">
        <v>3</v>
      </c>
      <c r="O176" s="220" t="s">
        <v>3</v>
      </c>
      <c r="P176" s="220" t="s">
        <v>3</v>
      </c>
      <c r="Q176" s="220" t="s">
        <v>3</v>
      </c>
      <c r="R176" s="220" t="s">
        <v>3</v>
      </c>
      <c r="S176" s="220" t="s">
        <v>3</v>
      </c>
      <c r="T176" s="220" t="s">
        <v>3</v>
      </c>
      <c r="U176" s="220" t="s">
        <v>3</v>
      </c>
      <c r="V176" s="858" t="s">
        <v>3</v>
      </c>
      <c r="W176" s="220" t="s">
        <v>3</v>
      </c>
      <c r="X176" s="220" t="s">
        <v>3</v>
      </c>
      <c r="Y176" s="220" t="s">
        <v>3</v>
      </c>
      <c r="Z176" s="220" t="s">
        <v>3</v>
      </c>
      <c r="AA176" s="220" t="s">
        <v>3</v>
      </c>
      <c r="AB176" s="220" t="s">
        <v>3</v>
      </c>
      <c r="AC176" s="220" t="s">
        <v>3</v>
      </c>
      <c r="AD176" s="220" t="s">
        <v>3</v>
      </c>
      <c r="AE176" s="220" t="s">
        <v>3</v>
      </c>
      <c r="AF176" s="238" t="s">
        <v>3</v>
      </c>
      <c r="AG176" s="30">
        <f>SUM('MasterA1(current$)'!AG170)/0.68996</f>
        <v>1.4493593831526466</v>
      </c>
      <c r="AH176" s="30">
        <f>SUM('MasterA1(current$)'!AH170)/0.70569</f>
        <v>2.8341056271167226</v>
      </c>
      <c r="AI176" s="30">
        <f>SUM('MasterA1(current$)'!AI170)/0.72248</f>
        <v>2.7682427195216475</v>
      </c>
      <c r="AJ176" s="30">
        <f>SUM('MasterA1(current$)'!AJ170)/0.73785</f>
        <v>4.0658670461475905</v>
      </c>
      <c r="AK176" s="30">
        <f>SUM('MasterA1(current$)'!AK170)/0.75324</f>
        <v>3.982794328500876</v>
      </c>
      <c r="AL176" s="30">
        <f>SUM('MasterA1(current$)'!AL170)/0.76699</f>
        <v>2.6075959269351623</v>
      </c>
      <c r="AM176" s="30">
        <f>SUM('MasterA1(current$)'!AM170)/0.78012</f>
        <v>2.5637081474644927</v>
      </c>
      <c r="AN176" s="30">
        <f>SUM('MasterA1(current$)'!AN170)/0.78859</f>
        <v>5.072344310731812</v>
      </c>
      <c r="AO176" s="30">
        <f>SUM('MasterA1(current$)'!AO170)/0.80065</f>
        <v>17.485792793355401</v>
      </c>
      <c r="AP176" s="270">
        <f>SUM('MasterA1(current$)'!AP170)/0.81887</f>
        <v>12.211950614871714</v>
      </c>
      <c r="AQ176" s="30">
        <f>SUM('MasterA1(current$)'!AQ170)/0.83754</f>
        <v>14.327673902141989</v>
      </c>
      <c r="AR176" s="328">
        <f>SUM('MasterA1(current$)'!AR170)/0.85039</f>
        <v>9.4074483472289181</v>
      </c>
      <c r="AS176" s="328">
        <f>SUM('MasterA1(current$)'!AS170)/0.86735</f>
        <v>13.835245287369574</v>
      </c>
      <c r="AT176" s="328">
        <f>SUM('MasterA1(current$)'!AT170)/0.8912</f>
        <v>12.342908438061041</v>
      </c>
      <c r="AU176" s="328">
        <f>SUM('MasterA1(current$)'!AU170)/0.91988</f>
        <v>14.132278123233466</v>
      </c>
      <c r="AV176" s="328">
        <f>SUM('MasterA1(current$)'!AV170)/0.94814</f>
        <v>15.820448456978928</v>
      </c>
      <c r="AW176" s="328">
        <f>SUM('MasterA1(current$)'!AW170)/0.97337</f>
        <v>16.437736934567535</v>
      </c>
      <c r="AX176" s="330">
        <f>('MasterA1(current$)'!AX170*100)/99.246</f>
        <v>18.136751103319025</v>
      </c>
      <c r="AY176" s="408">
        <f>SUM('MasterA1(current$)'!AY170)</f>
        <v>19</v>
      </c>
      <c r="AZ176" s="637">
        <f>SUM('MasterA1(current$)'!AZ170*100)/101.221</f>
        <v>18.770808429080923</v>
      </c>
      <c r="BA176" s="408">
        <f>SUM('MasterA1(current$)'!BA170*100)/103.311</f>
        <v>18.391071618704686</v>
      </c>
      <c r="BB176" s="408">
        <f>SUM('MasterA1(current$)'!BB170*100)/105.214</f>
        <v>17.107989431064308</v>
      </c>
      <c r="BC176" s="408">
        <f>SUM('MasterA1(current$)'!BC170*100)/106.913</f>
        <v>14.965439188873196</v>
      </c>
      <c r="BD176" s="408">
        <f>SUM('MasterA1(current$)'!BD170*100)/108.832</f>
        <v>17.458100558659218</v>
      </c>
      <c r="BE176" s="408">
        <f>SUM('MasterA1(current$)'!BE170*100)/110.012</f>
        <v>14.543867941679089</v>
      </c>
      <c r="BF176" s="637">
        <f>SUM('MasterA1(current$)'!BF170*100)/111.416</f>
        <v>17.950743160766855</v>
      </c>
      <c r="BG176" s="637">
        <f>SUM('MasterA1(current$)'!BG170*100)/113.116</f>
        <v>18.565012907104212</v>
      </c>
      <c r="BH176" s="637">
        <f>SUM('MasterA1(current$)'!BH170*100)/114.716</f>
        <v>22.664667526761743</v>
      </c>
      <c r="BI176" s="637">
        <f>SUM('MasterA1(current$)'!BI170*100)/116.416</f>
        <v>23.192688290269381</v>
      </c>
      <c r="BJ176" s="410">
        <f>(BH176-BG176)/BG176</f>
        <v>0.22082691997961015</v>
      </c>
      <c r="BK176" s="410">
        <f>(BI176-BH176)/BH176</f>
        <v>2.329708842559312E-2</v>
      </c>
      <c r="BL176" s="564">
        <f>BH176-BG176</f>
        <v>4.0996546196575316</v>
      </c>
      <c r="BM176" s="564">
        <f>BI176-BH176</f>
        <v>0.52802076350763727</v>
      </c>
      <c r="BN176" s="112"/>
      <c r="BO176" s="112"/>
      <c r="BP176" s="620"/>
      <c r="BQ176" s="620"/>
    </row>
    <row r="177" spans="1:69" ht="11.25" customHeight="1">
      <c r="A177" s="115"/>
      <c r="B177" s="636"/>
      <c r="C177" s="33"/>
      <c r="D177" s="33"/>
      <c r="E177" s="47"/>
      <c r="F177" s="47"/>
      <c r="G177" s="47"/>
      <c r="H177" s="47"/>
      <c r="I177" s="47"/>
      <c r="J177" s="47"/>
      <c r="K177" s="47"/>
      <c r="L177" s="281"/>
      <c r="M177" s="47"/>
      <c r="N177" s="47"/>
      <c r="O177" s="47"/>
      <c r="P177" s="47"/>
      <c r="Q177" s="47"/>
      <c r="R177" s="47"/>
      <c r="S177" s="47"/>
      <c r="T177" s="47"/>
      <c r="U177" s="47"/>
      <c r="V177" s="281"/>
      <c r="W177" s="47"/>
      <c r="X177" s="47"/>
      <c r="Y177" s="47"/>
      <c r="Z177" s="47"/>
      <c r="AA177" s="47"/>
      <c r="AB177" s="47"/>
      <c r="AC177" s="47"/>
      <c r="AD177" s="47"/>
      <c r="AE177" s="47"/>
      <c r="AF177" s="281"/>
      <c r="AG177" s="47"/>
      <c r="AH177" s="47"/>
      <c r="AI177" s="47"/>
      <c r="AJ177" s="47"/>
      <c r="AK177" s="47"/>
      <c r="AL177" s="47"/>
      <c r="AM177" s="152"/>
      <c r="AN177" s="152"/>
      <c r="AO177" s="152"/>
      <c r="AP177" s="857"/>
      <c r="AQ177" s="328"/>
      <c r="AR177" s="328"/>
      <c r="AS177" s="328"/>
      <c r="AT177" s="328"/>
      <c r="AU177" s="328"/>
      <c r="AV177" s="328"/>
      <c r="AW177" s="328"/>
      <c r="AX177" s="89"/>
      <c r="AY177" s="404"/>
      <c r="AZ177" s="634"/>
      <c r="BA177" s="404"/>
      <c r="BB177" s="404"/>
      <c r="BC177" s="404"/>
      <c r="BD177" s="404"/>
      <c r="BE177" s="404"/>
      <c r="BF177" s="634"/>
      <c r="BG177" s="634"/>
      <c r="BH177" s="634"/>
      <c r="BI177" s="634"/>
      <c r="BJ177" s="871"/>
      <c r="BK177" s="871"/>
      <c r="BL177" s="565"/>
      <c r="BM177" s="565"/>
      <c r="BP177" s="620"/>
      <c r="BQ177" s="620"/>
    </row>
    <row r="178" spans="1:69" ht="11.25" customHeight="1">
      <c r="A178" s="119" t="s">
        <v>147</v>
      </c>
      <c r="B178" s="667">
        <f>SUM('MasterA1(current$)'!B172)/0.1756</f>
        <v>39.863325740318906</v>
      </c>
      <c r="C178" s="49">
        <f>SUM('MasterA1(current$)'!C172)/0.178</f>
        <v>44.943820224719104</v>
      </c>
      <c r="D178" s="49">
        <f>SUM('MasterA1(current$)'!D172)/0.1798</f>
        <v>50.055617352614021</v>
      </c>
      <c r="E178" s="30">
        <f>SUM('MasterA1(current$)'!E172)/0.182</f>
        <v>49.450549450549453</v>
      </c>
      <c r="F178" s="30">
        <f>SUM('MasterA1(current$)'!F172)/0.1842</f>
        <v>54.288816503800213</v>
      </c>
      <c r="G178" s="30">
        <f>SUM('MasterA1(current$)'!G172)/0.18702</f>
        <v>58.817238797989525</v>
      </c>
      <c r="H178" s="30">
        <f>SUM('MasterA1(current$)'!H172)/0.19227</f>
        <v>41.608155198418892</v>
      </c>
      <c r="I178" s="30">
        <f>SUM('MasterA1(current$)'!I172)/0.19786</f>
        <v>60.648943697563929</v>
      </c>
      <c r="J178" s="30">
        <f>SUM('MasterA1(current$)'!J172)/0.20627</f>
        <v>43.632132641683228</v>
      </c>
      <c r="K178" s="30">
        <f>SUM('MasterA1(current$)'!K172)/0.21642</f>
        <v>46.206450420478696</v>
      </c>
      <c r="L178" s="270">
        <f>SUM('MasterA1(current$)'!L172)/0.22784</f>
        <v>48.279494382022477</v>
      </c>
      <c r="M178" s="30">
        <f>SUM('MasterA1(current$)'!M172)/0.23941</f>
        <v>50.123219581471112</v>
      </c>
      <c r="N178" s="30">
        <f>SUM('MasterA1(current$)'!N172)/0.24978</f>
        <v>52.045800304267757</v>
      </c>
      <c r="O178" s="30">
        <f>SUM('MasterA1(current$)'!O172)/0.26337</f>
        <v>53.157155332801764</v>
      </c>
      <c r="P178" s="30">
        <f>SUM('MasterA1(current$)'!P172)/0.28703</f>
        <v>52.259345712991674</v>
      </c>
      <c r="Q178" s="30">
        <f>SUM('MasterA1(current$)'!Q172)/0.31361</f>
        <v>54.207455119415833</v>
      </c>
      <c r="R178" s="30">
        <f>SUM('MasterA1(current$)'!R172)/0.33083</f>
        <v>60.454009612187527</v>
      </c>
      <c r="S178" s="30">
        <f>SUM('MasterA1(current$)'!S172)/0.35135</f>
        <v>65.461790237654768</v>
      </c>
      <c r="T178" s="30">
        <f>SUM('MasterA1(current$)'!T172)/0.37602</f>
        <v>66.485825222062658</v>
      </c>
      <c r="U178" s="30">
        <f>SUM('MasterA1(current$)'!U172)/0.40706</f>
        <v>66.329288065641435</v>
      </c>
      <c r="V178" s="270">
        <f>SUM('MasterA1(current$)'!V172)/0.44377</f>
        <v>63.095747797282378</v>
      </c>
      <c r="W178" s="30">
        <f>SUM('MasterA1(current$)'!W172)/0.4852</f>
        <v>59.769167353668585</v>
      </c>
      <c r="X178" s="30">
        <f>SUM('MasterA1(current$)'!X172)/0.5153</f>
        <v>50.456045022317099</v>
      </c>
      <c r="Y178" s="30">
        <f>SUM('MasterA1(current$)'!Y172)/0.53565</f>
        <v>44.805376645197427</v>
      </c>
      <c r="Z178" s="30">
        <f>SUM('MasterA1(current$)'!Z172)/0.55466</f>
        <v>39.663938268488799</v>
      </c>
      <c r="AA178" s="30">
        <f>SUM('MasterA1(current$)'!AA172)/0.5724</f>
        <v>6.9881201956673653</v>
      </c>
      <c r="AB178" s="153" t="s">
        <v>3</v>
      </c>
      <c r="AC178" s="153" t="s">
        <v>3</v>
      </c>
      <c r="AD178" s="153" t="s">
        <v>3</v>
      </c>
      <c r="AE178" s="153" t="s">
        <v>3</v>
      </c>
      <c r="AF178" s="238" t="s">
        <v>3</v>
      </c>
      <c r="AG178" s="153" t="s">
        <v>3</v>
      </c>
      <c r="AH178" s="153" t="s">
        <v>3</v>
      </c>
      <c r="AI178" s="153" t="s">
        <v>3</v>
      </c>
      <c r="AJ178" s="153" t="s">
        <v>3</v>
      </c>
      <c r="AK178" s="153" t="s">
        <v>3</v>
      </c>
      <c r="AL178" s="153" t="s">
        <v>3</v>
      </c>
      <c r="AM178" s="153" t="s">
        <v>3</v>
      </c>
      <c r="AN178" s="153" t="s">
        <v>3</v>
      </c>
      <c r="AO178" s="153" t="s">
        <v>3</v>
      </c>
      <c r="AP178" s="238" t="s">
        <v>3</v>
      </c>
      <c r="AQ178" s="153" t="s">
        <v>3</v>
      </c>
      <c r="AR178" s="153" t="s">
        <v>3</v>
      </c>
      <c r="AS178" s="153" t="s">
        <v>3</v>
      </c>
      <c r="AT178" s="153" t="s">
        <v>3</v>
      </c>
      <c r="AU178" s="153" t="s">
        <v>3</v>
      </c>
      <c r="AV178" s="331" t="s">
        <v>3</v>
      </c>
      <c r="AW178" s="331" t="s">
        <v>3</v>
      </c>
      <c r="AX178" s="220" t="s">
        <v>3</v>
      </c>
      <c r="AY178" s="373" t="s">
        <v>3</v>
      </c>
      <c r="AZ178" s="658" t="s">
        <v>3</v>
      </c>
      <c r="BA178" s="373" t="s">
        <v>3</v>
      </c>
      <c r="BB178" s="373" t="s">
        <v>3</v>
      </c>
      <c r="BC178" s="373" t="s">
        <v>3</v>
      </c>
      <c r="BD178" s="373" t="s">
        <v>3</v>
      </c>
      <c r="BE178" s="373" t="s">
        <v>3</v>
      </c>
      <c r="BF178" s="658" t="s">
        <v>3</v>
      </c>
      <c r="BG178" s="658" t="s">
        <v>3</v>
      </c>
      <c r="BH178" s="658" t="s">
        <v>3</v>
      </c>
      <c r="BI178" s="658" t="s">
        <v>3</v>
      </c>
      <c r="BJ178" s="874" t="s">
        <v>10</v>
      </c>
      <c r="BK178" s="874" t="s">
        <v>10</v>
      </c>
      <c r="BL178" s="568" t="s">
        <v>10</v>
      </c>
      <c r="BM178" s="568" t="s">
        <v>10</v>
      </c>
      <c r="BP178" s="620"/>
      <c r="BQ178" s="620"/>
    </row>
    <row r="179" spans="1:69" ht="6" customHeight="1">
      <c r="A179" s="115"/>
      <c r="B179" s="667"/>
      <c r="C179" s="49"/>
      <c r="D179" s="33"/>
      <c r="E179" s="47"/>
      <c r="F179" s="47"/>
      <c r="G179" s="47"/>
      <c r="H179" s="47"/>
      <c r="I179" s="47"/>
      <c r="J179" s="47"/>
      <c r="K179" s="47"/>
      <c r="L179" s="281"/>
      <c r="M179" s="47"/>
      <c r="N179" s="47"/>
      <c r="O179" s="47"/>
      <c r="P179" s="47"/>
      <c r="Q179" s="47"/>
      <c r="R179" s="47"/>
      <c r="S179" s="47"/>
      <c r="T179" s="47"/>
      <c r="U179" s="47"/>
      <c r="V179" s="281"/>
      <c r="W179" s="47"/>
      <c r="X179" s="47"/>
      <c r="Y179" s="47"/>
      <c r="Z179" s="47"/>
      <c r="AA179" s="47"/>
      <c r="AB179" s="47"/>
      <c r="AC179" s="47"/>
      <c r="AD179" s="47"/>
      <c r="AE179" s="47"/>
      <c r="AF179" s="281"/>
      <c r="AG179" s="47"/>
      <c r="AH179" s="47"/>
      <c r="AI179" s="47"/>
      <c r="AJ179" s="47"/>
      <c r="AK179" s="47"/>
      <c r="AL179" s="47"/>
      <c r="AM179" s="152"/>
      <c r="AN179" s="152"/>
      <c r="AO179" s="152"/>
      <c r="AP179" s="857"/>
      <c r="AQ179" s="328"/>
      <c r="AR179" s="328"/>
      <c r="AS179" s="328"/>
      <c r="AT179" s="328"/>
      <c r="AU179" s="328"/>
      <c r="AV179" s="328"/>
      <c r="AW179" s="328"/>
      <c r="AX179" s="89"/>
      <c r="AY179" s="404"/>
      <c r="AZ179" s="634"/>
      <c r="BA179" s="404"/>
      <c r="BB179" s="404"/>
      <c r="BC179" s="404"/>
      <c r="BD179" s="404"/>
      <c r="BE179" s="404"/>
      <c r="BF179" s="634"/>
      <c r="BG179" s="634"/>
      <c r="BH179" s="634"/>
      <c r="BI179" s="634"/>
      <c r="BJ179" s="410"/>
      <c r="BK179" s="410"/>
      <c r="BL179" s="566"/>
      <c r="BM179" s="566"/>
      <c r="BP179" s="620"/>
      <c r="BQ179" s="620"/>
    </row>
    <row r="180" spans="1:69" ht="11.25" customHeight="1">
      <c r="A180" s="119" t="s">
        <v>148</v>
      </c>
      <c r="B180" s="667">
        <f>SUM('MasterA1(current$)'!B174)/0.1756</f>
        <v>5.6947608200455582</v>
      </c>
      <c r="C180" s="49">
        <f>SUM('MasterA1(current$)'!C174)/0.178</f>
        <v>5.617977528089888</v>
      </c>
      <c r="D180" s="49">
        <f>SUM('MasterA1(current$)'!D174)/0.1798</f>
        <v>5.5617352614015578</v>
      </c>
      <c r="E180" s="30">
        <f>SUM('MasterA1(current$)'!E174)/0.182</f>
        <v>5.4945054945054945</v>
      </c>
      <c r="F180" s="30">
        <f>SUM('MasterA1(current$)'!F174)/0.1842</f>
        <v>5.4288816503800215</v>
      </c>
      <c r="G180" s="30">
        <f>SUM('MasterA1(current$)'!G174)/0.18702</f>
        <v>5.3470217089081382</v>
      </c>
      <c r="H180" s="30">
        <f>SUM('MasterA1(current$)'!H174)/0.19227</f>
        <v>5.2010193998023615</v>
      </c>
      <c r="I180" s="30">
        <f>SUM('MasterA1(current$)'!I174)/0.19786</f>
        <v>5.0540786414636614</v>
      </c>
      <c r="J180" s="30">
        <f>SUM('MasterA1(current$)'!J174)/0.20627</f>
        <v>9.6960294759296062</v>
      </c>
      <c r="K180" s="30">
        <f>SUM('MasterA1(current$)'!K174)/0.21642</f>
        <v>9.2412900840957395</v>
      </c>
      <c r="L180" s="270">
        <f>SUM('MasterA1(current$)'!L174)/0.22784</f>
        <v>8.7780898876404496</v>
      </c>
      <c r="M180" s="30">
        <f>SUM('MasterA1(current$)'!M174)/0.23941</f>
        <v>12.530804895367778</v>
      </c>
      <c r="N180" s="30">
        <f>SUM('MasterA1(current$)'!N174)/0.24978</f>
        <v>12.010569300984866</v>
      </c>
      <c r="O180" s="30">
        <f>SUM('MasterA1(current$)'!O174)/0.26337</f>
        <v>11.390818999886092</v>
      </c>
      <c r="P180" s="30">
        <f>SUM('MasterA1(current$)'!P174)/0.28703</f>
        <v>10.451869142598335</v>
      </c>
      <c r="Q180" s="30">
        <f>SUM('MasterA1(current$)'!Q174)/0.31361</f>
        <v>3.1886738305538724</v>
      </c>
      <c r="R180" s="30">
        <f>SUM('MasterA1(current$)'!R174)/0.33083</f>
        <v>33.24970528670314</v>
      </c>
      <c r="S180" s="30">
        <f>SUM('MasterA1(current$)'!S174)/0.35135</f>
        <v>37.000142308239646</v>
      </c>
      <c r="T180" s="30">
        <f>SUM('MasterA1(current$)'!T174)/0.37602</f>
        <v>37.232062124355089</v>
      </c>
      <c r="U180" s="30">
        <f>SUM('MasterA1(current$)'!U174)/0.40706</f>
        <v>36.849604480911907</v>
      </c>
      <c r="V180" s="270">
        <f>SUM('MasterA1(current$)'!V174)/0.44377</f>
        <v>36.054713027018501</v>
      </c>
      <c r="W180" s="30">
        <f>SUM('MasterA1(current$)'!W174)/0.4852</f>
        <v>37.09810387469085</v>
      </c>
      <c r="X180" s="30">
        <f>SUM('MasterA1(current$)'!X174)/0.5153</f>
        <v>40.75295944110227</v>
      </c>
      <c r="Y180" s="30">
        <f>SUM('MasterA1(current$)'!Y174)/0.53565</f>
        <v>42.938485951647536</v>
      </c>
      <c r="Z180" s="30">
        <f>SUM('MasterA1(current$)'!Z174)/0.55466</f>
        <v>45.072657123282731</v>
      </c>
      <c r="AA180" s="30">
        <f>SUM('MasterA1(current$)'!AA174)/0.5724</f>
        <v>48.916841369671559</v>
      </c>
      <c r="AB180" s="30">
        <f>SUM('MasterA1(current$)'!AB174)/0.58395</f>
        <v>47.949310728658276</v>
      </c>
      <c r="AC180" s="30">
        <f>SUM('MasterA1(current$)'!AC174)/0.59885</f>
        <v>48.426150121065376</v>
      </c>
      <c r="AD180" s="30">
        <f>SUM('MasterA1(current$)'!AD174)/0.61982</f>
        <v>51.62789196863605</v>
      </c>
      <c r="AE180" s="30">
        <f>SUM('MasterA1(current$)'!AE174)/0.64392</f>
        <v>52.801590259659584</v>
      </c>
      <c r="AF180" s="270">
        <f>SUM('MasterA1(current$)'!AF174)/0.66773</f>
        <v>53.914007158582059</v>
      </c>
      <c r="AG180" s="30">
        <f>SUM('MasterA1(current$)'!AG174)/0.68996</f>
        <v>63.771812858716444</v>
      </c>
      <c r="AH180" s="30">
        <f>SUM('MasterA1(current$)'!AH174)/0.70569</f>
        <v>66.601482237242976</v>
      </c>
      <c r="AI180" s="30">
        <f>SUM('MasterA1(current$)'!AI174)/0.72248</f>
        <v>66.437825268519546</v>
      </c>
      <c r="AJ180" s="30">
        <f>SUM('MasterA1(current$)'!AJ174)/0.73785</f>
        <v>63.698583722978924</v>
      </c>
      <c r="AK180" s="30">
        <f>SUM('MasterA1(current$)'!AK174)/0.75324</f>
        <v>66.379905475014596</v>
      </c>
      <c r="AL180" s="30">
        <f>SUM('MasterA1(current$)'!AL174)/0.76699</f>
        <v>65.189898173379063</v>
      </c>
      <c r="AM180" s="30">
        <f>SUM('MasterA1(current$)'!AM174)/0.78012</f>
        <v>67.938265907809054</v>
      </c>
      <c r="AN180" s="30">
        <f>SUM('MasterA1(current$)'!AN174)/0.78859</f>
        <v>74.817078583294233</v>
      </c>
      <c r="AO180" s="30">
        <f>SUM('MasterA1(current$)'!AO174)/0.80065</f>
        <v>76.188097171048526</v>
      </c>
      <c r="AP180" s="857">
        <f>SUM('MasterA1(current$)'!AP174)/0.81887</f>
        <v>75.714093812204624</v>
      </c>
      <c r="AQ180" s="328">
        <f>SUM('MasterA1(current$)'!AQ174)/0.83754</f>
        <v>81.190152112137937</v>
      </c>
      <c r="AR180" s="328">
        <f>SUM('MasterA1(current$)'!AR174)/0.85039</f>
        <v>84.667035125060266</v>
      </c>
      <c r="AS180" s="328">
        <f>SUM('MasterA1(current$)'!AS174)/0.86735</f>
        <v>95.693779904306226</v>
      </c>
      <c r="AT180" s="328">
        <f>SUM('MasterA1(current$)'!AT174)/0.8912</f>
        <v>102.10951526032316</v>
      </c>
      <c r="AU180" s="328">
        <f>SUM('MasterA1(current$)'!AU174)/0.91988</f>
        <v>102.18724181414967</v>
      </c>
      <c r="AV180" s="328">
        <f>SUM('MasterA1(current$)'!AV174)/0.94814</f>
        <v>105.46965637985952</v>
      </c>
      <c r="AW180" s="328">
        <f>SUM('MasterA1(current$)'!AW174)/0.97337</f>
        <v>100.68113872422614</v>
      </c>
      <c r="AX180" s="330">
        <f>('MasterA1(current$)'!AX174*100)/99.246</f>
        <v>103.78252020232554</v>
      </c>
      <c r="AY180" s="408">
        <f>SUM('MasterA1(current$)'!AY174)</f>
        <v>129</v>
      </c>
      <c r="AZ180" s="637">
        <f>SUM('MasterA1(current$)'!AZ174*100)/101.221</f>
        <v>164.98552671876388</v>
      </c>
      <c r="BA180" s="408">
        <f>SUM('MasterA1(current$)'!BA174*100)/103.311</f>
        <v>181.97481391139374</v>
      </c>
      <c r="BB180" s="408">
        <f>SUM('MasterA1(current$)'!BB174*100)/105.214</f>
        <v>192.94010302811412</v>
      </c>
      <c r="BC180" s="408">
        <f>SUM('MasterA1(current$)'!BC174*100)/106.913</f>
        <v>208.58080869492017</v>
      </c>
      <c r="BD180" s="408">
        <f>SUM('MasterA1(current$)'!BD174*100)/108.832</f>
        <v>186.5260217583064</v>
      </c>
      <c r="BE180" s="408">
        <f>SUM('MasterA1(current$)'!BE174*100)/110.012</f>
        <v>208.15910991528196</v>
      </c>
      <c r="BF180" s="637">
        <f>SUM('MasterA1(current$)'!BF174*100)/111.416</f>
        <v>220.79414087743234</v>
      </c>
      <c r="BG180" s="637">
        <f>SUM('MasterA1(current$)'!BG174*100)/113.116</f>
        <v>225.43229958626543</v>
      </c>
      <c r="BH180" s="637">
        <f>SUM('MasterA1(current$)'!BH174*100)/114.716</f>
        <v>243.20931692178948</v>
      </c>
      <c r="BI180" s="637">
        <f>SUM('MasterA1(current$)'!BI174*100)/116.416</f>
        <v>235.36283672347443</v>
      </c>
      <c r="BJ180" s="410">
        <f>(BH180-BG180)/BG180</f>
        <v>7.8857454624515239E-2</v>
      </c>
      <c r="BK180" s="410">
        <f>(BI180-BH180)/BH180</f>
        <v>-3.2262251699996747E-2</v>
      </c>
      <c r="BL180" s="564">
        <f>BH180-BG180</f>
        <v>17.77701733552405</v>
      </c>
      <c r="BM180" s="564">
        <f>BI180-BH180</f>
        <v>-7.8464801983150494</v>
      </c>
      <c r="BN180" s="112"/>
      <c r="BO180" s="112"/>
      <c r="BP180" s="620"/>
      <c r="BQ180" s="620"/>
    </row>
    <row r="181" spans="1:69" ht="6" customHeight="1">
      <c r="A181" s="115"/>
      <c r="B181" s="667"/>
      <c r="C181" s="49"/>
      <c r="D181" s="33"/>
      <c r="E181" s="47"/>
      <c r="F181" s="47"/>
      <c r="G181" s="47"/>
      <c r="H181" s="47"/>
      <c r="I181" s="47"/>
      <c r="J181" s="47"/>
      <c r="K181" s="47"/>
      <c r="L181" s="281"/>
      <c r="M181" s="47"/>
      <c r="N181" s="47"/>
      <c r="O181" s="47"/>
      <c r="P181" s="47"/>
      <c r="Q181" s="47"/>
      <c r="R181" s="47"/>
      <c r="S181" s="47"/>
      <c r="T181" s="47"/>
      <c r="U181" s="47"/>
      <c r="V181" s="281"/>
      <c r="W181" s="47"/>
      <c r="X181" s="47"/>
      <c r="Y181" s="47"/>
      <c r="Z181" s="47"/>
      <c r="AA181" s="47"/>
      <c r="AB181" s="47"/>
      <c r="AC181" s="47"/>
      <c r="AD181" s="47"/>
      <c r="AE181" s="47"/>
      <c r="AF181" s="281"/>
      <c r="AG181" s="47"/>
      <c r="AH181" s="47"/>
      <c r="AI181" s="47"/>
      <c r="AJ181" s="47"/>
      <c r="AK181" s="47"/>
      <c r="AL181" s="47"/>
      <c r="AM181" s="47"/>
      <c r="AN181" s="47"/>
      <c r="AO181" s="47"/>
      <c r="AP181" s="857"/>
      <c r="AQ181" s="328"/>
      <c r="AR181" s="328"/>
      <c r="AS181" s="328"/>
      <c r="AT181" s="328"/>
      <c r="AU181" s="328"/>
      <c r="AV181" s="328"/>
      <c r="AW181" s="328"/>
      <c r="AX181" s="330"/>
      <c r="AY181" s="408"/>
      <c r="AZ181" s="637"/>
      <c r="BA181" s="408"/>
      <c r="BB181" s="408"/>
      <c r="BC181" s="408"/>
      <c r="BD181" s="408"/>
      <c r="BE181" s="408"/>
      <c r="BF181" s="637"/>
      <c r="BG181" s="637"/>
      <c r="BH181" s="637"/>
      <c r="BI181" s="637"/>
      <c r="BJ181" s="871"/>
      <c r="BK181" s="871"/>
      <c r="BL181" s="565"/>
      <c r="BM181" s="565"/>
      <c r="BP181" s="620"/>
      <c r="BQ181" s="620"/>
    </row>
    <row r="182" spans="1:69" ht="11.25" customHeight="1">
      <c r="A182" s="115" t="s">
        <v>25</v>
      </c>
      <c r="B182" s="667">
        <f>SUM('MasterA1(current$)'!B176)/0.1756</f>
        <v>62.642369020501135</v>
      </c>
      <c r="C182" s="49">
        <f>SUM('MasterA1(current$)'!C176)/0.178</f>
        <v>78.651685393258433</v>
      </c>
      <c r="D182" s="49">
        <f>SUM('MasterA1(current$)'!D176)/0.1798</f>
        <v>72.302558398220256</v>
      </c>
      <c r="E182" s="30">
        <f>SUM('MasterA1(current$)'!E176)/0.182</f>
        <v>82.417582417582423</v>
      </c>
      <c r="F182" s="30">
        <f>SUM('MasterA1(current$)'!F176)/0.1842</f>
        <v>92.290988056460364</v>
      </c>
      <c r="G182" s="30">
        <f>SUM('MasterA1(current$)'!G176)/0.18702</f>
        <v>90.899369051438356</v>
      </c>
      <c r="H182" s="30">
        <f>SUM('MasterA1(current$)'!H176)/0.19227</f>
        <v>88.417329796640146</v>
      </c>
      <c r="I182" s="30">
        <f>SUM('MasterA1(current$)'!I176)/0.19786</f>
        <v>90.97341554634589</v>
      </c>
      <c r="J182" s="30">
        <f>SUM('MasterA1(current$)'!J176)/0.20627</f>
        <v>92.112280021331259</v>
      </c>
      <c r="K182" s="30">
        <f>SUM('MasterA1(current$)'!K176)/0.21642</f>
        <v>92.412900840957391</v>
      </c>
      <c r="L182" s="270">
        <f>SUM('MasterA1(current$)'!L176)/0.22784</f>
        <v>105.3370786516854</v>
      </c>
      <c r="M182" s="30">
        <f>SUM('MasterA1(current$)'!M176)/0.23941</f>
        <v>112.77724405831</v>
      </c>
      <c r="N182" s="30">
        <f>SUM('MasterA1(current$)'!N176)/0.24978</f>
        <v>116.10216990952037</v>
      </c>
      <c r="O182" s="30">
        <f>SUM('MasterA1(current$)'!O176)/0.26337</f>
        <v>129.09594866537572</v>
      </c>
      <c r="P182" s="30">
        <f>SUM('MasterA1(current$)'!P176)/0.28703</f>
        <v>132.39034247291224</v>
      </c>
      <c r="Q182" s="30">
        <f>SUM('MasterA1(current$)'!Q176)/0.31361</f>
        <v>153.05634386658588</v>
      </c>
      <c r="R182" s="30">
        <f>SUM('MasterA1(current$)'!R176)/0.33083</f>
        <v>160.20312547229693</v>
      </c>
      <c r="S182" s="30">
        <f>SUM('MasterA1(current$)'!S176)/0.35135</f>
        <v>159.38522840472464</v>
      </c>
      <c r="T182" s="30">
        <f>SUM('MasterA1(current$)'!T176)/0.37602</f>
        <v>170.2037125684804</v>
      </c>
      <c r="U182" s="30">
        <f>SUM('MasterA1(current$)'!U176)/0.40706</f>
        <v>171.96482091092224</v>
      </c>
      <c r="V182" s="270">
        <f>SUM('MasterA1(current$)'!V176)/0.44377</f>
        <v>171.25988687833788</v>
      </c>
      <c r="W182" s="30">
        <f>SUM('MasterA1(current$)'!W176)/0.4852</f>
        <v>166.94146743610881</v>
      </c>
      <c r="X182" s="30">
        <f>SUM('MasterA1(current$)'!X176)/0.5153</f>
        <v>155.24936929943723</v>
      </c>
      <c r="Y182" s="30">
        <f>SUM('MasterA1(current$)'!Y176)/0.53565</f>
        <v>153.08503687109121</v>
      </c>
      <c r="Z182" s="30">
        <f>SUM('MasterA1(current$)'!Z176)/0.55466</f>
        <v>156.85284678902389</v>
      </c>
      <c r="AA182" s="30">
        <f>SUM('MasterA1(current$)'!AA176)/0.5724</f>
        <v>164.22082459818307</v>
      </c>
      <c r="AB182" s="30">
        <f>SUM('MasterA1(current$)'!AB176)/0.58395</f>
        <v>159.26021063447214</v>
      </c>
      <c r="AC182" s="30">
        <f>SUM('MasterA1(current$)'!AC176)/0.59885</f>
        <v>153.62778659096602</v>
      </c>
      <c r="AD182" s="30">
        <f>SUM('MasterA1(current$)'!AD176)/0.61982</f>
        <v>162.95053402600755</v>
      </c>
      <c r="AE182" s="30">
        <f>SUM('MasterA1(current$)'!AE176)/0.64392</f>
        <v>155.29879488135171</v>
      </c>
      <c r="AF182" s="270">
        <f>SUM('MasterA1(current$)'!AF176)/0.66773</f>
        <v>161.74202147574618</v>
      </c>
      <c r="AG182" s="30">
        <f>SUM('MasterA1(current$)'!AG176)/0.68996</f>
        <v>165.22696967940169</v>
      </c>
      <c r="AH182" s="30">
        <f>SUM('MasterA1(current$)'!AH176)/0.70569</f>
        <v>182.79981294902859</v>
      </c>
      <c r="AI182" s="30">
        <f>SUM('MasterA1(current$)'!AI176)/0.72248</f>
        <v>184.08814084818957</v>
      </c>
      <c r="AJ182" s="30">
        <f>SUM('MasterA1(current$)'!AJ176)/0.73785</f>
        <v>214.13566443043979</v>
      </c>
      <c r="AK182" s="30">
        <f>SUM('MasterA1(current$)'!AK176)/0.75324</f>
        <v>262.86442568105781</v>
      </c>
      <c r="AL182" s="30">
        <f>SUM('MasterA1(current$)'!AL176)/0.76699</f>
        <v>254.24060287617831</v>
      </c>
      <c r="AM182" s="30">
        <f>SUM('MasterA1(current$)'!AM176)/0.78012</f>
        <v>273.03491770496845</v>
      </c>
      <c r="AN182" s="30">
        <f>SUM('MasterA1(current$)'!AN176)/0.78859</f>
        <v>281.51510924561558</v>
      </c>
      <c r="AO182" s="30">
        <f>SUM('MasterA1(current$)'!AO176)/0.80065</f>
        <v>288.51558109036409</v>
      </c>
      <c r="AP182" s="857">
        <f>SUM('MasterA1(current$)'!AP176)/0.81887</f>
        <v>328.50147154004912</v>
      </c>
      <c r="AQ182" s="328">
        <f>SUM('MasterA1(current$)'!AQ176)/0.83754</f>
        <v>353.41595625283571</v>
      </c>
      <c r="AR182" s="328">
        <f>SUM('MasterA1(current$)'!AR176)/0.85039</f>
        <v>395.1128305836146</v>
      </c>
      <c r="AS182" s="328">
        <f>SUM('MasterA1(current$)'!AS176)/0.86735</f>
        <v>404.68092465556003</v>
      </c>
      <c r="AT182" s="328">
        <f>SUM('MasterA1(current$)'!AT176)/0.8912</f>
        <v>408.43806104129266</v>
      </c>
      <c r="AU182" s="328">
        <f>SUM('MasterA1(current$)'!AU176)/0.91988</f>
        <v>393.52959081619338</v>
      </c>
      <c r="AV182" s="328">
        <f>SUM('MasterA1(current$)'!AV176)/0.94814</f>
        <v>382.85485265889002</v>
      </c>
      <c r="AW182" s="328">
        <f>SUM('MasterA1(current$)'!AW176)/0.97337</f>
        <v>382.17738372869519</v>
      </c>
      <c r="AX182" s="330">
        <f>('MasterA1(current$)'!AX176*100)/99.246</f>
        <v>393.97053785542994</v>
      </c>
      <c r="AY182" s="408">
        <f>SUM('MasterA1(current$)'!AY176)</f>
        <v>434</v>
      </c>
      <c r="AZ182" s="637">
        <f>SUM('MasterA1(current$)'!AZ176*100)/101.221</f>
        <v>428.76478201163786</v>
      </c>
      <c r="BA182" s="408">
        <f>SUM('MasterA1(current$)'!BA176*100)/103.311</f>
        <v>401.69972219802344</v>
      </c>
      <c r="BB182" s="408">
        <f>SUM('MasterA1(current$)'!BB176*100)/105.214</f>
        <v>406.78997091641799</v>
      </c>
      <c r="BC182" s="408">
        <f>SUM('MasterA1(current$)'!BC176*100)/106.913</f>
        <v>411.5495776940129</v>
      </c>
      <c r="BD182" s="408">
        <f>SUM('MasterA1(current$)'!BD176*100)/108.832</f>
        <v>397.86092325786535</v>
      </c>
      <c r="BE182" s="408">
        <f>SUM('MasterA1(current$)'!BE176*100)/110.012</f>
        <v>410.86426935243429</v>
      </c>
      <c r="BF182" s="637">
        <f>SUM('MasterA1(current$)'!BF176*100)/111.416</f>
        <v>411.96955553959936</v>
      </c>
      <c r="BG182" s="637">
        <f>SUM('MasterA1(current$)'!BG176*100)/113.116</f>
        <v>381.90883694614377</v>
      </c>
      <c r="BH182" s="637">
        <f>SUM('MasterA1(current$)'!BH176*100)/114.716</f>
        <v>408.83573346350988</v>
      </c>
      <c r="BI182" s="637">
        <f>SUM('MasterA1(current$)'!BI176*100)/116.416</f>
        <v>400.28862012094561</v>
      </c>
      <c r="BJ182" s="410">
        <f>(BH182-BG182)/BG182</f>
        <v>7.0506083945795966E-2</v>
      </c>
      <c r="BK182" s="410">
        <f>(BI182-BH182)/BH182</f>
        <v>-2.0905984098200495E-2</v>
      </c>
      <c r="BL182" s="564">
        <f>BH182-BG182</f>
        <v>26.926896517366117</v>
      </c>
      <c r="BM182" s="564">
        <f>BI182-BH182</f>
        <v>-8.5471133425642734</v>
      </c>
      <c r="BN182" s="112"/>
      <c r="BO182" s="112"/>
      <c r="BP182" s="620"/>
      <c r="BQ182" s="620"/>
    </row>
    <row r="183" spans="1:69" ht="6" customHeight="1">
      <c r="A183" s="115"/>
      <c r="B183" s="667"/>
      <c r="C183" s="49"/>
      <c r="D183" s="33"/>
      <c r="E183" s="47"/>
      <c r="F183" s="47"/>
      <c r="G183" s="47"/>
      <c r="H183" s="47"/>
      <c r="I183" s="47"/>
      <c r="J183" s="47"/>
      <c r="K183" s="47"/>
      <c r="L183" s="281"/>
      <c r="M183" s="47"/>
      <c r="N183" s="47"/>
      <c r="O183" s="47"/>
      <c r="P183" s="47"/>
      <c r="Q183" s="47"/>
      <c r="R183" s="47"/>
      <c r="S183" s="47"/>
      <c r="T183" s="47"/>
      <c r="U183" s="47"/>
      <c r="V183" s="281"/>
      <c r="W183" s="47"/>
      <c r="X183" s="47"/>
      <c r="Y183" s="47"/>
      <c r="Z183" s="47"/>
      <c r="AA183" s="47"/>
      <c r="AB183" s="47"/>
      <c r="AC183" s="47"/>
      <c r="AD183" s="47"/>
      <c r="AE183" s="47"/>
      <c r="AF183" s="281"/>
      <c r="AG183" s="47"/>
      <c r="AH183" s="47"/>
      <c r="AI183" s="47"/>
      <c r="AJ183" s="47"/>
      <c r="AK183" s="47"/>
      <c r="AL183" s="47"/>
      <c r="AM183" s="47"/>
      <c r="AN183" s="47"/>
      <c r="AO183" s="47"/>
      <c r="AP183" s="857"/>
      <c r="AQ183" s="328"/>
      <c r="AR183" s="328"/>
      <c r="AS183" s="328"/>
      <c r="AT183" s="328"/>
      <c r="AU183" s="328"/>
      <c r="AV183" s="328"/>
      <c r="AW183" s="328"/>
      <c r="AX183" s="330"/>
      <c r="AY183" s="408"/>
      <c r="AZ183" s="637"/>
      <c r="BA183" s="408"/>
      <c r="BB183" s="408"/>
      <c r="BC183" s="408"/>
      <c r="BD183" s="408"/>
      <c r="BE183" s="408"/>
      <c r="BF183" s="637"/>
      <c r="BG183" s="637"/>
      <c r="BH183" s="637"/>
      <c r="BI183" s="637"/>
      <c r="BJ183" s="871"/>
      <c r="BK183" s="871"/>
      <c r="BL183" s="565"/>
      <c r="BM183" s="565"/>
      <c r="BP183" s="620"/>
      <c r="BQ183" s="620"/>
    </row>
    <row r="184" spans="1:69" ht="11.25" customHeight="1">
      <c r="A184" s="115" t="s">
        <v>26</v>
      </c>
      <c r="B184" s="810" t="s">
        <v>3</v>
      </c>
      <c r="C184" s="45" t="s">
        <v>3</v>
      </c>
      <c r="D184" s="49">
        <f>SUM('MasterA1(current$)'!D178)/0.1798</f>
        <v>5.5617352614015578</v>
      </c>
      <c r="E184" s="30">
        <f>SUM('MasterA1(current$)'!E178)/0.182</f>
        <v>10.989010989010989</v>
      </c>
      <c r="F184" s="30">
        <f>SUM('MasterA1(current$)'!F178)/0.1842</f>
        <v>16.286644951140065</v>
      </c>
      <c r="G184" s="30">
        <f>SUM('MasterA1(current$)'!G178)/0.18702</f>
        <v>16.041065126724416</v>
      </c>
      <c r="H184" s="30">
        <f>SUM('MasterA1(current$)'!H178)/0.19227</f>
        <v>15.603058199407084</v>
      </c>
      <c r="I184" s="30">
        <f>SUM('MasterA1(current$)'!I178)/0.19786</f>
        <v>15.162235924390982</v>
      </c>
      <c r="J184" s="30">
        <f>SUM('MasterA1(current$)'!J178)/0.20627</f>
        <v>19.392058951859212</v>
      </c>
      <c r="K184" s="30">
        <f>SUM('MasterA1(current$)'!K178)/0.21642</f>
        <v>18.482580168191479</v>
      </c>
      <c r="L184" s="270">
        <f>SUM('MasterA1(current$)'!L178)/0.22784</f>
        <v>17.556179775280899</v>
      </c>
      <c r="M184" s="30">
        <f>SUM('MasterA1(current$)'!M178)/0.23941</f>
        <v>20.884674825612965</v>
      </c>
      <c r="N184" s="30">
        <f>SUM('MasterA1(current$)'!N178)/0.24978</f>
        <v>20.017615501641444</v>
      </c>
      <c r="O184" s="30">
        <f>SUM('MasterA1(current$)'!O178)/0.26337</f>
        <v>18.984698333143488</v>
      </c>
      <c r="P184" s="30">
        <f>SUM('MasterA1(current$)'!P178)/0.28703</f>
        <v>20.90373828519667</v>
      </c>
      <c r="Q184" s="30">
        <f>SUM('MasterA1(current$)'!Q178)/0.31361</f>
        <v>22.320716813877109</v>
      </c>
      <c r="R184" s="30">
        <f>SUM('MasterA1(current$)'!R178)/0.33083</f>
        <v>24.18160384487501</v>
      </c>
      <c r="S184" s="30">
        <f>SUM('MasterA1(current$)'!S178)/0.35135</f>
        <v>22.769318343532092</v>
      </c>
      <c r="T184" s="30">
        <f>SUM('MasterA1(current$)'!T178)/0.37602</f>
        <v>23.934897079942555</v>
      </c>
      <c r="U184" s="30">
        <f>SUM('MasterA1(current$)'!U178)/0.40706</f>
        <v>24.566402987274603</v>
      </c>
      <c r="V184" s="270">
        <f>SUM('MasterA1(current$)'!V178)/0.44377</f>
        <v>24.78761520607522</v>
      </c>
      <c r="W184" s="30">
        <f>SUM('MasterA1(current$)'!W178)/0.4852</f>
        <v>24.732069249793899</v>
      </c>
      <c r="X184" s="30">
        <f>SUM('MasterA1(current$)'!X178)/0.5153</f>
        <v>21.346788278672619</v>
      </c>
      <c r="Y184" s="30">
        <f>SUM('MasterA1(current$)'!Y178)/0.53565</f>
        <v>22.402688322598713</v>
      </c>
      <c r="Z184" s="30">
        <f>SUM('MasterA1(current$)'!Z178)/0.55466</f>
        <v>19.8319691342444</v>
      </c>
      <c r="AA184" s="30">
        <f>SUM('MasterA1(current$)'!AA178)/0.5724</f>
        <v>20.964360587002094</v>
      </c>
      <c r="AB184" s="30">
        <f>SUM('MasterA1(current$)'!AB178)/0.58395</f>
        <v>20.549704597996406</v>
      </c>
      <c r="AC184" s="30">
        <f>SUM('MasterA1(current$)'!AC178)/0.59885</f>
        <v>20.038406946647743</v>
      </c>
      <c r="AD184" s="30">
        <f>SUM('MasterA1(current$)'!AD178)/0.61982</f>
        <v>20.973831112258395</v>
      </c>
      <c r="AE184" s="30">
        <f>SUM('MasterA1(current$)'!AE178)/0.64392</f>
        <v>21.741831283389239</v>
      </c>
      <c r="AF184" s="270">
        <f>SUM('MasterA1(current$)'!AF178)/0.66773</f>
        <v>22.46416964940919</v>
      </c>
      <c r="AG184" s="30">
        <f>SUM('MasterA1(current$)'!AG178)/0.68996</f>
        <v>24.639109513594992</v>
      </c>
      <c r="AH184" s="30">
        <f>SUM('MasterA1(current$)'!AH178)/0.70569</f>
        <v>24.089897830492141</v>
      </c>
      <c r="AI184" s="30">
        <f>SUM('MasterA1(current$)'!AI178)/0.72248</f>
        <v>24.914184475694828</v>
      </c>
      <c r="AJ184" s="30">
        <f>SUM('MasterA1(current$)'!AJ178)/0.73785</f>
        <v>24.395202276885545</v>
      </c>
      <c r="AK184" s="30">
        <f>SUM('MasterA1(current$)'!AK178)/0.75324</f>
        <v>25.224364080505548</v>
      </c>
      <c r="AL184" s="30">
        <f>SUM('MasterA1(current$)'!AL178)/0.76699</f>
        <v>20.860767415481298</v>
      </c>
      <c r="AM184" s="30">
        <f>SUM('MasterA1(current$)'!AM178)/0.78012</f>
        <v>17.945957032251449</v>
      </c>
      <c r="AN184" s="30">
        <f>SUM('MasterA1(current$)'!AN178)/0.78859</f>
        <v>17.753205087561344</v>
      </c>
      <c r="AO184" s="30">
        <f>SUM('MasterA1(current$)'!AO178)/0.80065</f>
        <v>17.485792793355401</v>
      </c>
      <c r="AP184" s="857">
        <f>SUM('MasterA1(current$)'!AP178)/0.81887</f>
        <v>17.096730860820401</v>
      </c>
      <c r="AQ184" s="328">
        <f>SUM('MasterA1(current$)'!AQ178)/0.83754</f>
        <v>17.909592377677484</v>
      </c>
      <c r="AR184" s="328">
        <f>SUM('MasterA1(current$)'!AR178)/0.85039</f>
        <v>19.990827737861451</v>
      </c>
      <c r="AS184" s="328">
        <f>SUM('MasterA1(current$)'!AS178)/0.86735</f>
        <v>19.599930823773565</v>
      </c>
      <c r="AT184" s="328">
        <f>SUM('MasterA1(current$)'!AT178)/0.8912</f>
        <v>20.197486535008977</v>
      </c>
      <c r="AU184" s="328">
        <f>SUM('MasterA1(current$)'!AU178)/0.91988</f>
        <v>20.654868026264296</v>
      </c>
      <c r="AV184" s="328">
        <f>SUM('MasterA1(current$)'!AV178)/0.94814</f>
        <v>21.093931275971904</v>
      </c>
      <c r="AW184" s="328">
        <f>SUM('MasterA1(current$)'!AW178)/0.97337</f>
        <v>20.547171168209417</v>
      </c>
      <c r="AX184" s="330">
        <f>('MasterA1(current$)'!AX178*100)/99.246</f>
        <v>21.159542953872197</v>
      </c>
      <c r="AY184" s="408">
        <f>SUM('MasterA1(current$)'!AY178)</f>
        <v>22</v>
      </c>
      <c r="AZ184" s="637">
        <f>SUM('MasterA1(current$)'!AZ178*100)/101.221</f>
        <v>23.710494857786426</v>
      </c>
      <c r="BA184" s="408">
        <f>SUM('MasterA1(current$)'!BA178*100)/103.311</f>
        <v>24.198778445664061</v>
      </c>
      <c r="BB184" s="408">
        <f>SUM('MasterA1(current$)'!BB178*100)/105.214</f>
        <v>21.86020871747106</v>
      </c>
      <c r="BC184" s="408">
        <f>SUM('MasterA1(current$)'!BC178*100)/106.913</f>
        <v>22.448158783309793</v>
      </c>
      <c r="BD184" s="408">
        <f>SUM('MasterA1(current$)'!BD178*100)/108.832</f>
        <v>21.133490149955897</v>
      </c>
      <c r="BE184" s="408">
        <f>SUM('MasterA1(current$)'!BE178*100)/110.012</f>
        <v>22.724793658873576</v>
      </c>
      <c r="BF184" s="637">
        <f>SUM('MasterA1(current$)'!BF178*100)/111.416</f>
        <v>23.335966108996914</v>
      </c>
      <c r="BG184" s="637">
        <f>SUM('MasterA1(current$)'!BG178*100)/113.116</f>
        <v>22.10120584179073</v>
      </c>
      <c r="BH184" s="637">
        <f>SUM('MasterA1(current$)'!BH178*100)/114.716</f>
        <v>24.408103490358801</v>
      </c>
      <c r="BI184" s="637">
        <f>SUM('MasterA1(current$)'!BI178*100)/116.416</f>
        <v>23.192688290269381</v>
      </c>
      <c r="BJ184" s="410">
        <f>(BH184-BG184)/BG184</f>
        <v>0.10437881376617038</v>
      </c>
      <c r="BK184" s="410">
        <f>(BI184-BH184)/BH184</f>
        <v>-4.9795560747663566E-2</v>
      </c>
      <c r="BL184" s="564">
        <f>BH184-BG184</f>
        <v>2.3068976485680714</v>
      </c>
      <c r="BM184" s="564">
        <f>BI184-BH184</f>
        <v>-1.2154152000894207</v>
      </c>
      <c r="BN184" s="112"/>
      <c r="BO184" s="112"/>
      <c r="BP184" s="620"/>
      <c r="BQ184" s="620"/>
    </row>
    <row r="185" spans="1:69" ht="6" customHeight="1">
      <c r="A185" s="115"/>
      <c r="B185" s="667"/>
      <c r="C185" s="33"/>
      <c r="D185" s="33"/>
      <c r="E185" s="47"/>
      <c r="F185" s="47"/>
      <c r="G185" s="47"/>
      <c r="H185" s="47"/>
      <c r="I185" s="47"/>
      <c r="J185" s="47"/>
      <c r="K185" s="47"/>
      <c r="L185" s="281"/>
      <c r="M185" s="47"/>
      <c r="N185" s="47"/>
      <c r="O185" s="47"/>
      <c r="P185" s="47"/>
      <c r="Q185" s="47"/>
      <c r="R185" s="47"/>
      <c r="S185" s="47"/>
      <c r="T185" s="47"/>
      <c r="U185" s="47"/>
      <c r="V185" s="281"/>
      <c r="W185" s="47"/>
      <c r="X185" s="47"/>
      <c r="Y185" s="47"/>
      <c r="Z185" s="47"/>
      <c r="AA185" s="47"/>
      <c r="AB185" s="47"/>
      <c r="AC185" s="47"/>
      <c r="AD185" s="47"/>
      <c r="AE185" s="47"/>
      <c r="AF185" s="281"/>
      <c r="AG185" s="47"/>
      <c r="AH185" s="47"/>
      <c r="AI185" s="47"/>
      <c r="AJ185" s="47"/>
      <c r="AK185" s="47"/>
      <c r="AL185" s="47"/>
      <c r="AM185" s="152"/>
      <c r="AN185" s="152"/>
      <c r="AO185" s="152"/>
      <c r="AP185" s="857"/>
      <c r="AQ185" s="328"/>
      <c r="AR185" s="328"/>
      <c r="AS185" s="328"/>
      <c r="AT185" s="328"/>
      <c r="AU185" s="328"/>
      <c r="AV185" s="328"/>
      <c r="AW185" s="328"/>
      <c r="AX185" s="89"/>
      <c r="AY185" s="404"/>
      <c r="AZ185" s="634"/>
      <c r="BA185" s="404"/>
      <c r="BB185" s="404"/>
      <c r="BC185" s="404"/>
      <c r="BD185" s="404"/>
      <c r="BE185" s="404"/>
      <c r="BF185" s="634"/>
      <c r="BG185" s="634"/>
      <c r="BH185" s="634"/>
      <c r="BI185" s="634"/>
      <c r="BJ185" s="871"/>
      <c r="BK185" s="871"/>
      <c r="BL185" s="565"/>
      <c r="BM185" s="565"/>
      <c r="BP185" s="620"/>
      <c r="BQ185" s="620"/>
    </row>
    <row r="186" spans="1:69" ht="11.25" customHeight="1">
      <c r="A186" s="285" t="s">
        <v>149</v>
      </c>
      <c r="B186" s="667">
        <f>SUM('MasterA1(current$)'!B180)/0.1756</f>
        <v>113.89521640091115</v>
      </c>
      <c r="C186" s="49">
        <f>SUM('MasterA1(current$)'!C180)/0.178</f>
        <v>117.97752808988764</v>
      </c>
      <c r="D186" s="49">
        <f>SUM('MasterA1(current$)'!D180)/0.1798</f>
        <v>122.35817575083426</v>
      </c>
      <c r="E186" s="30">
        <f>SUM('MasterA1(current$)'!E180)/0.182</f>
        <v>131.86813186813188</v>
      </c>
      <c r="F186" s="30">
        <f>SUM('MasterA1(current$)'!F180)/0.1842</f>
        <v>130.29315960912052</v>
      </c>
      <c r="G186" s="30">
        <f>SUM('MasterA1(current$)'!G180)/0.18702</f>
        <v>139.02256443161158</v>
      </c>
      <c r="H186" s="30">
        <f>SUM('MasterA1(current$)'!H180)/0.19227</f>
        <v>114.42242679565194</v>
      </c>
      <c r="I186" s="30">
        <f>SUM('MasterA1(current$)'!I180)/0.19786</f>
        <v>136.46012331951886</v>
      </c>
      <c r="J186" s="30">
        <f>SUM('MasterA1(current$)'!J180)/0.20627</f>
        <v>116.35235371115527</v>
      </c>
      <c r="K186" s="30">
        <f>SUM('MasterA1(current$)'!K180)/0.21642</f>
        <v>115.51612605119675</v>
      </c>
      <c r="L186" s="270">
        <f>SUM('MasterA1(current$)'!L180)/0.22784</f>
        <v>118.50421348314607</v>
      </c>
      <c r="M186" s="30">
        <f>SUM('MasterA1(current$)'!M180)/0.23941</f>
        <v>116.9541790234326</v>
      </c>
      <c r="N186" s="30">
        <f>SUM('MasterA1(current$)'!N180)/0.24978</f>
        <v>124.10921611017696</v>
      </c>
      <c r="O186" s="30">
        <f>SUM('MasterA1(current$)'!O180)/0.26337</f>
        <v>125.29900899874701</v>
      </c>
      <c r="P186" s="30">
        <f>SUM('MasterA1(current$)'!P180)/0.28703</f>
        <v>132.39034247291224</v>
      </c>
      <c r="Q186" s="30">
        <f>SUM('MasterA1(current$)'!Q180)/0.31361</f>
        <v>146.67899620547814</v>
      </c>
      <c r="R186" s="30">
        <f>SUM('MasterA1(current$)'!R180)/0.33083</f>
        <v>154.15772451107819</v>
      </c>
      <c r="S186" s="30">
        <f>SUM('MasterA1(current$)'!S180)/0.35135</f>
        <v>167.92372278354918</v>
      </c>
      <c r="T186" s="30">
        <f>SUM('MasterA1(current$)'!T180)/0.37602</f>
        <v>172.8631455773629</v>
      </c>
      <c r="U186" s="30">
        <f>SUM('MasterA1(current$)'!U180)/0.40706</f>
        <v>164.59490001473986</v>
      </c>
      <c r="V186" s="270">
        <f>SUM('MasterA1(current$)'!V180)/0.44377</f>
        <v>180.2735651350925</v>
      </c>
      <c r="W186" s="30">
        <f>SUM('MasterA1(current$)'!W180)/0.4852</f>
        <v>156.63643858202803</v>
      </c>
      <c r="X186" s="30">
        <f>SUM('MasterA1(current$)'!X180)/0.5153</f>
        <v>130.02134678827869</v>
      </c>
      <c r="Y186" s="30">
        <f>SUM('MasterA1(current$)'!Y180)/0.53565</f>
        <v>115.74722300009336</v>
      </c>
      <c r="Z186" s="30">
        <f>SUM('MasterA1(current$)'!Z180)/0.55466</f>
        <v>102.76565824108462</v>
      </c>
      <c r="AA186" s="30">
        <f>SUM('MasterA1(current$)'!AA180)/0.5724</f>
        <v>87.351502445842058</v>
      </c>
      <c r="AB186" s="30">
        <f>SUM('MasterA1(current$)'!AB180)/0.58395</f>
        <v>78.773867625652883</v>
      </c>
      <c r="AC186" s="30">
        <f>SUM('MasterA1(current$)'!AC180)/0.59885</f>
        <v>71.804291558821078</v>
      </c>
      <c r="AD186" s="30">
        <f>SUM('MasterA1(current$)'!AD180)/0.61982</f>
        <v>69.374979832854692</v>
      </c>
      <c r="AE186" s="30">
        <f>SUM('MasterA1(current$)'!AE180)/0.64392</f>
        <v>68.331469747794756</v>
      </c>
      <c r="AF186" s="270">
        <f>SUM('MasterA1(current$)'!AF180)/0.66773</f>
        <v>64.39728632830635</v>
      </c>
      <c r="AG186" s="30">
        <f>SUM('MasterA1(current$)'!AG180)/0.68996</f>
        <v>65.221172241869098</v>
      </c>
      <c r="AH186" s="30">
        <f>SUM('MasterA1(current$)'!AH180)/0.70569</f>
        <v>65.18442942368462</v>
      </c>
      <c r="AI186" s="30">
        <f>SUM('MasterA1(current$)'!AI180)/0.72248</f>
        <v>66.437825268519546</v>
      </c>
      <c r="AJ186" s="30">
        <f>SUM('MasterA1(current$)'!AJ180)/0.73785</f>
        <v>67.764450769126512</v>
      </c>
      <c r="AK186" s="30">
        <f>SUM('MasterA1(current$)'!AK180)/0.75324</f>
        <v>59.741914927513143</v>
      </c>
      <c r="AL186" s="30">
        <f>SUM('MasterA1(current$)'!AL180)/0.76699</f>
        <v>14.341777598143393</v>
      </c>
      <c r="AM186" s="220" t="s">
        <v>3</v>
      </c>
      <c r="AN186" s="220" t="s">
        <v>3</v>
      </c>
      <c r="AO186" s="220" t="s">
        <v>3</v>
      </c>
      <c r="AP186" s="858" t="s">
        <v>3</v>
      </c>
      <c r="AQ186" s="220" t="s">
        <v>3</v>
      </c>
      <c r="AR186" s="220" t="s">
        <v>3</v>
      </c>
      <c r="AS186" s="220" t="s">
        <v>3</v>
      </c>
      <c r="AT186" s="220" t="s">
        <v>3</v>
      </c>
      <c r="AU186" s="220" t="s">
        <v>3</v>
      </c>
      <c r="AV186" s="331" t="s">
        <v>3</v>
      </c>
      <c r="AW186" s="331" t="s">
        <v>3</v>
      </c>
      <c r="AX186" s="220" t="s">
        <v>3</v>
      </c>
      <c r="AY186" s="373" t="s">
        <v>3</v>
      </c>
      <c r="AZ186" s="658" t="s">
        <v>3</v>
      </c>
      <c r="BA186" s="373" t="s">
        <v>3</v>
      </c>
      <c r="BB186" s="373" t="s">
        <v>3</v>
      </c>
      <c r="BC186" s="373" t="s">
        <v>3</v>
      </c>
      <c r="BD186" s="373" t="s">
        <v>3</v>
      </c>
      <c r="BE186" s="373" t="s">
        <v>3</v>
      </c>
      <c r="BF186" s="658" t="s">
        <v>3</v>
      </c>
      <c r="BG186" s="658" t="s">
        <v>3</v>
      </c>
      <c r="BH186" s="658" t="s">
        <v>3</v>
      </c>
      <c r="BI186" s="658" t="s">
        <v>3</v>
      </c>
      <c r="BJ186" s="874" t="s">
        <v>10</v>
      </c>
      <c r="BK186" s="874" t="s">
        <v>10</v>
      </c>
      <c r="BL186" s="568" t="s">
        <v>10</v>
      </c>
      <c r="BM186" s="568" t="s">
        <v>10</v>
      </c>
      <c r="BP186" s="620"/>
      <c r="BQ186" s="620"/>
    </row>
    <row r="187" spans="1:69" ht="6" customHeight="1">
      <c r="A187" s="115"/>
      <c r="B187" s="667"/>
      <c r="C187" s="33"/>
      <c r="D187" s="33"/>
      <c r="E187" s="47"/>
      <c r="F187" s="47"/>
      <c r="G187" s="47"/>
      <c r="H187" s="47"/>
      <c r="I187" s="47"/>
      <c r="J187" s="47"/>
      <c r="K187" s="47"/>
      <c r="L187" s="281"/>
      <c r="M187" s="47"/>
      <c r="N187" s="47"/>
      <c r="O187" s="47"/>
      <c r="P187" s="47"/>
      <c r="Q187" s="47"/>
      <c r="R187" s="47"/>
      <c r="S187" s="47"/>
      <c r="T187" s="47"/>
      <c r="U187" s="47"/>
      <c r="V187" s="281"/>
      <c r="W187" s="47"/>
      <c r="X187" s="47"/>
      <c r="Y187" s="47"/>
      <c r="Z187" s="47"/>
      <c r="AA187" s="47"/>
      <c r="AB187" s="47"/>
      <c r="AC187" s="47"/>
      <c r="AD187" s="47"/>
      <c r="AE187" s="47"/>
      <c r="AF187" s="281"/>
      <c r="AG187" s="47"/>
      <c r="AH187" s="47"/>
      <c r="AI187" s="47"/>
      <c r="AJ187" s="47"/>
      <c r="AK187" s="47"/>
      <c r="AL187" s="47"/>
      <c r="AM187" s="152"/>
      <c r="AN187" s="152"/>
      <c r="AO187" s="152"/>
      <c r="AP187" s="857"/>
      <c r="AQ187" s="328"/>
      <c r="AR187" s="328"/>
      <c r="AS187" s="328"/>
      <c r="AT187" s="328"/>
      <c r="AU187" s="328"/>
      <c r="AV187" s="169"/>
      <c r="AW187" s="328"/>
      <c r="AX187" s="89"/>
      <c r="AY187" s="404"/>
      <c r="AZ187" s="634"/>
      <c r="BA187" s="404"/>
      <c r="BB187" s="404"/>
      <c r="BC187" s="404"/>
      <c r="BD187" s="404"/>
      <c r="BE187" s="404"/>
      <c r="BF187" s="634"/>
      <c r="BG187" s="634"/>
      <c r="BH187" s="634"/>
      <c r="BI187" s="634"/>
      <c r="BJ187" s="410"/>
      <c r="BK187" s="410"/>
      <c r="BL187" s="566"/>
      <c r="BM187" s="566"/>
      <c r="BP187" s="620"/>
      <c r="BQ187" s="620"/>
    </row>
    <row r="188" spans="1:69" ht="11.25" customHeight="1">
      <c r="A188" s="119" t="s">
        <v>150</v>
      </c>
      <c r="B188" s="898">
        <f>SUM('MasterA1(current$)'!B182)/0.1756</f>
        <v>17.084282460136674</v>
      </c>
      <c r="C188" s="57">
        <f>SUM('MasterA1(current$)'!C182)/0.178</f>
        <v>16.853932584269664</v>
      </c>
      <c r="D188" s="57">
        <f>SUM('MasterA1(current$)'!D182)/0.1798</f>
        <v>16.685205784204673</v>
      </c>
      <c r="E188" s="333">
        <f>SUM('MasterA1(current$)'!E182)/0.182</f>
        <v>10.989010989010989</v>
      </c>
      <c r="F188" s="333">
        <f>SUM('MasterA1(current$)'!F182)/0.1842</f>
        <v>16.286644951140065</v>
      </c>
      <c r="G188" s="333">
        <f>SUM('MasterA1(current$)'!G182)/0.18702</f>
        <v>16.041065126724416</v>
      </c>
      <c r="H188" s="333">
        <f>SUM('MasterA1(current$)'!H182)/0.19227</f>
        <v>10.402038799604723</v>
      </c>
      <c r="I188" s="333">
        <f>SUM('MasterA1(current$)'!I182)/0.19786</f>
        <v>15.162235924390982</v>
      </c>
      <c r="J188" s="333">
        <f>SUM('MasterA1(current$)'!J182)/0.20627</f>
        <v>14.544044213894409</v>
      </c>
      <c r="K188" s="333">
        <f>SUM('MasterA1(current$)'!K182)/0.21642</f>
        <v>13.86193512614361</v>
      </c>
      <c r="L188" s="269">
        <f>SUM('MasterA1(current$)'!L182)/0.22784</f>
        <v>17.556179775280899</v>
      </c>
      <c r="M188" s="333">
        <f>SUM('MasterA1(current$)'!M182)/0.23941</f>
        <v>20.884674825612965</v>
      </c>
      <c r="N188" s="333">
        <f>SUM('MasterA1(current$)'!N182)/0.24978</f>
        <v>20.017615501641444</v>
      </c>
      <c r="O188" s="333">
        <f>SUM('MasterA1(current$)'!O182)/0.26337</f>
        <v>18.984698333143488</v>
      </c>
      <c r="P188" s="333">
        <f>SUM('MasterA1(current$)'!P182)/0.28703</f>
        <v>17.419781904330556</v>
      </c>
      <c r="Q188" s="333">
        <f>SUM('MasterA1(current$)'!Q182)/0.31361</f>
        <v>15.943369152769364</v>
      </c>
      <c r="R188" s="333">
        <f>SUM('MasterA1(current$)'!R182)/0.33083</f>
        <v>18.136202883656257</v>
      </c>
      <c r="S188" s="333">
        <f>SUM('MasterA1(current$)'!S182)/0.35135</f>
        <v>17.076988757649069</v>
      </c>
      <c r="T188" s="333">
        <f>SUM('MasterA1(current$)'!T182)/0.37602</f>
        <v>15.956598053295037</v>
      </c>
      <c r="U188" s="30">
        <f>SUM('MasterA1(current$)'!U182)/0.40706</f>
        <v>9.826561194909841</v>
      </c>
      <c r="V188" s="213" t="s">
        <v>11</v>
      </c>
      <c r="W188" s="340" t="s">
        <v>3</v>
      </c>
      <c r="X188" s="340" t="s">
        <v>3</v>
      </c>
      <c r="Y188" s="340" t="s">
        <v>3</v>
      </c>
      <c r="Z188" s="340" t="s">
        <v>3</v>
      </c>
      <c r="AA188" s="340" t="s">
        <v>3</v>
      </c>
      <c r="AB188" s="340" t="s">
        <v>3</v>
      </c>
      <c r="AC188" s="340" t="s">
        <v>3</v>
      </c>
      <c r="AD188" s="340" t="s">
        <v>3</v>
      </c>
      <c r="AE188" s="340" t="s">
        <v>3</v>
      </c>
      <c r="AF188" s="913" t="s">
        <v>3</v>
      </c>
      <c r="AG188" s="340" t="s">
        <v>3</v>
      </c>
      <c r="AH188" s="340" t="s">
        <v>3</v>
      </c>
      <c r="AI188" s="340" t="s">
        <v>3</v>
      </c>
      <c r="AJ188" s="340" t="s">
        <v>3</v>
      </c>
      <c r="AK188" s="340" t="s">
        <v>3</v>
      </c>
      <c r="AL188" s="340" t="s">
        <v>3</v>
      </c>
      <c r="AM188" s="340" t="s">
        <v>3</v>
      </c>
      <c r="AN188" s="340" t="s">
        <v>3</v>
      </c>
      <c r="AO188" s="340" t="s">
        <v>3</v>
      </c>
      <c r="AP188" s="913" t="s">
        <v>3</v>
      </c>
      <c r="AQ188" s="340" t="s">
        <v>3</v>
      </c>
      <c r="AR188" s="340" t="s">
        <v>3</v>
      </c>
      <c r="AS188" s="340" t="s">
        <v>3</v>
      </c>
      <c r="AT188" s="340" t="s">
        <v>3</v>
      </c>
      <c r="AU188" s="340" t="s">
        <v>3</v>
      </c>
      <c r="AV188" s="331" t="s">
        <v>3</v>
      </c>
      <c r="AW188" s="61" t="s">
        <v>3</v>
      </c>
      <c r="AX188" s="237" t="s">
        <v>3</v>
      </c>
      <c r="AY188" s="424" t="s">
        <v>3</v>
      </c>
      <c r="AZ188" s="665" t="s">
        <v>3</v>
      </c>
      <c r="BA188" s="424" t="s">
        <v>3</v>
      </c>
      <c r="BB188" s="424" t="s">
        <v>3</v>
      </c>
      <c r="BC188" s="424" t="s">
        <v>3</v>
      </c>
      <c r="BD188" s="424" t="s">
        <v>3</v>
      </c>
      <c r="BE188" s="424" t="s">
        <v>3</v>
      </c>
      <c r="BF188" s="665" t="s">
        <v>3</v>
      </c>
      <c r="BG188" s="665" t="s">
        <v>3</v>
      </c>
      <c r="BH188" s="665" t="s">
        <v>3</v>
      </c>
      <c r="BI188" s="665" t="s">
        <v>3</v>
      </c>
      <c r="BJ188" s="874" t="s">
        <v>10</v>
      </c>
      <c r="BK188" s="874" t="s">
        <v>10</v>
      </c>
      <c r="BL188" s="568" t="s">
        <v>10</v>
      </c>
      <c r="BM188" s="568" t="s">
        <v>10</v>
      </c>
      <c r="BP188" s="620"/>
      <c r="BQ188" s="620"/>
    </row>
    <row r="189" spans="1:69" ht="13.5" customHeight="1" thickBot="1">
      <c r="A189" s="118" t="s">
        <v>47</v>
      </c>
      <c r="B189" s="896" t="e">
        <f>SUM(#REF!)/0.1756</f>
        <v>#REF!</v>
      </c>
      <c r="C189" s="135">
        <f>SUM('MasterA1(current$)'!C183)/0.178</f>
        <v>612.35955056179773</v>
      </c>
      <c r="D189" s="136">
        <f>SUM('MasterA1(current$)'!D183)/0.1798</f>
        <v>595.10567296996669</v>
      </c>
      <c r="E189" s="475">
        <f>SUM('MasterA1(current$)'!E183)/0.182</f>
        <v>714.28571428571433</v>
      </c>
      <c r="F189" s="475">
        <f>SUM('MasterA1(current$)'!F183)/0.1842</f>
        <v>787.18783930510313</v>
      </c>
      <c r="G189" s="475">
        <f>SUM('MasterA1(current$)'!G183)/0.18702</f>
        <v>973.15795102128118</v>
      </c>
      <c r="H189" s="475">
        <f>SUM('MasterA1(current$)'!H183)/0.19227</f>
        <v>920.58043376501791</v>
      </c>
      <c r="I189" s="475">
        <f>SUM('MasterA1(current$)'!I183)/0.19786</f>
        <v>1005.7616496512685</v>
      </c>
      <c r="J189" s="475">
        <f>SUM('MasterA1(current$)'!J183)/0.20627</f>
        <v>1018.0830949726087</v>
      </c>
      <c r="K189" s="475">
        <f>SUM('MasterA1(current$)'!K183)/0.21642</f>
        <v>1076.6102947971538</v>
      </c>
      <c r="L189" s="401">
        <f>SUM('MasterA1(current$)'!L183)/0.22784</f>
        <v>1211.3764044943821</v>
      </c>
      <c r="M189" s="475">
        <f>SUM('MasterA1(current$)'!M183)/0.23941</f>
        <v>1294.8498391880037</v>
      </c>
      <c r="N189" s="475">
        <f>SUM('MasterA1(current$)'!N183)/0.24978</f>
        <v>1233.085114901113</v>
      </c>
      <c r="O189" s="475">
        <f>SUM('MasterA1(current$)'!O183)/0.26337</f>
        <v>763.18487299236813</v>
      </c>
      <c r="P189" s="475">
        <f>SUM('MasterA1(current$)'!P183)/0.28703</f>
        <v>909.3126154060551</v>
      </c>
      <c r="Q189" s="475">
        <f>SUM('MasterA1(current$)'!Q183)/0.31361</f>
        <v>1195.7526864577023</v>
      </c>
      <c r="R189" s="475">
        <f>SUM('MasterA1(current$)'!R183)/0.33083</f>
        <v>1278.6023032977662</v>
      </c>
      <c r="S189" s="475">
        <f>SUM('MasterA1(current$)'!S183)/0.35135</f>
        <v>1164.0814003130781</v>
      </c>
      <c r="T189" s="475">
        <f>SUM('MasterA1(current$)'!T183)/0.37602</f>
        <v>944.09871815328961</v>
      </c>
      <c r="U189" s="475">
        <f>SUM('MasterA1(current$)'!U183)/0.40706</f>
        <v>955.6330762049821</v>
      </c>
      <c r="V189" s="401">
        <f>SUM('MasterA1(current$)'!V183)/0.44377</f>
        <v>1095.1619081956869</v>
      </c>
      <c r="W189" s="475">
        <f>SUM('MasterA1(current$)'!W183)/0.4852</f>
        <v>950.12366034624893</v>
      </c>
      <c r="X189" s="475">
        <f>SUM('MasterA1(current$)'!X183)/0.5153</f>
        <v>962.54608965651084</v>
      </c>
      <c r="Y189" s="475">
        <f>SUM('MasterA1(current$)'!Y183)/0.53565</f>
        <v>927.84467469429671</v>
      </c>
      <c r="Z189" s="475">
        <f>SUM('MasterA1(current$)'!Z183)/0.55466</f>
        <v>850.97176648757795</v>
      </c>
      <c r="AA189" s="475">
        <f>SUM('MasterA1(current$)'!AA183)/0.5724</f>
        <v>822.8511530398323</v>
      </c>
      <c r="AB189" s="475">
        <f>SUM('MasterA1(current$)'!AB183)/0.58395</f>
        <v>810.00085623769166</v>
      </c>
      <c r="AC189" s="475">
        <f>SUM('MasterA1(current$)'!AC183)/0.59885</f>
        <v>728.06211906153464</v>
      </c>
      <c r="AD189" s="475">
        <f>SUM('MasterA1(current$)'!AD183)/0.61982</f>
        <v>772.80500790552094</v>
      </c>
      <c r="AE189" s="475">
        <f>SUM('MasterA1(current$)'!AE183)/0.64392</f>
        <v>762.5170828674369</v>
      </c>
      <c r="AF189" s="401">
        <f>SUM('MasterA1(current$)'!AF183)/0.66773</f>
        <v>768.27460200979431</v>
      </c>
      <c r="AG189" s="475">
        <f>SUM('MasterA1(current$)'!AG183)/0.68996</f>
        <v>805.84381703287147</v>
      </c>
      <c r="AH189" s="475">
        <f>SUM('MasterA1(current$)'!AH183)/0.70569</f>
        <v>861.56811064348358</v>
      </c>
      <c r="AI189" s="475">
        <f>SUM('MasterA1(current$)'!AI183)/0.72248</f>
        <v>899.67888384453545</v>
      </c>
      <c r="AJ189" s="475">
        <f>SUM('MasterA1(current$)'!AJ183)/0.73785</f>
        <v>897.20132818323509</v>
      </c>
      <c r="AK189" s="475">
        <f>SUM('MasterA1(current$)'!AK183)/0.75324</f>
        <v>966.49142371621258</v>
      </c>
      <c r="AL189" s="475">
        <f>SUM('MasterA1(current$)'!AL183)/0.76699</f>
        <v>873.54463552327934</v>
      </c>
      <c r="AM189" s="475">
        <f>SUM('MasterA1(current$)'!AM183)/0.78012</f>
        <v>839.61441829462126</v>
      </c>
      <c r="AN189" s="475">
        <f>SUM('MasterA1(current$)'!AN183)/0.78859</f>
        <v>874.97939360123769</v>
      </c>
      <c r="AO189" s="475">
        <f>SUM('MasterA1(current$)'!AO183)/0.80065</f>
        <v>918.00412165115847</v>
      </c>
      <c r="AP189" s="931">
        <f>SUM('MasterA1(current$)'!AP183)/0.81887</f>
        <v>918.33868623835292</v>
      </c>
      <c r="AQ189" s="137">
        <f>SUM('MasterA1(current$)'!AQ183)/0.83754</f>
        <v>985.02758077226167</v>
      </c>
      <c r="AR189" s="420">
        <f>SUM('MasterA1(current$)'!AR183)/0.85039</f>
        <v>1031.2915250649703</v>
      </c>
      <c r="AS189" s="420">
        <f>SUM('MasterA1(current$)'!AS183)/0.86735</f>
        <v>1014.5846544071021</v>
      </c>
      <c r="AT189" s="420">
        <f>SUM('MasterA1(current$)'!AT183)/0.8912</f>
        <v>1104.1292639138242</v>
      </c>
      <c r="AU189" s="137">
        <f>SUM('MasterA1(current$)'!AU183)/0.91988</f>
        <v>1082.7499239031179</v>
      </c>
      <c r="AV189" s="137">
        <f>SUM('MasterA1(current$)'!AV183)/0.94814</f>
        <v>1119.0330541903095</v>
      </c>
      <c r="AW189" s="137">
        <f>SUM('MasterA1(current$)'!AW183)/0.97337</f>
        <v>1065.9816869171996</v>
      </c>
      <c r="AX189" s="782">
        <f>('MasterA1(current$)'!AX183*100)/99.246</f>
        <v>1138.5849303750279</v>
      </c>
      <c r="AY189" s="425">
        <f>SUM('MasterA1(current$)'!AY183)</f>
        <v>1229</v>
      </c>
      <c r="AZ189" s="666">
        <f>SUM('MasterA1(current$)'!AZ183*100)/101.221</f>
        <v>1255.6682901769395</v>
      </c>
      <c r="BA189" s="425">
        <f>SUM('MasterA1(current$)'!BA183*100)/103.311</f>
        <v>1269.9518928284499</v>
      </c>
      <c r="BB189" s="425">
        <f>SUM('MasterA1(current$)'!BB183*100)/105.214</f>
        <v>1282.1487634725418</v>
      </c>
      <c r="BC189" s="425">
        <f>SUM('MasterA1(current$)'!BC183*100)/106.913</f>
        <v>1297.3165096854452</v>
      </c>
      <c r="BD189" s="425">
        <f>SUM('MasterA1(current$)'!BD183*100)/108.832</f>
        <v>1268.0094089973538</v>
      </c>
      <c r="BE189" s="425">
        <f>SUM('MasterA1(current$)'!BE183*100)/110.012</f>
        <v>1303.4941642729884</v>
      </c>
      <c r="BF189" s="666">
        <f>SUM('MasterA1(current$)'!BF183*100)/111.416</f>
        <v>1349.8958856896677</v>
      </c>
      <c r="BG189" s="666">
        <f>SUM('MasterA1(current$)'!BG183*100)/113.116</f>
        <v>1323.4202058064288</v>
      </c>
      <c r="BH189" s="666">
        <f>SUM('MasterA1(current$)'!BH183*100)/114.716</f>
        <v>1399.1073607866383</v>
      </c>
      <c r="BI189" s="666">
        <f>SUM('MasterA1(current$)'!BI183*100)/116.416</f>
        <v>1414.7539857064321</v>
      </c>
      <c r="BJ189" s="875">
        <f>(BH189-BG189)/BG189</f>
        <v>5.7190569290189543E-2</v>
      </c>
      <c r="BK189" s="875">
        <f>(BI189-BH189)/BH189</f>
        <v>1.118329111712813E-2</v>
      </c>
      <c r="BL189" s="569">
        <f>BH189-BG189</f>
        <v>75.687154980209471</v>
      </c>
      <c r="BM189" s="569">
        <f>BI189-BH189</f>
        <v>15.646624919793794</v>
      </c>
      <c r="BN189" s="112"/>
      <c r="BO189" s="112"/>
      <c r="BP189" s="620"/>
      <c r="BQ189" s="620"/>
    </row>
    <row r="190" spans="1:69" ht="11.25" customHeight="1">
      <c r="A190" s="115"/>
      <c r="B190" s="667"/>
      <c r="C190" s="48"/>
      <c r="D190" s="48"/>
      <c r="E190" s="478"/>
      <c r="F190" s="478"/>
      <c r="G190" s="478"/>
      <c r="H190" s="478"/>
      <c r="I190" s="478"/>
      <c r="J190" s="478"/>
      <c r="K190" s="478"/>
      <c r="L190" s="916"/>
      <c r="M190" s="478"/>
      <c r="N190" s="478"/>
      <c r="O190" s="478"/>
      <c r="P190" s="478"/>
      <c r="Q190" s="478"/>
      <c r="R190" s="478"/>
      <c r="S190" s="478"/>
      <c r="T190" s="478"/>
      <c r="U190" s="478"/>
      <c r="V190" s="916"/>
      <c r="W190" s="478"/>
      <c r="X190" s="478"/>
      <c r="Y190" s="478"/>
      <c r="Z190" s="478"/>
      <c r="AA190" s="478"/>
      <c r="AB190" s="478"/>
      <c r="AC190" s="478"/>
      <c r="AD190" s="478"/>
      <c r="AE190" s="478"/>
      <c r="AF190" s="916"/>
      <c r="AG190" s="478"/>
      <c r="AH190" s="478"/>
      <c r="AI190" s="478"/>
      <c r="AJ190" s="478"/>
      <c r="AK190" s="478"/>
      <c r="AL190" s="478"/>
      <c r="AM190" s="478"/>
      <c r="AN190" s="478"/>
      <c r="AO190" s="478"/>
      <c r="AP190" s="916"/>
      <c r="AQ190" s="478"/>
      <c r="AR190" s="478"/>
      <c r="AS190" s="478"/>
      <c r="AT190" s="478"/>
      <c r="AU190" s="478"/>
      <c r="AV190" s="478"/>
      <c r="AW190" s="478"/>
      <c r="AX190" s="478"/>
      <c r="AY190" s="440"/>
      <c r="AZ190" s="662"/>
      <c r="BA190" s="440"/>
      <c r="BB190" s="440"/>
      <c r="BC190" s="440"/>
      <c r="BD190" s="440"/>
      <c r="BE190" s="440"/>
      <c r="BF190" s="662"/>
      <c r="BG190" s="662"/>
      <c r="BH190" s="662"/>
      <c r="BI190" s="662"/>
      <c r="BJ190" s="410"/>
      <c r="BK190" s="410"/>
      <c r="BL190" s="566"/>
      <c r="BM190" s="566"/>
      <c r="BP190" s="620"/>
      <c r="BQ190" s="620"/>
    </row>
    <row r="191" spans="1:69" ht="15.75" customHeight="1">
      <c r="A191" s="159" t="s">
        <v>48</v>
      </c>
      <c r="B191" s="667"/>
      <c r="C191" s="48"/>
      <c r="D191" s="48"/>
      <c r="E191" s="48"/>
      <c r="F191" s="48"/>
      <c r="G191" s="48"/>
      <c r="H191" s="48"/>
      <c r="I191" s="48"/>
      <c r="J191" s="48"/>
      <c r="K191" s="48"/>
      <c r="L191" s="667"/>
      <c r="M191" s="48"/>
      <c r="N191" s="48"/>
      <c r="O191" s="48"/>
      <c r="P191" s="48"/>
      <c r="Q191" s="48"/>
      <c r="R191" s="48"/>
      <c r="S191" s="48"/>
      <c r="T191" s="48"/>
      <c r="U191" s="48"/>
      <c r="V191" s="667"/>
      <c r="W191" s="48"/>
      <c r="X191" s="48"/>
      <c r="Y191" s="48"/>
      <c r="Z191" s="48"/>
      <c r="AA191" s="48"/>
      <c r="AB191" s="48"/>
      <c r="AC191" s="48"/>
      <c r="AD191" s="48"/>
      <c r="AE191" s="48"/>
      <c r="AF191" s="667"/>
      <c r="AG191" s="48"/>
      <c r="AH191" s="48"/>
      <c r="AI191" s="48"/>
      <c r="AJ191" s="48"/>
      <c r="AK191" s="48"/>
      <c r="AL191" s="48"/>
      <c r="AM191" s="48"/>
      <c r="AN191" s="48"/>
      <c r="AO191" s="48"/>
      <c r="AP191" s="667"/>
      <c r="AQ191" s="48"/>
      <c r="AR191" s="48"/>
      <c r="AS191" s="48"/>
      <c r="AT191" s="48"/>
      <c r="AU191" s="48"/>
      <c r="AV191" s="48"/>
      <c r="AW191" s="48"/>
      <c r="AX191" s="48"/>
      <c r="AY191" s="48"/>
      <c r="AZ191" s="667"/>
      <c r="BA191" s="48"/>
      <c r="BB191" s="48"/>
      <c r="BC191" s="48"/>
      <c r="BD191" s="48"/>
      <c r="BE191" s="48"/>
      <c r="BF191" s="667"/>
      <c r="BG191" s="667"/>
      <c r="BH191" s="667"/>
      <c r="BI191" s="667"/>
      <c r="BJ191" s="642"/>
      <c r="BK191" s="642"/>
      <c r="BL191" s="884"/>
      <c r="BM191" s="566"/>
      <c r="BP191" s="620"/>
      <c r="BQ191" s="620"/>
    </row>
    <row r="192" spans="1:69" ht="6" customHeight="1">
      <c r="A192" s="115"/>
      <c r="B192" s="667"/>
      <c r="C192" s="33"/>
      <c r="D192" s="33"/>
      <c r="E192" s="47"/>
      <c r="F192" s="47"/>
      <c r="G192" s="47"/>
      <c r="H192" s="47"/>
      <c r="I192" s="47"/>
      <c r="J192" s="47"/>
      <c r="K192" s="47"/>
      <c r="L192" s="281"/>
      <c r="M192" s="47"/>
      <c r="N192" s="47"/>
      <c r="O192" s="47"/>
      <c r="P192" s="47"/>
      <c r="Q192" s="47"/>
      <c r="R192" s="47"/>
      <c r="S192" s="47"/>
      <c r="T192" s="47"/>
      <c r="U192" s="47"/>
      <c r="V192" s="281"/>
      <c r="W192" s="47"/>
      <c r="X192" s="47"/>
      <c r="Y192" s="47"/>
      <c r="Z192" s="47"/>
      <c r="AA192" s="47"/>
      <c r="AB192" s="47"/>
      <c r="AC192" s="47"/>
      <c r="AD192" s="47"/>
      <c r="AE192" s="47"/>
      <c r="AF192" s="281"/>
      <c r="AG192" s="47"/>
      <c r="AH192" s="47"/>
      <c r="AI192" s="47"/>
      <c r="AJ192" s="47"/>
      <c r="AK192" s="47"/>
      <c r="AL192" s="47"/>
      <c r="AM192" s="152"/>
      <c r="AN192" s="152"/>
      <c r="AO192" s="152"/>
      <c r="AP192" s="857"/>
      <c r="AQ192" s="328"/>
      <c r="AR192" s="328"/>
      <c r="AS192" s="328"/>
      <c r="AT192" s="328"/>
      <c r="AU192" s="328"/>
      <c r="AV192" s="328"/>
      <c r="AX192" s="89"/>
      <c r="AY192" s="404"/>
      <c r="AZ192" s="634"/>
      <c r="BA192" s="404"/>
      <c r="BB192" s="404"/>
      <c r="BC192" s="404"/>
      <c r="BD192" s="404"/>
      <c r="BE192" s="404"/>
      <c r="BF192" s="634"/>
      <c r="BG192" s="634"/>
      <c r="BH192" s="634"/>
      <c r="BI192" s="634"/>
      <c r="BJ192" s="410"/>
      <c r="BK192" s="410"/>
      <c r="BL192" s="566"/>
      <c r="BM192" s="566"/>
      <c r="BP192" s="620"/>
      <c r="BQ192" s="620"/>
    </row>
    <row r="193" spans="1:85" ht="11.25" customHeight="1">
      <c r="A193" s="119" t="s">
        <v>151</v>
      </c>
      <c r="B193" s="810" t="s">
        <v>3</v>
      </c>
      <c r="C193" s="45" t="s">
        <v>3</v>
      </c>
      <c r="D193" s="45" t="s">
        <v>3</v>
      </c>
      <c r="E193" s="220" t="s">
        <v>3</v>
      </c>
      <c r="F193" s="220" t="s">
        <v>3</v>
      </c>
      <c r="G193" s="220" t="s">
        <v>3</v>
      </c>
      <c r="H193" s="220" t="s">
        <v>3</v>
      </c>
      <c r="I193" s="220" t="s">
        <v>3</v>
      </c>
      <c r="J193" s="220" t="s">
        <v>3</v>
      </c>
      <c r="K193" s="220" t="s">
        <v>3</v>
      </c>
      <c r="L193" s="858" t="s">
        <v>3</v>
      </c>
      <c r="M193" s="220" t="s">
        <v>3</v>
      </c>
      <c r="N193" s="30">
        <f>SUM('MasterA1(current$)'!N187)/0.24978</f>
        <v>4.0035231003282892</v>
      </c>
      <c r="O193" s="30">
        <f>SUM('MasterA1(current$)'!O187)/0.26337</f>
        <v>3.7969396666286972</v>
      </c>
      <c r="P193" s="30">
        <f>SUM('MasterA1(current$)'!P187)/0.28703</f>
        <v>3.4839563808661116</v>
      </c>
      <c r="Q193" s="30">
        <f>SUM('MasterA1(current$)'!Q187)/0.31361</f>
        <v>3.1886738305538724</v>
      </c>
      <c r="R193" s="30">
        <f>SUM('MasterA1(current$)'!R187)/0.33083</f>
        <v>3.0227004806093762</v>
      </c>
      <c r="S193" s="30">
        <f>SUM('MasterA1(current$)'!S187)/0.35135</f>
        <v>5.692329585883023</v>
      </c>
      <c r="T193" s="30">
        <f>SUM('MasterA1(current$)'!T187)/0.37602</f>
        <v>5.3188660177650124</v>
      </c>
      <c r="U193" s="30">
        <f>SUM('MasterA1(current$)'!U187)/0.40706</f>
        <v>2.4566402987274603</v>
      </c>
      <c r="V193" s="270">
        <f>SUM('MasterA1(current$)'!V187)/0.44377</f>
        <v>2.2534195641886563</v>
      </c>
      <c r="W193" s="340" t="s">
        <v>3</v>
      </c>
      <c r="X193" s="340" t="s">
        <v>3</v>
      </c>
      <c r="Y193" s="340" t="s">
        <v>3</v>
      </c>
      <c r="Z193" s="340" t="s">
        <v>3</v>
      </c>
      <c r="AA193" s="340" t="s">
        <v>3</v>
      </c>
      <c r="AB193" s="340" t="s">
        <v>3</v>
      </c>
      <c r="AC193" s="340" t="s">
        <v>3</v>
      </c>
      <c r="AD193" s="340" t="s">
        <v>3</v>
      </c>
      <c r="AE193" s="340" t="s">
        <v>3</v>
      </c>
      <c r="AF193" s="913" t="s">
        <v>3</v>
      </c>
      <c r="AG193" s="340" t="s">
        <v>3</v>
      </c>
      <c r="AH193" s="340" t="s">
        <v>3</v>
      </c>
      <c r="AI193" s="340" t="s">
        <v>3</v>
      </c>
      <c r="AJ193" s="340" t="s">
        <v>3</v>
      </c>
      <c r="AK193" s="340" t="s">
        <v>3</v>
      </c>
      <c r="AL193" s="340" t="s">
        <v>3</v>
      </c>
      <c r="AM193" s="340" t="s">
        <v>3</v>
      </c>
      <c r="AN193" s="340" t="s">
        <v>3</v>
      </c>
      <c r="AO193" s="340" t="s">
        <v>3</v>
      </c>
      <c r="AP193" s="913" t="s">
        <v>3</v>
      </c>
      <c r="AQ193" s="340" t="s">
        <v>3</v>
      </c>
      <c r="AR193" s="340" t="s">
        <v>3</v>
      </c>
      <c r="AS193" s="340" t="s">
        <v>3</v>
      </c>
      <c r="AT193" s="340" t="s">
        <v>3</v>
      </c>
      <c r="AU193" s="340" t="s">
        <v>3</v>
      </c>
      <c r="AV193" s="340" t="s">
        <v>3</v>
      </c>
      <c r="AW193" s="340" t="s">
        <v>3</v>
      </c>
      <c r="AX193" s="220" t="s">
        <v>3</v>
      </c>
      <c r="AY193" s="373" t="s">
        <v>3</v>
      </c>
      <c r="AZ193" s="658" t="s">
        <v>3</v>
      </c>
      <c r="BA193" s="373" t="s">
        <v>3</v>
      </c>
      <c r="BB193" s="373" t="s">
        <v>3</v>
      </c>
      <c r="BC193" s="373" t="s">
        <v>3</v>
      </c>
      <c r="BD193" s="373" t="s">
        <v>3</v>
      </c>
      <c r="BE193" s="373" t="s">
        <v>3</v>
      </c>
      <c r="BF193" s="658" t="s">
        <v>3</v>
      </c>
      <c r="BG193" s="658" t="s">
        <v>3</v>
      </c>
      <c r="BH193" s="658" t="s">
        <v>3</v>
      </c>
      <c r="BI193" s="658" t="s">
        <v>3</v>
      </c>
      <c r="BJ193" s="874" t="s">
        <v>10</v>
      </c>
      <c r="BK193" s="874" t="s">
        <v>10</v>
      </c>
      <c r="BL193" s="568" t="s">
        <v>10</v>
      </c>
      <c r="BM193" s="568" t="s">
        <v>10</v>
      </c>
      <c r="BN193" s="457"/>
      <c r="BO193" s="457"/>
      <c r="BP193" s="620"/>
      <c r="BQ193" s="620"/>
      <c r="BR193" s="457"/>
      <c r="BS193" s="457"/>
      <c r="BT193" s="457"/>
      <c r="BU193" s="457"/>
      <c r="BV193" s="457"/>
      <c r="BW193" s="457"/>
      <c r="BX193" s="457"/>
      <c r="BY193" s="457"/>
      <c r="BZ193" s="457"/>
      <c r="CA193" s="457"/>
      <c r="CB193" s="457"/>
      <c r="CC193" s="457"/>
      <c r="CD193" s="457"/>
      <c r="CE193" s="457"/>
      <c r="CF193" s="457"/>
      <c r="CG193" s="457"/>
    </row>
    <row r="194" spans="1:85" ht="6" customHeight="1">
      <c r="A194" s="115"/>
      <c r="B194" s="715"/>
      <c r="C194" s="33"/>
      <c r="D194" s="33"/>
      <c r="E194" s="47"/>
      <c r="F194" s="47"/>
      <c r="G194" s="47"/>
      <c r="H194" s="47"/>
      <c r="I194" s="47"/>
      <c r="J194" s="47"/>
      <c r="K194" s="47"/>
      <c r="L194" s="281"/>
      <c r="M194" s="47"/>
      <c r="N194" s="47"/>
      <c r="O194" s="47"/>
      <c r="P194" s="47"/>
      <c r="Q194" s="47"/>
      <c r="R194" s="47"/>
      <c r="S194" s="47"/>
      <c r="T194" s="47"/>
      <c r="U194" s="47"/>
      <c r="V194" s="281"/>
      <c r="W194" s="47"/>
      <c r="X194" s="220"/>
      <c r="Y194" s="220"/>
      <c r="Z194" s="220"/>
      <c r="AA194" s="220"/>
      <c r="AB194" s="220"/>
      <c r="AC194" s="220"/>
      <c r="AD194" s="220"/>
      <c r="AE194" s="220"/>
      <c r="AF194" s="858"/>
      <c r="AG194" s="220"/>
      <c r="AH194" s="220"/>
      <c r="AI194" s="47"/>
      <c r="AJ194" s="47"/>
      <c r="AK194" s="47"/>
      <c r="AL194" s="47"/>
      <c r="AM194" s="152"/>
      <c r="AN194" s="152"/>
      <c r="AO194" s="152"/>
      <c r="AP194" s="217"/>
      <c r="AQ194" s="152"/>
      <c r="AR194" s="152"/>
      <c r="AS194" s="152"/>
      <c r="AT194" s="152"/>
      <c r="AU194" s="152"/>
      <c r="AV194" s="152"/>
      <c r="AX194" s="89"/>
      <c r="AY194" s="404"/>
      <c r="AZ194" s="634"/>
      <c r="BA194" s="404"/>
      <c r="BB194" s="404"/>
      <c r="BC194" s="404"/>
      <c r="BD194" s="404"/>
      <c r="BE194" s="404"/>
      <c r="BF194" s="634"/>
      <c r="BG194" s="634"/>
      <c r="BH194" s="634"/>
      <c r="BI194" s="634"/>
      <c r="BJ194" s="410"/>
      <c r="BK194" s="410"/>
      <c r="BL194" s="566"/>
      <c r="BM194" s="566"/>
      <c r="BP194" s="620"/>
      <c r="BQ194" s="620"/>
    </row>
    <row r="195" spans="1:85" ht="11.25" customHeight="1">
      <c r="A195" s="119" t="s">
        <v>152</v>
      </c>
      <c r="B195" s="810" t="s">
        <v>3</v>
      </c>
      <c r="C195" s="45" t="s">
        <v>3</v>
      </c>
      <c r="D195" s="45" t="s">
        <v>3</v>
      </c>
      <c r="E195" s="220" t="s">
        <v>3</v>
      </c>
      <c r="F195" s="220" t="s">
        <v>3</v>
      </c>
      <c r="G195" s="220" t="s">
        <v>3</v>
      </c>
      <c r="H195" s="220" t="s">
        <v>3</v>
      </c>
      <c r="I195" s="220" t="s">
        <v>3</v>
      </c>
      <c r="J195" s="220" t="s">
        <v>3</v>
      </c>
      <c r="K195" s="220" t="s">
        <v>3</v>
      </c>
      <c r="L195" s="858" t="s">
        <v>3</v>
      </c>
      <c r="M195" s="220" t="s">
        <v>3</v>
      </c>
      <c r="N195" s="220" t="s">
        <v>3</v>
      </c>
      <c r="O195" s="220" t="s">
        <v>3</v>
      </c>
      <c r="P195" s="220" t="s">
        <v>3</v>
      </c>
      <c r="Q195" s="30">
        <f>SUM('MasterA1(current$)'!Q189)/0.31361</f>
        <v>0</v>
      </c>
      <c r="R195" s="30">
        <f>SUM('MasterA1(current$)'!R189)/0.33083</f>
        <v>3.0227004806093762</v>
      </c>
      <c r="S195" s="30">
        <f>SUM('MasterA1(current$)'!S189)/0.35135</f>
        <v>5.692329585883023</v>
      </c>
      <c r="T195" s="30">
        <f>SUM('MasterA1(current$)'!T189)/0.37602</f>
        <v>5.3188660177650124</v>
      </c>
      <c r="U195" s="30">
        <f>SUM('MasterA1(current$)'!U189)/0.40706</f>
        <v>7.3699208961823812</v>
      </c>
      <c r="V195" s="270">
        <f>SUM('MasterA1(current$)'!V189)/0.44377</f>
        <v>20.280776077697908</v>
      </c>
      <c r="W195" s="30">
        <f>SUM('MasterA1(current$)'!W189)/0.4852</f>
        <v>12.366034624896949</v>
      </c>
      <c r="X195" s="340" t="s">
        <v>3</v>
      </c>
      <c r="Y195" s="340" t="s">
        <v>3</v>
      </c>
      <c r="Z195" s="340" t="s">
        <v>3</v>
      </c>
      <c r="AA195" s="340" t="s">
        <v>3</v>
      </c>
      <c r="AB195" s="340" t="s">
        <v>3</v>
      </c>
      <c r="AC195" s="340" t="s">
        <v>3</v>
      </c>
      <c r="AD195" s="340" t="s">
        <v>3</v>
      </c>
      <c r="AE195" s="340" t="s">
        <v>3</v>
      </c>
      <c r="AF195" s="913" t="s">
        <v>3</v>
      </c>
      <c r="AG195" s="340" t="s">
        <v>3</v>
      </c>
      <c r="AH195" s="340" t="s">
        <v>3</v>
      </c>
      <c r="AI195" s="340" t="s">
        <v>3</v>
      </c>
      <c r="AJ195" s="340" t="s">
        <v>3</v>
      </c>
      <c r="AK195" s="340" t="s">
        <v>3</v>
      </c>
      <c r="AL195" s="340" t="s">
        <v>3</v>
      </c>
      <c r="AM195" s="340" t="s">
        <v>3</v>
      </c>
      <c r="AN195" s="340" t="s">
        <v>3</v>
      </c>
      <c r="AO195" s="340" t="s">
        <v>3</v>
      </c>
      <c r="AP195" s="913" t="s">
        <v>3</v>
      </c>
      <c r="AQ195" s="340" t="s">
        <v>3</v>
      </c>
      <c r="AR195" s="340" t="s">
        <v>3</v>
      </c>
      <c r="AS195" s="340" t="s">
        <v>3</v>
      </c>
      <c r="AT195" s="340" t="s">
        <v>3</v>
      </c>
      <c r="AU195" s="340" t="s">
        <v>3</v>
      </c>
      <c r="AV195" s="340" t="s">
        <v>3</v>
      </c>
      <c r="AW195" s="340" t="s">
        <v>3</v>
      </c>
      <c r="AX195" s="220" t="s">
        <v>3</v>
      </c>
      <c r="AY195" s="373" t="s">
        <v>3</v>
      </c>
      <c r="AZ195" s="658" t="s">
        <v>3</v>
      </c>
      <c r="BA195" s="373" t="s">
        <v>3</v>
      </c>
      <c r="BB195" s="373" t="s">
        <v>3</v>
      </c>
      <c r="BC195" s="373" t="s">
        <v>3</v>
      </c>
      <c r="BD195" s="373" t="s">
        <v>3</v>
      </c>
      <c r="BE195" s="373" t="s">
        <v>3</v>
      </c>
      <c r="BF195" s="658" t="s">
        <v>3</v>
      </c>
      <c r="BG195" s="658" t="s">
        <v>3</v>
      </c>
      <c r="BH195" s="658" t="s">
        <v>3</v>
      </c>
      <c r="BI195" s="658" t="s">
        <v>3</v>
      </c>
      <c r="BJ195" s="874" t="s">
        <v>10</v>
      </c>
      <c r="BK195" s="874" t="s">
        <v>10</v>
      </c>
      <c r="BL195" s="568" t="s">
        <v>10</v>
      </c>
      <c r="BM195" s="568" t="s">
        <v>10</v>
      </c>
      <c r="BP195" s="620"/>
      <c r="BQ195" s="620"/>
    </row>
    <row r="196" spans="1:85" ht="6" customHeight="1">
      <c r="A196" s="115"/>
      <c r="B196" s="667"/>
      <c r="C196" s="33"/>
      <c r="D196" s="33"/>
      <c r="E196" s="47"/>
      <c r="F196" s="47"/>
      <c r="G196" s="47"/>
      <c r="H196" s="47"/>
      <c r="I196" s="47"/>
      <c r="J196" s="47"/>
      <c r="K196" s="47"/>
      <c r="L196" s="281"/>
      <c r="M196" s="47"/>
      <c r="N196" s="47"/>
      <c r="O196" s="47"/>
      <c r="P196" s="47"/>
      <c r="Q196" s="47"/>
      <c r="R196" s="47"/>
      <c r="S196" s="47"/>
      <c r="T196" s="47"/>
      <c r="U196" s="47"/>
      <c r="V196" s="281"/>
      <c r="W196" s="47"/>
      <c r="X196" s="47"/>
      <c r="Y196" s="47"/>
      <c r="Z196" s="47"/>
      <c r="AA196" s="47"/>
      <c r="AB196" s="47"/>
      <c r="AC196" s="47"/>
      <c r="AD196" s="47"/>
      <c r="AE196" s="47"/>
      <c r="AF196" s="281"/>
      <c r="AG196" s="47"/>
      <c r="AH196" s="47"/>
      <c r="AI196" s="47"/>
      <c r="AJ196" s="47"/>
      <c r="AK196" s="47"/>
      <c r="AL196" s="47"/>
      <c r="AM196" s="152"/>
      <c r="AN196" s="152"/>
      <c r="AO196" s="152"/>
      <c r="AP196" s="857"/>
      <c r="AQ196" s="328"/>
      <c r="AR196" s="328"/>
      <c r="AS196" s="328"/>
      <c r="AT196" s="328"/>
      <c r="AU196" s="328"/>
      <c r="AV196" s="328"/>
      <c r="AX196" s="89"/>
      <c r="AY196" s="404"/>
      <c r="AZ196" s="634"/>
      <c r="BA196" s="404"/>
      <c r="BB196" s="404"/>
      <c r="BC196" s="404"/>
      <c r="BD196" s="404"/>
      <c r="BE196" s="404"/>
      <c r="BF196" s="634"/>
      <c r="BG196" s="634"/>
      <c r="BH196" s="634"/>
      <c r="BI196" s="634"/>
      <c r="BJ196" s="871"/>
      <c r="BK196" s="871"/>
      <c r="BL196" s="565"/>
      <c r="BM196" s="565"/>
      <c r="BP196" s="620"/>
      <c r="BQ196" s="620"/>
    </row>
    <row r="197" spans="1:85" ht="11.25" customHeight="1">
      <c r="A197" s="116" t="s">
        <v>49</v>
      </c>
      <c r="B197" s="667"/>
      <c r="C197" s="33"/>
      <c r="D197" s="33"/>
      <c r="E197" s="47"/>
      <c r="F197" s="47"/>
      <c r="G197" s="47"/>
      <c r="H197" s="47"/>
      <c r="I197" s="47"/>
      <c r="J197" s="47"/>
      <c r="K197" s="47"/>
      <c r="L197" s="281"/>
      <c r="M197" s="47"/>
      <c r="N197" s="47"/>
      <c r="O197" s="47"/>
      <c r="P197" s="47"/>
      <c r="Q197" s="47"/>
      <c r="R197" s="47"/>
      <c r="S197" s="47"/>
      <c r="T197" s="47"/>
      <c r="U197" s="47"/>
      <c r="V197" s="281"/>
      <c r="W197" s="47"/>
      <c r="X197" s="47"/>
      <c r="Y197" s="47"/>
      <c r="Z197" s="47"/>
      <c r="AA197" s="47"/>
      <c r="AB197" s="47"/>
      <c r="AC197" s="47"/>
      <c r="AD197" s="47"/>
      <c r="AE197" s="47"/>
      <c r="AF197" s="281"/>
      <c r="AG197" s="47"/>
      <c r="AH197" s="47"/>
      <c r="AI197" s="47"/>
      <c r="AJ197" s="47"/>
      <c r="AK197" s="47"/>
      <c r="AL197" s="47"/>
      <c r="AM197" s="152"/>
      <c r="AN197" s="152"/>
      <c r="AO197" s="152"/>
      <c r="AP197" s="857"/>
      <c r="AQ197" s="328"/>
      <c r="AR197" s="328"/>
      <c r="AS197" s="328"/>
      <c r="AT197" s="328"/>
      <c r="AU197" s="328"/>
      <c r="AV197" s="328"/>
      <c r="AX197" s="89"/>
      <c r="AY197" s="404"/>
      <c r="AZ197" s="634"/>
      <c r="BA197" s="404"/>
      <c r="BB197" s="404"/>
      <c r="BC197" s="404"/>
      <c r="BD197" s="404"/>
      <c r="BE197" s="404"/>
      <c r="BF197" s="634"/>
      <c r="BG197" s="634"/>
      <c r="BH197" s="634"/>
      <c r="BI197" s="634"/>
      <c r="BJ197" s="871"/>
      <c r="BK197" s="871"/>
      <c r="BL197" s="565"/>
      <c r="BM197" s="565"/>
      <c r="BP197" s="620"/>
      <c r="BQ197" s="620"/>
    </row>
    <row r="198" spans="1:85" ht="11.25" customHeight="1">
      <c r="A198" s="119" t="s">
        <v>153</v>
      </c>
      <c r="B198" s="667">
        <f>SUM('MasterA1(current$)'!B192)/0.1756</f>
        <v>17.084282460136674</v>
      </c>
      <c r="C198" s="49">
        <f>SUM('MasterA1(current$)'!C192)/0.178</f>
        <v>16.853932584269664</v>
      </c>
      <c r="D198" s="49">
        <f>SUM('MasterA1(current$)'!D192)/0.1798</f>
        <v>16.685205784204673</v>
      </c>
      <c r="E198" s="30">
        <f>SUM('MasterA1(current$)'!E192)/0.182</f>
        <v>21.978021978021978</v>
      </c>
      <c r="F198" s="30">
        <f>SUM('MasterA1(current$)'!F192)/0.1842</f>
        <v>21.715526601520086</v>
      </c>
      <c r="G198" s="30">
        <f>SUM('MasterA1(current$)'!G192)/0.18702</f>
        <v>26.735108544540694</v>
      </c>
      <c r="H198" s="30">
        <f>SUM('MasterA1(current$)'!H192)/0.19227</f>
        <v>26.005096999011808</v>
      </c>
      <c r="I198" s="30">
        <f>SUM('MasterA1(current$)'!I192)/0.19786</f>
        <v>25.270393207318303</v>
      </c>
      <c r="J198" s="30">
        <f>SUM('MasterA1(current$)'!J192)/0.20627</f>
        <v>24.240073689824015</v>
      </c>
      <c r="K198" s="30">
        <f>SUM('MasterA1(current$)'!K192)/0.21642</f>
        <v>27.72387025228722</v>
      </c>
      <c r="L198" s="270">
        <f>SUM('MasterA1(current$)'!L192)/0.22784</f>
        <v>26.334269662921351</v>
      </c>
      <c r="M198" s="30">
        <f>SUM('MasterA1(current$)'!M192)/0.23941</f>
        <v>25.061609790735556</v>
      </c>
      <c r="N198" s="30">
        <f>SUM('MasterA1(current$)'!N192)/0.24978</f>
        <v>28.024661702298022</v>
      </c>
      <c r="O198" s="30">
        <f>SUM('MasterA1(current$)'!O192)/0.26337</f>
        <v>22.781637999772183</v>
      </c>
      <c r="P198" s="30">
        <f>SUM('MasterA1(current$)'!P192)/0.28703</f>
        <v>27.871651046928893</v>
      </c>
      <c r="Q198" s="30">
        <f>SUM('MasterA1(current$)'!Q192)/0.31361</f>
        <v>28.698064474984854</v>
      </c>
      <c r="R198" s="30">
        <f>SUM('MasterA1(current$)'!R192)/0.33083</f>
        <v>27.204304325484387</v>
      </c>
      <c r="S198" s="30">
        <f>SUM('MasterA1(current$)'!S192)/0.35135</f>
        <v>22.769318343532092</v>
      </c>
      <c r="T198" s="30">
        <f>SUM('MasterA1(current$)'!T192)/0.37602</f>
        <v>18.616031062177544</v>
      </c>
      <c r="U198" s="30">
        <f>SUM('MasterA1(current$)'!U192)/0.40706</f>
        <v>19.653122389819682</v>
      </c>
      <c r="V198" s="270">
        <f>SUM('MasterA1(current$)'!V192)/0.44377</f>
        <v>31.547873898641189</v>
      </c>
      <c r="W198" s="30">
        <f>SUM('MasterA1(current$)'!W192)/0.4852</f>
        <v>39.159109645507009</v>
      </c>
      <c r="X198" s="30">
        <f>SUM('MasterA1(current$)'!X192)/0.5153</f>
        <v>38.812342324859308</v>
      </c>
      <c r="Y198" s="30">
        <f>SUM('MasterA1(current$)'!Y192)/0.53565</f>
        <v>50.406048725847107</v>
      </c>
      <c r="Z198" s="30">
        <f>SUM('MasterA1(current$)'!Z192)/0.55466</f>
        <v>68.510438827389748</v>
      </c>
      <c r="AA198" s="30">
        <f>SUM('MasterA1(current$)'!AA192)/0.5724</f>
        <v>69.88120195667365</v>
      </c>
      <c r="AB198" s="30">
        <f>SUM('MasterA1(current$)'!AB192)/0.58395</f>
        <v>82.198818391985625</v>
      </c>
      <c r="AC198" s="30">
        <f>SUM('MasterA1(current$)'!AC192)/0.59885</f>
        <v>86.833096768806882</v>
      </c>
      <c r="AD198" s="30">
        <f>SUM('MasterA1(current$)'!AD192)/0.61982</f>
        <v>32.267432480397531</v>
      </c>
      <c r="AE198" s="30">
        <f>SUM('MasterA1(current$)'!AE192)/0.64392</f>
        <v>34.165734873897378</v>
      </c>
      <c r="AF198" s="270">
        <f>SUM('MasterA1(current$)'!AF192)/0.66773</f>
        <v>34.445060129094095</v>
      </c>
      <c r="AG198" s="30">
        <f>SUM('MasterA1(current$)'!AG192)/0.68996</f>
        <v>39.132703345121456</v>
      </c>
      <c r="AH198" s="30">
        <f>SUM('MasterA1(current$)'!AH192)/0.70569</f>
        <v>32.59221471184231</v>
      </c>
      <c r="AI198" s="30">
        <f>SUM('MasterA1(current$)'!AI192)/0.72248</f>
        <v>45.676004872107185</v>
      </c>
      <c r="AJ198" s="30">
        <f>SUM('MasterA1(current$)'!AJ192)/0.73785</f>
        <v>46.079826523006034</v>
      </c>
      <c r="AK198" s="30">
        <f>SUM('MasterA1(current$)'!AK192)/0.75324</f>
        <v>41.155541394509051</v>
      </c>
      <c r="AL198" s="30">
        <f>SUM('MasterA1(current$)'!AL192)/0.76699</f>
        <v>36.506342977092274</v>
      </c>
      <c r="AM198" s="30">
        <f>SUM('MasterA1(current$)'!AM192)/0.78012</f>
        <v>41.019330359431883</v>
      </c>
      <c r="AN198" s="30">
        <f>SUM('MasterA1(current$)'!AN192)/0.78859</f>
        <v>38.042582330488592</v>
      </c>
      <c r="AO198" s="30">
        <f>SUM('MasterA1(current$)'!AO192)/0.80065</f>
        <v>36.220570786236188</v>
      </c>
      <c r="AP198" s="857">
        <f>SUM('MasterA1(current$)'!AP192)/0.81887</f>
        <v>43.963022213538167</v>
      </c>
      <c r="AQ198" s="328">
        <f>SUM('MasterA1(current$)'!AQ192)/0.83754</f>
        <v>46.564940181961461</v>
      </c>
      <c r="AR198" s="328">
        <f>SUM('MasterA1(current$)'!AR192)/0.85039</f>
        <v>51.740965909759055</v>
      </c>
      <c r="AS198" s="328">
        <f>SUM('MasterA1(current$)'!AS192)/0.86735</f>
        <v>50.729232720355107</v>
      </c>
      <c r="AT198" s="328">
        <f>SUM('MasterA1(current$)'!AT192)/0.8912</f>
        <v>76.301615798922796</v>
      </c>
      <c r="AU198" s="328">
        <f>SUM('MasterA1(current$)'!AU192)/0.91988</f>
        <v>68.487193981823708</v>
      </c>
      <c r="AV198" s="328">
        <f>SUM('MasterA1(current$)'!AV192)/0.94814</f>
        <v>64.336490391714307</v>
      </c>
      <c r="AW198" s="328">
        <f>SUM('MasterA1(current$)'!AW192)/0.97337</f>
        <v>64.485361108344193</v>
      </c>
      <c r="AX198" s="330">
        <f>('MasterA1(current$)'!AX192*100)/99.246</f>
        <v>67.864076086069929</v>
      </c>
      <c r="AY198" s="408">
        <f>SUM('MasterA1(current$)'!AY192)</f>
        <v>67</v>
      </c>
      <c r="AZ198" s="637">
        <f>SUM('MasterA1(current$)'!AZ192*100)/101.221</f>
        <v>71.131484573359288</v>
      </c>
      <c r="BA198" s="408">
        <f>SUM('MasterA1(current$)'!BA192*100)/103.311</f>
        <v>68.724530785685928</v>
      </c>
      <c r="BB198" s="408">
        <f>SUM('MasterA1(current$)'!BB192*100)/105.214</f>
        <v>67.481513866975874</v>
      </c>
      <c r="BC198" s="408">
        <f>SUM('MasterA1(current$)'!BC192*100)/106.913</f>
        <v>67.34447634992938</v>
      </c>
      <c r="BD198" s="408">
        <f>SUM('MasterA1(current$)'!BD192*100)/108.832</f>
        <v>64.319317847691863</v>
      </c>
      <c r="BE198" s="408">
        <f>SUM('MasterA1(current$)'!BE192*100)/110.012</f>
        <v>65.447405737555897</v>
      </c>
      <c r="BF198" s="637">
        <f>SUM('MasterA1(current$)'!BF192*100)/111.416</f>
        <v>74.49558411718246</v>
      </c>
      <c r="BG198" s="637">
        <f>SUM('MasterA1(current$)'!BG192*100)/113.116</f>
        <v>71.607906927401956</v>
      </c>
      <c r="BH198" s="637">
        <f>SUM('MasterA1(current$)'!BH192*100)/114.716</f>
        <v>74.096028452874933</v>
      </c>
      <c r="BI198" s="637">
        <f>SUM('MasterA1(current$)'!BI192*100)/116.416</f>
        <v>85.039857064321055</v>
      </c>
      <c r="BJ198" s="410">
        <f t="shared" ref="BJ198:BK201" si="13">(BH198-BG198)/BG198</f>
        <v>3.4746463515481635E-2</v>
      </c>
      <c r="BK198" s="410">
        <f t="shared" si="13"/>
        <v>0.14769791094007684</v>
      </c>
      <c r="BL198" s="564">
        <f t="shared" ref="BL198:BM201" si="14">BH198-BG198</f>
        <v>2.4881215254729767</v>
      </c>
      <c r="BM198" s="564">
        <f t="shared" si="14"/>
        <v>10.943828611446122</v>
      </c>
      <c r="BN198" s="112"/>
      <c r="BO198" s="112"/>
      <c r="BP198" s="620"/>
      <c r="BQ198" s="620"/>
    </row>
    <row r="199" spans="1:85" ht="11.25" customHeight="1">
      <c r="A199" s="119" t="s">
        <v>154</v>
      </c>
      <c r="B199" s="245" t="s">
        <v>3</v>
      </c>
      <c r="C199" s="50" t="s">
        <v>3</v>
      </c>
      <c r="D199" s="50" t="s">
        <v>3</v>
      </c>
      <c r="E199" s="331" t="s">
        <v>3</v>
      </c>
      <c r="F199" s="331" t="s">
        <v>3</v>
      </c>
      <c r="G199" s="331" t="s">
        <v>3</v>
      </c>
      <c r="H199" s="331" t="s">
        <v>3</v>
      </c>
      <c r="I199" s="331" t="s">
        <v>3</v>
      </c>
      <c r="J199" s="331" t="s">
        <v>3</v>
      </c>
      <c r="K199" s="331" t="s">
        <v>3</v>
      </c>
      <c r="L199" s="335" t="s">
        <v>3</v>
      </c>
      <c r="M199" s="331" t="s">
        <v>3</v>
      </c>
      <c r="N199" s="331" t="s">
        <v>3</v>
      </c>
      <c r="O199" s="331" t="s">
        <v>3</v>
      </c>
      <c r="P199" s="331" t="s">
        <v>3</v>
      </c>
      <c r="Q199" s="331" t="s">
        <v>3</v>
      </c>
      <c r="R199" s="331" t="s">
        <v>3</v>
      </c>
      <c r="S199" s="331" t="s">
        <v>3</v>
      </c>
      <c r="T199" s="331" t="s">
        <v>3</v>
      </c>
      <c r="U199" s="331" t="s">
        <v>3</v>
      </c>
      <c r="V199" s="335" t="s">
        <v>3</v>
      </c>
      <c r="W199" s="331" t="s">
        <v>3</v>
      </c>
      <c r="X199" s="331" t="s">
        <v>3</v>
      </c>
      <c r="Y199" s="331" t="s">
        <v>3</v>
      </c>
      <c r="Z199" s="331" t="s">
        <v>3</v>
      </c>
      <c r="AA199" s="331" t="s">
        <v>3</v>
      </c>
      <c r="AB199" s="331" t="s">
        <v>3</v>
      </c>
      <c r="AC199" s="331" t="s">
        <v>3</v>
      </c>
      <c r="AD199" s="30">
        <f>SUM('MasterA1(current$)'!AD193)/0.61982</f>
        <v>43.561033848536667</v>
      </c>
      <c r="AE199" s="30">
        <f>SUM('MasterA1(current$)'!AE193)/0.64392</f>
        <v>66.778481798981232</v>
      </c>
      <c r="AF199" s="270">
        <f>SUM('MasterA1(current$)'!AF193)/0.66773</f>
        <v>61.402063708385121</v>
      </c>
      <c r="AG199" s="30">
        <f>SUM('MasterA1(current$)'!AG193)/0.68996</f>
        <v>63.771812858716444</v>
      </c>
      <c r="AH199" s="30">
        <f>SUM('MasterA1(current$)'!AH193)/0.70569</f>
        <v>62.350323796567892</v>
      </c>
      <c r="AI199" s="30">
        <f>SUM('MasterA1(current$)'!AI193)/0.72248</f>
        <v>53.980733030672127</v>
      </c>
      <c r="AJ199" s="30">
        <f>SUM('MasterA1(current$)'!AJ193)/0.73785</f>
        <v>48.79040455377109</v>
      </c>
      <c r="AK199" s="30">
        <f>SUM('MasterA1(current$)'!AK193)/0.75324</f>
        <v>54.431522489511977</v>
      </c>
      <c r="AL199" s="30">
        <f>SUM('MasterA1(current$)'!AL193)/0.76699</f>
        <v>56.063312429105991</v>
      </c>
      <c r="AM199" s="30">
        <f>SUM('MasterA1(current$)'!AM193)/0.78012</f>
        <v>55.119725170486589</v>
      </c>
      <c r="AN199" s="30">
        <f>SUM('MasterA1(current$)'!AN193)/0.78859</f>
        <v>58.331959573415844</v>
      </c>
      <c r="AO199" s="30">
        <f>SUM('MasterA1(current$)'!AO193)/0.80065</f>
        <v>68.694185973896211</v>
      </c>
      <c r="AP199" s="857">
        <f>SUM('MasterA1(current$)'!AP193)/0.81887</f>
        <v>74.492898750717458</v>
      </c>
      <c r="AQ199" s="328">
        <f>SUM('MasterA1(current$)'!AQ193)/0.83754</f>
        <v>84.772070587673426</v>
      </c>
      <c r="AR199" s="328">
        <f>SUM('MasterA1(current$)'!AR193)/0.85039</f>
        <v>77.611448864638575</v>
      </c>
      <c r="AS199" s="328">
        <f>SUM('MasterA1(current$)'!AS193)/0.86735</f>
        <v>78.399723295094262</v>
      </c>
      <c r="AT199" s="328">
        <f>SUM('MasterA1(current$)'!AT193)/0.8912</f>
        <v>85.278276481149007</v>
      </c>
      <c r="AU199" s="328">
        <f>SUM('MasterA1(current$)'!AU193)/0.91988</f>
        <v>77.183980519198158</v>
      </c>
      <c r="AV199" s="328">
        <f>SUM('MasterA1(current$)'!AV193)/0.94814</f>
        <v>85.430421667686204</v>
      </c>
      <c r="AW199" s="328">
        <f>SUM('MasterA1(current$)'!AW193)/0.97337</f>
        <v>88.352836023300497</v>
      </c>
      <c r="AX199" s="330">
        <f>('MasterA1(current$)'!AX193*100)/99.246</f>
        <v>80.607782681417902</v>
      </c>
      <c r="AY199" s="408">
        <f>SUM('MasterA1(current$)'!AY193)</f>
        <v>83</v>
      </c>
      <c r="AZ199" s="637">
        <f>SUM('MasterA1(current$)'!AZ193*100)/101.221</f>
        <v>89.902293002440203</v>
      </c>
      <c r="BA199" s="408">
        <f>SUM('MasterA1(current$)'!BA193*100)/103.311</f>
        <v>101.63486947178906</v>
      </c>
      <c r="BB199" s="408">
        <f>SUM('MasterA1(current$)'!BB193*100)/105.214</f>
        <v>94.093941870853683</v>
      </c>
      <c r="BC199" s="408">
        <f>SUM('MasterA1(current$)'!BC193*100)/106.913</f>
        <v>104.75807432211238</v>
      </c>
      <c r="BD199" s="408">
        <f>SUM('MasterA1(current$)'!BD193*100)/108.832</f>
        <v>92.803587180241109</v>
      </c>
      <c r="BE199" s="408">
        <f>SUM('MasterA1(current$)'!BE193*100)/110.012</f>
        <v>87.263207650074534</v>
      </c>
      <c r="BF199" s="637">
        <f>SUM('MasterA1(current$)'!BF193*100)/111.416</f>
        <v>96.036475910102681</v>
      </c>
      <c r="BG199" s="637">
        <f>SUM('MasterA1(current$)'!BG193*100)/113.116</f>
        <v>99.897450404894087</v>
      </c>
      <c r="BH199" s="637">
        <f>SUM('MasterA1(current$)'!BH193*100)/114.716</f>
        <v>122.040517451794</v>
      </c>
      <c r="BI199" s="637">
        <f>SUM('MasterA1(current$)'!BI193*100)/116.416</f>
        <v>106.51456844420011</v>
      </c>
      <c r="BJ199" s="410">
        <f t="shared" si="13"/>
        <v>0.22165797982983459</v>
      </c>
      <c r="BK199" s="410">
        <f t="shared" si="13"/>
        <v>-0.12721962616822435</v>
      </c>
      <c r="BL199" s="564">
        <f t="shared" si="14"/>
        <v>22.143067046899915</v>
      </c>
      <c r="BM199" s="564">
        <f t="shared" si="14"/>
        <v>-15.525949007593894</v>
      </c>
      <c r="BN199" s="112"/>
      <c r="BO199" s="112"/>
      <c r="BP199" s="620"/>
      <c r="BQ199" s="620"/>
    </row>
    <row r="200" spans="1:85" ht="11.25" customHeight="1">
      <c r="A200" s="119" t="s">
        <v>4</v>
      </c>
      <c r="B200" s="898">
        <f>SUM('MasterA1(current$)'!B194)/0.1756</f>
        <v>125.28473804100227</v>
      </c>
      <c r="C200" s="57">
        <f>SUM('MasterA1(current$)'!C194)/0.178</f>
        <v>134.83146067415731</v>
      </c>
      <c r="D200" s="57">
        <f>SUM('MasterA1(current$)'!D194)/0.1798</f>
        <v>139.04338153503895</v>
      </c>
      <c r="E200" s="333">
        <f>SUM('MasterA1(current$)'!E194)/0.182</f>
        <v>148.35164835164835</v>
      </c>
      <c r="F200" s="333">
        <f>SUM('MasterA1(current$)'!F194)/0.1842</f>
        <v>146.57980456026058</v>
      </c>
      <c r="G200" s="333">
        <f>SUM('MasterA1(current$)'!G194)/0.18702</f>
        <v>165.75767297615229</v>
      </c>
      <c r="H200" s="333">
        <f>SUM('MasterA1(current$)'!H194)/0.19227</f>
        <v>176.83465959328029</v>
      </c>
      <c r="I200" s="333">
        <f>SUM('MasterA1(current$)'!I194)/0.19786</f>
        <v>181.94683109269178</v>
      </c>
      <c r="J200" s="333">
        <f>SUM('MasterA1(current$)'!J194)/0.20627</f>
        <v>184.22456004266252</v>
      </c>
      <c r="K200" s="333">
        <f>SUM('MasterA1(current$)'!K194)/0.21642</f>
        <v>198.68773680805842</v>
      </c>
      <c r="L200" s="269">
        <f>SUM('MasterA1(current$)'!L194)/0.22784</f>
        <v>215.06320224719101</v>
      </c>
      <c r="M200" s="333">
        <f>SUM('MasterA1(current$)'!M194)/0.23941</f>
        <v>229.73142308174261</v>
      </c>
      <c r="N200" s="333">
        <f>SUM('MasterA1(current$)'!N194)/0.24978</f>
        <v>232.20433981904074</v>
      </c>
      <c r="O200" s="333">
        <f>SUM('MasterA1(current$)'!O194)/0.26337</f>
        <v>235.41025933097924</v>
      </c>
      <c r="P200" s="333">
        <f>SUM('MasterA1(current$)'!P194)/0.28703</f>
        <v>254.32881580322615</v>
      </c>
      <c r="Q200" s="333">
        <f>SUM('MasterA1(current$)'!Q194)/0.31361</f>
        <v>226.39584196932495</v>
      </c>
      <c r="R200" s="333">
        <f>SUM('MasterA1(current$)'!R194)/0.33083</f>
        <v>253.9068403711876</v>
      </c>
      <c r="S200" s="333">
        <f>SUM('MasterA1(current$)'!S194)/0.35135</f>
        <v>247.61633698591149</v>
      </c>
      <c r="T200" s="333">
        <f>SUM('MasterA1(current$)'!T194)/0.37602</f>
        <v>244.66783681719056</v>
      </c>
      <c r="U200" s="30">
        <f>SUM('MasterA1(current$)'!U194)/0.40706</f>
        <v>238.29410897656368</v>
      </c>
      <c r="V200" s="269">
        <f>SUM('MasterA1(current$)'!V194)/0.44377</f>
        <v>232.1022151114316</v>
      </c>
      <c r="W200" s="333">
        <f>SUM('MasterA1(current$)'!W194)/0.4852</f>
        <v>230.83264633140971</v>
      </c>
      <c r="X200" s="333">
        <f>SUM('MasterA1(current$)'!X194)/0.5153</f>
        <v>250.33960799534253</v>
      </c>
      <c r="Y200" s="333">
        <f>SUM('MasterA1(current$)'!Y194)/0.53565</f>
        <v>270.69915056473445</v>
      </c>
      <c r="Z200" s="333">
        <f>SUM('MasterA1(current$)'!Z194)/0.55466</f>
        <v>286.66209930407814</v>
      </c>
      <c r="AA200" s="333">
        <f>SUM('MasterA1(current$)'!AA194)/0.5724</f>
        <v>342.41788958770087</v>
      </c>
      <c r="AB200" s="333">
        <f>SUM('MasterA1(current$)'!AB194)/0.58395</f>
        <v>349.34497816593887</v>
      </c>
      <c r="AC200" s="333">
        <f>SUM('MasterA1(current$)'!AC194)/0.59885</f>
        <v>385.73933372296904</v>
      </c>
      <c r="AD200" s="333">
        <f>SUM('MasterA1(current$)'!AD194)/0.61982</f>
        <v>404.95627762898903</v>
      </c>
      <c r="AE200" s="333">
        <f>SUM('MasterA1(current$)'!AE194)/0.64392</f>
        <v>473.66132438812269</v>
      </c>
      <c r="AF200" s="269">
        <f>SUM('MasterA1(current$)'!AF194)/0.66773</f>
        <v>479.23561918739608</v>
      </c>
      <c r="AG200" s="333">
        <f>SUM('MasterA1(current$)'!AG194)/0.68996</f>
        <v>513.07322163603681</v>
      </c>
      <c r="AH200" s="333">
        <f>SUM('MasterA1(current$)'!AH194)/0.70569</f>
        <v>551.23354447420252</v>
      </c>
      <c r="AI200" s="333">
        <f>SUM('MasterA1(current$)'!AI194)/0.72248</f>
        <v>627.00697597165322</v>
      </c>
      <c r="AJ200" s="333">
        <f>SUM('MasterA1(current$)'!AJ194)/0.73785</f>
        <v>668.15748458358746</v>
      </c>
      <c r="AK200" s="333">
        <f>SUM('MasterA1(current$)'!AK194)/0.75324</f>
        <v>700.9718018161542</v>
      </c>
      <c r="AL200" s="333">
        <f>SUM('MasterA1(current$)'!AL194)/0.76699</f>
        <v>757.50661677466462</v>
      </c>
      <c r="AM200" s="333">
        <f>SUM('MasterA1(current$)'!AM194)/0.78012</f>
        <v>878.07004050658873</v>
      </c>
      <c r="AN200" s="333">
        <f>SUM('MasterA1(current$)'!AN194)/0.78859</f>
        <v>906.68154554331147</v>
      </c>
      <c r="AO200" s="333">
        <f>SUM('MasterA1(current$)'!AO194)/0.80065</f>
        <v>1049.147567601324</v>
      </c>
      <c r="AP200" s="799">
        <f>SUM('MasterA1(current$)'!AP194)/0.81887</f>
        <v>1064.8820936168133</v>
      </c>
      <c r="AQ200" s="321">
        <f>SUM('MasterA1(current$)'!AQ194)/0.83754</f>
        <v>1192.7788523533204</v>
      </c>
      <c r="AR200" s="321">
        <f>SUM('MasterA1(current$)'!AR194)/0.85039</f>
        <v>1358.2003551311752</v>
      </c>
      <c r="AS200" s="321">
        <f>SUM('MasterA1(current$)'!AS194)/0.86735</f>
        <v>1320.1129878365136</v>
      </c>
      <c r="AT200" s="321">
        <f>SUM('MasterA1(current$)'!AT194)/0.8912</f>
        <v>1399.2369838420109</v>
      </c>
      <c r="AU200" s="321">
        <f>SUM('MasterA1(current$)'!AU194)/0.91988</f>
        <v>1524.1118406748706</v>
      </c>
      <c r="AV200" s="190">
        <f>SUM('MasterA1(current$)'!AV194)/0.94814</f>
        <v>1595.7559010272744</v>
      </c>
      <c r="AW200" s="190">
        <f>SUM('MasterA1(current$)'!AW194)/0.97337</f>
        <v>1837.9444609963325</v>
      </c>
      <c r="AX200" s="231">
        <f>('MasterA1(current$)'!AX194*100)/99.246</f>
        <v>1882.1917256111078</v>
      </c>
      <c r="AY200" s="408">
        <f>SUM('MasterA1(current$)'!AY194)</f>
        <v>1984</v>
      </c>
      <c r="AZ200" s="637">
        <f>SUM('MasterA1(current$)'!AZ194*100)/101.221</f>
        <v>1930.4294563381115</v>
      </c>
      <c r="BA200" s="408">
        <f>SUM('MasterA1(current$)'!BA194*100)/103.311</f>
        <v>2049.1525587788328</v>
      </c>
      <c r="BB200" s="408">
        <f>SUM('MasterA1(current$)'!BB194*100)/105.214</f>
        <v>2216.4350751801089</v>
      </c>
      <c r="BC200" s="408">
        <f>SUM('MasterA1(current$)'!BC194*100)/106.913</f>
        <v>2382.3108508787518</v>
      </c>
      <c r="BD200" s="408">
        <f>SUM('MasterA1(current$)'!BD194*100)/108.832</f>
        <v>2465.2675683622465</v>
      </c>
      <c r="BE200" s="408">
        <f>SUM('MasterA1(current$)'!BE194*100)/110.012</f>
        <v>2762.4259171726721</v>
      </c>
      <c r="BF200" s="637">
        <f>SUM('MasterA1(current$)'!BF194*100)/111.416</f>
        <v>2864.9386084583903</v>
      </c>
      <c r="BG200" s="637">
        <f>SUM('MasterA1(current$)'!BG194*100)/113.116</f>
        <v>2811.2733830757807</v>
      </c>
      <c r="BH200" s="637">
        <f>SUM('MasterA1(current$)'!BH194*100)/114.716</f>
        <v>2971.6865999511838</v>
      </c>
      <c r="BI200" s="637">
        <f>SUM('MasterA1(current$)'!BI194*100)/116.416</f>
        <v>2967.8051126992855</v>
      </c>
      <c r="BJ200" s="410">
        <f t="shared" si="13"/>
        <v>5.7060696352446851E-2</v>
      </c>
      <c r="BK200" s="410">
        <f t="shared" si="13"/>
        <v>-1.3061563261624117E-3</v>
      </c>
      <c r="BL200" s="564">
        <f t="shared" si="14"/>
        <v>160.41321687540312</v>
      </c>
      <c r="BM200" s="564">
        <f t="shared" si="14"/>
        <v>-3.8814872518983066</v>
      </c>
      <c r="BN200" s="112"/>
      <c r="BO200" s="112"/>
      <c r="BP200" s="620"/>
      <c r="BQ200" s="620"/>
    </row>
    <row r="201" spans="1:85" ht="11.25" customHeight="1">
      <c r="A201" s="393" t="s">
        <v>31</v>
      </c>
      <c r="B201" s="893" t="e">
        <f>SUM(#REF!)/0.1756</f>
        <v>#REF!</v>
      </c>
      <c r="C201" s="108">
        <f>SUM('MasterA1(current$)'!C195)/0.178</f>
        <v>151.68539325842698</v>
      </c>
      <c r="D201" s="107">
        <f>SUM('MasterA1(current$)'!D195)/0.1798</f>
        <v>155.72858731924362</v>
      </c>
      <c r="E201" s="449">
        <f>SUM('MasterA1(current$)'!E195)/0.182</f>
        <v>170.32967032967034</v>
      </c>
      <c r="F201" s="449">
        <f>SUM('MasterA1(current$)'!F195)/0.1842</f>
        <v>168.29533116178067</v>
      </c>
      <c r="G201" s="449">
        <f>SUM('MasterA1(current$)'!G195)/0.18702</f>
        <v>192.49278152069297</v>
      </c>
      <c r="H201" s="449">
        <f>SUM('MasterA1(current$)'!H195)/0.19227</f>
        <v>202.8397565922921</v>
      </c>
      <c r="I201" s="449">
        <f>SUM('MasterA1(current$)'!I195)/0.19786</f>
        <v>207.21722430001009</v>
      </c>
      <c r="J201" s="449">
        <f>SUM('MasterA1(current$)'!J195)/0.20627</f>
        <v>208.46463373248653</v>
      </c>
      <c r="K201" s="449">
        <f>SUM('MasterA1(current$)'!K195)/0.21642</f>
        <v>226.41160706034563</v>
      </c>
      <c r="L201" s="855">
        <f>SUM('MasterA1(current$)'!L195)/0.22784</f>
        <v>241.39747191011239</v>
      </c>
      <c r="M201" s="449">
        <f>SUM('MasterA1(current$)'!M195)/0.23941</f>
        <v>254.79303287247816</v>
      </c>
      <c r="N201" s="449">
        <f>SUM('MasterA1(current$)'!N195)/0.24978</f>
        <v>260.22900152133877</v>
      </c>
      <c r="O201" s="449">
        <f>SUM('MasterA1(current$)'!O195)/0.26337</f>
        <v>258.19189733075143</v>
      </c>
      <c r="P201" s="449">
        <f>SUM('MasterA1(current$)'!P195)/0.28703</f>
        <v>282.20046685015501</v>
      </c>
      <c r="Q201" s="449">
        <f>SUM('MasterA1(current$)'!Q195)/0.31361</f>
        <v>255.09390644430982</v>
      </c>
      <c r="R201" s="449">
        <f>SUM('MasterA1(current$)'!R195)/0.33083</f>
        <v>281.111144696672</v>
      </c>
      <c r="S201" s="449">
        <f>SUM('MasterA1(current$)'!S195)/0.35135</f>
        <v>270.38565532944358</v>
      </c>
      <c r="T201" s="449">
        <f>SUM('MasterA1(current$)'!T195)/0.37602</f>
        <v>263.28386787936813</v>
      </c>
      <c r="U201" s="449">
        <f>SUM('MasterA1(current$)'!U195)/0.40706</f>
        <v>257.94723136638333</v>
      </c>
      <c r="V201" s="855">
        <f>SUM('MasterA1(current$)'!V195)/0.44377</f>
        <v>263.6500890100728</v>
      </c>
      <c r="W201" s="449">
        <f>SUM('MasterA1(current$)'!W195)/0.4852</f>
        <v>269.99175597691675</v>
      </c>
      <c r="X201" s="449">
        <f>SUM('MasterA1(current$)'!X195)/0.5153</f>
        <v>289.15195032020182</v>
      </c>
      <c r="Y201" s="449">
        <f>SUM('MasterA1(current$)'!Y195)/0.53565</f>
        <v>321.10519929058154</v>
      </c>
      <c r="Z201" s="449">
        <f>SUM('MasterA1(current$)'!Z195)/0.55466</f>
        <v>355.17253813146789</v>
      </c>
      <c r="AA201" s="449">
        <f>SUM('MasterA1(current$)'!AA195)/0.5724</f>
        <v>412.29909154437456</v>
      </c>
      <c r="AB201" s="449">
        <f>SUM('MasterA1(current$)'!AB195)/0.58395</f>
        <v>431.54379655792451</v>
      </c>
      <c r="AC201" s="449">
        <f>SUM('MasterA1(current$)'!AC195)/0.59885</f>
        <v>472.57243049177589</v>
      </c>
      <c r="AD201" s="449">
        <f>SUM('MasterA1(current$)'!AD195)/0.61982</f>
        <v>480.78474395792324</v>
      </c>
      <c r="AE201" s="449">
        <f>SUM('MasterA1(current$)'!AE195)/0.64392</f>
        <v>574.6055410610013</v>
      </c>
      <c r="AF201" s="855">
        <f>SUM('MasterA1(current$)'!AF195)/0.66773</f>
        <v>575.0827430248753</v>
      </c>
      <c r="AG201" s="449">
        <f>SUM('MasterA1(current$)'!AG195)/0.68996</f>
        <v>615.97773783987475</v>
      </c>
      <c r="AH201" s="449">
        <f>SUM('MasterA1(current$)'!AH195)/0.70569</f>
        <v>646.17608298261268</v>
      </c>
      <c r="AI201" s="449">
        <f>SUM('MasterA1(current$)'!AI195)/0.72248</f>
        <v>726.66371387443246</v>
      </c>
      <c r="AJ201" s="449">
        <f>SUM('MasterA1(current$)'!AJ195)/0.73785</f>
        <v>763.02771566036461</v>
      </c>
      <c r="AK201" s="449">
        <f>SUM('MasterA1(current$)'!AK195)/0.75324</f>
        <v>796.55886570017526</v>
      </c>
      <c r="AL201" s="449">
        <f>SUM('MasterA1(current$)'!AL195)/0.76699</f>
        <v>850.07627218086293</v>
      </c>
      <c r="AM201" s="449">
        <f>SUM('MasterA1(current$)'!AM195)/0.78012</f>
        <v>974.20909603650716</v>
      </c>
      <c r="AN201" s="449">
        <f>SUM('MasterA1(current$)'!AN195)/0.78859</f>
        <v>1003.0560874472159</v>
      </c>
      <c r="AO201" s="449">
        <f>SUM('MasterA1(current$)'!AO195)/0.80065</f>
        <v>1154.0623243614564</v>
      </c>
      <c r="AP201" s="928">
        <f>SUM('MasterA1(current$)'!AP195)/0.81887</f>
        <v>1183.338014581069</v>
      </c>
      <c r="AQ201" s="128">
        <f>SUM('MasterA1(current$)'!AQ195)/0.83754</f>
        <v>1324.1158631229555</v>
      </c>
      <c r="AR201" s="128">
        <f>SUM('MasterA1(current$)'!AR195)/0.85039</f>
        <v>1487.5527699055729</v>
      </c>
      <c r="AS201" s="128">
        <f>SUM('MasterA1(current$)'!AS195)/0.86735</f>
        <v>1449.241943851963</v>
      </c>
      <c r="AT201" s="128">
        <f>SUM('MasterA1(current$)'!AT195)/0.8912</f>
        <v>1560.8168761220827</v>
      </c>
      <c r="AU201" s="128">
        <f>SUM('MasterA1(current$)'!AU195)/0.91988</f>
        <v>1669.7830151758924</v>
      </c>
      <c r="AV201" s="128">
        <f>SUM('MasterA1(current$)'!AV195)/0.94814</f>
        <v>1745.5228130866749</v>
      </c>
      <c r="AW201" s="128">
        <f>SUM('MasterA1(current$)'!AW195)/0.97337</f>
        <v>1990.7826581279771</v>
      </c>
      <c r="AX201" s="781">
        <f>('MasterA1(current$)'!AX195*100)/99.246</f>
        <v>2030.6635843785957</v>
      </c>
      <c r="AY201" s="406">
        <f>SUM('MasterA1(current$)'!AY195)</f>
        <v>2134</v>
      </c>
      <c r="AZ201" s="635">
        <f>SUM('MasterA1(current$)'!AZ195*100)/101.221</f>
        <v>2091.4632339139112</v>
      </c>
      <c r="BA201" s="406">
        <f>SUM('MasterA1(current$)'!BA195*100)/103.311</f>
        <v>2219.5119590363079</v>
      </c>
      <c r="BB201" s="406">
        <f>SUM('MasterA1(current$)'!BB195*100)/105.214</f>
        <v>2378.0105309179389</v>
      </c>
      <c r="BC201" s="406">
        <f>SUM('MasterA1(current$)'!BC195*100)/106.913</f>
        <v>2554.4134015507939</v>
      </c>
      <c r="BD201" s="406">
        <f>SUM('MasterA1(current$)'!BD195*100)/108.832</f>
        <v>2622.3904733901795</v>
      </c>
      <c r="BE201" s="406">
        <f>SUM('MasterA1(current$)'!BE195*100)/110.012</f>
        <v>2915.1365305603026</v>
      </c>
      <c r="BF201" s="635">
        <f>SUM('MasterA1(current$)'!BF195*100)/111.416</f>
        <v>3035.4706684856756</v>
      </c>
      <c r="BG201" s="635">
        <f>SUM('MasterA1(current$)'!BG195*100)/113.116</f>
        <v>2982.7787404080768</v>
      </c>
      <c r="BH201" s="635">
        <f>SUM('MasterA1(current$)'!BH195*100)/114.716</f>
        <v>3167.823145855853</v>
      </c>
      <c r="BI201" s="635">
        <f>SUM('MasterA1(current$)'!BI195*100)/116.416</f>
        <v>3159.3595382078065</v>
      </c>
      <c r="BJ201" s="872">
        <f t="shared" si="13"/>
        <v>6.2037590298253252E-2</v>
      </c>
      <c r="BK201" s="872">
        <f t="shared" si="13"/>
        <v>-2.6717424737295022E-3</v>
      </c>
      <c r="BL201" s="567">
        <f t="shared" si="14"/>
        <v>185.04440544777617</v>
      </c>
      <c r="BM201" s="567">
        <f t="shared" si="14"/>
        <v>-8.4636076480464908</v>
      </c>
      <c r="BN201" s="112"/>
      <c r="BO201" s="112"/>
      <c r="BP201" s="620"/>
      <c r="BQ201" s="620"/>
    </row>
    <row r="202" spans="1:85" ht="6" customHeight="1">
      <c r="A202" s="115"/>
      <c r="B202" s="667"/>
      <c r="C202" s="33"/>
      <c r="D202" s="33"/>
      <c r="E202" s="47"/>
      <c r="F202" s="47"/>
      <c r="G202" s="47"/>
      <c r="H202" s="47"/>
      <c r="I202" s="47"/>
      <c r="J202" s="47"/>
      <c r="K202" s="47"/>
      <c r="L202" s="281"/>
      <c r="M202" s="47"/>
      <c r="N202" s="47"/>
      <c r="O202" s="47"/>
      <c r="P202" s="47"/>
      <c r="Q202" s="47"/>
      <c r="R202" s="47"/>
      <c r="S202" s="47"/>
      <c r="T202" s="47"/>
      <c r="U202" s="47"/>
      <c r="V202" s="281"/>
      <c r="W202" s="47"/>
      <c r="X202" s="47"/>
      <c r="Y202" s="47"/>
      <c r="Z202" s="47"/>
      <c r="AA202" s="47"/>
      <c r="AB202" s="47"/>
      <c r="AC202" s="47"/>
      <c r="AD202" s="47"/>
      <c r="AE202" s="47"/>
      <c r="AF202" s="281"/>
      <c r="AG202" s="47"/>
      <c r="AH202" s="47"/>
      <c r="AI202" s="47"/>
      <c r="AJ202" s="47"/>
      <c r="AK202" s="47"/>
      <c r="AL202" s="47"/>
      <c r="AM202" s="47"/>
      <c r="AN202" s="47"/>
      <c r="AO202" s="47"/>
      <c r="AP202" s="857"/>
      <c r="AQ202" s="328"/>
      <c r="AR202" s="328"/>
      <c r="AS202" s="328"/>
      <c r="AT202" s="328"/>
      <c r="AU202" s="328"/>
      <c r="AV202" s="328"/>
      <c r="AX202" s="89"/>
      <c r="AY202" s="404"/>
      <c r="AZ202" s="634"/>
      <c r="BA202" s="404"/>
      <c r="BB202" s="404"/>
      <c r="BC202" s="404"/>
      <c r="BD202" s="404"/>
      <c r="BE202" s="404"/>
      <c r="BF202" s="634"/>
      <c r="BG202" s="634"/>
      <c r="BH202" s="634"/>
      <c r="BI202" s="634"/>
      <c r="BJ202" s="871"/>
      <c r="BK202" s="871"/>
      <c r="BL202" s="565"/>
      <c r="BM202" s="565"/>
      <c r="BP202" s="620"/>
      <c r="BQ202" s="620"/>
    </row>
    <row r="203" spans="1:85" ht="11.25" customHeight="1">
      <c r="A203" s="116" t="s">
        <v>34</v>
      </c>
      <c r="B203" s="667"/>
      <c r="C203" s="48"/>
      <c r="D203" s="48"/>
      <c r="E203" s="48"/>
      <c r="F203" s="48"/>
      <c r="G203" s="48"/>
      <c r="H203" s="48"/>
      <c r="I203" s="48"/>
      <c r="J203" s="48"/>
      <c r="K203" s="48"/>
      <c r="L203" s="667"/>
      <c r="M203" s="48"/>
      <c r="N203" s="48"/>
      <c r="O203" s="48"/>
      <c r="P203" s="48"/>
      <c r="Q203" s="48"/>
      <c r="R203" s="48"/>
      <c r="S203" s="48"/>
      <c r="T203" s="48"/>
      <c r="U203" s="48"/>
      <c r="V203" s="667"/>
      <c r="W203" s="48"/>
      <c r="X203" s="48"/>
      <c r="Y203" s="48"/>
      <c r="Z203" s="48"/>
      <c r="AA203" s="48"/>
      <c r="AB203" s="48"/>
      <c r="AC203" s="48"/>
      <c r="AD203" s="48"/>
      <c r="AE203" s="48"/>
      <c r="AF203" s="667"/>
      <c r="AG203" s="48"/>
      <c r="AH203" s="48"/>
      <c r="AI203" s="48"/>
      <c r="AJ203" s="48"/>
      <c r="AK203" s="48"/>
      <c r="AL203" s="48"/>
      <c r="AM203" s="48"/>
      <c r="AN203" s="48"/>
      <c r="AO203" s="48"/>
      <c r="AP203" s="667"/>
      <c r="AQ203" s="48"/>
      <c r="AR203" s="48"/>
      <c r="AS203" s="48"/>
      <c r="AT203" s="48"/>
      <c r="AU203" s="48"/>
      <c r="AV203" s="48"/>
      <c r="AW203" s="48"/>
      <c r="AX203" s="48"/>
      <c r="AY203" s="48"/>
      <c r="AZ203" s="667"/>
      <c r="BA203" s="48"/>
      <c r="BB203" s="48"/>
      <c r="BC203" s="48"/>
      <c r="BD203" s="48"/>
      <c r="BE203" s="48"/>
      <c r="BF203" s="667"/>
      <c r="BG203" s="667"/>
      <c r="BH203" s="667"/>
      <c r="BI203" s="667"/>
      <c r="BJ203" s="871"/>
      <c r="BK203" s="871"/>
      <c r="BL203" s="565"/>
      <c r="BM203" s="565"/>
      <c r="BP203" s="620"/>
      <c r="BQ203" s="620"/>
    </row>
    <row r="204" spans="1:85" ht="11.25" customHeight="1">
      <c r="A204" s="115" t="s">
        <v>12</v>
      </c>
      <c r="B204" s="667">
        <f>SUM('MasterA1(current$)'!B198)/0.1756</f>
        <v>28.473804100227788</v>
      </c>
      <c r="C204" s="49">
        <f>SUM('MasterA1(current$)'!C198)/0.178</f>
        <v>28.08988764044944</v>
      </c>
      <c r="D204" s="49">
        <f>SUM('MasterA1(current$)'!D198)/0.1798</f>
        <v>33.370411568409345</v>
      </c>
      <c r="E204" s="30">
        <f>SUM('MasterA1(current$)'!E198)/0.182</f>
        <v>32.967032967032971</v>
      </c>
      <c r="F204" s="30">
        <f>SUM('MasterA1(current$)'!F198)/0.1842</f>
        <v>38.002171552660151</v>
      </c>
      <c r="G204" s="30">
        <f>SUM('MasterA1(current$)'!G198)/0.18702</f>
        <v>37.429151962356968</v>
      </c>
      <c r="H204" s="30">
        <f>SUM('MasterA1(current$)'!H198)/0.19227</f>
        <v>36.40713579861653</v>
      </c>
      <c r="I204" s="30">
        <f>SUM('MasterA1(current$)'!I198)/0.19786</f>
        <v>40.432629131709291</v>
      </c>
      <c r="J204" s="30">
        <f>SUM('MasterA1(current$)'!J198)/0.20627</f>
        <v>38.784117903718425</v>
      </c>
      <c r="K204" s="30">
        <f>SUM('MasterA1(current$)'!K198)/0.21642</f>
        <v>36.965160336382958</v>
      </c>
      <c r="L204" s="270">
        <f>SUM('MasterA1(current$)'!L198)/0.22784</f>
        <v>39.501404494382022</v>
      </c>
      <c r="M204" s="30">
        <f>SUM('MasterA1(current$)'!M198)/0.23941</f>
        <v>45.946284616348521</v>
      </c>
      <c r="N204" s="30">
        <f>SUM('MasterA1(current$)'!N198)/0.24978</f>
        <v>48.042277203939463</v>
      </c>
      <c r="O204" s="30">
        <f>SUM('MasterA1(current$)'!O198)/0.26337</f>
        <v>45.563275999544366</v>
      </c>
      <c r="P204" s="30">
        <f>SUM('MasterA1(current$)'!P198)/0.28703</f>
        <v>48.775389332125563</v>
      </c>
      <c r="Q204" s="30">
        <f>SUM('MasterA1(current$)'!Q198)/0.31361</f>
        <v>57.396128949969707</v>
      </c>
      <c r="R204" s="30">
        <f>SUM('MasterA1(current$)'!R198)/0.33083</f>
        <v>63.4767100927969</v>
      </c>
      <c r="S204" s="30">
        <f>SUM('MasterA1(current$)'!S198)/0.35135</f>
        <v>74.000284616479291</v>
      </c>
      <c r="T204" s="30">
        <f>SUM('MasterA1(current$)'!T198)/0.37602</f>
        <v>95.73958831977022</v>
      </c>
      <c r="U204" s="30">
        <f>SUM('MasterA1(current$)'!U198)/0.40706</f>
        <v>98.265611949098414</v>
      </c>
      <c r="V204" s="270">
        <f>SUM('MasterA1(current$)'!V198)/0.44377</f>
        <v>110.41755864524416</v>
      </c>
      <c r="W204" s="30">
        <f>SUM('MasterA1(current$)'!W198)/0.4852</f>
        <v>100.98928276999175</v>
      </c>
      <c r="X204" s="30">
        <f>SUM('MasterA1(current$)'!X198)/0.5153</f>
        <v>83.446535998447516</v>
      </c>
      <c r="Y204" s="30">
        <f>SUM('MasterA1(current$)'!Y198)/0.53565</f>
        <v>80.276299822645385</v>
      </c>
      <c r="Z204" s="30">
        <f>SUM('MasterA1(current$)'!Z198)/0.55466</f>
        <v>75.722063967114977</v>
      </c>
      <c r="AA204" s="30">
        <f>SUM('MasterA1(current$)'!AA198)/0.5724</f>
        <v>71.62823200559049</v>
      </c>
      <c r="AB204" s="30">
        <f>SUM('MasterA1(current$)'!AB198)/0.58395</f>
        <v>70.211490709821049</v>
      </c>
      <c r="AC204" s="30">
        <f>SUM('MasterA1(current$)'!AC198)/0.59885</f>
        <v>71.804291558821078</v>
      </c>
      <c r="AD204" s="30">
        <f>SUM('MasterA1(current$)'!AD198)/0.61982</f>
        <v>69.374979832854692</v>
      </c>
      <c r="AE204" s="30">
        <f>SUM('MasterA1(current$)'!AE198)/0.64392</f>
        <v>69.884457696608266</v>
      </c>
      <c r="AF204" s="270">
        <f>SUM('MasterA1(current$)'!AF198)/0.66773</f>
        <v>70.387731568148794</v>
      </c>
      <c r="AG204" s="30">
        <f>SUM('MasterA1(current$)'!AG198)/0.68996</f>
        <v>76.816047307090258</v>
      </c>
      <c r="AH204" s="30">
        <f>SUM('MasterA1(current$)'!AH198)/0.70569</f>
        <v>79.354957559268229</v>
      </c>
      <c r="AI204" s="30">
        <f>SUM('MasterA1(current$)'!AI198)/0.72248</f>
        <v>85.815524305171081</v>
      </c>
      <c r="AJ204" s="30">
        <f>SUM('MasterA1(current$)'!AJ198)/0.73785</f>
        <v>104.35725418445483</v>
      </c>
      <c r="AK204" s="30">
        <f>SUM('MasterA1(current$)'!AK198)/0.75324</f>
        <v>107.53544686952365</v>
      </c>
      <c r="AL204" s="30">
        <f>SUM('MasterA1(current$)'!AL198)/0.76699</f>
        <v>97.784847260068588</v>
      </c>
      <c r="AM204" s="30">
        <f>SUM('MasterA1(current$)'!AM198)/0.78012</f>
        <v>134.59467774188585</v>
      </c>
      <c r="AN204" s="30">
        <f>SUM('MasterA1(current$)'!AN198)/0.78859</f>
        <v>134.41712423439301</v>
      </c>
      <c r="AO204" s="30">
        <f>SUM('MasterA1(current$)'!AO198)/0.80065</f>
        <v>123.64953475301319</v>
      </c>
      <c r="AP204" s="857">
        <f>SUM('MasterA1(current$)'!AP198)/0.81887</f>
        <v>124.56189627169148</v>
      </c>
      <c r="AQ204" s="328">
        <f>SUM('MasterA1(current$)'!AQ198)/0.83754</f>
        <v>133.72495641999188</v>
      </c>
      <c r="AR204" s="328">
        <f>SUM('MasterA1(current$)'!AR198)/0.85039</f>
        <v>143.46358729524101</v>
      </c>
      <c r="AS204" s="328">
        <f>SUM('MasterA1(current$)'!AS198)/0.86735</f>
        <v>134.89364155185336</v>
      </c>
      <c r="AT204" s="328">
        <f>SUM('MasterA1(current$)'!AT198)/0.8912</f>
        <v>144.74865350089766</v>
      </c>
      <c r="AU204" s="328">
        <f>SUM('MasterA1(current$)'!AU198)/0.91988</f>
        <v>147.84537113536547</v>
      </c>
      <c r="AV204" s="328">
        <f>SUM('MasterA1(current$)'!AV198)/0.94814</f>
        <v>143.43873267660894</v>
      </c>
      <c r="AW204" s="328">
        <f>SUM('MasterA1(current$)'!AW198)/0.97337</f>
        <v>152.0490666447497</v>
      </c>
      <c r="AX204" s="330">
        <f>('MasterA1(current$)'!AX198*100)/99.246</f>
        <v>171.29153819801303</v>
      </c>
      <c r="AY204" s="408">
        <f>SUM('MasterA1(current$)'!AY198)</f>
        <v>153</v>
      </c>
      <c r="AZ204" s="637">
        <f>SUM('MasterA1(current$)'!AZ198*100)/101.221</f>
        <v>169.92521314746938</v>
      </c>
      <c r="BA204" s="408">
        <f>SUM('MasterA1(current$)'!BA198*100)/103.311</f>
        <v>158.74398660355624</v>
      </c>
      <c r="BB204" s="408">
        <f>SUM('MasterA1(current$)'!BB198*100)/105.214</f>
        <v>155.87279259414146</v>
      </c>
      <c r="BC204" s="408">
        <f>SUM('MasterA1(current$)'!BC198*100)/106.913</f>
        <v>150.58973183803653</v>
      </c>
      <c r="BD204" s="408">
        <f>SUM('MasterA1(current$)'!BD198*100)/108.832</f>
        <v>135.98941487797708</v>
      </c>
      <c r="BE204" s="408">
        <f>SUM('MasterA1(current$)'!BE198*100)/110.012</f>
        <v>142.71170417772606</v>
      </c>
      <c r="BF204" s="637">
        <f>SUM('MasterA1(current$)'!BF198*100)/111.416</f>
        <v>162.45422560494004</v>
      </c>
      <c r="BG204" s="637">
        <f>SUM('MasterA1(current$)'!BG198*100)/113.116</f>
        <v>153.82439265886347</v>
      </c>
      <c r="BH204" s="637">
        <f>SUM('MasterA1(current$)'!BH198*100)/114.716</f>
        <v>142.96174901495868</v>
      </c>
      <c r="BI204" s="637">
        <f>SUM('MasterA1(current$)'!BI198*100)/116.416</f>
        <v>139.15612974161627</v>
      </c>
      <c r="BJ204" s="410">
        <f>(BH204-BG204)/BG204</f>
        <v>-7.06171723232146E-2</v>
      </c>
      <c r="BK204" s="410">
        <f>(BI204-BH204)/BH204</f>
        <v>-2.6619842717118813E-2</v>
      </c>
      <c r="BL204" s="564">
        <f>BH204-BG204</f>
        <v>-10.862643643904789</v>
      </c>
      <c r="BM204" s="564">
        <f>BI204-BH204</f>
        <v>-3.8056192733424155</v>
      </c>
      <c r="BN204" s="112"/>
      <c r="BO204" s="112"/>
      <c r="BP204" s="620"/>
      <c r="BQ204" s="620"/>
    </row>
    <row r="205" spans="1:85" ht="6" customHeight="1">
      <c r="A205" s="115"/>
      <c r="B205" s="667"/>
      <c r="C205" s="33"/>
      <c r="D205" s="33"/>
      <c r="E205" s="47"/>
      <c r="F205" s="47"/>
      <c r="G205" s="47"/>
      <c r="H205" s="47"/>
      <c r="I205" s="47"/>
      <c r="J205" s="47"/>
      <c r="K205" s="47"/>
      <c r="L205" s="281"/>
      <c r="M205" s="47"/>
      <c r="N205" s="47"/>
      <c r="O205" s="47"/>
      <c r="P205" s="47"/>
      <c r="Q205" s="47"/>
      <c r="R205" s="47"/>
      <c r="S205" s="47"/>
      <c r="T205" s="47"/>
      <c r="U205" s="47"/>
      <c r="V205" s="281"/>
      <c r="W205" s="47"/>
      <c r="X205" s="47"/>
      <c r="Y205" s="47"/>
      <c r="Z205" s="47"/>
      <c r="AA205" s="47"/>
      <c r="AB205" s="47"/>
      <c r="AC205" s="47"/>
      <c r="AD205" s="47"/>
      <c r="AE205" s="47"/>
      <c r="AF205" s="281"/>
      <c r="AG205" s="47"/>
      <c r="AH205" s="47"/>
      <c r="AI205" s="47"/>
      <c r="AJ205" s="47"/>
      <c r="AK205" s="47"/>
      <c r="AL205" s="47"/>
      <c r="AM205" s="47"/>
      <c r="AN205" s="47"/>
      <c r="AO205" s="47"/>
      <c r="AP205" s="857"/>
      <c r="AQ205" s="328"/>
      <c r="AR205" s="328"/>
      <c r="AS205" s="328"/>
      <c r="AT205" s="328"/>
      <c r="AU205" s="328"/>
      <c r="AV205" s="328"/>
      <c r="AW205" s="328"/>
      <c r="AX205" s="330"/>
      <c r="AY205" s="408"/>
      <c r="AZ205" s="637"/>
      <c r="BA205" s="408"/>
      <c r="BB205" s="408"/>
      <c r="BC205" s="408"/>
      <c r="BD205" s="408"/>
      <c r="BE205" s="408"/>
      <c r="BF205" s="637"/>
      <c r="BG205" s="637"/>
      <c r="BH205" s="637"/>
      <c r="BI205" s="637"/>
      <c r="BJ205" s="410"/>
      <c r="BK205" s="410"/>
      <c r="BL205" s="566"/>
      <c r="BM205" s="566"/>
      <c r="BP205" s="620"/>
      <c r="BQ205" s="620"/>
    </row>
    <row r="206" spans="1:85" ht="13.5" customHeight="1">
      <c r="A206" s="116" t="s">
        <v>124</v>
      </c>
      <c r="B206" s="667"/>
      <c r="C206" s="33"/>
      <c r="D206" s="33"/>
      <c r="E206" s="47"/>
      <c r="F206" s="47"/>
      <c r="G206" s="47"/>
      <c r="H206" s="47"/>
      <c r="I206" s="47"/>
      <c r="J206" s="47"/>
      <c r="K206" s="47"/>
      <c r="L206" s="281"/>
      <c r="M206" s="47"/>
      <c r="N206" s="47"/>
      <c r="O206" s="47"/>
      <c r="P206" s="47"/>
      <c r="Q206" s="47"/>
      <c r="R206" s="47"/>
      <c r="S206" s="47"/>
      <c r="T206" s="47"/>
      <c r="U206" s="47"/>
      <c r="V206" s="281"/>
      <c r="W206" s="47"/>
      <c r="X206" s="47"/>
      <c r="Y206" s="47"/>
      <c r="Z206" s="47"/>
      <c r="AA206" s="47"/>
      <c r="AB206" s="47"/>
      <c r="AC206" s="47"/>
      <c r="AD206" s="47"/>
      <c r="AE206" s="47"/>
      <c r="AF206" s="281"/>
      <c r="AG206" s="47"/>
      <c r="AH206" s="47"/>
      <c r="AI206" s="47"/>
      <c r="AJ206" s="47"/>
      <c r="AK206" s="47"/>
      <c r="AL206" s="47"/>
      <c r="AM206" s="47"/>
      <c r="AN206" s="47"/>
      <c r="AO206" s="47"/>
      <c r="AP206" s="857"/>
      <c r="AQ206" s="328"/>
      <c r="AR206" s="328"/>
      <c r="AS206" s="328"/>
      <c r="AT206" s="328"/>
      <c r="AU206" s="328"/>
      <c r="AV206" s="328"/>
      <c r="AW206" s="328"/>
      <c r="AX206" s="330"/>
      <c r="AY206" s="408"/>
      <c r="AZ206" s="637"/>
      <c r="BA206" s="408"/>
      <c r="BB206" s="408"/>
      <c r="BC206" s="408"/>
      <c r="BD206" s="408"/>
      <c r="BE206" s="408"/>
      <c r="BF206" s="637"/>
      <c r="BG206" s="637"/>
      <c r="BH206" s="637"/>
      <c r="BI206" s="637"/>
      <c r="BJ206" s="410"/>
      <c r="BK206" s="410"/>
      <c r="BL206" s="566"/>
      <c r="BM206" s="566"/>
      <c r="BP206" s="620"/>
      <c r="BQ206" s="620"/>
    </row>
    <row r="207" spans="1:85" ht="11.25" customHeight="1">
      <c r="A207" s="119" t="s">
        <v>155</v>
      </c>
      <c r="B207" s="245" t="s">
        <v>3</v>
      </c>
      <c r="C207" s="50" t="s">
        <v>3</v>
      </c>
      <c r="D207" s="50" t="s">
        <v>3</v>
      </c>
      <c r="E207" s="50" t="s">
        <v>3</v>
      </c>
      <c r="F207" s="50" t="s">
        <v>3</v>
      </c>
      <c r="G207" s="50" t="s">
        <v>3</v>
      </c>
      <c r="H207" s="50" t="s">
        <v>3</v>
      </c>
      <c r="I207" s="50" t="s">
        <v>3</v>
      </c>
      <c r="J207" s="50" t="s">
        <v>3</v>
      </c>
      <c r="K207" s="50" t="s">
        <v>3</v>
      </c>
      <c r="L207" s="245" t="s">
        <v>3</v>
      </c>
      <c r="M207" s="50" t="s">
        <v>3</v>
      </c>
      <c r="N207" s="50" t="s">
        <v>3</v>
      </c>
      <c r="O207" s="50" t="s">
        <v>3</v>
      </c>
      <c r="P207" s="50" t="s">
        <v>3</v>
      </c>
      <c r="Q207" s="50" t="s">
        <v>3</v>
      </c>
      <c r="R207" s="50" t="s">
        <v>3</v>
      </c>
      <c r="S207" s="50" t="s">
        <v>3</v>
      </c>
      <c r="T207" s="50" t="s">
        <v>3</v>
      </c>
      <c r="U207" s="30">
        <f>SUM('MasterA1(current$)'!U201)/0.40706</f>
        <v>9.826561194909841</v>
      </c>
      <c r="V207" s="270">
        <f>SUM('MasterA1(current$)'!V201)/0.44377</f>
        <v>13.520517385131937</v>
      </c>
      <c r="W207" s="30">
        <f>SUM('MasterA1(current$)'!W201)/0.4852</f>
        <v>8.2440230832646328</v>
      </c>
      <c r="X207" s="30">
        <f>SUM('MasterA1(current$)'!X201)/0.5153</f>
        <v>9.7030855812148271</v>
      </c>
      <c r="Y207" s="30">
        <f>SUM('MasterA1(current$)'!Y201)/0.53565</f>
        <v>7.4675627741995712</v>
      </c>
      <c r="Z207" s="30">
        <f>SUM('MasterA1(current$)'!Z201)/0.55466</f>
        <v>9.0145314246565462</v>
      </c>
      <c r="AA207" s="30">
        <f>SUM('MasterA1(current$)'!AA201)/0.5724</f>
        <v>10.482180293501047</v>
      </c>
      <c r="AB207" s="30">
        <f>SUM('MasterA1(current$)'!AB201)/0.58395</f>
        <v>8.5623769158318357</v>
      </c>
      <c r="AC207" s="30">
        <f>SUM('MasterA1(current$)'!AC201)/0.59885</f>
        <v>8.3493362277698928</v>
      </c>
      <c r="AD207" s="30">
        <f>SUM('MasterA1(current$)'!AD201)/0.61982</f>
        <v>8.0668581200993827</v>
      </c>
      <c r="AE207" s="30">
        <f>SUM('MasterA1(current$)'!AE201)/0.64392</f>
        <v>7.7649397440675854</v>
      </c>
      <c r="AF207" s="270">
        <f>SUM('MasterA1(current$)'!AF201)/0.66773</f>
        <v>7.4880565498030638</v>
      </c>
      <c r="AG207" s="30">
        <f>SUM('MasterA1(current$)'!AG201)/0.68996</f>
        <v>7.2467969157632321</v>
      </c>
      <c r="AH207" s="30">
        <f>SUM('MasterA1(current$)'!AH201)/0.70569</f>
        <v>7.0852640677918064</v>
      </c>
      <c r="AI207" s="30">
        <f>SUM('MasterA1(current$)'!AI201)/0.72248</f>
        <v>8.3047281585649433</v>
      </c>
      <c r="AJ207" s="30">
        <f>SUM('MasterA1(current$)'!AJ201)/0.73785</f>
        <v>8.1317340922951811</v>
      </c>
      <c r="AK207" s="30">
        <f>SUM('MasterA1(current$)'!AK201)/0.75324</f>
        <v>9.2931867665020444</v>
      </c>
      <c r="AL207" s="30">
        <f>SUM('MasterA1(current$)'!AL201)/0.76699</f>
        <v>6.5189898173379062</v>
      </c>
      <c r="AM207" s="30">
        <f>SUM('MasterA1(current$)'!AM201)/0.78012</f>
        <v>6.4092703686612316</v>
      </c>
      <c r="AN207" s="30">
        <f>SUM('MasterA1(current$)'!AN201)/0.78859</f>
        <v>6.3404303884147657</v>
      </c>
      <c r="AO207" s="30">
        <f>SUM('MasterA1(current$)'!AO201)/0.80065</f>
        <v>6.244925997626928</v>
      </c>
      <c r="AP207" s="857">
        <f>SUM('MasterA1(current$)'!AP201)/0.81887</f>
        <v>7.3271703689230279</v>
      </c>
      <c r="AQ207" s="328">
        <f>SUM('MasterA1(current$)'!AQ201)/0.83754</f>
        <v>7.1638369510709943</v>
      </c>
      <c r="AR207" s="328">
        <f>SUM('MasterA1(current$)'!AR201)/0.85039</f>
        <v>8.2315173038253047</v>
      </c>
      <c r="AS207" s="328">
        <f>SUM('MasterA1(current$)'!AS201)/0.86735</f>
        <v>8.070559750965586</v>
      </c>
      <c r="AT207" s="328">
        <f>SUM('MasterA1(current$)'!AT201)/0.8912</f>
        <v>8.9766606822262123</v>
      </c>
      <c r="AU207" s="328">
        <f>SUM('MasterA1(current$)'!AU201)/0.91988</f>
        <v>7.609688220202635</v>
      </c>
      <c r="AV207" s="328">
        <f>SUM('MasterA1(current$)'!AV201)/0.94814</f>
        <v>8.4375725103887618</v>
      </c>
      <c r="AW207" s="328">
        <f>SUM('MasterA1(current$)'!AW201)/0.97337</f>
        <v>8.2188684672837677</v>
      </c>
      <c r="AX207" s="330">
        <f>('MasterA1(current$)'!AX201*100)/99.246</f>
        <v>8.0607782681417888</v>
      </c>
      <c r="AY207" s="408">
        <f>SUM('MasterA1(current$)'!AY201)</f>
        <v>8</v>
      </c>
      <c r="AZ207" s="637">
        <f>SUM('MasterA1(current$)'!AZ201*100)/101.221</f>
        <v>7.9034982859288085</v>
      </c>
      <c r="BA207" s="408">
        <f>SUM('MasterA1(current$)'!BA201*100)/103.311</f>
        <v>7.7436091026125</v>
      </c>
      <c r="BB207" s="408">
        <f>SUM('MasterA1(current$)'!BB201*100)/105.214</f>
        <v>7.6035508582508031</v>
      </c>
      <c r="BC207" s="408">
        <f>SUM('MasterA1(current$)'!BC201*100)/106.913</f>
        <v>7.4827195944365981</v>
      </c>
      <c r="BD207" s="408">
        <f>SUM('MasterA1(current$)'!BD201*100)/108.832</f>
        <v>8.2696265804175244</v>
      </c>
      <c r="BE207" s="408">
        <f>SUM('MasterA1(current$)'!BE201*100)/110.012</f>
        <v>8.0929587739988484</v>
      </c>
      <c r="BF207" s="637">
        <f>SUM('MasterA1(current$)'!BF201*100)/111.416</f>
        <v>8.9753715803834275</v>
      </c>
      <c r="BG207" s="637">
        <f>SUM('MasterA1(current$)'!BG201*100)/113.116</f>
        <v>8.8404823367162919</v>
      </c>
      <c r="BH207" s="637">
        <f>SUM('MasterA1(current$)'!BH201*100)/114.716</f>
        <v>9.5888977997838136</v>
      </c>
      <c r="BI207" s="637">
        <f>SUM('MasterA1(current$)'!BI201*100)/116.416</f>
        <v>9.4488730071467835</v>
      </c>
      <c r="BJ207" s="410">
        <f>(BH207-BG207)/BG207</f>
        <v>8.4657763520345777E-2</v>
      </c>
      <c r="BK207" s="410">
        <f>(BI207-BH207)/BH207</f>
        <v>-1.4602803738317774E-2</v>
      </c>
      <c r="BL207" s="564">
        <f>BH207-BG207</f>
        <v>0.74841546306752171</v>
      </c>
      <c r="BM207" s="564">
        <f>BI207-BH207</f>
        <v>-0.14002479263703016</v>
      </c>
      <c r="BN207" s="112"/>
      <c r="BO207" s="112"/>
      <c r="BP207" s="620"/>
      <c r="BQ207" s="620"/>
    </row>
    <row r="208" spans="1:85" ht="6" customHeight="1">
      <c r="A208" s="115"/>
      <c r="B208" s="667"/>
      <c r="C208" s="33"/>
      <c r="D208" s="33"/>
      <c r="E208" s="47"/>
      <c r="F208" s="47"/>
      <c r="G208" s="47"/>
      <c r="H208" s="47"/>
      <c r="I208" s="47"/>
      <c r="J208" s="47"/>
      <c r="K208" s="47"/>
      <c r="L208" s="281"/>
      <c r="M208" s="47"/>
      <c r="N208" s="47"/>
      <c r="O208" s="47"/>
      <c r="P208" s="47"/>
      <c r="Q208" s="47"/>
      <c r="R208" s="47"/>
      <c r="S208" s="47"/>
      <c r="T208" s="47"/>
      <c r="U208" s="47"/>
      <c r="V208" s="281"/>
      <c r="W208" s="47"/>
      <c r="X208" s="47"/>
      <c r="Y208" s="47"/>
      <c r="Z208" s="47"/>
      <c r="AA208" s="47"/>
      <c r="AB208" s="47"/>
      <c r="AC208" s="47"/>
      <c r="AD208" s="47"/>
      <c r="AE208" s="47"/>
      <c r="AF208" s="281"/>
      <c r="AG208" s="47"/>
      <c r="AH208" s="47"/>
      <c r="AI208" s="47"/>
      <c r="AJ208" s="47"/>
      <c r="AK208" s="47"/>
      <c r="AL208" s="47"/>
      <c r="AM208" s="47"/>
      <c r="AN208" s="47"/>
      <c r="AO208" s="47"/>
      <c r="AP208" s="857"/>
      <c r="AQ208" s="328"/>
      <c r="AR208" s="328"/>
      <c r="AS208" s="328"/>
      <c r="AT208" s="328"/>
      <c r="AU208" s="328"/>
      <c r="AV208" s="328"/>
      <c r="AW208" s="328"/>
      <c r="AX208" s="330"/>
      <c r="AY208" s="408"/>
      <c r="AZ208" s="637"/>
      <c r="BA208" s="408"/>
      <c r="BB208" s="408"/>
      <c r="BC208" s="408"/>
      <c r="BD208" s="408"/>
      <c r="BE208" s="408"/>
      <c r="BF208" s="637"/>
      <c r="BG208" s="637"/>
      <c r="BH208" s="637"/>
      <c r="BI208" s="637"/>
      <c r="BJ208" s="410"/>
      <c r="BK208" s="410"/>
      <c r="BL208" s="566"/>
      <c r="BM208" s="566"/>
      <c r="BP208" s="620"/>
      <c r="BQ208" s="620"/>
    </row>
    <row r="209" spans="1:69" ht="11.25" customHeight="1">
      <c r="A209" s="116" t="s">
        <v>123</v>
      </c>
      <c r="B209" s="667"/>
      <c r="C209" s="33"/>
      <c r="D209" s="33"/>
      <c r="E209" s="47"/>
      <c r="F209" s="47"/>
      <c r="G209" s="47"/>
      <c r="H209" s="47"/>
      <c r="I209" s="47"/>
      <c r="J209" s="47"/>
      <c r="K209" s="47"/>
      <c r="L209" s="281"/>
      <c r="M209" s="47"/>
      <c r="N209" s="47"/>
      <c r="O209" s="47"/>
      <c r="P209" s="47"/>
      <c r="Q209" s="47"/>
      <c r="R209" s="47"/>
      <c r="S209" s="47"/>
      <c r="T209" s="47"/>
      <c r="U209" s="47"/>
      <c r="V209" s="281"/>
      <c r="W209" s="47"/>
      <c r="X209" s="47"/>
      <c r="Y209" s="47"/>
      <c r="Z209" s="47"/>
      <c r="AA209" s="47"/>
      <c r="AB209" s="47"/>
      <c r="AC209" s="47"/>
      <c r="AD209" s="47"/>
      <c r="AE209" s="47"/>
      <c r="AF209" s="281"/>
      <c r="AG209" s="47"/>
      <c r="AH209" s="47"/>
      <c r="AI209" s="47"/>
      <c r="AJ209" s="47"/>
      <c r="AK209" s="47"/>
      <c r="AL209" s="47"/>
      <c r="AM209" s="47"/>
      <c r="AN209" s="47"/>
      <c r="AO209" s="47"/>
      <c r="AP209" s="857"/>
      <c r="AQ209" s="328"/>
      <c r="AR209" s="328"/>
      <c r="AS209" s="328"/>
      <c r="AT209" s="328"/>
      <c r="AU209" s="328"/>
      <c r="AV209" s="328"/>
      <c r="AW209" s="328"/>
      <c r="AX209" s="330"/>
      <c r="AY209" s="408"/>
      <c r="AZ209" s="637"/>
      <c r="BA209" s="408"/>
      <c r="BB209" s="408"/>
      <c r="BC209" s="408"/>
      <c r="BD209" s="408"/>
      <c r="BE209" s="408"/>
      <c r="BF209" s="637"/>
      <c r="BG209" s="637"/>
      <c r="BH209" s="637"/>
      <c r="BI209" s="637"/>
      <c r="BJ209" s="879"/>
      <c r="BK209" s="879"/>
      <c r="BL209" s="573"/>
      <c r="BM209" s="573"/>
      <c r="BP209" s="620"/>
      <c r="BQ209" s="620"/>
    </row>
    <row r="210" spans="1:69" ht="11.25" customHeight="1">
      <c r="A210" s="130" t="s">
        <v>156</v>
      </c>
      <c r="B210" s="245" t="s">
        <v>3</v>
      </c>
      <c r="C210" s="50" t="s">
        <v>3</v>
      </c>
      <c r="D210" s="50" t="s">
        <v>3</v>
      </c>
      <c r="E210" s="50" t="s">
        <v>3</v>
      </c>
      <c r="F210" s="50" t="s">
        <v>3</v>
      </c>
      <c r="G210" s="50" t="s">
        <v>3</v>
      </c>
      <c r="H210" s="50" t="s">
        <v>3</v>
      </c>
      <c r="I210" s="50" t="s">
        <v>3</v>
      </c>
      <c r="J210" s="50" t="s">
        <v>3</v>
      </c>
      <c r="K210" s="50" t="s">
        <v>3</v>
      </c>
      <c r="L210" s="245" t="s">
        <v>3</v>
      </c>
      <c r="M210" s="50" t="s">
        <v>3</v>
      </c>
      <c r="N210" s="50" t="s">
        <v>3</v>
      </c>
      <c r="O210" s="50" t="s">
        <v>3</v>
      </c>
      <c r="P210" s="50" t="s">
        <v>3</v>
      </c>
      <c r="Q210" s="50" t="s">
        <v>3</v>
      </c>
      <c r="R210" s="50" t="s">
        <v>3</v>
      </c>
      <c r="S210" s="50" t="s">
        <v>3</v>
      </c>
      <c r="T210" s="30">
        <f>SUM('MasterA1(current$)'!T204)/0.37602</f>
        <v>5.3188660177650124</v>
      </c>
      <c r="U210" s="30">
        <f>SUM('MasterA1(current$)'!U204)/0.40706</f>
        <v>7.3699208961823812</v>
      </c>
      <c r="V210" s="270">
        <f>SUM('MasterA1(current$)'!V204)/0.44377</f>
        <v>13.520517385131937</v>
      </c>
      <c r="W210" s="30">
        <f>SUM('MasterA1(current$)'!W204)/0.4852</f>
        <v>14.427040395713107</v>
      </c>
      <c r="X210" s="30">
        <f>SUM('MasterA1(current$)'!X204)/0.5153</f>
        <v>9.7030855812148271</v>
      </c>
      <c r="Y210" s="30">
        <f>SUM('MasterA1(current$)'!Y204)/0.53565</f>
        <v>11.201344161299357</v>
      </c>
      <c r="Z210" s="30">
        <f>SUM('MasterA1(current$)'!Z204)/0.55466</f>
        <v>10.817437709587855</v>
      </c>
      <c r="AA210" s="30">
        <f>SUM('MasterA1(current$)'!AA204)/0.5724</f>
        <v>10.482180293501047</v>
      </c>
      <c r="AB210" s="30">
        <f>SUM('MasterA1(current$)'!AB204)/0.58395</f>
        <v>10.274852298998203</v>
      </c>
      <c r="AC210" s="30">
        <f>SUM('MasterA1(current$)'!AC204)/0.59885</f>
        <v>10.019203473323872</v>
      </c>
      <c r="AD210" s="30">
        <f>SUM('MasterA1(current$)'!AD204)/0.61982</f>
        <v>9.6802297441192593</v>
      </c>
      <c r="AE210" s="30">
        <f>SUM('MasterA1(current$)'!AE204)/0.64392</f>
        <v>9.3179276928811028</v>
      </c>
      <c r="AF210" s="270">
        <f>SUM('MasterA1(current$)'!AF204)/0.66773</f>
        <v>8.9856678597636765</v>
      </c>
      <c r="AG210" s="30">
        <f>SUM('MasterA1(current$)'!AG204)/0.68996</f>
        <v>7.2467969157632321</v>
      </c>
      <c r="AH210" s="30">
        <f>SUM('MasterA1(current$)'!AH204)/0.70569</f>
        <v>8.5023168813501666</v>
      </c>
      <c r="AI210" s="30">
        <f>SUM('MasterA1(current$)'!AI204)/0.72248</f>
        <v>6.9206067988041191</v>
      </c>
      <c r="AJ210" s="30">
        <f>SUM('MasterA1(current$)'!AJ204)/0.73785</f>
        <v>8.1317340922951811</v>
      </c>
      <c r="AK210" s="30">
        <f>SUM('MasterA1(current$)'!AK204)/0.75324</f>
        <v>10.620784876002336</v>
      </c>
      <c r="AL210" s="30">
        <f>SUM('MasterA1(current$)'!AL204)/0.76699</f>
        <v>6.5189898173379062</v>
      </c>
      <c r="AM210" s="30">
        <f>SUM('MasterA1(current$)'!AM204)/0.78012</f>
        <v>6.4092703686612316</v>
      </c>
      <c r="AN210" s="30">
        <f>SUM('MasterA1(current$)'!AN204)/0.78859</f>
        <v>6.3404303884147657</v>
      </c>
      <c r="AO210" s="30">
        <f>SUM('MasterA1(current$)'!AO204)/0.80065</f>
        <v>6.244925997626928</v>
      </c>
      <c r="AP210" s="857">
        <f>SUM('MasterA1(current$)'!AP204)/0.81887</f>
        <v>7.3271703689230279</v>
      </c>
      <c r="AQ210" s="328">
        <f>SUM('MasterA1(current$)'!AQ204)/0.83754</f>
        <v>5.9698641258924949</v>
      </c>
      <c r="AR210" s="328">
        <f>SUM('MasterA1(current$)'!AR204)/0.85039</f>
        <v>5.8796552170180743</v>
      </c>
      <c r="AS210" s="328">
        <f>SUM('MasterA1(current$)'!AS204)/0.86735</f>
        <v>6.917622643684787</v>
      </c>
      <c r="AT210" s="328">
        <f>SUM('MasterA1(current$)'!AT204)/0.8912</f>
        <v>5.6104129263913824</v>
      </c>
      <c r="AU210" s="328">
        <f>SUM('MasterA1(current$)'!AU204)/0.91988</f>
        <v>6.5225899030308296</v>
      </c>
      <c r="AV210" s="328">
        <f>SUM('MasterA1(current$)'!AV204)/0.94814</f>
        <v>6.3281793827915713</v>
      </c>
      <c r="AW210" s="328">
        <f>SUM('MasterA1(current$)'!AW204)/0.97337</f>
        <v>6.1641513504628254</v>
      </c>
      <c r="AX210" s="330">
        <f>('MasterA1(current$)'!AX204*100)/99.246</f>
        <v>7.0531809846240661</v>
      </c>
      <c r="AY210" s="408">
        <f>SUM('MasterA1(current$)'!AY204)</f>
        <v>7</v>
      </c>
      <c r="AZ210" s="637">
        <f>SUM('MasterA1(current$)'!AZ204*100)/101.221</f>
        <v>7.9034982859288085</v>
      </c>
      <c r="BA210" s="408">
        <f>SUM('MasterA1(current$)'!BA204*100)/103.311</f>
        <v>6.7756579647859372</v>
      </c>
      <c r="BB210" s="408">
        <f>SUM('MasterA1(current$)'!BB204*100)/105.214</f>
        <v>6.6531070009694524</v>
      </c>
      <c r="BC210" s="408">
        <f>SUM('MasterA1(current$)'!BC204*100)/106.913</f>
        <v>8.4180595437411725</v>
      </c>
      <c r="BD210" s="408">
        <f>SUM('MasterA1(current$)'!BD204*100)/108.832</f>
        <v>8.2696265804175244</v>
      </c>
      <c r="BE210" s="408">
        <f>SUM('MasterA1(current$)'!BE204*100)/110.012</f>
        <v>8.1809257171944871</v>
      </c>
      <c r="BF210" s="637">
        <f>SUM('MasterA1(current$)'!BF204*100)/111.416</f>
        <v>8.0778344223450862</v>
      </c>
      <c r="BG210" s="637">
        <f>SUM('MasterA1(current$)'!BG204*100)/113.116</f>
        <v>7.0723858693730328</v>
      </c>
      <c r="BH210" s="637">
        <f>SUM('MasterA1(current$)'!BH204*100)/114.716</f>
        <v>6.9737438543882284</v>
      </c>
      <c r="BI210" s="637">
        <f>SUM('MasterA1(current$)'!BI204*100)/116.416</f>
        <v>6.8719076415612976</v>
      </c>
      <c r="BJ210" s="410">
        <f>(BH210-BG210)/BG210</f>
        <v>-1.3947487708776419E-2</v>
      </c>
      <c r="BK210" s="410">
        <f>(BI210-BH210)/BH210</f>
        <v>-1.460280373831774E-2</v>
      </c>
      <c r="BL210" s="564">
        <f>BH210-BG210</f>
        <v>-9.8642014984804405E-2</v>
      </c>
      <c r="BM210" s="564">
        <f>BI210-BH210</f>
        <v>-0.10183621282693078</v>
      </c>
      <c r="BN210" s="112"/>
      <c r="BO210" s="112"/>
      <c r="BP210" s="620"/>
      <c r="BQ210" s="620"/>
    </row>
    <row r="211" spans="1:69" ht="6" customHeight="1">
      <c r="A211" s="115"/>
      <c r="B211" s="667"/>
      <c r="C211" s="33"/>
      <c r="D211" s="33"/>
      <c r="E211" s="47"/>
      <c r="F211" s="47"/>
      <c r="G211" s="47"/>
      <c r="H211" s="47"/>
      <c r="I211" s="47"/>
      <c r="J211" s="47"/>
      <c r="K211" s="47"/>
      <c r="L211" s="281"/>
      <c r="M211" s="47"/>
      <c r="N211" s="47"/>
      <c r="O211" s="47"/>
      <c r="P211" s="47"/>
      <c r="Q211" s="47"/>
      <c r="R211" s="47"/>
      <c r="S211" s="47"/>
      <c r="T211" s="47"/>
      <c r="U211" s="47"/>
      <c r="V211" s="281"/>
      <c r="W211" s="47"/>
      <c r="X211" s="47"/>
      <c r="Y211" s="47"/>
      <c r="Z211" s="47"/>
      <c r="AA211" s="47"/>
      <c r="AB211" s="47"/>
      <c r="AC211" s="47"/>
      <c r="AD211" s="47"/>
      <c r="AE211" s="47"/>
      <c r="AF211" s="281"/>
      <c r="AG211" s="47"/>
      <c r="AH211" s="47"/>
      <c r="AI211" s="47"/>
      <c r="AJ211" s="47"/>
      <c r="AK211" s="47"/>
      <c r="AL211" s="47"/>
      <c r="AM211" s="47"/>
      <c r="AN211" s="47"/>
      <c r="AO211" s="47"/>
      <c r="AP211" s="857"/>
      <c r="AQ211" s="328"/>
      <c r="AR211" s="328"/>
      <c r="AS211" s="328"/>
      <c r="AT211" s="328"/>
      <c r="AU211" s="328"/>
      <c r="AV211" s="328"/>
      <c r="AW211" s="328"/>
      <c r="AX211" s="330"/>
      <c r="AY211" s="408"/>
      <c r="AZ211" s="637"/>
      <c r="BA211" s="408"/>
      <c r="BB211" s="408"/>
      <c r="BC211" s="408"/>
      <c r="BD211" s="408"/>
      <c r="BE211" s="408"/>
      <c r="BF211" s="637"/>
      <c r="BG211" s="637"/>
      <c r="BH211" s="637"/>
      <c r="BI211" s="637"/>
      <c r="BJ211" s="871"/>
      <c r="BK211" s="871"/>
      <c r="BL211" s="565"/>
      <c r="BM211" s="565"/>
      <c r="BN211" s="112"/>
      <c r="BO211" s="112"/>
      <c r="BP211" s="620"/>
      <c r="BQ211" s="620"/>
    </row>
    <row r="212" spans="1:69" ht="11.25" customHeight="1">
      <c r="A212" s="115" t="s">
        <v>19</v>
      </c>
      <c r="B212" s="810" t="s">
        <v>3</v>
      </c>
      <c r="C212" s="45" t="s">
        <v>3</v>
      </c>
      <c r="D212" s="45" t="s">
        <v>3</v>
      </c>
      <c r="E212" s="220" t="s">
        <v>3</v>
      </c>
      <c r="F212" s="220" t="s">
        <v>3</v>
      </c>
      <c r="G212" s="220" t="s">
        <v>3</v>
      </c>
      <c r="H212" s="220" t="s">
        <v>3</v>
      </c>
      <c r="I212" s="220" t="s">
        <v>3</v>
      </c>
      <c r="J212" s="220" t="s">
        <v>3</v>
      </c>
      <c r="K212" s="220" t="s">
        <v>3</v>
      </c>
      <c r="L212" s="858" t="s">
        <v>3</v>
      </c>
      <c r="M212" s="220" t="s">
        <v>3</v>
      </c>
      <c r="N212" s="220" t="s">
        <v>3</v>
      </c>
      <c r="O212" s="220" t="s">
        <v>3</v>
      </c>
      <c r="P212" s="220" t="s">
        <v>3</v>
      </c>
      <c r="Q212" s="331" t="s">
        <v>3</v>
      </c>
      <c r="R212" s="30">
        <f>SUM('MasterA1(current$)'!R206)/0.33083</f>
        <v>12.090801922437505</v>
      </c>
      <c r="S212" s="30">
        <f>SUM('MasterA1(current$)'!S206)/0.35135</f>
        <v>19.92315355059058</v>
      </c>
      <c r="T212" s="30">
        <f>SUM('MasterA1(current$)'!T206)/0.37602</f>
        <v>18.616031062177544</v>
      </c>
      <c r="U212" s="30">
        <f>SUM('MasterA1(current$)'!U206)/0.40706</f>
        <v>17.196482091092225</v>
      </c>
      <c r="V212" s="270">
        <f>SUM('MasterA1(current$)'!V206)/0.44377</f>
        <v>22.534195641886562</v>
      </c>
      <c r="W212" s="30">
        <f>SUM('MasterA1(current$)'!W206)/0.4852</f>
        <v>18.549051937345425</v>
      </c>
      <c r="X212" s="30">
        <f>SUM('MasterA1(current$)'!X206)/0.5153</f>
        <v>17.465554046186689</v>
      </c>
      <c r="Y212" s="30">
        <f>SUM('MasterA1(current$)'!Y206)/0.53565</f>
        <v>16.802016241949037</v>
      </c>
      <c r="Z212" s="30">
        <f>SUM('MasterA1(current$)'!Z206)/0.55466</f>
        <v>18.029062849313092</v>
      </c>
      <c r="AA212" s="30">
        <f>SUM('MasterA1(current$)'!AA206)/0.5724</f>
        <v>20.964360587002094</v>
      </c>
      <c r="AB212" s="30">
        <f>SUM('MasterA1(current$)'!AB206)/0.58395</f>
        <v>22.26217998116277</v>
      </c>
      <c r="AC212" s="30">
        <f>SUM('MasterA1(current$)'!AC206)/0.59885</f>
        <v>21.708274192201721</v>
      </c>
      <c r="AD212" s="30">
        <f>SUM('MasterA1(current$)'!AD206)/0.61982</f>
        <v>22.587202736278272</v>
      </c>
      <c r="AE212" s="30">
        <f>SUM('MasterA1(current$)'!AE206)/0.64392</f>
        <v>24.847807181016272</v>
      </c>
      <c r="AF212" s="270">
        <f>SUM('MasterA1(current$)'!AF206)/0.66773</f>
        <v>22.46416964940919</v>
      </c>
      <c r="AG212" s="30">
        <f>SUM('MasterA1(current$)'!AG206)/0.68996</f>
        <v>24.639109513594992</v>
      </c>
      <c r="AH212" s="30">
        <f>SUM('MasterA1(current$)'!AH206)/0.70569</f>
        <v>26.924003457608862</v>
      </c>
      <c r="AI212" s="30">
        <f>SUM('MasterA1(current$)'!AI206)/0.72248</f>
        <v>27.682427195216476</v>
      </c>
      <c r="AJ212" s="30">
        <f>SUM('MasterA1(current$)'!AJ206)/0.73785</f>
        <v>31.171647353798196</v>
      </c>
      <c r="AK212" s="30">
        <f>SUM('MasterA1(current$)'!AK206)/0.75324</f>
        <v>33.189952737507298</v>
      </c>
      <c r="AL212" s="30">
        <f>SUM('MasterA1(current$)'!AL206)/0.76699</f>
        <v>33.898747050157112</v>
      </c>
      <c r="AM212" s="30">
        <f>SUM('MasterA1(current$)'!AM206)/0.78012</f>
        <v>35.891914064502899</v>
      </c>
      <c r="AN212" s="30">
        <f>SUM('MasterA1(current$)'!AN206)/0.78859</f>
        <v>39.310668408171544</v>
      </c>
      <c r="AO212" s="30">
        <f>SUM('MasterA1(current$)'!AO206)/0.80065</f>
        <v>41.216511584337724</v>
      </c>
      <c r="AP212" s="857">
        <f>SUM('MasterA1(current$)'!AP206)/0.81887</f>
        <v>48.847802459486857</v>
      </c>
      <c r="AQ212" s="328">
        <f>SUM('MasterA1(current$)'!AQ206)/0.83754</f>
        <v>50.146858657496956</v>
      </c>
      <c r="AR212" s="328">
        <f>SUM('MasterA1(current$)'!AR206)/0.85039</f>
        <v>50.56503486635544</v>
      </c>
      <c r="AS212" s="328">
        <f>SUM('MasterA1(current$)'!AS206)/0.86735</f>
        <v>53.035106934916705</v>
      </c>
      <c r="AT212" s="328">
        <f>SUM('MasterA1(current$)'!AT206)/0.8912</f>
        <v>56.104129263913826</v>
      </c>
      <c r="AU212" s="328">
        <f>SUM('MasterA1(current$)'!AU206)/0.91988</f>
        <v>59.790407444449272</v>
      </c>
      <c r="AV212" s="328">
        <f>SUM('MasterA1(current$)'!AV206)/0.94814</f>
        <v>54.844221317526952</v>
      </c>
      <c r="AW212" s="328">
        <f>SUM('MasterA1(current$)'!AW206)/0.97337</f>
        <v>54.450003595754957</v>
      </c>
      <c r="AX212" s="330">
        <f>('MasterA1(current$)'!AX206*100)/99.246</f>
        <v>57.433045160510247</v>
      </c>
      <c r="AY212" s="408">
        <f>SUM('MasterA1(current$)'!AY206)</f>
        <v>63</v>
      </c>
      <c r="AZ212" s="637">
        <f>SUM('MasterA1(current$)'!AZ206*100)/101.221</f>
        <v>63.227986287430468</v>
      </c>
      <c r="BA212" s="408">
        <f>SUM('MasterA1(current$)'!BA206*100)/103.311</f>
        <v>61.9488728209</v>
      </c>
      <c r="BB212" s="408">
        <f>SUM('MasterA1(current$)'!BB206*100)/105.214</f>
        <v>63.679738437850474</v>
      </c>
      <c r="BC212" s="408">
        <f>SUM('MasterA1(current$)'!BC206*100)/106.913</f>
        <v>60.797096704797362</v>
      </c>
      <c r="BD212" s="408">
        <f>SUM('MasterA1(current$)'!BD206*100)/108.832</f>
        <v>57.887386062922673</v>
      </c>
      <c r="BE212" s="408">
        <f>SUM('MasterA1(current$)'!BE206*100)/110.012</f>
        <v>59.993455259426241</v>
      </c>
      <c r="BF212" s="637">
        <f>SUM('MasterA1(current$)'!BF206*100)/111.416</f>
        <v>61.930063904645657</v>
      </c>
      <c r="BG212" s="637">
        <f>SUM('MasterA1(current$)'!BG206*100)/113.116</f>
        <v>64.53552105802892</v>
      </c>
      <c r="BH212" s="637">
        <f>SUM('MasterA1(current$)'!BH206*100)/114.716</f>
        <v>70.609156525680817</v>
      </c>
      <c r="BI212" s="637">
        <f>SUM('MasterA1(current$)'!BI206*100)/116.416</f>
        <v>61.847168774051681</v>
      </c>
      <c r="BJ212" s="410">
        <f>(BH212-BG212)/BG212</f>
        <v>9.4113061583412608E-2</v>
      </c>
      <c r="BK212" s="410">
        <f>(BI212-BH212)/BH212</f>
        <v>-0.12409138110072689</v>
      </c>
      <c r="BL212" s="564">
        <f>BH212-BG212</f>
        <v>6.0736354676518971</v>
      </c>
      <c r="BM212" s="564">
        <f>BI212-BH212</f>
        <v>-8.7619877516291353</v>
      </c>
      <c r="BN212" s="112"/>
      <c r="BO212" s="112"/>
      <c r="BP212" s="620"/>
      <c r="BQ212" s="620"/>
    </row>
    <row r="213" spans="1:69" ht="6" customHeight="1">
      <c r="A213" s="115"/>
      <c r="B213" s="667"/>
      <c r="C213" s="33"/>
      <c r="D213" s="33"/>
      <c r="E213" s="47"/>
      <c r="F213" s="47"/>
      <c r="G213" s="47"/>
      <c r="H213" s="47"/>
      <c r="I213" s="47"/>
      <c r="J213" s="47"/>
      <c r="K213" s="47"/>
      <c r="L213" s="281"/>
      <c r="M213" s="47"/>
      <c r="N213" s="47"/>
      <c r="O213" s="47"/>
      <c r="P213" s="47"/>
      <c r="Q213" s="47"/>
      <c r="R213" s="47"/>
      <c r="S213" s="47"/>
      <c r="T213" s="47"/>
      <c r="U213" s="47"/>
      <c r="V213" s="281"/>
      <c r="W213" s="47"/>
      <c r="X213" s="47"/>
      <c r="Y213" s="47"/>
      <c r="Z213" s="47"/>
      <c r="AA213" s="47"/>
      <c r="AB213" s="47"/>
      <c r="AC213" s="47"/>
      <c r="AD213" s="47"/>
      <c r="AE213" s="47"/>
      <c r="AF213" s="281"/>
      <c r="AG213" s="47"/>
      <c r="AH213" s="47"/>
      <c r="AI213" s="47"/>
      <c r="AJ213" s="47"/>
      <c r="AK213" s="47"/>
      <c r="AL213" s="47"/>
      <c r="AM213" s="47"/>
      <c r="AN213" s="47"/>
      <c r="AO213" s="47"/>
      <c r="AP213" s="857"/>
      <c r="AQ213" s="328"/>
      <c r="AR213" s="328"/>
      <c r="AS213" s="328"/>
      <c r="AT213" s="328"/>
      <c r="AU213" s="328"/>
      <c r="AV213" s="328"/>
      <c r="AW213" s="328"/>
      <c r="AX213" s="330"/>
      <c r="AY213" s="408"/>
      <c r="AZ213" s="637"/>
      <c r="BA213" s="408"/>
      <c r="BB213" s="408"/>
      <c r="BC213" s="408"/>
      <c r="BD213" s="408"/>
      <c r="BE213" s="408"/>
      <c r="BF213" s="637"/>
      <c r="BG213" s="637"/>
      <c r="BH213" s="637"/>
      <c r="BI213" s="637"/>
      <c r="BJ213" s="871"/>
      <c r="BK213" s="871"/>
      <c r="BL213" s="565"/>
      <c r="BM213" s="565"/>
      <c r="BP213" s="620"/>
      <c r="BQ213" s="620"/>
    </row>
    <row r="214" spans="1:69" ht="11.25" customHeight="1">
      <c r="A214" s="115" t="s">
        <v>15</v>
      </c>
      <c r="B214" s="667">
        <f>SUM('MasterA1(current$)'!B208)/0.1756</f>
        <v>39.863325740318906</v>
      </c>
      <c r="C214" s="49">
        <f>SUM('MasterA1(current$)'!C208)/0.178</f>
        <v>44.943820224719104</v>
      </c>
      <c r="D214" s="49">
        <f>SUM('MasterA1(current$)'!D208)/0.1798</f>
        <v>55.61735261401558</v>
      </c>
      <c r="E214" s="30">
        <f>SUM('MasterA1(current$)'!E208)/0.182</f>
        <v>60.439560439560438</v>
      </c>
      <c r="F214" s="30">
        <f>SUM('MasterA1(current$)'!F208)/0.1842</f>
        <v>65.146579804560261</v>
      </c>
      <c r="G214" s="30">
        <f>SUM('MasterA1(current$)'!G208)/0.18702</f>
        <v>74.858303924713937</v>
      </c>
      <c r="H214" s="30">
        <f>SUM('MasterA1(current$)'!H208)/0.19227</f>
        <v>72.814271597233059</v>
      </c>
      <c r="I214" s="30">
        <f>SUM('MasterA1(current$)'!I208)/0.19786</f>
        <v>70.757100980491259</v>
      </c>
      <c r="J214" s="30">
        <f>SUM('MasterA1(current$)'!J208)/0.20627</f>
        <v>72.720221069472046</v>
      </c>
      <c r="K214" s="30">
        <f>SUM('MasterA1(current$)'!K208)/0.21642</f>
        <v>73.930320672765916</v>
      </c>
      <c r="L214" s="270">
        <f>SUM('MasterA1(current$)'!L208)/0.22784</f>
        <v>87.780898876404493</v>
      </c>
      <c r="M214" s="30">
        <f>SUM('MasterA1(current$)'!M208)/0.23941</f>
        <v>91.892569232697042</v>
      </c>
      <c r="N214" s="30">
        <f>SUM('MasterA1(current$)'!N208)/0.24978</f>
        <v>100.08807750820722</v>
      </c>
      <c r="O214" s="30">
        <f>SUM('MasterA1(current$)'!O208)/0.26337</f>
        <v>102.51737099897483</v>
      </c>
      <c r="P214" s="30">
        <f>SUM('MasterA1(current$)'!P208)/0.28703</f>
        <v>111.48660418771557</v>
      </c>
      <c r="Q214" s="30">
        <f>SUM('MasterA1(current$)'!Q208)/0.31361</f>
        <v>124.35827939160103</v>
      </c>
      <c r="R214" s="30">
        <f>SUM('MasterA1(current$)'!R208)/0.33083</f>
        <v>132.99882114681256</v>
      </c>
      <c r="S214" s="30">
        <f>SUM('MasterA1(current$)'!S208)/0.35135</f>
        <v>148.00056923295858</v>
      </c>
      <c r="T214" s="30">
        <f>SUM('MasterA1(current$)'!T208)/0.37602</f>
        <v>156.90654752406786</v>
      </c>
      <c r="U214" s="30">
        <f>SUM('MasterA1(current$)'!U208)/0.40706</f>
        <v>152.31169852110256</v>
      </c>
      <c r="V214" s="270">
        <f>SUM('MasterA1(current$)'!V208)/0.44377</f>
        <v>155.48594992901729</v>
      </c>
      <c r="W214" s="30">
        <f>SUM('MasterA1(current$)'!W208)/0.4852</f>
        <v>144.27040395713107</v>
      </c>
      <c r="X214" s="30">
        <f>SUM('MasterA1(current$)'!X208)/0.5153</f>
        <v>131.96196390452164</v>
      </c>
      <c r="Y214" s="30">
        <f>SUM('MasterA1(current$)'!Y208)/0.53565</f>
        <v>121.34789508074303</v>
      </c>
      <c r="Z214" s="30">
        <f>SUM('MasterA1(current$)'!Z208)/0.55466</f>
        <v>118.9918148054664</v>
      </c>
      <c r="AA214" s="30">
        <f>SUM('MasterA1(current$)'!AA208)/0.5724</f>
        <v>113.55695317959469</v>
      </c>
      <c r="AB214" s="30">
        <f>SUM('MasterA1(current$)'!AB208)/0.58395</f>
        <v>106.17347375631476</v>
      </c>
      <c r="AC214" s="30">
        <f>SUM('MasterA1(current$)'!AC208)/0.59885</f>
        <v>110.21123820656258</v>
      </c>
      <c r="AD214" s="30">
        <f>SUM('MasterA1(current$)'!AD208)/0.61982</f>
        <v>111.32264205737148</v>
      </c>
      <c r="AE214" s="30">
        <f>SUM('MasterA1(current$)'!AE208)/0.64392</f>
        <v>100.94421667287861</v>
      </c>
      <c r="AF214" s="270">
        <f>SUM('MasterA1(current$)'!AF208)/0.66773</f>
        <v>106.3304030072035</v>
      </c>
      <c r="AG214" s="30">
        <f>SUM('MasterA1(current$)'!AG208)/0.68996</f>
        <v>107.25259435329583</v>
      </c>
      <c r="AH214" s="30">
        <f>SUM('MasterA1(current$)'!AH208)/0.70569</f>
        <v>120.4494891524607</v>
      </c>
      <c r="AI214" s="30">
        <f>SUM('MasterA1(current$)'!AI208)/0.72248</f>
        <v>119.03443693943085</v>
      </c>
      <c r="AJ214" s="30">
        <f>SUM('MasterA1(current$)'!AJ208)/0.73785</f>
        <v>134.17361252287051</v>
      </c>
      <c r="AK214" s="30">
        <f>SUM('MasterA1(current$)'!AK208)/0.75324</f>
        <v>120.81142796452657</v>
      </c>
      <c r="AL214" s="30">
        <f>SUM('MasterA1(current$)'!AL208)/0.76699</f>
        <v>130.37979634675813</v>
      </c>
      <c r="AM214" s="30">
        <f>SUM('MasterA1(current$)'!AM208)/0.78012</f>
        <v>132.03096959442138</v>
      </c>
      <c r="AN214" s="30">
        <f>SUM('MasterA1(current$)'!AN208)/0.78859</f>
        <v>133.14903815671008</v>
      </c>
      <c r="AO214" s="30">
        <f>SUM('MasterA1(current$)'!AO208)/0.80065</f>
        <v>141.13532754636859</v>
      </c>
      <c r="AP214" s="857">
        <f>SUM('MasterA1(current$)'!AP208)/0.81887</f>
        <v>152.64938268589643</v>
      </c>
      <c r="AQ214" s="328">
        <f>SUM('MasterA1(current$)'!AQ208)/0.83754</f>
        <v>165.96222269981135</v>
      </c>
      <c r="AR214" s="328">
        <f>SUM('MasterA1(current$)'!AR208)/0.85039</f>
        <v>190.50082903138559</v>
      </c>
      <c r="AS214" s="328">
        <f>SUM('MasterA1(current$)'!AS208)/0.86735</f>
        <v>191.38755980861245</v>
      </c>
      <c r="AT214" s="328">
        <f>SUM('MasterA1(current$)'!AT208)/0.8912</f>
        <v>205.34111310592459</v>
      </c>
      <c r="AU214" s="328">
        <f>SUM('MasterA1(current$)'!AU208)/0.91988</f>
        <v>205.46158194547115</v>
      </c>
      <c r="AV214" s="328">
        <f>SUM('MasterA1(current$)'!AV208)/0.94814</f>
        <v>211.99400932351762</v>
      </c>
      <c r="AW214" s="328">
        <f>SUM('MasterA1(current$)'!AW208)/0.97337</f>
        <v>219.85473149984077</v>
      </c>
      <c r="AX214" s="330">
        <f>('MasterA1(current$)'!AX208*100)/99.246</f>
        <v>232.75497249259416</v>
      </c>
      <c r="AY214" s="408">
        <f>SUM('MasterA1(current$)'!AY208)</f>
        <v>265</v>
      </c>
      <c r="AZ214" s="637">
        <f>SUM('MasterA1(current$)'!AZ208*100)/101.221</f>
        <v>264.7671925786151</v>
      </c>
      <c r="BA214" s="408">
        <f>SUM('MasterA1(current$)'!BA208*100)/103.311</f>
        <v>278.76992769405001</v>
      </c>
      <c r="BB214" s="408">
        <f>SUM('MasterA1(current$)'!BB208*100)/105.214</f>
        <v>279.43049404071701</v>
      </c>
      <c r="BC214" s="408">
        <f>SUM('MasterA1(current$)'!BC208*100)/106.913</f>
        <v>260.95984585597637</v>
      </c>
      <c r="BD214" s="408">
        <f>SUM('MasterA1(current$)'!BD208*100)/108.832</f>
        <v>300.46309908850338</v>
      </c>
      <c r="BE214" s="408">
        <f>SUM('MasterA1(current$)'!BE208*100)/110.012</f>
        <v>275.42449914554777</v>
      </c>
      <c r="BF214" s="637">
        <f>SUM('MasterA1(current$)'!BF208*100)/111.416</f>
        <v>283.62174194011635</v>
      </c>
      <c r="BG214" s="637">
        <f>SUM('MasterA1(current$)'!BG208*100)/113.116</f>
        <v>277.59114537289156</v>
      </c>
      <c r="BH214" s="637">
        <f>SUM('MasterA1(current$)'!BH208*100)/114.716</f>
        <v>276.33460023013356</v>
      </c>
      <c r="BI214" s="637">
        <f>SUM('MasterA1(current$)'!BI208*100)/116.416</f>
        <v>257.69653655854864</v>
      </c>
      <c r="BJ214" s="410">
        <f>(BH214-BG214)/BG214</f>
        <v>-4.5266038333826092E-3</v>
      </c>
      <c r="BK214" s="410">
        <f>(BI214-BH214)/BH214</f>
        <v>-6.7447448332792911E-2</v>
      </c>
      <c r="BL214" s="564">
        <f>BH214-BG214</f>
        <v>-1.2565451427580001</v>
      </c>
      <c r="BM214" s="564">
        <f>BI214-BH214</f>
        <v>-18.638063671584916</v>
      </c>
      <c r="BN214" s="112"/>
      <c r="BO214" s="112"/>
      <c r="BP214" s="620"/>
      <c r="BQ214" s="620"/>
    </row>
    <row r="215" spans="1:69" ht="6" customHeight="1">
      <c r="A215" s="115"/>
      <c r="B215" s="667"/>
      <c r="C215" s="33"/>
      <c r="D215" s="33"/>
      <c r="E215" s="47"/>
      <c r="F215" s="47"/>
      <c r="G215" s="47"/>
      <c r="H215" s="47"/>
      <c r="I215" s="47"/>
      <c r="J215" s="47"/>
      <c r="K215" s="47"/>
      <c r="L215" s="281"/>
      <c r="M215" s="47"/>
      <c r="N215" s="47"/>
      <c r="O215" s="47"/>
      <c r="P215" s="47"/>
      <c r="Q215" s="47"/>
      <c r="R215" s="47"/>
      <c r="S215" s="47"/>
      <c r="T215" s="47"/>
      <c r="U215" s="47"/>
      <c r="V215" s="281"/>
      <c r="W215" s="47"/>
      <c r="X215" s="47"/>
      <c r="Y215" s="47"/>
      <c r="Z215" s="47"/>
      <c r="AA215" s="47"/>
      <c r="AB215" s="47"/>
      <c r="AC215" s="47"/>
      <c r="AD215" s="47"/>
      <c r="AE215" s="47"/>
      <c r="AF215" s="281"/>
      <c r="AG215" s="47"/>
      <c r="AH215" s="47"/>
      <c r="AI215" s="47"/>
      <c r="AJ215" s="47"/>
      <c r="AK215" s="47"/>
      <c r="AL215" s="47"/>
      <c r="AM215" s="47"/>
      <c r="AN215" s="47"/>
      <c r="AO215" s="47"/>
      <c r="AP215" s="857"/>
      <c r="AQ215" s="328"/>
      <c r="AR215" s="328"/>
      <c r="AS215" s="328"/>
      <c r="AT215" s="328"/>
      <c r="AU215" s="328"/>
      <c r="AV215" s="328"/>
      <c r="AW215" s="328"/>
      <c r="AX215" s="330"/>
      <c r="AY215" s="408"/>
      <c r="AZ215" s="637"/>
      <c r="BA215" s="408"/>
      <c r="BB215" s="408"/>
      <c r="BC215" s="408"/>
      <c r="BD215" s="408"/>
      <c r="BE215" s="408"/>
      <c r="BF215" s="637"/>
      <c r="BG215" s="637"/>
      <c r="BH215" s="637"/>
      <c r="BI215" s="637"/>
      <c r="BJ215" s="871"/>
      <c r="BK215" s="871"/>
      <c r="BL215" s="565"/>
      <c r="BM215" s="565"/>
      <c r="BP215" s="620"/>
      <c r="BQ215" s="620"/>
    </row>
    <row r="216" spans="1:69" ht="11.25" customHeight="1">
      <c r="A216" s="119" t="s">
        <v>157</v>
      </c>
      <c r="B216" s="667">
        <f>SUM('MasterA1(current$)'!B210)/0.1756</f>
        <v>11.389521640091116</v>
      </c>
      <c r="C216" s="49">
        <f>SUM('MasterA1(current$)'!C210)/0.178</f>
        <v>16.853932584269664</v>
      </c>
      <c r="D216" s="49">
        <f>SUM('MasterA1(current$)'!D210)/0.1798</f>
        <v>16.685205784204673</v>
      </c>
      <c r="E216" s="30">
        <f>SUM('MasterA1(current$)'!E210)/0.182</f>
        <v>16.483516483516485</v>
      </c>
      <c r="F216" s="30">
        <f>SUM('MasterA1(current$)'!F210)/0.1842</f>
        <v>16.286644951140065</v>
      </c>
      <c r="G216" s="30">
        <f>SUM('MasterA1(current$)'!G210)/0.18702</f>
        <v>16.041065126724416</v>
      </c>
      <c r="H216" s="30">
        <f>SUM('MasterA1(current$)'!H210)/0.19227</f>
        <v>15.603058199407084</v>
      </c>
      <c r="I216" s="30">
        <f>SUM('MasterA1(current$)'!I210)/0.19786</f>
        <v>15.162235924390982</v>
      </c>
      <c r="J216" s="30">
        <f>SUM('MasterA1(current$)'!J210)/0.20627</f>
        <v>19.392058951859212</v>
      </c>
      <c r="K216" s="30">
        <f>SUM('MasterA1(current$)'!K210)/0.21642</f>
        <v>18.482580168191479</v>
      </c>
      <c r="L216" s="270">
        <f>SUM('MasterA1(current$)'!L210)/0.22784</f>
        <v>17.556179775280899</v>
      </c>
      <c r="M216" s="30">
        <f>SUM('MasterA1(current$)'!M210)/0.23941</f>
        <v>16.707739860490371</v>
      </c>
      <c r="N216" s="30">
        <f>SUM('MasterA1(current$)'!N210)/0.24978</f>
        <v>20.017615501641444</v>
      </c>
      <c r="O216" s="30">
        <f>SUM('MasterA1(current$)'!O210)/0.26337</f>
        <v>22.781637999772183</v>
      </c>
      <c r="P216" s="30">
        <f>SUM('MasterA1(current$)'!P210)/0.28703</f>
        <v>24.387694666062782</v>
      </c>
      <c r="Q216" s="30">
        <f>SUM('MasterA1(current$)'!Q210)/0.31361</f>
        <v>25.509390644430979</v>
      </c>
      <c r="R216" s="30">
        <f>SUM('MasterA1(current$)'!R210)/0.33083</f>
        <v>30.227004806093763</v>
      </c>
      <c r="S216" s="30">
        <f>SUM('MasterA1(current$)'!S210)/0.35135</f>
        <v>31.307812722356626</v>
      </c>
      <c r="T216" s="30">
        <f>SUM('MasterA1(current$)'!T210)/0.37602</f>
        <v>31.913196106590075</v>
      </c>
      <c r="U216" s="30">
        <f>SUM('MasterA1(current$)'!U210)/0.40706</f>
        <v>29.479683584729525</v>
      </c>
      <c r="V216" s="270">
        <f>SUM('MasterA1(current$)'!V210)/0.44377</f>
        <v>31.547873898641189</v>
      </c>
      <c r="W216" s="30">
        <f>SUM('MasterA1(current$)'!W210)/0.4852</f>
        <v>32.976092333058531</v>
      </c>
      <c r="X216" s="30">
        <f>SUM('MasterA1(current$)'!X210)/0.5153</f>
        <v>32.99049097613041</v>
      </c>
      <c r="Y216" s="30">
        <f>SUM('MasterA1(current$)'!Y210)/0.53565</f>
        <v>35.470923177447965</v>
      </c>
      <c r="Z216" s="30">
        <f>SUM('MasterA1(current$)'!Z210)/0.55466</f>
        <v>41.46684455342011</v>
      </c>
      <c r="AA216" s="30">
        <f>SUM('MasterA1(current$)'!AA210)/0.5724</f>
        <v>36.687631027253666</v>
      </c>
      <c r="AB216" s="30">
        <f>SUM('MasterA1(current$)'!AB210)/0.58395</f>
        <v>47.949310728658276</v>
      </c>
      <c r="AC216" s="30">
        <f>SUM('MasterA1(current$)'!AC210)/0.59885</f>
        <v>45.086415629957422</v>
      </c>
      <c r="AD216" s="30">
        <f>SUM('MasterA1(current$)'!AD210)/0.61982</f>
        <v>59.694750088735432</v>
      </c>
      <c r="AE216" s="30">
        <f>SUM('MasterA1(current$)'!AE210)/0.64392</f>
        <v>55.907566157286617</v>
      </c>
      <c r="AF216" s="270">
        <f>SUM('MasterA1(current$)'!AF210)/0.66773</f>
        <v>55.41161846854267</v>
      </c>
      <c r="AG216" s="30">
        <f>SUM('MasterA1(current$)'!AG210)/0.68996</f>
        <v>55.075656559800564</v>
      </c>
      <c r="AH216" s="30">
        <f>SUM('MasterA1(current$)'!AH210)/0.70569</f>
        <v>59.516218169451172</v>
      </c>
      <c r="AI216" s="30">
        <f>SUM('MasterA1(current$)'!AI210)/0.72248</f>
        <v>59.517218469715424</v>
      </c>
      <c r="AJ216" s="30">
        <f>SUM('MasterA1(current$)'!AJ210)/0.73785</f>
        <v>58.277427661448804</v>
      </c>
      <c r="AK216" s="30">
        <f>SUM('MasterA1(current$)'!AK210)/0.75324</f>
        <v>57.086718708512556</v>
      </c>
      <c r="AL216" s="30">
        <f>SUM('MasterA1(current$)'!AL210)/0.76699</f>
        <v>50.848120575235662</v>
      </c>
      <c r="AM216" s="30">
        <f>SUM('MasterA1(current$)'!AM210)/0.78012</f>
        <v>51.274162949289853</v>
      </c>
      <c r="AN216" s="30">
        <f>SUM('MasterA1(current$)'!AN210)/0.78859</f>
        <v>50.723443107318126</v>
      </c>
      <c r="AO216" s="30">
        <f>SUM('MasterA1(current$)'!AO210)/0.80065</f>
        <v>54.955348779116967</v>
      </c>
      <c r="AP216" s="857">
        <f>SUM('MasterA1(current$)'!AP210)/0.81887</f>
        <v>57.396167889897058</v>
      </c>
      <c r="AQ216" s="328">
        <f>SUM('MasterA1(current$)'!AQ210)/0.83754</f>
        <v>58.504668433746453</v>
      </c>
      <c r="AR216" s="328">
        <f>SUM('MasterA1(current$)'!AR210)/0.85039</f>
        <v>61.148414256987969</v>
      </c>
      <c r="AS216" s="328">
        <f>SUM('MasterA1(current$)'!AS210)/0.86735</f>
        <v>59.952729578601492</v>
      </c>
      <c r="AT216" s="328">
        <f>SUM('MasterA1(current$)'!AT210)/0.8912</f>
        <v>60.592459605026932</v>
      </c>
      <c r="AU216" s="328">
        <f>SUM('MasterA1(current$)'!AU210)/0.91988</f>
        <v>65.225899030308298</v>
      </c>
      <c r="AV216" s="328">
        <f>SUM('MasterA1(current$)'!AV210)/0.94814</f>
        <v>67.500580083110094</v>
      </c>
      <c r="AW216" s="328">
        <f>SUM('MasterA1(current$)'!AW210)/0.97337</f>
        <v>64.723589179859673</v>
      </c>
      <c r="AX216" s="330">
        <f>('MasterA1(current$)'!AX210*100)/99.246</f>
        <v>68.516615279205212</v>
      </c>
      <c r="AY216" s="408">
        <f>SUM('MasterA1(current$)'!AY210)</f>
        <v>74</v>
      </c>
      <c r="AZ216" s="637">
        <f>SUM('MasterA1(current$)'!AZ210*100)/101.221</f>
        <v>77.059108287805884</v>
      </c>
      <c r="BA216" s="408">
        <f>SUM('MasterA1(current$)'!BA210*100)/103.311</f>
        <v>76.468139888298438</v>
      </c>
      <c r="BB216" s="408">
        <f>SUM('MasterA1(current$)'!BB210*100)/105.214</f>
        <v>76.985952439789386</v>
      </c>
      <c r="BC216" s="408">
        <f>SUM('MasterA1(current$)'!BC210*100)/106.913</f>
        <v>76.697875842975137</v>
      </c>
      <c r="BD216" s="408">
        <f>SUM('MasterA1(current$)'!BD210*100)/108.832</f>
        <v>76.264334019406064</v>
      </c>
      <c r="BE216" s="408">
        <f>SUM('MasterA1(current$)'!BE210*100)/110.012</f>
        <v>74.537323201105337</v>
      </c>
      <c r="BF216" s="637">
        <f>SUM('MasterA1(current$)'!BF210*100)/111.416</f>
        <v>78.085732749335818</v>
      </c>
      <c r="BG216" s="637">
        <f>SUM('MasterA1(current$)'!BG210*100)/113.116</f>
        <v>81.332437497789883</v>
      </c>
      <c r="BH216" s="637">
        <f>SUM('MasterA1(current$)'!BH210*100)/114.716</f>
        <v>80.198054325464625</v>
      </c>
      <c r="BI216" s="637">
        <f>SUM('MasterA1(current$)'!BI210*100)/116.416</f>
        <v>75.590984057174268</v>
      </c>
      <c r="BJ216" s="410">
        <f>(BH216-BG216)/BG216</f>
        <v>-1.3947487708776506E-2</v>
      </c>
      <c r="BK216" s="410">
        <f>(BI216-BH216)/BH216</f>
        <v>-5.7446160097521376E-2</v>
      </c>
      <c r="BL216" s="564">
        <f>BH216-BG216</f>
        <v>-1.1343831723252578</v>
      </c>
      <c r="BM216" s="564">
        <f>BI216-BH216</f>
        <v>-4.6070702682903573</v>
      </c>
      <c r="BN216" s="112"/>
      <c r="BO216" s="112"/>
      <c r="BP216" s="620"/>
      <c r="BQ216" s="620"/>
    </row>
    <row r="217" spans="1:69" ht="6" customHeight="1">
      <c r="A217" s="115"/>
      <c r="B217" s="667"/>
      <c r="C217" s="33"/>
      <c r="D217" s="33"/>
      <c r="E217" s="47"/>
      <c r="F217" s="47"/>
      <c r="G217" s="47"/>
      <c r="H217" s="47"/>
      <c r="I217" s="47"/>
      <c r="J217" s="47"/>
      <c r="K217" s="47"/>
      <c r="L217" s="281"/>
      <c r="M217" s="47"/>
      <c r="N217" s="47"/>
      <c r="O217" s="47"/>
      <c r="P217" s="47"/>
      <c r="Q217" s="47"/>
      <c r="R217" s="47"/>
      <c r="S217" s="47"/>
      <c r="T217" s="47"/>
      <c r="U217" s="47"/>
      <c r="V217" s="281"/>
      <c r="W217" s="47"/>
      <c r="X217" s="47"/>
      <c r="Y217" s="47"/>
      <c r="Z217" s="47"/>
      <c r="AA217" s="47"/>
      <c r="AB217" s="47"/>
      <c r="AC217" s="47"/>
      <c r="AD217" s="47"/>
      <c r="AE217" s="47"/>
      <c r="AF217" s="281"/>
      <c r="AG217" s="47"/>
      <c r="AH217" s="47"/>
      <c r="AI217" s="47"/>
      <c r="AJ217" s="47"/>
      <c r="AK217" s="47"/>
      <c r="AL217" s="47"/>
      <c r="AM217" s="152"/>
      <c r="AN217" s="152"/>
      <c r="AO217" s="152"/>
      <c r="AP217" s="857"/>
      <c r="AQ217" s="328"/>
      <c r="AR217" s="328"/>
      <c r="AS217" s="328"/>
      <c r="AT217" s="328"/>
      <c r="AU217" s="328"/>
      <c r="AV217" s="328"/>
      <c r="AW217" s="328"/>
      <c r="AX217" s="330"/>
      <c r="AY217" s="408"/>
      <c r="AZ217" s="637"/>
      <c r="BA217" s="408"/>
      <c r="BB217" s="408"/>
      <c r="BC217" s="408"/>
      <c r="BD217" s="408"/>
      <c r="BE217" s="408"/>
      <c r="BF217" s="637"/>
      <c r="BG217" s="637"/>
      <c r="BH217" s="637"/>
      <c r="BI217" s="637"/>
      <c r="BJ217" s="871"/>
      <c r="BK217" s="871"/>
      <c r="BL217" s="565"/>
      <c r="BM217" s="565"/>
      <c r="BP217" s="620"/>
      <c r="BQ217" s="620"/>
    </row>
    <row r="218" spans="1:69" ht="11.25" customHeight="1">
      <c r="A218" s="116" t="s">
        <v>50</v>
      </c>
      <c r="B218" s="667"/>
      <c r="C218" s="33"/>
      <c r="D218" s="33"/>
      <c r="E218" s="47"/>
      <c r="F218" s="47"/>
      <c r="G218" s="47"/>
      <c r="H218" s="47"/>
      <c r="I218" s="47"/>
      <c r="J218" s="47"/>
      <c r="K218" s="47"/>
      <c r="L218" s="281"/>
      <c r="M218" s="47"/>
      <c r="N218" s="47"/>
      <c r="O218" s="47"/>
      <c r="P218" s="47"/>
      <c r="Q218" s="47"/>
      <c r="R218" s="47"/>
      <c r="S218" s="47"/>
      <c r="T218" s="47"/>
      <c r="U218" s="47"/>
      <c r="V218" s="281"/>
      <c r="W218" s="47"/>
      <c r="X218" s="47"/>
      <c r="Y218" s="47"/>
      <c r="Z218" s="47"/>
      <c r="AA218" s="47"/>
      <c r="AB218" s="47"/>
      <c r="AC218" s="47"/>
      <c r="AD218" s="47"/>
      <c r="AE218" s="47"/>
      <c r="AF218" s="281"/>
      <c r="AG218" s="47"/>
      <c r="AH218" s="47"/>
      <c r="AI218" s="47"/>
      <c r="AJ218" s="47"/>
      <c r="AK218" s="47"/>
      <c r="AL218" s="47"/>
      <c r="AM218" s="152"/>
      <c r="AN218" s="152"/>
      <c r="AO218" s="152"/>
      <c r="AP218" s="857"/>
      <c r="AQ218" s="328"/>
      <c r="AR218" s="328"/>
      <c r="AS218" s="328"/>
      <c r="AT218" s="328"/>
      <c r="AU218" s="328"/>
      <c r="AV218" s="328"/>
      <c r="AW218" s="328"/>
      <c r="AX218" s="330"/>
      <c r="AY218" s="408"/>
      <c r="AZ218" s="637"/>
      <c r="BA218" s="408"/>
      <c r="BB218" s="408"/>
      <c r="BC218" s="408"/>
      <c r="BD218" s="408"/>
      <c r="BE218" s="408"/>
      <c r="BF218" s="637"/>
      <c r="BG218" s="637"/>
      <c r="BH218" s="637"/>
      <c r="BI218" s="637"/>
      <c r="BJ218" s="871"/>
      <c r="BK218" s="871"/>
      <c r="BL218" s="565"/>
      <c r="BM218" s="565"/>
      <c r="BP218" s="620"/>
      <c r="BQ218" s="620"/>
    </row>
    <row r="219" spans="1:69" ht="11.25" customHeight="1">
      <c r="A219" s="115" t="s">
        <v>27</v>
      </c>
      <c r="B219" s="667">
        <f>SUM('MasterA1(current$)'!B213)/0.1756</f>
        <v>5.6947608200455582</v>
      </c>
      <c r="C219" s="49">
        <f>SUM('MasterA1(current$)'!C213)/0.178</f>
        <v>11.235955056179776</v>
      </c>
      <c r="D219" s="49">
        <f>SUM('MasterA1(current$)'!D213)/0.1798</f>
        <v>11.123470522803116</v>
      </c>
      <c r="E219" s="30">
        <f>SUM('MasterA1(current$)'!E213)/0.182</f>
        <v>10.989010989010989</v>
      </c>
      <c r="F219" s="30">
        <f>SUM('MasterA1(current$)'!F213)/0.1842</f>
        <v>10.857763300760043</v>
      </c>
      <c r="G219" s="30">
        <f>SUM('MasterA1(current$)'!G213)/0.18702</f>
        <v>10.694043417816276</v>
      </c>
      <c r="H219" s="30">
        <f>SUM('MasterA1(current$)'!H213)/0.19227</f>
        <v>10.402038799604723</v>
      </c>
      <c r="I219" s="30">
        <f>SUM('MasterA1(current$)'!I213)/0.19786</f>
        <v>10.108157282927323</v>
      </c>
      <c r="J219" s="30">
        <f>SUM('MasterA1(current$)'!J213)/0.20627</f>
        <v>14.544044213894409</v>
      </c>
      <c r="K219" s="30">
        <f>SUM('MasterA1(current$)'!K213)/0.21642</f>
        <v>13.86193512614361</v>
      </c>
      <c r="L219" s="270">
        <f>SUM('MasterA1(current$)'!L213)/0.22784</f>
        <v>13.167134831460675</v>
      </c>
      <c r="M219" s="30">
        <f>SUM('MasterA1(current$)'!M213)/0.23941</f>
        <v>16.707739860490371</v>
      </c>
      <c r="N219" s="30">
        <f>SUM('MasterA1(current$)'!N213)/0.24978</f>
        <v>16.014092401313157</v>
      </c>
      <c r="O219" s="30">
        <f>SUM('MasterA1(current$)'!O213)/0.26337</f>
        <v>18.984698333143488</v>
      </c>
      <c r="P219" s="30">
        <f>SUM('MasterA1(current$)'!P213)/0.28703</f>
        <v>17.419781904330556</v>
      </c>
      <c r="Q219" s="30">
        <f>SUM('MasterA1(current$)'!Q213)/0.31361</f>
        <v>19.132042983323235</v>
      </c>
      <c r="R219" s="30">
        <f>SUM('MasterA1(current$)'!R213)/0.33083</f>
        <v>21.158903364265633</v>
      </c>
      <c r="S219" s="30">
        <f>SUM('MasterA1(current$)'!S213)/0.35135</f>
        <v>25.615483136473603</v>
      </c>
      <c r="T219" s="30">
        <f>SUM('MasterA1(current$)'!T213)/0.37602</f>
        <v>31.913196106590075</v>
      </c>
      <c r="U219" s="30">
        <f>SUM('MasterA1(current$)'!U213)/0.40706</f>
        <v>31.936323883456986</v>
      </c>
      <c r="V219" s="270">
        <f>SUM('MasterA1(current$)'!V213)/0.44377</f>
        <v>31.547873898641189</v>
      </c>
      <c r="W219" s="30">
        <f>SUM('MasterA1(current$)'!W213)/0.4852</f>
        <v>28.854080791426213</v>
      </c>
      <c r="X219" s="30">
        <f>SUM('MasterA1(current$)'!X213)/0.5153</f>
        <v>27.168639627401515</v>
      </c>
      <c r="Y219" s="30">
        <f>SUM('MasterA1(current$)'!Y213)/0.53565</f>
        <v>28.003360403248394</v>
      </c>
      <c r="Z219" s="30">
        <f>SUM('MasterA1(current$)'!Z213)/0.55466</f>
        <v>28.846500558900946</v>
      </c>
      <c r="AA219" s="30">
        <f>SUM('MasterA1(current$)'!AA213)/0.5724</f>
        <v>29.699510831586302</v>
      </c>
      <c r="AB219" s="30">
        <f>SUM('MasterA1(current$)'!AB213)/0.58395</f>
        <v>29.11208151382824</v>
      </c>
      <c r="AC219" s="30">
        <f>SUM('MasterA1(current$)'!AC213)/0.59885</f>
        <v>28.387743174417633</v>
      </c>
      <c r="AD219" s="30">
        <f>SUM('MasterA1(current$)'!AD213)/0.61982</f>
        <v>29.040689232357778</v>
      </c>
      <c r="AE219" s="30">
        <f>SUM('MasterA1(current$)'!AE213)/0.64392</f>
        <v>32.612746925083862</v>
      </c>
      <c r="AF219" s="270">
        <f>SUM('MasterA1(current$)'!AF213)/0.66773</f>
        <v>28.454614889251641</v>
      </c>
      <c r="AG219" s="30">
        <f>SUM('MasterA1(current$)'!AG213)/0.68996</f>
        <v>31.885906429358222</v>
      </c>
      <c r="AH219" s="30">
        <f>SUM('MasterA1(current$)'!AH213)/0.70569</f>
        <v>35.42632033895903</v>
      </c>
      <c r="AI219" s="30">
        <f>SUM('MasterA1(current$)'!AI213)/0.72248</f>
        <v>37.371276713542244</v>
      </c>
      <c r="AJ219" s="30">
        <f>SUM('MasterA1(current$)'!AJ213)/0.73785</f>
        <v>35.237514399945788</v>
      </c>
      <c r="AK219" s="30">
        <f>SUM('MasterA1(current$)'!AK213)/0.75324</f>
        <v>34.517550847007591</v>
      </c>
      <c r="AL219" s="30">
        <f>SUM('MasterA1(current$)'!AL213)/0.76699</f>
        <v>36.506342977092274</v>
      </c>
      <c r="AM219" s="30">
        <f>SUM('MasterA1(current$)'!AM213)/0.78012</f>
        <v>35.891914064502899</v>
      </c>
      <c r="AN219" s="30">
        <f>SUM('MasterA1(current$)'!AN213)/0.78859</f>
        <v>38.042582330488592</v>
      </c>
      <c r="AO219" s="30">
        <f>SUM('MasterA1(current$)'!AO213)/0.80065</f>
        <v>38.718541185286959</v>
      </c>
      <c r="AP219" s="857">
        <f>SUM('MasterA1(current$)'!AP213)/0.81887</f>
        <v>41.520632090563829</v>
      </c>
      <c r="AQ219" s="328">
        <f>SUM('MasterA1(current$)'!AQ213)/0.83754</f>
        <v>44.176994531604464</v>
      </c>
      <c r="AR219" s="328">
        <f>SUM('MasterA1(current$)'!AR213)/0.85039</f>
        <v>44.685379649337364</v>
      </c>
      <c r="AS219" s="328">
        <f>SUM('MasterA1(current$)'!AS213)/0.86735</f>
        <v>46.117484291231918</v>
      </c>
      <c r="AT219" s="328">
        <f>SUM('MasterA1(current$)'!AT213)/0.8912</f>
        <v>49.371633752244165</v>
      </c>
      <c r="AU219" s="328">
        <f>SUM('MasterA1(current$)'!AU213)/0.91988</f>
        <v>50.006522589903028</v>
      </c>
      <c r="AV219" s="328">
        <f>SUM('MasterA1(current$)'!AV213)/0.94814</f>
        <v>49.57073849853397</v>
      </c>
      <c r="AW219" s="328">
        <f>SUM('MasterA1(current$)'!AW213)/0.97337</f>
        <v>62.668872063038727</v>
      </c>
      <c r="AX219" s="330">
        <f>('MasterA1(current$)'!AX213*100)/99.246</f>
        <v>47.357072325333014</v>
      </c>
      <c r="AY219" s="408">
        <f>SUM('MasterA1(current$)'!AY213)</f>
        <v>46</v>
      </c>
      <c r="AZ219" s="637">
        <f>SUM('MasterA1(current$)'!AZ213*100)/101.221</f>
        <v>51.372738858537261</v>
      </c>
      <c r="BA219" s="408">
        <f>SUM('MasterA1(current$)'!BA213*100)/103.311</f>
        <v>51.30141030480781</v>
      </c>
      <c r="BB219" s="408">
        <f>SUM('MasterA1(current$)'!BB213*100)/105.214</f>
        <v>49.42308057863022</v>
      </c>
      <c r="BC219" s="408">
        <f>SUM('MasterA1(current$)'!BC213*100)/106.913</f>
        <v>45.831657515924164</v>
      </c>
      <c r="BD219" s="408">
        <f>SUM('MasterA1(current$)'!BD213*100)/108.832</f>
        <v>45.942369891208472</v>
      </c>
      <c r="BE219" s="408">
        <f>SUM('MasterA1(current$)'!BE213*100)/110.012</f>
        <v>47.267570810457038</v>
      </c>
      <c r="BF219" s="637">
        <f>SUM('MasterA1(current$)'!BF213*100)/111.416</f>
        <v>50.2620808501472</v>
      </c>
      <c r="BG219" s="637">
        <f>SUM('MasterA1(current$)'!BG213*100)/113.116</f>
        <v>52.158845786626117</v>
      </c>
      <c r="BH219" s="637">
        <f>SUM('MasterA1(current$)'!BH213*100)/114.716</f>
        <v>54.918232853307302</v>
      </c>
      <c r="BI219" s="637">
        <f>SUM('MasterA1(current$)'!BI213*100)/116.416</f>
        <v>73.014018691588788</v>
      </c>
      <c r="BJ219" s="410">
        <f>(BH219-BG219)/BG219</f>
        <v>5.2903530073679483E-2</v>
      </c>
      <c r="BK219" s="410">
        <f>(BI219-BH219)/BH219</f>
        <v>0.32950415368639663</v>
      </c>
      <c r="BL219" s="564">
        <f>BH219-BG219</f>
        <v>2.7593870666811853</v>
      </c>
      <c r="BM219" s="564">
        <f>BI219-BH219</f>
        <v>18.095785838281486</v>
      </c>
      <c r="BN219" s="112"/>
      <c r="BO219" s="112"/>
      <c r="BP219" s="620"/>
      <c r="BQ219" s="620"/>
    </row>
    <row r="220" spans="1:69" ht="6" customHeight="1">
      <c r="A220" s="115"/>
      <c r="B220" s="667"/>
      <c r="C220" s="33"/>
      <c r="D220" s="33"/>
      <c r="E220" s="47"/>
      <c r="F220" s="47"/>
      <c r="G220" s="47"/>
      <c r="H220" s="47"/>
      <c r="I220" s="47"/>
      <c r="J220" s="47"/>
      <c r="K220" s="47"/>
      <c r="L220" s="281"/>
      <c r="M220" s="47"/>
      <c r="N220" s="47"/>
      <c r="O220" s="47"/>
      <c r="P220" s="47"/>
      <c r="Q220" s="47"/>
      <c r="R220" s="47"/>
      <c r="S220" s="47"/>
      <c r="T220" s="47"/>
      <c r="U220" s="47"/>
      <c r="V220" s="281"/>
      <c r="W220" s="47"/>
      <c r="X220" s="47"/>
      <c r="Y220" s="47"/>
      <c r="Z220" s="47"/>
      <c r="AA220" s="47"/>
      <c r="AB220" s="47"/>
      <c r="AC220" s="47"/>
      <c r="AD220" s="47"/>
      <c r="AE220" s="47"/>
      <c r="AF220" s="281"/>
      <c r="AG220" s="47"/>
      <c r="AH220" s="47"/>
      <c r="AI220" s="47"/>
      <c r="AJ220" s="47"/>
      <c r="AK220" s="47"/>
      <c r="AL220" s="47"/>
      <c r="AM220" s="47"/>
      <c r="AN220" s="47"/>
      <c r="AO220" s="47"/>
      <c r="AP220" s="857"/>
      <c r="AQ220" s="328"/>
      <c r="AR220" s="328"/>
      <c r="AS220" s="328"/>
      <c r="AT220" s="328"/>
      <c r="AU220" s="328"/>
      <c r="AV220" s="328"/>
      <c r="AW220" s="328"/>
      <c r="AX220" s="330"/>
      <c r="AY220" s="408"/>
      <c r="AZ220" s="637"/>
      <c r="BA220" s="408"/>
      <c r="BB220" s="408"/>
      <c r="BC220" s="408"/>
      <c r="BD220" s="408"/>
      <c r="BE220" s="408"/>
      <c r="BF220" s="637"/>
      <c r="BG220" s="637"/>
      <c r="BH220" s="637"/>
      <c r="BI220" s="637"/>
      <c r="BJ220" s="871"/>
      <c r="BK220" s="871"/>
      <c r="BL220" s="565"/>
      <c r="BM220" s="565"/>
      <c r="BP220" s="620"/>
      <c r="BQ220" s="620"/>
    </row>
    <row r="221" spans="1:69" ht="11.25" customHeight="1">
      <c r="A221" s="115" t="s">
        <v>20</v>
      </c>
      <c r="B221" s="898">
        <f>SUM('MasterA1(current$)'!B215)/0.1756</f>
        <v>45.558086560364465</v>
      </c>
      <c r="C221" s="57">
        <f>SUM('MasterA1(current$)'!C215)/0.178</f>
        <v>56.17977528089888</v>
      </c>
      <c r="D221" s="57">
        <f>SUM('MasterA1(current$)'!D215)/0.1798</f>
        <v>61.179087875417132</v>
      </c>
      <c r="E221" s="333">
        <f>SUM('MasterA1(current$)'!E215)/0.182</f>
        <v>71.428571428571431</v>
      </c>
      <c r="F221" s="333">
        <f>SUM('MasterA1(current$)'!F215)/0.1842</f>
        <v>76.004343105320302</v>
      </c>
      <c r="G221" s="333">
        <f>SUM('MasterA1(current$)'!G215)/0.18702</f>
        <v>80.205325633622081</v>
      </c>
      <c r="H221" s="333">
        <f>SUM('MasterA1(current$)'!H215)/0.19227</f>
        <v>83.216310396837784</v>
      </c>
      <c r="I221" s="333">
        <f>SUM('MasterA1(current$)'!I215)/0.19786</f>
        <v>85.919336904882243</v>
      </c>
      <c r="J221" s="333">
        <f>SUM('MasterA1(current$)'!J215)/0.20627</f>
        <v>87.264265283366456</v>
      </c>
      <c r="K221" s="333">
        <f>SUM('MasterA1(current$)'!K215)/0.21642</f>
        <v>87.792255798909522</v>
      </c>
      <c r="L221" s="269">
        <f>SUM('MasterA1(current$)'!L215)/0.22784</f>
        <v>96.558988764044955</v>
      </c>
      <c r="M221" s="333">
        <f>SUM('MasterA1(current$)'!M215)/0.23941</f>
        <v>96.06950419781964</v>
      </c>
      <c r="N221" s="333">
        <f>SUM('MasterA1(current$)'!N215)/0.24978</f>
        <v>104.09160060853551</v>
      </c>
      <c r="O221" s="333">
        <f>SUM('MasterA1(current$)'!O215)/0.26337</f>
        <v>113.90818999886092</v>
      </c>
      <c r="P221" s="333">
        <f>SUM('MasterA1(current$)'!P215)/0.28703</f>
        <v>121.9384733303139</v>
      </c>
      <c r="Q221" s="333">
        <f>SUM('MasterA1(current$)'!Q215)/0.31361</f>
        <v>140.30164854437041</v>
      </c>
      <c r="R221" s="333">
        <f>SUM('MasterA1(current$)'!R215)/0.33083</f>
        <v>154.15772451107819</v>
      </c>
      <c r="S221" s="333">
        <f>SUM('MasterA1(current$)'!S215)/0.35135</f>
        <v>153.69289881884163</v>
      </c>
      <c r="T221" s="333">
        <f>SUM('MasterA1(current$)'!T215)/0.37602</f>
        <v>162.22541354183286</v>
      </c>
      <c r="U221" s="30">
        <f>SUM('MasterA1(current$)'!U215)/0.40706</f>
        <v>162.13825971601239</v>
      </c>
      <c r="V221" s="269">
        <f>SUM('MasterA1(current$)'!V215)/0.44377</f>
        <v>166.75304774996056</v>
      </c>
      <c r="W221" s="333">
        <f>SUM('MasterA1(current$)'!W215)/0.4852</f>
        <v>160.75845012366034</v>
      </c>
      <c r="X221" s="333">
        <f>SUM('MasterA1(current$)'!X215)/0.5153</f>
        <v>153.30875218319426</v>
      </c>
      <c r="Y221" s="333">
        <f>SUM('MasterA1(current$)'!Y215)/0.53565</f>
        <v>168.02016241949036</v>
      </c>
      <c r="Z221" s="333">
        <f>SUM('MasterA1(current$)'!Z215)/0.55466</f>
        <v>165.86737821368044</v>
      </c>
      <c r="AA221" s="333">
        <f>SUM('MasterA1(current$)'!AA215)/0.5724</f>
        <v>179.94409503843465</v>
      </c>
      <c r="AB221" s="333">
        <f>SUM('MasterA1(current$)'!AB215)/0.58395</f>
        <v>178.09743984930216</v>
      </c>
      <c r="AC221" s="333">
        <f>SUM('MasterA1(current$)'!AC215)/0.59885</f>
        <v>180.34566251982969</v>
      </c>
      <c r="AD221" s="333">
        <f>SUM('MasterA1(current$)'!AD215)/0.61982</f>
        <v>203.28482462650445</v>
      </c>
      <c r="AE221" s="333">
        <f>SUM('MasterA1(current$)'!AE215)/0.64392</f>
        <v>217.4183128338924</v>
      </c>
      <c r="AF221" s="269">
        <f>SUM('MasterA1(current$)'!AF215)/0.66773</f>
        <v>230.63214173393436</v>
      </c>
      <c r="AG221" s="333">
        <f>SUM('MasterA1(current$)'!AG215)/0.68996</f>
        <v>260.88468896747639</v>
      </c>
      <c r="AH221" s="333">
        <f>SUM('MasterA1(current$)'!AH215)/0.70569</f>
        <v>324.50509430486471</v>
      </c>
      <c r="AI221" s="333">
        <f>SUM('MasterA1(current$)'!AI215)/0.72248</f>
        <v>332.18912634259772</v>
      </c>
      <c r="AJ221" s="333">
        <f>SUM('MasterA1(current$)'!AJ215)/0.73785</f>
        <v>351.01985498407532</v>
      </c>
      <c r="AK221" s="333">
        <f>SUM('MasterA1(current$)'!AK215)/0.75324</f>
        <v>370.39987255058151</v>
      </c>
      <c r="AL221" s="333">
        <f>SUM('MasterA1(current$)'!AL215)/0.76699</f>
        <v>370.27862162479306</v>
      </c>
      <c r="AM221" s="333">
        <f>SUM('MasterA1(current$)'!AM215)/0.78012</f>
        <v>387.11993026713839</v>
      </c>
      <c r="AN221" s="333">
        <f>SUM('MasterA1(current$)'!AN215)/0.78859</f>
        <v>381.6939093825689</v>
      </c>
      <c r="AO221" s="333">
        <f>SUM('MasterA1(current$)'!AO215)/0.80065</f>
        <v>423.40598263910573</v>
      </c>
      <c r="AP221" s="799">
        <f>SUM('MasterA1(current$)'!AP215)/0.81887</f>
        <v>435.96663695092019</v>
      </c>
      <c r="AQ221" s="321">
        <f>SUM('MasterA1(current$)'!AQ215)/0.83754</f>
        <v>500.27461374979106</v>
      </c>
      <c r="AR221" s="321">
        <f>SUM('MasterA1(current$)'!AR215)/0.85039</f>
        <v>562.09503874692791</v>
      </c>
      <c r="AS221" s="321">
        <f>SUM('MasterA1(current$)'!AS215)/0.86735</f>
        <v>540.72750331469422</v>
      </c>
      <c r="AT221" s="321">
        <f>SUM('MasterA1(current$)'!AT215)/0.8912</f>
        <v>794.43447037701981</v>
      </c>
      <c r="AU221" s="321">
        <f>SUM('MasterA1(current$)'!AU215)/0.91988</f>
        <v>940.34004435361135</v>
      </c>
      <c r="AV221" s="190">
        <f>SUM('MasterA1(current$)'!AV215)/0.94814</f>
        <v>919.69540363237502</v>
      </c>
      <c r="AW221" s="190">
        <f>SUM('MasterA1(current$)'!AW215)/0.97337</f>
        <v>851.68024492228039</v>
      </c>
      <c r="AX221" s="234">
        <f>('MasterA1(current$)'!AX215*100)/99.246</f>
        <v>885.67801221207912</v>
      </c>
      <c r="AY221" s="408">
        <f>SUM('MasterA1(current$)'!AY215)</f>
        <v>952</v>
      </c>
      <c r="AZ221" s="536">
        <f>SUM('MasterA1(current$)'!AZ215*100)/101.221</f>
        <v>990.90109759832444</v>
      </c>
      <c r="BA221" s="405">
        <f>SUM('MasterA1(current$)'!BA215*100)/103.311</f>
        <v>1123.791271016639</v>
      </c>
      <c r="BB221" s="405">
        <f>SUM('MasterA1(current$)'!BB215*100)/105.214</f>
        <v>1121.5237515919935</v>
      </c>
      <c r="BC221" s="405">
        <f>SUM('MasterA1(current$)'!BC215*100)/106.913</f>
        <v>1202.8471748056832</v>
      </c>
      <c r="BD221" s="405">
        <f>SUM('MasterA1(current$)'!BD215*100)/108.832</f>
        <v>1189.9073801822994</v>
      </c>
      <c r="BE221" s="405">
        <f>SUM('MasterA1(current$)'!BE215*100)/110.012</f>
        <v>1293.495255063084</v>
      </c>
      <c r="BF221" s="536">
        <f>SUM('MasterA1(current$)'!BF215*100)/111.416</f>
        <v>1465.6781790766138</v>
      </c>
      <c r="BG221" s="536">
        <f>SUM('MasterA1(current$)'!BG215*100)/113.116</f>
        <v>1471.9403090632625</v>
      </c>
      <c r="BH221" s="536">
        <f>SUM('MasterA1(current$)'!BH215*100)/114.716</f>
        <v>1345.0608459151297</v>
      </c>
      <c r="BI221" s="536">
        <f>SUM('MasterA1(current$)'!BI215*100)/116.416</f>
        <v>1473.1652006597033</v>
      </c>
      <c r="BJ221" s="410">
        <f t="shared" ref="BJ221:BK224" si="15">(BH221-BG221)/BG221</f>
        <v>-8.6198782903688834E-2</v>
      </c>
      <c r="BK221" s="410">
        <f t="shared" si="15"/>
        <v>9.5240564866354516E-2</v>
      </c>
      <c r="BL221" s="564">
        <f t="shared" ref="BL221:BM224" si="16">BH221-BG221</f>
        <v>-126.8794631481328</v>
      </c>
      <c r="BM221" s="564">
        <f t="shared" si="16"/>
        <v>128.10435474457358</v>
      </c>
      <c r="BN221" s="112"/>
      <c r="BO221" s="112"/>
      <c r="BP221" s="620"/>
      <c r="BQ221" s="620"/>
    </row>
    <row r="222" spans="1:69" ht="11.25" customHeight="1">
      <c r="A222" s="118" t="s">
        <v>51</v>
      </c>
      <c r="B222" s="893">
        <f>SUM('MasterA1(current$)'!B216)/0.1756</f>
        <v>273.34851936218678</v>
      </c>
      <c r="C222" s="107">
        <f>SUM('MasterA1(current$)'!C216)/0.178</f>
        <v>308.98876404494382</v>
      </c>
      <c r="D222" s="107">
        <f>SUM('MasterA1(current$)'!D216)/0.1798</f>
        <v>333.70411568409344</v>
      </c>
      <c r="E222" s="449">
        <f>SUM('MasterA1(current$)'!E216)/0.182</f>
        <v>362.63736263736263</v>
      </c>
      <c r="F222" s="449">
        <f>SUM('MasterA1(current$)'!F216)/0.1842</f>
        <v>374.5928338762215</v>
      </c>
      <c r="G222" s="449">
        <f>SUM('MasterA1(current$)'!G216)/0.18702</f>
        <v>411.72067158592665</v>
      </c>
      <c r="H222" s="449">
        <f>SUM('MasterA1(current$)'!H216)/0.19227</f>
        <v>421.2825713839913</v>
      </c>
      <c r="I222" s="449">
        <f>SUM('MasterA1(current$)'!I216)/0.19786</f>
        <v>429.59668452441116</v>
      </c>
      <c r="J222" s="449">
        <f>SUM('MasterA1(current$)'!J216)/0.20627</f>
        <v>441.16934115479711</v>
      </c>
      <c r="K222" s="449">
        <f>SUM('MasterA1(current$)'!K216)/0.21642</f>
        <v>457.4438591627391</v>
      </c>
      <c r="L222" s="855">
        <f>SUM('MasterA1(current$)'!L216)/0.22784</f>
        <v>495.96207865168543</v>
      </c>
      <c r="M222" s="449">
        <f>SUM('MasterA1(current$)'!M216)/0.23941</f>
        <v>522.11687064032412</v>
      </c>
      <c r="N222" s="449">
        <f>SUM('MasterA1(current$)'!N216)/0.24978</f>
        <v>552.4861878453039</v>
      </c>
      <c r="O222" s="449">
        <f>SUM('MasterA1(current$)'!O216)/0.26337</f>
        <v>565.74401032767594</v>
      </c>
      <c r="P222" s="449">
        <f>SUM('MasterA1(current$)'!P216)/0.28703</f>
        <v>609.6923666515695</v>
      </c>
      <c r="Q222" s="449">
        <f>SUM('MasterA1(current$)'!Q216)/0.31361</f>
        <v>624.98007078855903</v>
      </c>
      <c r="R222" s="449">
        <f>SUM('MasterA1(current$)'!R216)/0.33083</f>
        <v>701.26651150137525</v>
      </c>
      <c r="S222" s="449">
        <f>SUM('MasterA1(current$)'!S216)/0.35135</f>
        <v>734.31051657890998</v>
      </c>
      <c r="T222" s="449">
        <f>SUM('MasterA1(current$)'!T216)/0.37602</f>
        <v>776.55443859369177</v>
      </c>
      <c r="U222" s="449">
        <f>SUM('MasterA1(current$)'!U216)/0.40706</f>
        <v>776.29833439787751</v>
      </c>
      <c r="V222" s="855">
        <f>SUM('MasterA1(current$)'!V216)/0.44377</f>
        <v>831.51181918561417</v>
      </c>
      <c r="W222" s="449">
        <f>SUM('MasterA1(current$)'!W216)/0.4852</f>
        <v>791.42621599340475</v>
      </c>
      <c r="X222" s="449">
        <f>SUM('MasterA1(current$)'!X216)/0.5153</f>
        <v>754.90005821851355</v>
      </c>
      <c r="Y222" s="449">
        <f>SUM('MasterA1(current$)'!Y216)/0.53565</f>
        <v>789.69476337160461</v>
      </c>
      <c r="Z222" s="449">
        <f>SUM('MasterA1(current$)'!Z216)/0.55466</f>
        <v>823.92817221360826</v>
      </c>
      <c r="AA222" s="449">
        <f>SUM('MasterA1(current$)'!AA216)/0.5724</f>
        <v>885.74423480083851</v>
      </c>
      <c r="AB222" s="449">
        <f>SUM('MasterA1(current$)'!AB216)/0.58395</f>
        <v>904.18700231184187</v>
      </c>
      <c r="AC222" s="449">
        <f>SUM('MasterA1(current$)'!AC216)/0.59885</f>
        <v>948.48459547465973</v>
      </c>
      <c r="AD222" s="449">
        <f>SUM('MasterA1(current$)'!AD216)/0.61982</f>
        <v>993.83692039624395</v>
      </c>
      <c r="AE222" s="449">
        <f>SUM('MasterA1(current$)'!AE216)/0.64392</f>
        <v>1093.3035159647161</v>
      </c>
      <c r="AF222" s="855">
        <f>SUM('MasterA1(current$)'!AF216)/0.66773</f>
        <v>1105.2371467509322</v>
      </c>
      <c r="AG222" s="449">
        <f>SUM('MasterA1(current$)'!AG216)/0.68996</f>
        <v>1187.0253348020174</v>
      </c>
      <c r="AH222" s="449">
        <f>SUM('MasterA1(current$)'!AH216)/0.70569</f>
        <v>1307.9397469143673</v>
      </c>
      <c r="AI222" s="449">
        <f>SUM('MasterA1(current$)'!AI216)/0.72248</f>
        <v>1403.4990587974753</v>
      </c>
      <c r="AJ222" s="449">
        <f>SUM('MasterA1(current$)'!AJ216)/0.73785</f>
        <v>1493.5284949515485</v>
      </c>
      <c r="AK222" s="449">
        <f>SUM('MasterA1(current$)'!AK216)/0.75324</f>
        <v>1540.0138070203388</v>
      </c>
      <c r="AL222" s="449">
        <f>SUM('MasterA1(current$)'!AL216)/0.76699</f>
        <v>1582.8107276496435</v>
      </c>
      <c r="AM222" s="449">
        <f>SUM('MasterA1(current$)'!AM216)/0.78012</f>
        <v>1763.8312054555709</v>
      </c>
      <c r="AN222" s="449">
        <f>SUM('MasterA1(current$)'!AN216)/0.78859</f>
        <v>1793.0737138436957</v>
      </c>
      <c r="AO222" s="449">
        <f>SUM('MasterA1(current$)'!AO216)/0.80065</f>
        <v>1989.6334228439393</v>
      </c>
      <c r="AP222" s="928">
        <f>SUM('MasterA1(current$)'!AP216)/0.81887</f>
        <v>2058.934873667371</v>
      </c>
      <c r="AQ222" s="128">
        <f>SUM('MasterA1(current$)'!AQ216)/0.83754</f>
        <v>2290.0398786923611</v>
      </c>
      <c r="AR222" s="128">
        <f>SUM('MasterA1(current$)'!AR216)/0.85039</f>
        <v>2554.1222262726515</v>
      </c>
      <c r="AS222" s="128">
        <f>SUM('MasterA1(current$)'!AS216)/0.86735</f>
        <v>2490.3441517265233</v>
      </c>
      <c r="AT222" s="128">
        <f>SUM('MasterA1(current$)'!AT216)/0.8912</f>
        <v>2885.9964093357271</v>
      </c>
      <c r="AU222" s="128">
        <f>SUM('MasterA1(current$)'!AU216)/0.91988</f>
        <v>3152.5851197982342</v>
      </c>
      <c r="AV222" s="124">
        <f>SUM('MasterA1(current$)'!AV216)/0.94814</f>
        <v>3207.3322505115279</v>
      </c>
      <c r="AW222" s="124">
        <f>SUM('MasterA1(current$)'!AW216)/0.97337</f>
        <v>3410.5921858512479</v>
      </c>
      <c r="AX222" s="781">
        <f>('MasterA1(current$)'!AX216*100)/99.246</f>
        <v>3508.8087992990963</v>
      </c>
      <c r="AY222" s="406">
        <f>SUM('MasterA1(current$)'!AY216)</f>
        <v>3702</v>
      </c>
      <c r="AZ222" s="635">
        <f>SUM('MasterA1(current$)'!AZ216*100)/101.221</f>
        <v>3724.5235672439512</v>
      </c>
      <c r="BA222" s="406">
        <f>SUM('MasterA1(current$)'!BA216*100)/103.311</f>
        <v>3985.0548344319577</v>
      </c>
      <c r="BB222" s="406">
        <f>SUM('MasterA1(current$)'!BB216*100)/105.214</f>
        <v>4139.1829984602809</v>
      </c>
      <c r="BC222" s="406">
        <f>SUM('MasterA1(current$)'!BC216*100)/106.913</f>
        <v>4368.0375632523646</v>
      </c>
      <c r="BD222" s="406">
        <f>SUM('MasterA1(current$)'!BD216*100)/108.832</f>
        <v>4445.3837106733317</v>
      </c>
      <c r="BE222" s="406">
        <f>SUM('MasterA1(current$)'!BE216*100)/110.012</f>
        <v>4824.8402227088427</v>
      </c>
      <c r="BF222" s="635">
        <f>SUM('MasterA1(current$)'!BF216*100)/111.416</f>
        <v>5154.5558986142032</v>
      </c>
      <c r="BG222" s="635">
        <f>SUM('MasterA1(current$)'!BG216*100)/113.116</f>
        <v>5100.0742600516287</v>
      </c>
      <c r="BH222" s="635">
        <f>SUM('MasterA1(current$)'!BH216*100)/114.716</f>
        <v>5154.4684263746994</v>
      </c>
      <c r="BI222" s="635">
        <f>SUM('MasterA1(current$)'!BI216*100)/116.416</f>
        <v>5256.1503573391974</v>
      </c>
      <c r="BJ222" s="872">
        <f t="shared" si="15"/>
        <v>1.0665367512221304E-2</v>
      </c>
      <c r="BK222" s="872">
        <f t="shared" si="15"/>
        <v>1.9726948067856159E-2</v>
      </c>
      <c r="BL222" s="567">
        <f t="shared" si="16"/>
        <v>54.394166323070749</v>
      </c>
      <c r="BM222" s="567">
        <f t="shared" si="16"/>
        <v>101.68193096449795</v>
      </c>
      <c r="BN222" s="112"/>
      <c r="BO222" s="112"/>
      <c r="BP222" s="620"/>
      <c r="BQ222" s="620"/>
    </row>
    <row r="223" spans="1:69" ht="11.25" customHeight="1" thickBot="1">
      <c r="A223" s="120" t="s">
        <v>52</v>
      </c>
      <c r="B223" s="896">
        <f>SUM('MasterA1(current$)'!B217)/0.1756</f>
        <v>1019.3621867881549</v>
      </c>
      <c r="C223" s="136">
        <f>SUM('MasterA1(current$)'!C217)/0.178</f>
        <v>1174.1573033707866</v>
      </c>
      <c r="D223" s="136">
        <f>SUM('MasterA1(current$)'!D217)/0.1798</f>
        <v>1195.7730812013349</v>
      </c>
      <c r="E223" s="475">
        <f>SUM('MasterA1(current$)'!E217)/0.182</f>
        <v>1368.1318681318683</v>
      </c>
      <c r="F223" s="475">
        <f>SUM('MasterA1(current$)'!F217)/0.1842</f>
        <v>1460.3691639522258</v>
      </c>
      <c r="G223" s="475">
        <f>SUM('MasterA1(current$)'!G217)/0.18702</f>
        <v>1689.6588600149717</v>
      </c>
      <c r="H223" s="475">
        <f>SUM('MasterA1(current$)'!H217)/0.19227</f>
        <v>1607.1149945389297</v>
      </c>
      <c r="I223" s="475">
        <f>SUM('MasterA1(current$)'!I217)/0.19786</f>
        <v>1738.6030526634993</v>
      </c>
      <c r="J223" s="475">
        <f>SUM('MasterA1(current$)'!J217)/0.20627</f>
        <v>1818.0055267368011</v>
      </c>
      <c r="K223" s="475">
        <f>SUM('MasterA1(current$)'!K217)/0.21642</f>
        <v>1862.1199519452916</v>
      </c>
      <c r="L223" s="401">
        <f>SUM('MasterA1(current$)'!L217)/0.22784</f>
        <v>2137.4648876404494</v>
      </c>
      <c r="M223" s="475">
        <f>SUM('MasterA1(current$)'!M217)/0.23941</f>
        <v>2343.2605154337748</v>
      </c>
      <c r="N223" s="475">
        <f>SUM('MasterA1(current$)'!N217)/0.24978</f>
        <v>2213.9482744815436</v>
      </c>
      <c r="O223" s="475">
        <f>SUM('MasterA1(current$)'!O217)/0.26337</f>
        <v>1845.3126779815468</v>
      </c>
      <c r="P223" s="475">
        <f>SUM('MasterA1(current$)'!P217)/0.28703</f>
        <v>2114.7615231857299</v>
      </c>
      <c r="Q223" s="475">
        <f>SUM('MasterA1(current$)'!Q217)/0.31361</f>
        <v>2432.9581327126048</v>
      </c>
      <c r="R223" s="475">
        <f>SUM('MasterA1(current$)'!R217)/0.33083</f>
        <v>2608.5905147658918</v>
      </c>
      <c r="S223" s="475">
        <f>SUM('MasterA1(current$)'!S217)/0.35135</f>
        <v>2701.0103885014942</v>
      </c>
      <c r="T223" s="475">
        <f>SUM('MasterA1(current$)'!T217)/0.37602</f>
        <v>2561.0339875538534</v>
      </c>
      <c r="U223" s="475">
        <f>SUM('MasterA1(current$)'!U217)/0.40706</f>
        <v>2564.7324718714685</v>
      </c>
      <c r="V223" s="401">
        <f>SUM('MasterA1(current$)'!V217)/0.44377</f>
        <v>2810.0141965432545</v>
      </c>
      <c r="W223" s="475">
        <f>SUM('MasterA1(current$)'!W217)/0.4852</f>
        <v>2514.427040395713</v>
      </c>
      <c r="X223" s="475">
        <f>SUM('MasterA1(current$)'!X217)/0.5153</f>
        <v>2693.5765573452359</v>
      </c>
      <c r="Y223" s="475">
        <f>SUM('MasterA1(current$)'!Y217)/0.53565</f>
        <v>2632.3158779053488</v>
      </c>
      <c r="Z223" s="475">
        <f>SUM('MasterA1(current$)'!Z217)/0.55466</f>
        <v>2754.8408033750402</v>
      </c>
      <c r="AA223" s="475">
        <f>SUM('MasterA1(current$)'!AA217)/0.5724</f>
        <v>2982.1802935010483</v>
      </c>
      <c r="AB223" s="475">
        <f>SUM('MasterA1(current$)'!AB217)/0.58395</f>
        <v>3436.9380940148985</v>
      </c>
      <c r="AC223" s="475">
        <f>SUM('MasterA1(current$)'!AC217)/0.59885</f>
        <v>2974.0335643316357</v>
      </c>
      <c r="AD223" s="475">
        <f>SUM('MasterA1(current$)'!AD217)/0.61982</f>
        <v>3407.4408699299793</v>
      </c>
      <c r="AE223" s="475">
        <f>SUM('MasterA1(current$)'!AE217)/0.64392</f>
        <v>3534.6005714995649</v>
      </c>
      <c r="AF223" s="401">
        <f>SUM('MasterA1(current$)'!AF217)/0.66773</f>
        <v>3833.8849534991687</v>
      </c>
      <c r="AG223" s="475">
        <f>SUM('MasterA1(current$)'!AG217)/0.68996</f>
        <v>3687.1702707403329</v>
      </c>
      <c r="AH223" s="475">
        <f>SUM('MasterA1(current$)'!AH217)/0.70569</f>
        <v>4045.6857827091212</v>
      </c>
      <c r="AI223" s="475">
        <f>SUM('MasterA1(current$)'!AI217)/0.72248</f>
        <v>4620.1970988816302</v>
      </c>
      <c r="AJ223" s="475">
        <f>SUM('MasterA1(current$)'!AJ217)/0.73785</f>
        <v>4305.7532018702987</v>
      </c>
      <c r="AK223" s="475">
        <f>SUM('MasterA1(current$)'!AK217)/0.75324</f>
        <v>5006.3724709256012</v>
      </c>
      <c r="AL223" s="475">
        <f>SUM('MasterA1(current$)'!AL217)/0.76699</f>
        <v>4618.0523866021722</v>
      </c>
      <c r="AM223" s="475">
        <f>SUM('MasterA1(current$)'!AM217)/0.78012</f>
        <v>4980.0030764497769</v>
      </c>
      <c r="AN223" s="475">
        <f>SUM('MasterA1(current$)'!AN217)/0.78859</f>
        <v>4874.5228826132716</v>
      </c>
      <c r="AO223" s="475">
        <f>SUM('MasterA1(current$)'!AO217)/0.80065</f>
        <v>5113.345406856929</v>
      </c>
      <c r="AP223" s="931">
        <f>SUM('MasterA1(current$)'!AP217)/0.81887</f>
        <v>5380.5854409124768</v>
      </c>
      <c r="AQ223" s="137">
        <f>SUM('MasterA1(current$)'!AQ217)/0.83754</f>
        <v>5512.5725338491302</v>
      </c>
      <c r="AR223" s="137">
        <f>SUM('MasterA1(current$)'!AR217)/0.85039</f>
        <v>5927.8683897976225</v>
      </c>
      <c r="AS223" s="137">
        <f>SUM('MasterA1(current$)'!AS217)/0.86735</f>
        <v>5863.8381276301379</v>
      </c>
      <c r="AT223" s="137">
        <f>SUM('MasterA1(current$)'!AT217)/0.8912</f>
        <v>6354.3536804308796</v>
      </c>
      <c r="AU223" s="137">
        <f>SUM('MasterA1(current$)'!AU217)/0.91988</f>
        <v>6446.4930208288033</v>
      </c>
      <c r="AV223" s="137">
        <f>SUM('MasterA1(current$)'!AV217)/0.94814</f>
        <v>6700.4872698124755</v>
      </c>
      <c r="AW223" s="137">
        <f>SUM('MasterA1(current$)'!AW217)/0.97337</f>
        <v>6948.6117856232013</v>
      </c>
      <c r="AX223" s="782">
        <f>SUM('MasterA1(current$)'!AX217*100)/99.246</f>
        <v>7305.3239136462234</v>
      </c>
      <c r="AY223" s="420">
        <f>SUM('MasterA1(current$)'!AY217)</f>
        <v>7861</v>
      </c>
      <c r="AZ223" s="654">
        <f>SUM('MasterA1(current$)'!AZ217*100)/101.221</f>
        <v>8120.8444887918513</v>
      </c>
      <c r="BA223" s="420">
        <f>SUM('MasterA1(current$)'!BA217*100)/103.311</f>
        <v>8713.4961427147155</v>
      </c>
      <c r="BB223" s="420">
        <f>SUM('MasterA1(current$)'!BB217*100)/105.214</f>
        <v>9079.59016860874</v>
      </c>
      <c r="BC223" s="420">
        <f>SUM('MasterA1(current$)'!BC217*100)/106.913</f>
        <v>9707.8933338321822</v>
      </c>
      <c r="BD223" s="420">
        <f>SUM('MasterA1(current$)'!BD217*100)/108.832</f>
        <v>9745.0716385946744</v>
      </c>
      <c r="BE223" s="420">
        <f>SUM('MasterA1(current$)'!BE217*100)/110.012</f>
        <v>10282.42666782392</v>
      </c>
      <c r="BF223" s="654">
        <f>SUM('MasterA1(current$)'!BF217*100)/111.416</f>
        <v>10957.13362533209</v>
      </c>
      <c r="BG223" s="654">
        <f>SUM('MasterA1(current$)'!BG217*100)/113.116</f>
        <v>10854.344213020262</v>
      </c>
      <c r="BH223" s="654">
        <f>SUM('MasterA1(current$)'!BH217*100)/114.716</f>
        <v>11356.741866871231</v>
      </c>
      <c r="BI223" s="654">
        <f>SUM('MasterA1(current$)'!BI217*100)/116.416</f>
        <v>11277.659428257284</v>
      </c>
      <c r="BJ223" s="875">
        <f t="shared" si="15"/>
        <v>4.6285399098392389E-2</v>
      </c>
      <c r="BK223" s="875">
        <f t="shared" si="15"/>
        <v>-6.9634794504432719E-3</v>
      </c>
      <c r="BL223" s="569">
        <f t="shared" si="16"/>
        <v>502.39765385096871</v>
      </c>
      <c r="BM223" s="569">
        <f t="shared" si="16"/>
        <v>-79.082438613946579</v>
      </c>
      <c r="BN223" s="112"/>
      <c r="BO223" s="112"/>
      <c r="BP223" s="620"/>
      <c r="BQ223" s="620"/>
    </row>
    <row r="224" spans="1:69" ht="15.75" customHeight="1" thickBot="1">
      <c r="A224" s="161" t="s">
        <v>53</v>
      </c>
      <c r="B224" s="899">
        <f>SUM('MasterA1(current$)'!B218)/0.1756</f>
        <v>3035.3075170842822</v>
      </c>
      <c r="C224" s="604">
        <f>SUM('MasterA1(current$)'!C218)/0.178</f>
        <v>3539.3258426966295</v>
      </c>
      <c r="D224" s="604">
        <f>SUM('MasterA1(current$)'!D218)/0.1798</f>
        <v>3882.0912124582874</v>
      </c>
      <c r="E224" s="605">
        <f>SUM('MasterA1(current$)'!E218)/0.182</f>
        <v>4401.0989010989015</v>
      </c>
      <c r="F224" s="605">
        <f>SUM('MasterA1(current$)'!F218)/0.1842</f>
        <v>4663.4093376764386</v>
      </c>
      <c r="G224" s="605">
        <f>SUM('MasterA1(current$)'!G218)/0.18702</f>
        <v>4919.2599721954875</v>
      </c>
      <c r="H224" s="605">
        <f>SUM('MasterA1(current$)'!H218)/0.19227</f>
        <v>4966.1413637072865</v>
      </c>
      <c r="I224" s="605">
        <f>SUM('MasterA1(current$)'!I218)/0.19786</f>
        <v>5286.5662589709891</v>
      </c>
      <c r="J224" s="605">
        <f>SUM('MasterA1(current$)'!J218)/0.20627</f>
        <v>5790.9536044989572</v>
      </c>
      <c r="K224" s="605">
        <f>SUM('MasterA1(current$)'!K218)/0.21642</f>
        <v>6284.077257185103</v>
      </c>
      <c r="L224" s="917">
        <f>SUM('MasterA1(current$)'!L218)/0.22784</f>
        <v>6953.9940308988771</v>
      </c>
      <c r="M224" s="605">
        <f>SUM('MasterA1(current$)'!M218)/0.23941</f>
        <v>8308.0656614176514</v>
      </c>
      <c r="N224" s="605">
        <f>SUM('MasterA1(current$)'!N218)/0.24978</f>
        <v>9521.6230282648721</v>
      </c>
      <c r="O224" s="605">
        <f>SUM('MasterA1(current$)'!O218)/0.26337</f>
        <v>11444.754527850553</v>
      </c>
      <c r="P224" s="605">
        <f>SUM('MasterA1(current$)'!P218)/0.28703</f>
        <v>11184.322196286103</v>
      </c>
      <c r="Q224" s="605">
        <f>SUM('MasterA1(current$)'!Q218)/0.31361</f>
        <v>12403.759446446224</v>
      </c>
      <c r="R224" s="605">
        <f>SUM('MasterA1(current$)'!R218)/0.33083</f>
        <v>13796.221624399237</v>
      </c>
      <c r="S224" s="605">
        <f>SUM('MasterA1(current$)'!S218)/0.35135</f>
        <v>14529.417959299844</v>
      </c>
      <c r="T224" s="605">
        <f>SUM('MasterA1(current$)'!T218)/0.37602</f>
        <v>14738.505930535608</v>
      </c>
      <c r="U224" s="605">
        <f>SUM('MasterA1(current$)'!U218)/0.40706</f>
        <v>15246.85795705793</v>
      </c>
      <c r="V224" s="917">
        <f>SUM('MasterA1(current$)'!V218)/0.44377</f>
        <v>16455.731572661512</v>
      </c>
      <c r="W224" s="605">
        <f>SUM('MasterA1(current$)'!W218)/0.4852</f>
        <v>15777.734954657872</v>
      </c>
      <c r="X224" s="605">
        <f>SUM('MasterA1(current$)'!X218)/0.5153</f>
        <v>14735.389093731806</v>
      </c>
      <c r="Y224" s="605">
        <f>SUM('MasterA1(current$)'!Y218)/0.53565</f>
        <v>14740.27256604126</v>
      </c>
      <c r="Z224" s="605">
        <f>SUM('MasterA1(current$)'!Z218)/0.55466</f>
        <v>15094.840082212528</v>
      </c>
      <c r="AA224" s="605">
        <f>SUM('MasterA1(current$)'!AA218)/0.5724</f>
        <v>15585.209643605867</v>
      </c>
      <c r="AB224" s="605">
        <f>SUM('MasterA1(current$)'!AB218)/0.58395</f>
        <v>16304.019179724291</v>
      </c>
      <c r="AC224" s="605">
        <f>SUM('MasterA1(current$)'!AC218)/0.59885</f>
        <v>16748.427819988312</v>
      </c>
      <c r="AD224" s="605">
        <f>SUM('MasterA1(current$)'!AD218)/0.61982</f>
        <v>18174.124745893969</v>
      </c>
      <c r="AE224" s="605">
        <f>SUM('MasterA1(current$)'!AE218)/0.64392</f>
        <v>19225.302832650017</v>
      </c>
      <c r="AF224" s="917">
        <f>SUM('MasterA1(current$)'!AF218)/0.66773</f>
        <v>20492.067152891137</v>
      </c>
      <c r="AG224" s="605">
        <f>SUM('MasterA1(current$)'!AG218)/0.68996</f>
        <v>21922.282451156589</v>
      </c>
      <c r="AH224" s="605">
        <f>SUM('MasterA1(current$)'!AH218)/0.70569</f>
        <v>24011.320834927516</v>
      </c>
      <c r="AI224" s="605">
        <f>SUM('MasterA1(current$)'!AI218)/0.72248</f>
        <v>24687.553980733028</v>
      </c>
      <c r="AJ224" s="605">
        <f>SUM('MasterA1(current$)'!AJ218)/0.73785</f>
        <v>24667.13559666599</v>
      </c>
      <c r="AK224" s="605">
        <f>SUM('MasterA1(current$)'!AK218)/0.75324</f>
        <v>25853.645584408689</v>
      </c>
      <c r="AL224" s="605">
        <f>SUM('MasterA1(current$)'!AL218)/0.76699</f>
        <v>25291.072895344139</v>
      </c>
      <c r="AM224" s="605">
        <f>SUM('MasterA1(current$)'!AM218)/0.78012</f>
        <v>26666.410295851918</v>
      </c>
      <c r="AN224" s="605">
        <f>SUM('MasterA1(current$)'!AN218)/0.78859</f>
        <v>28501.502682002054</v>
      </c>
      <c r="AO224" s="605">
        <f>SUM('MasterA1(current$)'!AO218)/0.80065</f>
        <v>29548.491850371574</v>
      </c>
      <c r="AP224" s="934">
        <f>SUM('MasterA1(current$)'!AP218)/0.81887</f>
        <v>31036.195860308784</v>
      </c>
      <c r="AQ224" s="606">
        <f>SUM('MasterA1(current$)'!AQ218)/0.83754</f>
        <v>32338.239507279613</v>
      </c>
      <c r="AR224" s="606">
        <f>SUM('MasterA1(current$)'!AR218)/0.85039</f>
        <v>37742.4181251271</v>
      </c>
      <c r="AS224" s="606">
        <f>SUM('MasterA1(current$)'!AS218)/0.86735</f>
        <v>46728.540958090736</v>
      </c>
      <c r="AT224" s="606">
        <f>SUM('MasterA1(current$)'!AT218)/0.8912</f>
        <v>42324.95511669659</v>
      </c>
      <c r="AU224" s="606">
        <f>SUM('MasterA1(current$)'!AU218)/0.91988</f>
        <v>42764.273600904467</v>
      </c>
      <c r="AV224" s="606">
        <f>SUM('MasterA1(current$)'!AV218)/0.94814</f>
        <v>44282.489927647817</v>
      </c>
      <c r="AW224" s="606">
        <f>SUM('MasterA1(current$)'!AW218)/0.97337</f>
        <v>44993.85784146683</v>
      </c>
      <c r="AX224" s="785">
        <f>SUM('MasterA1(current$)'!AX218*100)/99.246</f>
        <v>47652.468513860906</v>
      </c>
      <c r="AY224" s="426">
        <f>SUM('MasterA1(current$)'!AY218)</f>
        <v>51403</v>
      </c>
      <c r="AZ224" s="668">
        <f>SUM('MasterA1(current$)'!AZ218*100)/101.221</f>
        <v>53236.97651673072</v>
      </c>
      <c r="BA224" s="426">
        <f>SUM('MasterA1(current$)'!BA218*100)/103.311</f>
        <v>54293.347271829713</v>
      </c>
      <c r="BB224" s="426">
        <f>SUM('MasterA1(current$)'!BB218*100)/105.214</f>
        <v>54922.348736860113</v>
      </c>
      <c r="BC224" s="426">
        <f>SUM('MasterA1(current$)'!BC218*100)/106.913</f>
        <v>53927.02477715526</v>
      </c>
      <c r="BD224" s="426">
        <f>SUM('MasterA1(current$)'!BD218*100)/108.832</f>
        <v>54167.66793380196</v>
      </c>
      <c r="BE224" s="426">
        <f>SUM('MasterA1(current$)'!BE218*100)/110.012</f>
        <v>55412.938647864998</v>
      </c>
      <c r="BF224" s="668">
        <f>SUM('MasterA1(current$)'!BF218*100)/111.416</f>
        <v>57152.473612407557</v>
      </c>
      <c r="BG224" s="668">
        <f>SUM('MasterA1(current$)'!BG218*100)/113.116</f>
        <v>58257.010502493016</v>
      </c>
      <c r="BH224" s="668">
        <f>SUM('MasterA1(current$)'!BH218*100)/114.716</f>
        <v>61008.054674151819</v>
      </c>
      <c r="BI224" s="668">
        <f>SUM('MasterA1(current$)'!BI218*100)/116.416</f>
        <v>61059.476360637716</v>
      </c>
      <c r="BJ224" s="890">
        <f t="shared" si="15"/>
        <v>4.7222542796648934E-2</v>
      </c>
      <c r="BK224" s="890">
        <f t="shared" si="15"/>
        <v>8.428671715651968E-4</v>
      </c>
      <c r="BL224" s="607">
        <f t="shared" si="16"/>
        <v>2751.044171658803</v>
      </c>
      <c r="BM224" s="607">
        <f t="shared" si="16"/>
        <v>51.421686485897226</v>
      </c>
      <c r="BN224" s="112"/>
      <c r="BO224" s="112"/>
      <c r="BP224" s="620"/>
      <c r="BQ224" s="620"/>
    </row>
    <row r="225" spans="1:93" ht="15.75" customHeight="1" thickTop="1">
      <c r="A225" s="576" t="s">
        <v>161</v>
      </c>
      <c r="B225" s="939"/>
      <c r="C225" s="939">
        <f>(C224-B224)/B224</f>
        <v>0.16605181609292344</v>
      </c>
      <c r="D225" s="939">
        <f>(D224-C224)/C224</f>
        <v>9.6844818758055715E-2</v>
      </c>
      <c r="E225" s="939">
        <f>(E224-D224)/D224</f>
        <v>0.13369281148650775</v>
      </c>
      <c r="F225" s="939">
        <f>(F224-E224)/E224</f>
        <v>5.9601122917742499E-2</v>
      </c>
      <c r="G225" s="939">
        <f t="shared" ref="G225:BI225" si="17">(G224-F224)/F224</f>
        <v>5.4863430591861259E-2</v>
      </c>
      <c r="H225" s="939">
        <f t="shared" si="17"/>
        <v>9.5301715658006915E-3</v>
      </c>
      <c r="I225" s="939">
        <f t="shared" si="17"/>
        <v>6.4521903787390672E-2</v>
      </c>
      <c r="J225" s="939">
        <f t="shared" si="17"/>
        <v>9.54092544800801E-2</v>
      </c>
      <c r="K225" s="939">
        <f t="shared" si="17"/>
        <v>8.5154136324463198E-2</v>
      </c>
      <c r="L225" s="939">
        <f t="shared" si="17"/>
        <v>0.10660543247583455</v>
      </c>
      <c r="M225" s="939">
        <f t="shared" si="17"/>
        <v>0.19471854944111108</v>
      </c>
      <c r="N225" s="939">
        <f t="shared" si="17"/>
        <v>0.14606978523086742</v>
      </c>
      <c r="O225" s="939">
        <f t="shared" si="17"/>
        <v>0.20197517732815912</v>
      </c>
      <c r="P225" s="939">
        <f t="shared" si="17"/>
        <v>-2.275560659083551E-2</v>
      </c>
      <c r="Q225" s="939">
        <f t="shared" si="17"/>
        <v>0.1090309478535097</v>
      </c>
      <c r="R225" s="939">
        <f t="shared" si="17"/>
        <v>0.11226130141954381</v>
      </c>
      <c r="S225" s="939">
        <f t="shared" si="17"/>
        <v>5.3144719972018764E-2</v>
      </c>
      <c r="T225" s="939">
        <f t="shared" si="17"/>
        <v>1.4390663949613532E-2</v>
      </c>
      <c r="U225" s="939">
        <f t="shared" si="17"/>
        <v>3.4491421920121827E-2</v>
      </c>
      <c r="V225" s="939">
        <f t="shared" si="17"/>
        <v>7.9286736913816575E-2</v>
      </c>
      <c r="W225" s="939">
        <f t="shared" si="17"/>
        <v>-4.1201244381624487E-2</v>
      </c>
      <c r="X225" s="939">
        <f t="shared" si="17"/>
        <v>-6.6064353592043698E-2</v>
      </c>
      <c r="Y225" s="939">
        <f t="shared" si="17"/>
        <v>3.3141115435700514E-4</v>
      </c>
      <c r="Z225" s="939">
        <f t="shared" si="17"/>
        <v>2.4054339197778676E-2</v>
      </c>
      <c r="AA225" s="939">
        <f t="shared" si="17"/>
        <v>3.2485906357575908E-2</v>
      </c>
      <c r="AB225" s="939">
        <f t="shared" si="17"/>
        <v>4.6121261924335397E-2</v>
      </c>
      <c r="AC225" s="939">
        <f t="shared" si="17"/>
        <v>2.7257612700596422E-2</v>
      </c>
      <c r="AD225" s="939">
        <f t="shared" si="17"/>
        <v>8.5124224269227666E-2</v>
      </c>
      <c r="AE225" s="939">
        <f t="shared" si="17"/>
        <v>5.7839268820554242E-2</v>
      </c>
      <c r="AF225" s="939">
        <f t="shared" si="17"/>
        <v>6.5890474197878163E-2</v>
      </c>
      <c r="AG225" s="939">
        <f t="shared" si="17"/>
        <v>6.9793607818802644E-2</v>
      </c>
      <c r="AH225" s="939">
        <f t="shared" si="17"/>
        <v>9.5292923463848184E-2</v>
      </c>
      <c r="AI225" s="939">
        <f t="shared" si="17"/>
        <v>2.8163096501623741E-2</v>
      </c>
      <c r="AJ225" s="939">
        <f t="shared" si="17"/>
        <v>-8.2707197655031855E-4</v>
      </c>
      <c r="AK225" s="939">
        <f t="shared" si="17"/>
        <v>4.8100841830336673E-2</v>
      </c>
      <c r="AL225" s="939">
        <f t="shared" si="17"/>
        <v>-2.1759897931137979E-2</v>
      </c>
      <c r="AM225" s="939">
        <f t="shared" si="17"/>
        <v>5.4380350181228013E-2</v>
      </c>
      <c r="AN225" s="939">
        <f t="shared" si="17"/>
        <v>6.881662607717369E-2</v>
      </c>
      <c r="AO225" s="939">
        <f t="shared" si="17"/>
        <v>3.6734525195075647E-2</v>
      </c>
      <c r="AP225" s="939">
        <f t="shared" si="17"/>
        <v>5.0347882980650391E-2</v>
      </c>
      <c r="AQ225" s="939">
        <f t="shared" si="17"/>
        <v>4.1952423964303306E-2</v>
      </c>
      <c r="AR225" s="939">
        <f t="shared" si="17"/>
        <v>0.16711418741984888</v>
      </c>
      <c r="AS225" s="939">
        <f t="shared" si="17"/>
        <v>0.23809080815044822</v>
      </c>
      <c r="AT225" s="939">
        <f t="shared" si="17"/>
        <v>-9.42376062060995E-2</v>
      </c>
      <c r="AU225" s="939">
        <f t="shared" si="17"/>
        <v>1.0379656233458646E-2</v>
      </c>
      <c r="AV225" s="939">
        <f t="shared" si="17"/>
        <v>3.5501978612147864E-2</v>
      </c>
      <c r="AW225" s="939">
        <f t="shared" si="17"/>
        <v>1.6064316053169121E-2</v>
      </c>
      <c r="AX225" s="939">
        <f t="shared" si="17"/>
        <v>5.9088302269201531E-2</v>
      </c>
      <c r="AY225" s="939">
        <f t="shared" si="17"/>
        <v>7.8705922339535439E-2</v>
      </c>
      <c r="AZ225" s="939">
        <f t="shared" si="17"/>
        <v>3.5678394582625908E-2</v>
      </c>
      <c r="BA225" s="939">
        <f t="shared" si="17"/>
        <v>1.9842801455244339E-2</v>
      </c>
      <c r="BB225" s="939">
        <f t="shared" si="17"/>
        <v>1.1585240119405194E-2</v>
      </c>
      <c r="BC225" s="939">
        <f t="shared" si="17"/>
        <v>-1.8122385196481211E-2</v>
      </c>
      <c r="BD225" s="939">
        <f t="shared" si="17"/>
        <v>4.4623851888940472E-3</v>
      </c>
      <c r="BE225" s="939">
        <f t="shared" si="17"/>
        <v>2.2989188229127318E-2</v>
      </c>
      <c r="BF225" s="939">
        <f t="shared" si="17"/>
        <v>3.1392216456825321E-2</v>
      </c>
      <c r="BG225" s="939">
        <f t="shared" si="17"/>
        <v>1.9326143214309956E-2</v>
      </c>
      <c r="BH225" s="939">
        <f t="shared" si="17"/>
        <v>4.7222542796648934E-2</v>
      </c>
      <c r="BI225" s="939">
        <f t="shared" si="17"/>
        <v>8.428671715651968E-4</v>
      </c>
      <c r="BJ225" s="671"/>
      <c r="BK225" s="671"/>
      <c r="BL225" s="574"/>
      <c r="BM225" s="575"/>
      <c r="BP225" s="152"/>
      <c r="BQ225" s="152"/>
    </row>
    <row r="226" spans="1:93" ht="15.75" customHeight="1">
      <c r="A226" s="150" t="s">
        <v>69</v>
      </c>
      <c r="B226" s="669"/>
      <c r="C226" s="52"/>
      <c r="D226" s="52"/>
      <c r="E226" s="479"/>
      <c r="F226" s="479"/>
      <c r="G226" s="479"/>
      <c r="H226" s="479"/>
      <c r="I226" s="479"/>
      <c r="J226" s="479"/>
      <c r="K226" s="479"/>
      <c r="L226" s="920">
        <f>SUM(C225:L225)/10</f>
        <v>8.7227489848065984E-2</v>
      </c>
      <c r="M226" s="479"/>
      <c r="N226" s="479"/>
      <c r="O226" s="479"/>
      <c r="P226" s="479"/>
      <c r="Q226" s="479"/>
      <c r="R226" s="479"/>
      <c r="S226" s="479"/>
      <c r="T226" s="479"/>
      <c r="U226" s="479"/>
      <c r="V226" s="920">
        <f>SUM(M225:V225)/10</f>
        <v>9.2261369743792621E-2</v>
      </c>
      <c r="W226" s="479"/>
      <c r="X226" s="479"/>
      <c r="Y226" s="479"/>
      <c r="Z226" s="479"/>
      <c r="AA226" s="479"/>
      <c r="AB226" s="479"/>
      <c r="AC226" s="479"/>
      <c r="AD226" s="479"/>
      <c r="AE226" s="479"/>
      <c r="AF226" s="920">
        <f>SUM(W225:AF225)/10</f>
        <v>2.3183890064863526E-2</v>
      </c>
      <c r="AG226" s="479"/>
      <c r="AH226" s="479"/>
      <c r="AI226" s="479"/>
      <c r="AJ226" s="479"/>
      <c r="AK226" s="479"/>
      <c r="AL226" s="479"/>
      <c r="AM226" s="479"/>
      <c r="AN226" s="479"/>
      <c r="AO226" s="479"/>
      <c r="AP226" s="920">
        <f>SUM(AG225:AP225)/10</f>
        <v>4.2904288414105068E-2</v>
      </c>
      <c r="AQ226" s="479"/>
      <c r="AR226" s="479"/>
      <c r="AS226" s="479"/>
      <c r="AT226" s="479"/>
      <c r="AU226" s="479"/>
      <c r="AV226" s="479"/>
      <c r="AW226" s="479"/>
      <c r="AX226" s="479"/>
      <c r="AY226" s="495"/>
      <c r="AZ226" s="920">
        <f>SUM(AQ225:AZ225)/10</f>
        <v>5.8833838341863939E-2</v>
      </c>
      <c r="BA226" s="495"/>
      <c r="BB226" s="495"/>
      <c r="BC226" s="495"/>
      <c r="BD226" s="495"/>
      <c r="BE226" s="495"/>
      <c r="BF226" s="670"/>
      <c r="BG226" s="670"/>
      <c r="BH226" s="670"/>
      <c r="BI226" s="670"/>
      <c r="BJ226" s="881"/>
      <c r="BK226" s="881"/>
      <c r="BP226" s="152"/>
      <c r="BQ226" s="152"/>
    </row>
    <row r="227" spans="1:93" ht="15.75" customHeight="1">
      <c r="A227" s="150"/>
      <c r="B227" s="900"/>
      <c r="C227" s="145"/>
      <c r="D227" s="145"/>
      <c r="E227" s="334"/>
      <c r="F227" s="334"/>
      <c r="G227" s="334"/>
      <c r="H227" s="334"/>
      <c r="I227" s="334"/>
      <c r="J227" s="334"/>
      <c r="K227" s="334"/>
      <c r="L227" s="920"/>
      <c r="M227" s="334"/>
      <c r="N227" s="334"/>
      <c r="O227" s="334"/>
      <c r="P227" s="334"/>
      <c r="Q227" s="334"/>
      <c r="R227" s="334"/>
      <c r="S227" s="334"/>
      <c r="T227" s="334"/>
      <c r="U227" s="334"/>
      <c r="V227" s="920"/>
      <c r="W227" s="334"/>
      <c r="X227" s="334"/>
      <c r="Y227" s="334"/>
      <c r="Z227" s="334"/>
      <c r="AA227" s="334"/>
      <c r="AB227" s="334"/>
      <c r="AC227" s="334"/>
      <c r="AD227" s="334"/>
      <c r="AE227" s="334"/>
      <c r="AF227" s="920"/>
      <c r="AG227" s="334"/>
      <c r="AH227" s="334"/>
      <c r="AI227" s="334"/>
      <c r="AJ227" s="334"/>
      <c r="AK227" s="334"/>
      <c r="AL227" s="334"/>
      <c r="AM227" s="334"/>
      <c r="AN227" s="334"/>
      <c r="AO227" s="334"/>
      <c r="AP227" s="920"/>
      <c r="AQ227" s="334"/>
      <c r="AR227" s="334"/>
      <c r="AS227" s="334"/>
      <c r="AT227" s="334"/>
      <c r="AU227" s="334"/>
      <c r="AV227" s="334"/>
      <c r="AW227" s="334"/>
      <c r="AX227" s="334"/>
      <c r="AY227" s="334"/>
      <c r="AZ227" s="334"/>
      <c r="BA227" s="334"/>
      <c r="BB227" s="334"/>
      <c r="BC227" s="334"/>
      <c r="BD227" s="334"/>
      <c r="BE227" s="334"/>
      <c r="BF227" s="334"/>
      <c r="BG227" s="671"/>
      <c r="BH227" s="671"/>
      <c r="BI227" s="671"/>
      <c r="BJ227" s="871"/>
      <c r="BK227" s="871"/>
      <c r="BP227" s="152"/>
      <c r="BQ227" s="152"/>
    </row>
    <row r="228" spans="1:93" ht="11.25" customHeight="1">
      <c r="A228" s="115" t="s">
        <v>54</v>
      </c>
      <c r="B228" s="816"/>
      <c r="C228" s="157"/>
      <c r="D228" s="145"/>
      <c r="E228" s="334"/>
      <c r="F228" s="334"/>
      <c r="G228" s="334"/>
      <c r="H228" s="334"/>
      <c r="I228" s="334"/>
      <c r="J228" s="334"/>
      <c r="K228" s="334"/>
      <c r="L228" s="919"/>
      <c r="M228" s="334"/>
      <c r="N228" s="334"/>
      <c r="O228" s="334"/>
      <c r="P228" s="334"/>
      <c r="Q228" s="334"/>
      <c r="R228" s="334"/>
      <c r="S228" s="334"/>
      <c r="T228" s="334"/>
      <c r="U228" s="334"/>
      <c r="V228" s="918"/>
      <c r="W228" s="334"/>
      <c r="X228" s="334"/>
      <c r="Y228" s="334"/>
      <c r="Z228" s="334"/>
      <c r="AA228" s="334"/>
      <c r="AB228" s="334"/>
      <c r="AC228" s="334"/>
      <c r="AD228" s="334"/>
      <c r="AE228" s="334"/>
      <c r="AF228" s="918"/>
      <c r="AG228" s="334"/>
      <c r="AH228" s="334"/>
      <c r="AI228" s="334"/>
      <c r="AJ228" s="334"/>
      <c r="AK228" s="334"/>
      <c r="AL228" s="334"/>
      <c r="AM228" s="334"/>
      <c r="AN228" s="334"/>
      <c r="AO228" s="334"/>
      <c r="AP228" s="918"/>
      <c r="AQ228" s="334"/>
      <c r="AR228" s="334"/>
      <c r="AS228" s="334"/>
      <c r="AT228" s="334"/>
      <c r="AU228" s="334"/>
      <c r="AV228" s="334"/>
      <c r="AW228" s="334"/>
      <c r="AX228" s="334"/>
      <c r="AY228" s="334"/>
      <c r="AZ228" s="334"/>
      <c r="BA228" s="334"/>
      <c r="BB228" s="334"/>
      <c r="BC228" s="334"/>
      <c r="BD228" s="334"/>
      <c r="BE228" s="334"/>
      <c r="BF228" s="334"/>
      <c r="BG228" s="410"/>
      <c r="BH228" s="410"/>
      <c r="BI228" s="410"/>
      <c r="BJ228" s="871"/>
      <c r="BK228" s="871"/>
      <c r="BP228" s="152"/>
      <c r="BQ228" s="152"/>
    </row>
    <row r="229" spans="1:93" ht="11.25" customHeight="1">
      <c r="A229" s="115" t="s">
        <v>58</v>
      </c>
      <c r="B229" s="816" t="s">
        <v>70</v>
      </c>
      <c r="C229" s="114"/>
      <c r="L229" s="920"/>
      <c r="M229" s="889"/>
      <c r="V229" s="920"/>
      <c r="AF229" s="920"/>
      <c r="AG229" s="334"/>
      <c r="AH229" s="334"/>
      <c r="AI229" s="334"/>
      <c r="AK229" s="334"/>
      <c r="AM229" s="152"/>
      <c r="AN229" s="152"/>
      <c r="AO229" s="152"/>
      <c r="AP229" s="920"/>
      <c r="AQ229" s="152"/>
      <c r="AR229" s="152"/>
      <c r="AS229" s="152"/>
      <c r="AT229" s="152"/>
      <c r="AU229" s="152"/>
      <c r="AV229" s="152"/>
      <c r="AW229" s="152"/>
      <c r="AX229" s="152"/>
      <c r="AY229" s="152"/>
      <c r="AZ229" s="152"/>
      <c r="BA229" s="152"/>
      <c r="BB229" s="152"/>
      <c r="BC229" s="152"/>
      <c r="BD229" s="152"/>
      <c r="BE229" s="152"/>
      <c r="BF229" s="152"/>
      <c r="BG229" s="672"/>
      <c r="BH229" s="672"/>
      <c r="BI229" s="672"/>
      <c r="BJ229" s="871"/>
      <c r="BK229" s="871"/>
      <c r="BP229" s="152"/>
      <c r="BQ229" s="152"/>
    </row>
    <row r="230" spans="1:93" ht="11.25" customHeight="1">
      <c r="A230" s="115" t="s">
        <v>55</v>
      </c>
      <c r="B230" s="286" t="s">
        <v>168</v>
      </c>
      <c r="C230" s="111"/>
      <c r="V230" s="924"/>
      <c r="AF230" s="924"/>
      <c r="AK230" s="186"/>
      <c r="AM230" s="152"/>
      <c r="AN230" s="152"/>
      <c r="AO230" s="152"/>
      <c r="AP230" s="924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52"/>
      <c r="BE230" s="152"/>
      <c r="BF230" s="152"/>
      <c r="BP230" s="152"/>
      <c r="BQ230" s="152"/>
    </row>
    <row r="231" spans="1:93" ht="11.25" customHeight="1">
      <c r="A231" s="115"/>
      <c r="B231" s="816"/>
      <c r="C231" s="111"/>
      <c r="AK231" s="487"/>
      <c r="AM231" s="152"/>
      <c r="AN231" s="152"/>
      <c r="AO231" s="152"/>
      <c r="AP231" s="924"/>
      <c r="AQ231" s="152"/>
      <c r="AR231" s="152"/>
      <c r="AS231" s="152"/>
      <c r="AT231" s="152"/>
      <c r="AU231" s="152"/>
      <c r="AV231" s="152"/>
      <c r="BP231" s="152"/>
      <c r="BQ231" s="152"/>
    </row>
    <row r="232" spans="1:93">
      <c r="A232" s="289" t="s">
        <v>121</v>
      </c>
      <c r="B232" s="816"/>
      <c r="C232" s="110"/>
      <c r="D232" s="69"/>
      <c r="L232" s="921"/>
      <c r="M232" s="484"/>
      <c r="AT232" s="152"/>
      <c r="AU232" s="152"/>
      <c r="AV232" s="152"/>
      <c r="BJ232" s="871"/>
      <c r="BK232" s="871"/>
      <c r="BP232" s="152"/>
      <c r="BQ232" s="152"/>
    </row>
    <row r="233" spans="1:93" ht="11.25" customHeight="1">
      <c r="A233" s="110" t="s">
        <v>63</v>
      </c>
      <c r="B233" s="643"/>
      <c r="C233" s="110"/>
      <c r="D233" s="69"/>
      <c r="L233" s="921"/>
      <c r="M233" s="484"/>
      <c r="BJ233" s="871"/>
      <c r="BK233" s="871"/>
      <c r="BP233" s="152"/>
      <c r="BQ233" s="152"/>
    </row>
    <row r="234" spans="1:93">
      <c r="A234" s="115"/>
      <c r="B234" s="643"/>
      <c r="C234" s="111"/>
      <c r="AM234" s="152"/>
      <c r="AN234" s="152"/>
      <c r="AO234" s="152"/>
      <c r="AP234" s="217"/>
      <c r="AQ234" s="152"/>
      <c r="AR234" s="152"/>
      <c r="AS234" s="152"/>
      <c r="BJ234" s="871"/>
      <c r="BK234" s="871"/>
      <c r="BP234" s="152"/>
      <c r="BQ234" s="152"/>
    </row>
    <row r="235" spans="1:93" s="177" customFormat="1">
      <c r="A235" s="178"/>
      <c r="B235" s="816"/>
      <c r="C235" s="816"/>
      <c r="D235" s="178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4"/>
      <c r="P235" s="664"/>
      <c r="Q235" s="664"/>
      <c r="R235" s="664"/>
      <c r="S235" s="664"/>
      <c r="T235" s="664"/>
      <c r="U235" s="664"/>
      <c r="V235" s="664"/>
      <c r="W235" s="664"/>
      <c r="X235" s="664"/>
      <c r="Y235" s="664"/>
      <c r="Z235" s="664"/>
      <c r="AA235" s="664"/>
      <c r="AB235" s="664"/>
      <c r="AC235" s="664"/>
      <c r="AD235" s="664"/>
      <c r="AE235" s="664"/>
      <c r="AF235" s="664"/>
      <c r="AG235" s="664"/>
      <c r="AH235" s="664"/>
      <c r="AI235" s="664"/>
      <c r="AJ235" s="664"/>
      <c r="AK235" s="664"/>
      <c r="AL235" s="664"/>
      <c r="AM235" s="217"/>
      <c r="AN235" s="217"/>
      <c r="AO235" s="217"/>
      <c r="AP235" s="217"/>
      <c r="AQ235" s="217"/>
      <c r="AR235" s="217"/>
      <c r="AS235" s="921"/>
      <c r="AT235" s="217"/>
      <c r="AU235" s="217"/>
      <c r="AV235" s="217"/>
      <c r="AW235" s="664"/>
      <c r="AX235" s="664"/>
      <c r="AY235" s="428"/>
      <c r="AZ235" s="428"/>
      <c r="BA235" s="428"/>
      <c r="BB235" s="428"/>
      <c r="BC235" s="428"/>
      <c r="BD235" s="428"/>
      <c r="BE235" s="428"/>
      <c r="BF235" s="429"/>
      <c r="BG235" s="429"/>
      <c r="BH235" s="429"/>
      <c r="BI235" s="429"/>
      <c r="BJ235" s="871"/>
      <c r="BK235" s="871"/>
      <c r="BL235" s="559"/>
      <c r="BM235" s="560"/>
      <c r="BN235" s="391"/>
      <c r="BO235" s="391"/>
      <c r="BP235" s="217"/>
      <c r="BQ235" s="217"/>
      <c r="BR235" s="391"/>
      <c r="BS235" s="391"/>
      <c r="BT235" s="391"/>
      <c r="BU235" s="391"/>
      <c r="BV235" s="391"/>
      <c r="BW235" s="391"/>
      <c r="BX235" s="391"/>
      <c r="BY235" s="391"/>
      <c r="BZ235" s="391"/>
      <c r="CA235" s="391"/>
      <c r="CB235" s="391"/>
      <c r="CC235" s="391"/>
      <c r="CD235" s="391"/>
      <c r="CE235" s="391"/>
      <c r="CF235" s="391"/>
      <c r="CG235" s="391"/>
      <c r="CH235" s="391"/>
      <c r="CI235" s="391"/>
      <c r="CJ235" s="391"/>
      <c r="CK235" s="391"/>
      <c r="CL235" s="391"/>
      <c r="CM235" s="391"/>
      <c r="CN235" s="391"/>
      <c r="CO235" s="391"/>
    </row>
    <row r="236" spans="1:93" s="942" customFormat="1">
      <c r="A236" s="922"/>
      <c r="B236" s="901"/>
      <c r="C236" s="940"/>
      <c r="D236" s="940"/>
      <c r="E236" s="900"/>
      <c r="F236" s="900"/>
      <c r="G236" s="900"/>
      <c r="H236" s="900"/>
      <c r="I236" s="900"/>
      <c r="J236" s="900"/>
      <c r="K236" s="900"/>
      <c r="L236" s="673"/>
      <c r="M236" s="900"/>
      <c r="N236" s="900"/>
      <c r="O236" s="900"/>
      <c r="P236" s="900"/>
      <c r="Q236" s="673"/>
      <c r="R236" s="900"/>
      <c r="S236" s="900"/>
      <c r="T236" s="900"/>
      <c r="U236" s="900"/>
      <c r="V236" s="673"/>
      <c r="W236" s="900"/>
      <c r="X236" s="652"/>
      <c r="Y236" s="652"/>
      <c r="Z236" s="900"/>
      <c r="AA236" s="900"/>
      <c r="AB236" s="900"/>
      <c r="AC236" s="900"/>
      <c r="AD236" s="900"/>
      <c r="AE236" s="900"/>
      <c r="AF236" s="673"/>
      <c r="AG236" s="900"/>
      <c r="AH236" s="900"/>
      <c r="AI236" s="900"/>
      <c r="AJ236" s="900"/>
      <c r="AK236" s="900"/>
      <c r="AL236" s="900"/>
      <c r="AM236" s="900"/>
      <c r="AN236" s="900"/>
      <c r="AO236" s="900"/>
      <c r="AP236" s="673"/>
      <c r="AQ236" s="900"/>
      <c r="AR236" s="900"/>
      <c r="AS236" s="900"/>
      <c r="AT236" s="900"/>
      <c r="AU236" s="918"/>
      <c r="AV236" s="918"/>
      <c r="AW236" s="918"/>
      <c r="AX236" s="918"/>
      <c r="AY236" s="671"/>
      <c r="AZ236" s="937"/>
      <c r="BA236" s="671"/>
      <c r="BB236" s="937"/>
      <c r="BC236" s="937"/>
      <c r="BD236" s="937"/>
      <c r="BE236" s="673"/>
      <c r="BF236" s="673"/>
      <c r="BG236" s="673"/>
      <c r="BH236" s="673"/>
      <c r="BI236" s="673"/>
      <c r="BJ236" s="871"/>
      <c r="BK236" s="871"/>
      <c r="BL236" s="559"/>
      <c r="BM236" s="560"/>
      <c r="BN236" s="941"/>
      <c r="BO236" s="941"/>
      <c r="BP236" s="217"/>
      <c r="BQ236" s="217"/>
      <c r="BR236" s="941"/>
      <c r="BS236" s="941"/>
      <c r="BT236" s="941"/>
      <c r="BU236" s="941"/>
      <c r="BV236" s="941"/>
      <c r="BW236" s="941"/>
      <c r="BX236" s="941"/>
      <c r="BY236" s="941"/>
      <c r="BZ236" s="941"/>
      <c r="CA236" s="941"/>
      <c r="CB236" s="941"/>
      <c r="CC236" s="941"/>
      <c r="CD236" s="941"/>
      <c r="CE236" s="941"/>
      <c r="CF236" s="941"/>
      <c r="CG236" s="941"/>
      <c r="CH236" s="941"/>
      <c r="CI236" s="941"/>
      <c r="CJ236" s="941"/>
      <c r="CK236" s="941"/>
      <c r="CL236" s="941"/>
      <c r="CM236" s="941"/>
      <c r="CN236" s="941"/>
      <c r="CO236" s="941"/>
    </row>
    <row r="237" spans="1:93" s="942" customFormat="1">
      <c r="A237" s="922"/>
      <c r="B237" s="901"/>
      <c r="C237" s="940"/>
      <c r="D237" s="940"/>
      <c r="E237" s="900"/>
      <c r="F237" s="900"/>
      <c r="G237" s="900"/>
      <c r="H237" s="900"/>
      <c r="I237" s="900"/>
      <c r="J237" s="900"/>
      <c r="K237" s="900"/>
      <c r="L237" s="673"/>
      <c r="M237" s="900"/>
      <c r="N237" s="900"/>
      <c r="O237" s="900"/>
      <c r="P237" s="900"/>
      <c r="Q237" s="673"/>
      <c r="R237" s="900"/>
      <c r="S237" s="900"/>
      <c r="T237" s="900"/>
      <c r="U237" s="900"/>
      <c r="V237" s="673"/>
      <c r="W237" s="900"/>
      <c r="X237" s="900"/>
      <c r="Y237" s="900"/>
      <c r="Z237" s="900"/>
      <c r="AA237" s="900"/>
      <c r="AB237" s="900"/>
      <c r="AC237" s="900"/>
      <c r="AD237" s="900"/>
      <c r="AE237" s="900"/>
      <c r="AF237" s="673"/>
      <c r="AG237" s="900"/>
      <c r="AH237" s="900"/>
      <c r="AI237" s="900"/>
      <c r="AJ237" s="900"/>
      <c r="AK237" s="900"/>
      <c r="AL237" s="900"/>
      <c r="AM237" s="900"/>
      <c r="AN237" s="900"/>
      <c r="AO237" s="900"/>
      <c r="AP237" s="673"/>
      <c r="AQ237" s="900"/>
      <c r="AR237" s="900"/>
      <c r="AS237" s="900"/>
      <c r="AT237" s="900"/>
      <c r="AU237" s="918"/>
      <c r="AV237" s="918"/>
      <c r="AW237" s="918"/>
      <c r="AX237" s="918"/>
      <c r="AY237" s="671"/>
      <c r="AZ237" s="937"/>
      <c r="BA237" s="671"/>
      <c r="BB237" s="937"/>
      <c r="BC237" s="937"/>
      <c r="BD237" s="937"/>
      <c r="BE237" s="673"/>
      <c r="BF237" s="673"/>
      <c r="BG237" s="673"/>
      <c r="BH237" s="673"/>
      <c r="BI237" s="673"/>
      <c r="BJ237" s="871"/>
      <c r="BK237" s="871"/>
      <c r="BL237" s="559"/>
      <c r="BM237" s="560"/>
      <c r="BN237" s="941"/>
      <c r="BO237" s="941"/>
      <c r="BP237" s="217"/>
      <c r="BQ237" s="217"/>
      <c r="BR237" s="941"/>
      <c r="BS237" s="941"/>
      <c r="BT237" s="941"/>
      <c r="BU237" s="941"/>
      <c r="BV237" s="941"/>
      <c r="BW237" s="941"/>
      <c r="BX237" s="941"/>
      <c r="BY237" s="941"/>
      <c r="BZ237" s="941"/>
      <c r="CA237" s="941"/>
      <c r="CB237" s="941"/>
      <c r="CC237" s="941"/>
      <c r="CD237" s="941"/>
      <c r="CE237" s="941"/>
      <c r="CF237" s="941"/>
      <c r="CG237" s="941"/>
      <c r="CH237" s="941"/>
      <c r="CI237" s="941"/>
      <c r="CJ237" s="941"/>
      <c r="CK237" s="941"/>
      <c r="CL237" s="941"/>
      <c r="CM237" s="941"/>
      <c r="CN237" s="941"/>
      <c r="CO237" s="941"/>
    </row>
    <row r="238" spans="1:93" s="942" customFormat="1">
      <c r="A238" s="922"/>
      <c r="B238" s="901"/>
      <c r="C238" s="940"/>
      <c r="D238" s="940"/>
      <c r="E238" s="900"/>
      <c r="F238" s="900"/>
      <c r="G238" s="918"/>
      <c r="H238" s="900"/>
      <c r="I238" s="900"/>
      <c r="J238" s="900"/>
      <c r="K238" s="900"/>
      <c r="L238" s="673"/>
      <c r="M238" s="900"/>
      <c r="N238" s="900"/>
      <c r="O238" s="900"/>
      <c r="P238" s="900"/>
      <c r="Q238" s="673"/>
      <c r="R238" s="900"/>
      <c r="S238" s="900"/>
      <c r="T238" s="900"/>
      <c r="U238" s="900"/>
      <c r="V238" s="673"/>
      <c r="W238" s="900"/>
      <c r="X238" s="900"/>
      <c r="Y238" s="900"/>
      <c r="Z238" s="900"/>
      <c r="AA238" s="918"/>
      <c r="AB238" s="900"/>
      <c r="AC238" s="900"/>
      <c r="AD238" s="900"/>
      <c r="AE238" s="900"/>
      <c r="AF238" s="673"/>
      <c r="AG238" s="900"/>
      <c r="AH238" s="900"/>
      <c r="AI238" s="900"/>
      <c r="AJ238" s="900"/>
      <c r="AK238" s="918"/>
      <c r="AL238" s="900"/>
      <c r="AM238" s="900"/>
      <c r="AN238" s="900"/>
      <c r="AO238" s="900"/>
      <c r="AP238" s="673"/>
      <c r="AQ238" s="900"/>
      <c r="AR238" s="900"/>
      <c r="AS238" s="900"/>
      <c r="AT238" s="900"/>
      <c r="AU238" s="918"/>
      <c r="AV238" s="918"/>
      <c r="AW238" s="900"/>
      <c r="AX238" s="900"/>
      <c r="AY238" s="557"/>
      <c r="AZ238" s="937"/>
      <c r="BA238" s="557"/>
      <c r="BB238" s="937"/>
      <c r="BC238" s="937"/>
      <c r="BD238" s="937"/>
      <c r="BE238" s="673"/>
      <c r="BF238" s="673"/>
      <c r="BG238" s="673"/>
      <c r="BH238" s="673"/>
      <c r="BI238" s="673"/>
      <c r="BJ238" s="871"/>
      <c r="BK238" s="871"/>
      <c r="BL238" s="559"/>
      <c r="BM238" s="560"/>
      <c r="BN238" s="941"/>
      <c r="BO238" s="941"/>
      <c r="BP238" s="217"/>
      <c r="BQ238" s="217"/>
      <c r="BR238" s="941"/>
      <c r="BS238" s="941"/>
      <c r="BT238" s="941"/>
      <c r="BU238" s="941"/>
      <c r="BV238" s="941"/>
      <c r="BW238" s="941"/>
      <c r="BX238" s="941"/>
      <c r="BY238" s="941"/>
      <c r="BZ238" s="941"/>
      <c r="CA238" s="941"/>
      <c r="CB238" s="941"/>
      <c r="CC238" s="941"/>
      <c r="CD238" s="941"/>
      <c r="CE238" s="941"/>
      <c r="CF238" s="941"/>
      <c r="CG238" s="941"/>
      <c r="CH238" s="941"/>
      <c r="CI238" s="941"/>
      <c r="CJ238" s="941"/>
      <c r="CK238" s="941"/>
      <c r="CL238" s="941"/>
      <c r="CM238" s="941"/>
      <c r="CN238" s="941"/>
      <c r="CO238" s="941"/>
    </row>
    <row r="239" spans="1:93" s="942" customFormat="1">
      <c r="A239" s="922"/>
      <c r="B239" s="901"/>
      <c r="C239" s="940"/>
      <c r="D239" s="940"/>
      <c r="E239" s="900"/>
      <c r="F239" s="900"/>
      <c r="G239" s="900"/>
      <c r="H239" s="900"/>
      <c r="I239" s="900"/>
      <c r="J239" s="900"/>
      <c r="K239" s="900"/>
      <c r="L239" s="652"/>
      <c r="M239" s="900"/>
      <c r="N239" s="900"/>
      <c r="O239" s="900"/>
      <c r="P239" s="900"/>
      <c r="Q239" s="652"/>
      <c r="R239" s="900"/>
      <c r="S239" s="900"/>
      <c r="T239" s="900"/>
      <c r="U239" s="900"/>
      <c r="V239" s="652"/>
      <c r="W239" s="900"/>
      <c r="X239" s="900"/>
      <c r="Y239" s="900"/>
      <c r="Z239" s="900"/>
      <c r="AA239" s="900"/>
      <c r="AB239" s="900"/>
      <c r="AC239" s="900"/>
      <c r="AD239" s="900"/>
      <c r="AE239" s="900"/>
      <c r="AF239" s="652"/>
      <c r="AG239" s="900"/>
      <c r="AH239" s="900"/>
      <c r="AI239" s="900"/>
      <c r="AJ239" s="900"/>
      <c r="AK239" s="900"/>
      <c r="AL239" s="900"/>
      <c r="AM239" s="900"/>
      <c r="AN239" s="900"/>
      <c r="AO239" s="900"/>
      <c r="AP239" s="652"/>
      <c r="AQ239" s="900"/>
      <c r="AR239" s="900"/>
      <c r="AS239" s="900"/>
      <c r="AT239" s="900"/>
      <c r="AU239" s="918"/>
      <c r="AV239" s="918"/>
      <c r="AW239" s="900"/>
      <c r="AX239" s="900"/>
      <c r="AY239" s="557"/>
      <c r="AZ239" s="430"/>
      <c r="BA239" s="557"/>
      <c r="BB239" s="430"/>
      <c r="BC239" s="430"/>
      <c r="BD239" s="430"/>
      <c r="BE239" s="652"/>
      <c r="BF239" s="652"/>
      <c r="BG239" s="652"/>
      <c r="BH239" s="652"/>
      <c r="BI239" s="652"/>
      <c r="BJ239" s="871"/>
      <c r="BK239" s="871"/>
      <c r="BL239" s="559"/>
      <c r="BM239" s="560"/>
      <c r="BN239" s="941"/>
      <c r="BO239" s="941"/>
      <c r="BP239" s="217"/>
      <c r="BQ239" s="217"/>
      <c r="BR239" s="941"/>
      <c r="BS239" s="941"/>
      <c r="BT239" s="941"/>
      <c r="BU239" s="941"/>
      <c r="BV239" s="941"/>
      <c r="BW239" s="941"/>
      <c r="BX239" s="941"/>
      <c r="BY239" s="941"/>
      <c r="BZ239" s="941"/>
      <c r="CA239" s="941"/>
      <c r="CB239" s="941"/>
      <c r="CC239" s="941"/>
      <c r="CD239" s="941"/>
      <c r="CE239" s="941"/>
      <c r="CF239" s="941"/>
      <c r="CG239" s="941"/>
      <c r="CH239" s="941"/>
      <c r="CI239" s="941"/>
      <c r="CJ239" s="941"/>
      <c r="CK239" s="941"/>
      <c r="CL239" s="941"/>
      <c r="CM239" s="941"/>
      <c r="CN239" s="941"/>
      <c r="CO239" s="941"/>
    </row>
    <row r="240" spans="1:93" s="177" customFormat="1">
      <c r="A240" s="922"/>
      <c r="B240" s="178"/>
      <c r="C240" s="178"/>
      <c r="D240" s="178"/>
      <c r="E240" s="664"/>
      <c r="F240" s="664"/>
      <c r="G240" s="664"/>
      <c r="H240" s="664"/>
      <c r="I240" s="664"/>
      <c r="J240" s="664"/>
      <c r="K240" s="664"/>
      <c r="L240" s="652"/>
      <c r="M240" s="664"/>
      <c r="N240" s="664"/>
      <c r="O240" s="664"/>
      <c r="P240" s="664"/>
      <c r="Q240" s="652"/>
      <c r="R240" s="664"/>
      <c r="S240" s="664"/>
      <c r="T240" s="664"/>
      <c r="U240" s="664"/>
      <c r="V240" s="652"/>
      <c r="W240" s="664"/>
      <c r="X240" s="664"/>
      <c r="Y240" s="664"/>
      <c r="Z240" s="664"/>
      <c r="AA240" s="664"/>
      <c r="AB240" s="664"/>
      <c r="AC240" s="664"/>
      <c r="AD240" s="664"/>
      <c r="AE240" s="664"/>
      <c r="AF240" s="652"/>
      <c r="AG240" s="664"/>
      <c r="AH240" s="664"/>
      <c r="AI240" s="664"/>
      <c r="AJ240" s="664"/>
      <c r="AK240" s="664"/>
      <c r="AL240" s="664"/>
      <c r="AM240" s="664"/>
      <c r="AN240" s="664"/>
      <c r="AO240" s="664"/>
      <c r="AP240" s="652"/>
      <c r="AQ240" s="664"/>
      <c r="AR240" s="664"/>
      <c r="AS240" s="664"/>
      <c r="AT240" s="664"/>
      <c r="AU240" s="664"/>
      <c r="AV240" s="664"/>
      <c r="AW240" s="664"/>
      <c r="AX240" s="664"/>
      <c r="AY240" s="428"/>
      <c r="AZ240" s="430"/>
      <c r="BA240" s="428"/>
      <c r="BB240" s="428"/>
      <c r="BC240" s="428"/>
      <c r="BD240" s="428"/>
      <c r="BE240" s="652"/>
      <c r="BF240" s="652"/>
      <c r="BG240" s="652"/>
      <c r="BH240" s="652"/>
      <c r="BI240" s="652"/>
      <c r="BJ240" s="871"/>
      <c r="BK240" s="871"/>
      <c r="BL240" s="559"/>
      <c r="BM240" s="560"/>
      <c r="BN240" s="391"/>
      <c r="BO240" s="391"/>
      <c r="BP240" s="217"/>
      <c r="BQ240" s="217"/>
      <c r="BR240" s="391"/>
      <c r="BS240" s="391"/>
      <c r="BT240" s="391"/>
      <c r="BU240" s="391"/>
      <c r="BV240" s="391"/>
      <c r="BW240" s="391"/>
      <c r="BX240" s="391"/>
      <c r="BY240" s="391"/>
      <c r="BZ240" s="391"/>
      <c r="CA240" s="391"/>
      <c r="CB240" s="391"/>
      <c r="CC240" s="391"/>
      <c r="CD240" s="391"/>
      <c r="CE240" s="391"/>
      <c r="CF240" s="391"/>
      <c r="CG240" s="391"/>
      <c r="CH240" s="391"/>
      <c r="CI240" s="391"/>
      <c r="CJ240" s="391"/>
      <c r="CK240" s="391"/>
      <c r="CL240" s="391"/>
      <c r="CM240" s="391"/>
      <c r="CN240" s="391"/>
      <c r="CO240" s="391"/>
    </row>
    <row r="241" spans="1:93">
      <c r="A241" s="186"/>
      <c r="L241" s="652"/>
      <c r="Q241" s="339"/>
      <c r="V241" s="652"/>
      <c r="AF241" s="652"/>
      <c r="AP241" s="652"/>
      <c r="AZ241" s="430"/>
      <c r="BE241" s="339"/>
      <c r="BF241" s="652"/>
      <c r="BG241" s="652"/>
      <c r="BH241" s="652"/>
      <c r="BI241" s="652"/>
      <c r="BJ241" s="871"/>
      <c r="BK241" s="871"/>
      <c r="BP241" s="152"/>
      <c r="BQ241" s="152"/>
    </row>
    <row r="242" spans="1:93">
      <c r="A242" s="110"/>
      <c r="B242" s="182"/>
      <c r="L242" s="652"/>
      <c r="Q242" s="339"/>
      <c r="V242" s="652"/>
      <c r="AF242" s="652"/>
      <c r="AM242" s="152"/>
      <c r="AN242" s="152"/>
      <c r="AO242" s="152"/>
      <c r="AP242" s="652"/>
      <c r="AQ242" s="152"/>
      <c r="AR242" s="152"/>
      <c r="AS242" s="152"/>
      <c r="AT242" s="152"/>
      <c r="AU242" s="152"/>
      <c r="AV242" s="152"/>
      <c r="AZ242" s="430"/>
      <c r="BE242" s="339"/>
      <c r="BF242" s="652"/>
      <c r="BG242" s="652"/>
      <c r="BH242" s="652"/>
      <c r="BI242" s="652"/>
      <c r="BJ242" s="871"/>
      <c r="BK242" s="871"/>
      <c r="BP242" s="152"/>
      <c r="BQ242" s="152"/>
    </row>
    <row r="243" spans="1:93">
      <c r="A243" s="110"/>
      <c r="B243" s="182"/>
      <c r="L243" s="652"/>
      <c r="Q243" s="339"/>
      <c r="V243" s="652"/>
      <c r="AF243" s="652"/>
      <c r="AM243" s="152"/>
      <c r="AN243" s="152"/>
      <c r="AO243" s="152"/>
      <c r="AP243" s="652"/>
      <c r="AQ243" s="152"/>
      <c r="AR243" s="152"/>
      <c r="AS243" s="152"/>
      <c r="AT243" s="152"/>
      <c r="AU243" s="152"/>
      <c r="AV243" s="152"/>
      <c r="AZ243" s="430"/>
      <c r="BE243" s="339"/>
      <c r="BF243" s="652"/>
      <c r="BG243" s="652"/>
      <c r="BH243" s="652"/>
      <c r="BI243" s="652"/>
      <c r="BJ243" s="871"/>
      <c r="BK243" s="871"/>
      <c r="BP243" s="152"/>
      <c r="BQ243" s="152"/>
    </row>
    <row r="244" spans="1:93">
      <c r="A244" s="110"/>
      <c r="B244" s="182"/>
      <c r="L244" s="652"/>
      <c r="Q244" s="339"/>
      <c r="V244" s="652"/>
      <c r="AF244" s="652"/>
      <c r="AM244" s="152"/>
      <c r="AN244" s="152"/>
      <c r="AO244" s="152"/>
      <c r="AP244" s="652"/>
      <c r="AQ244" s="152"/>
      <c r="AR244" s="152"/>
      <c r="AS244" s="152"/>
      <c r="AT244" s="152"/>
      <c r="AU244" s="152"/>
      <c r="AV244" s="152"/>
      <c r="AZ244" s="430"/>
      <c r="BE244" s="339"/>
      <c r="BF244" s="652"/>
      <c r="BG244" s="652"/>
      <c r="BH244" s="652"/>
      <c r="BI244" s="652"/>
      <c r="BJ244" s="871"/>
      <c r="BK244" s="871"/>
      <c r="BP244" s="152"/>
      <c r="BQ244" s="152"/>
    </row>
    <row r="245" spans="1:93">
      <c r="A245" s="186"/>
      <c r="B245" s="182"/>
      <c r="L245" s="922"/>
      <c r="AM245" s="152"/>
      <c r="AN245" s="152"/>
      <c r="AO245" s="152"/>
      <c r="AP245" s="217"/>
      <c r="AQ245" s="152"/>
      <c r="AR245" s="152"/>
      <c r="AS245" s="152"/>
      <c r="AT245" s="152"/>
      <c r="AU245" s="152"/>
      <c r="AV245" s="152"/>
      <c r="BJ245" s="871"/>
      <c r="BK245" s="871"/>
      <c r="BP245" s="152"/>
      <c r="BQ245" s="152"/>
    </row>
    <row r="246" spans="1:93">
      <c r="A246" s="186"/>
      <c r="B246" s="182"/>
      <c r="L246" s="922"/>
      <c r="AM246" s="152"/>
      <c r="AN246" s="152"/>
      <c r="AO246" s="152"/>
      <c r="AP246" s="217"/>
      <c r="AQ246" s="152"/>
      <c r="AR246" s="152"/>
      <c r="AS246" s="152"/>
      <c r="AT246" s="152"/>
      <c r="AU246" s="152"/>
      <c r="AV246" s="152"/>
      <c r="BJ246" s="871"/>
      <c r="BK246" s="871"/>
      <c r="BP246" s="152"/>
      <c r="BQ246" s="152"/>
    </row>
    <row r="247" spans="1:93">
      <c r="B247" s="182"/>
      <c r="AM247" s="152"/>
      <c r="AN247" s="152"/>
      <c r="AO247" s="152"/>
      <c r="AP247" s="217"/>
      <c r="AQ247" s="152"/>
      <c r="AR247" s="152"/>
      <c r="AS247" s="152"/>
      <c r="AT247" s="152"/>
      <c r="AU247" s="152"/>
      <c r="AV247" s="152"/>
      <c r="BJ247" s="871"/>
      <c r="BK247" s="871"/>
      <c r="BP247" s="152"/>
      <c r="BQ247" s="152"/>
    </row>
    <row r="248" spans="1:93" s="112" customFormat="1" ht="11">
      <c r="A248" s="110"/>
      <c r="B248" s="902"/>
      <c r="C248" s="110"/>
      <c r="D248" s="110"/>
      <c r="E248" s="186"/>
      <c r="F248" s="186"/>
      <c r="G248" s="186"/>
      <c r="H248" s="186"/>
      <c r="I248" s="186"/>
      <c r="J248" s="186"/>
      <c r="K248" s="186"/>
      <c r="L248" s="922"/>
      <c r="M248" s="186"/>
      <c r="N248" s="186"/>
      <c r="O248" s="186"/>
      <c r="P248" s="186"/>
      <c r="Q248" s="186"/>
      <c r="R248" s="186"/>
      <c r="S248" s="186"/>
      <c r="T248" s="186"/>
      <c r="U248" s="186"/>
      <c r="V248" s="922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922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652"/>
      <c r="AQ248" s="339"/>
      <c r="AR248" s="339"/>
      <c r="AS248" s="339"/>
      <c r="AT248" s="339"/>
      <c r="AU248" s="339"/>
      <c r="AV248" s="339"/>
      <c r="AW248" s="339"/>
      <c r="AX248" s="339"/>
      <c r="AY248" s="339"/>
      <c r="AZ248" s="652"/>
      <c r="BA248" s="339"/>
      <c r="BB248" s="339"/>
      <c r="BC248" s="339"/>
      <c r="BD248" s="339"/>
      <c r="BE248" s="339"/>
      <c r="BF248" s="652"/>
      <c r="BG248" s="652"/>
      <c r="BH248" s="652"/>
      <c r="BI248" s="652"/>
      <c r="BJ248" s="527"/>
      <c r="BK248" s="527"/>
      <c r="BL248" s="580"/>
      <c r="BM248" s="580"/>
      <c r="BN248" s="319"/>
      <c r="BO248" s="319"/>
      <c r="BP248" s="152"/>
      <c r="BQ248" s="152"/>
      <c r="BR248" s="319"/>
      <c r="BS248" s="319"/>
      <c r="BT248" s="319"/>
      <c r="BU248" s="319"/>
      <c r="BV248" s="319"/>
      <c r="BW248" s="319"/>
      <c r="BX248" s="319"/>
      <c r="BY248" s="319"/>
      <c r="BZ248" s="319"/>
      <c r="CA248" s="319"/>
      <c r="CB248" s="319"/>
      <c r="CC248" s="319"/>
      <c r="CD248" s="319"/>
      <c r="CE248" s="319"/>
      <c r="CF248" s="319"/>
      <c r="CG248" s="319"/>
      <c r="CH248" s="319"/>
      <c r="CI248" s="319"/>
      <c r="CJ248" s="319"/>
      <c r="CK248" s="319"/>
      <c r="CL248" s="319"/>
      <c r="CM248" s="319"/>
      <c r="CN248" s="319"/>
      <c r="CO248" s="319"/>
    </row>
    <row r="249" spans="1:93" s="112" customFormat="1" ht="11">
      <c r="A249" s="110"/>
      <c r="B249" s="902"/>
      <c r="C249" s="110"/>
      <c r="D249" s="110"/>
      <c r="E249" s="186"/>
      <c r="F249" s="186"/>
      <c r="G249" s="186"/>
      <c r="H249" s="186"/>
      <c r="I249" s="186"/>
      <c r="J249" s="186"/>
      <c r="K249" s="186"/>
      <c r="L249" s="922"/>
      <c r="M249" s="186"/>
      <c r="N249" s="186"/>
      <c r="O249" s="186"/>
      <c r="P249" s="186"/>
      <c r="Q249" s="186"/>
      <c r="R249" s="186"/>
      <c r="S249" s="186"/>
      <c r="T249" s="186"/>
      <c r="U249" s="186"/>
      <c r="V249" s="922"/>
      <c r="W249" s="186"/>
      <c r="X249" s="186"/>
      <c r="Y249" s="186"/>
      <c r="Z249" s="186"/>
      <c r="AA249" s="186"/>
      <c r="AB249" s="186"/>
      <c r="AC249" s="186"/>
      <c r="AD249" s="186"/>
      <c r="AE249" s="186"/>
      <c r="AF249" s="922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922"/>
      <c r="AQ249" s="186"/>
      <c r="AR249" s="186"/>
      <c r="AS249" s="339"/>
      <c r="AT249" s="339"/>
      <c r="AU249" s="339"/>
      <c r="AV249" s="339"/>
      <c r="AW249" s="339"/>
      <c r="AX249" s="339"/>
      <c r="AY249" s="339"/>
      <c r="AZ249" s="652"/>
      <c r="BA249" s="339"/>
      <c r="BB249" s="339"/>
      <c r="BC249" s="339"/>
      <c r="BD249" s="339"/>
      <c r="BE249" s="339"/>
      <c r="BF249" s="652"/>
      <c r="BG249" s="652"/>
      <c r="BH249" s="652"/>
      <c r="BI249" s="652"/>
      <c r="BJ249" s="527"/>
      <c r="BK249" s="527"/>
      <c r="BL249" s="580"/>
      <c r="BM249" s="580"/>
      <c r="BN249" s="319"/>
      <c r="BO249" s="319"/>
      <c r="BP249" s="152"/>
      <c r="BQ249" s="152"/>
      <c r="BR249" s="319"/>
      <c r="BS249" s="319"/>
      <c r="BT249" s="319"/>
      <c r="BU249" s="319"/>
      <c r="BV249" s="319"/>
      <c r="BW249" s="319"/>
      <c r="BX249" s="319"/>
      <c r="BY249" s="319"/>
      <c r="BZ249" s="319"/>
      <c r="CA249" s="319"/>
      <c r="CB249" s="319"/>
      <c r="CC249" s="319"/>
      <c r="CD249" s="319"/>
      <c r="CE249" s="319"/>
      <c r="CF249" s="319"/>
      <c r="CG249" s="319"/>
      <c r="CH249" s="319"/>
      <c r="CI249" s="319"/>
      <c r="CJ249" s="319"/>
      <c r="CK249" s="319"/>
      <c r="CL249" s="319"/>
      <c r="CM249" s="319"/>
      <c r="CN249" s="319"/>
      <c r="CO249" s="319"/>
    </row>
    <row r="250" spans="1:93" s="112" customFormat="1" ht="11">
      <c r="A250" s="110"/>
      <c r="B250" s="902"/>
      <c r="C250" s="110"/>
      <c r="D250" s="110"/>
      <c r="E250" s="186"/>
      <c r="F250" s="186"/>
      <c r="G250" s="186"/>
      <c r="H250" s="186"/>
      <c r="I250" s="186"/>
      <c r="J250" s="186"/>
      <c r="K250" s="186"/>
      <c r="L250" s="922"/>
      <c r="M250" s="186"/>
      <c r="N250" s="186"/>
      <c r="O250" s="186"/>
      <c r="P250" s="186"/>
      <c r="Q250" s="186"/>
      <c r="R250" s="186"/>
      <c r="S250" s="186"/>
      <c r="T250" s="186"/>
      <c r="U250" s="186"/>
      <c r="V250" s="922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922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429"/>
      <c r="AQ250" s="186"/>
      <c r="AR250" s="186"/>
      <c r="AS250" s="186"/>
      <c r="AT250" s="186"/>
      <c r="AU250" s="186"/>
      <c r="AV250" s="186"/>
      <c r="AW250" s="186"/>
      <c r="AX250" s="186"/>
      <c r="AY250" s="364"/>
      <c r="AZ250" s="429"/>
      <c r="BA250" s="364"/>
      <c r="BB250" s="364"/>
      <c r="BC250" s="364"/>
      <c r="BD250" s="364"/>
      <c r="BE250" s="364"/>
      <c r="BF250" s="364"/>
      <c r="BG250" s="429"/>
      <c r="BH250" s="429"/>
      <c r="BI250" s="429"/>
      <c r="BJ250" s="527"/>
      <c r="BK250" s="527"/>
      <c r="BL250" s="580"/>
      <c r="BM250" s="580"/>
      <c r="BN250" s="319"/>
      <c r="BO250" s="319"/>
      <c r="BP250" s="152"/>
      <c r="BQ250" s="152"/>
      <c r="BR250" s="319"/>
      <c r="BS250" s="319"/>
      <c r="BT250" s="319"/>
      <c r="BU250" s="319"/>
      <c r="BV250" s="319"/>
      <c r="BW250" s="319"/>
      <c r="BX250" s="319"/>
      <c r="BY250" s="319"/>
      <c r="BZ250" s="319"/>
      <c r="CA250" s="319"/>
      <c r="CB250" s="319"/>
      <c r="CC250" s="319"/>
      <c r="CD250" s="319"/>
      <c r="CE250" s="319"/>
      <c r="CF250" s="319"/>
      <c r="CG250" s="319"/>
      <c r="CH250" s="319"/>
      <c r="CI250" s="319"/>
      <c r="CJ250" s="319"/>
      <c r="CK250" s="319"/>
      <c r="CL250" s="319"/>
      <c r="CM250" s="319"/>
      <c r="CN250" s="319"/>
      <c r="CO250" s="319"/>
    </row>
    <row r="251" spans="1:93" s="512" customFormat="1" ht="11">
      <c r="A251" s="162"/>
      <c r="B251" s="903"/>
      <c r="C251" s="162"/>
      <c r="D251" s="162"/>
      <c r="E251" s="339"/>
      <c r="F251" s="339"/>
      <c r="G251" s="339"/>
      <c r="H251" s="339"/>
      <c r="I251" s="339"/>
      <c r="J251" s="339"/>
      <c r="K251" s="339"/>
      <c r="L251" s="652"/>
      <c r="M251" s="339"/>
      <c r="N251" s="339"/>
      <c r="O251" s="339"/>
      <c r="P251" s="339"/>
      <c r="Q251" s="339"/>
      <c r="R251" s="339"/>
      <c r="S251" s="339"/>
      <c r="T251" s="339"/>
      <c r="U251" s="339"/>
      <c r="V251" s="652"/>
      <c r="W251" s="339"/>
      <c r="X251" s="339"/>
      <c r="Y251" s="339"/>
      <c r="Z251" s="339"/>
      <c r="AA251" s="339"/>
      <c r="AB251" s="339"/>
      <c r="AC251" s="339"/>
      <c r="AD251" s="339"/>
      <c r="AE251" s="339"/>
      <c r="AF251" s="652"/>
      <c r="AG251" s="339"/>
      <c r="AH251" s="339"/>
      <c r="AI251" s="339"/>
      <c r="AJ251" s="339"/>
      <c r="AK251" s="339"/>
      <c r="AL251" s="339"/>
      <c r="AM251" s="339"/>
      <c r="AN251" s="339"/>
      <c r="AO251" s="339"/>
      <c r="AP251" s="652"/>
      <c r="AQ251" s="339"/>
      <c r="AR251" s="339"/>
      <c r="AS251" s="339"/>
      <c r="AT251" s="339"/>
      <c r="AU251" s="339"/>
      <c r="AV251" s="339"/>
      <c r="AW251" s="339"/>
      <c r="AX251" s="339"/>
      <c r="AY251" s="427"/>
      <c r="AZ251" s="430"/>
      <c r="BA251" s="427"/>
      <c r="BB251" s="427"/>
      <c r="BC251" s="427"/>
      <c r="BD251" s="427"/>
      <c r="BE251" s="427"/>
      <c r="BF251" s="427"/>
      <c r="BG251" s="430"/>
      <c r="BH251" s="430"/>
      <c r="BI251" s="430"/>
      <c r="BJ251" s="527"/>
      <c r="BK251" s="527"/>
      <c r="BL251" s="581"/>
      <c r="BM251" s="581"/>
      <c r="BN251" s="454"/>
      <c r="BO251" s="454"/>
      <c r="BP251" s="620"/>
      <c r="BQ251" s="620"/>
      <c r="BR251" s="454"/>
      <c r="BS251" s="454"/>
      <c r="BT251" s="454"/>
      <c r="BU251" s="454"/>
      <c r="BV251" s="454"/>
      <c r="BW251" s="454"/>
      <c r="BX251" s="454"/>
      <c r="BY251" s="454"/>
      <c r="BZ251" s="454"/>
      <c r="CA251" s="454"/>
      <c r="CB251" s="454"/>
      <c r="CC251" s="454"/>
      <c r="CD251" s="454"/>
      <c r="CE251" s="454"/>
      <c r="CF251" s="454"/>
      <c r="CG251" s="454"/>
      <c r="CH251" s="454"/>
      <c r="CI251" s="454"/>
      <c r="CJ251" s="454"/>
      <c r="CK251" s="454"/>
      <c r="CL251" s="454"/>
      <c r="CM251" s="454"/>
      <c r="CN251" s="454"/>
      <c r="CO251" s="454"/>
    </row>
    <row r="252" spans="1:93">
      <c r="B252" s="182"/>
      <c r="AM252" s="152"/>
      <c r="AN252" s="152"/>
      <c r="AO252" s="152"/>
      <c r="AP252" s="217"/>
      <c r="AQ252" s="152"/>
      <c r="AR252" s="152"/>
      <c r="AS252" s="152"/>
      <c r="AT252" s="152"/>
      <c r="AU252" s="152"/>
      <c r="AV252" s="152"/>
      <c r="BJ252" s="871"/>
      <c r="BK252" s="871"/>
      <c r="BP252" s="152"/>
      <c r="BQ252" s="152"/>
    </row>
    <row r="253" spans="1:93">
      <c r="B253" s="182"/>
      <c r="AM253" s="152"/>
      <c r="AN253" s="152"/>
      <c r="AO253" s="152"/>
      <c r="AP253" s="217"/>
      <c r="AQ253" s="152"/>
      <c r="AR253" s="152"/>
      <c r="AS253" s="152"/>
      <c r="AT253" s="152"/>
      <c r="AU253" s="152"/>
      <c r="AV253" s="152"/>
      <c r="BF253" s="517"/>
      <c r="BG253" s="517"/>
      <c r="BH253" s="517"/>
      <c r="BI253" s="517"/>
      <c r="BJ253" s="871"/>
      <c r="BK253" s="871"/>
      <c r="BP253" s="152"/>
      <c r="BQ253" s="152"/>
    </row>
    <row r="254" spans="1:93">
      <c r="B254" s="182"/>
      <c r="AM254" s="152"/>
      <c r="AN254" s="152"/>
      <c r="AO254" s="152"/>
      <c r="AP254" s="217"/>
      <c r="AQ254" s="152"/>
      <c r="AR254" s="152"/>
      <c r="AS254" s="152"/>
      <c r="AT254" s="152"/>
      <c r="AU254" s="152"/>
      <c r="AV254" s="152"/>
      <c r="BF254" s="517"/>
      <c r="BG254" s="517"/>
      <c r="BH254" s="517"/>
      <c r="BI254" s="517"/>
      <c r="BJ254" s="871"/>
      <c r="BK254" s="871"/>
      <c r="BP254" s="152"/>
      <c r="BQ254" s="152"/>
    </row>
    <row r="255" spans="1:93">
      <c r="B255" s="182"/>
      <c r="AM255" s="152"/>
      <c r="AN255" s="152"/>
      <c r="AO255" s="152"/>
      <c r="AP255" s="217"/>
      <c r="AQ255" s="152"/>
      <c r="AR255" s="152"/>
      <c r="AS255" s="152"/>
      <c r="AT255" s="152"/>
      <c r="AU255" s="152"/>
      <c r="AV255" s="152"/>
      <c r="BF255" s="517"/>
      <c r="BG255" s="517"/>
      <c r="BH255" s="517"/>
      <c r="BI255" s="517"/>
      <c r="BP255" s="152"/>
      <c r="BQ255" s="152"/>
    </row>
    <row r="256" spans="1:93">
      <c r="B256" s="182"/>
      <c r="AM256" s="152"/>
      <c r="AN256" s="152"/>
      <c r="AO256" s="152"/>
      <c r="AP256" s="217"/>
      <c r="AQ256" s="152"/>
      <c r="AR256" s="152"/>
      <c r="AS256" s="152"/>
      <c r="AT256" s="152"/>
      <c r="AU256" s="152"/>
      <c r="AV256" s="152"/>
      <c r="BP256" s="152"/>
      <c r="BQ256" s="152"/>
    </row>
    <row r="257" spans="2:69">
      <c r="B257" s="182"/>
      <c r="AM257" s="152"/>
      <c r="AN257" s="152"/>
      <c r="AO257" s="152"/>
      <c r="AP257" s="217"/>
      <c r="AQ257" s="152"/>
      <c r="AR257" s="152"/>
      <c r="AS257" s="152"/>
      <c r="AT257" s="152"/>
      <c r="AU257" s="152"/>
      <c r="AV257" s="152"/>
      <c r="BP257" s="152"/>
      <c r="BQ257" s="152"/>
    </row>
    <row r="258" spans="2:69">
      <c r="AM258" s="152"/>
      <c r="AN258" s="152"/>
      <c r="AO258" s="152"/>
      <c r="AP258" s="217"/>
      <c r="AQ258" s="152"/>
      <c r="AR258" s="152"/>
      <c r="AS258" s="152"/>
      <c r="AT258" s="152"/>
      <c r="AU258" s="152"/>
      <c r="AV258" s="152"/>
      <c r="BP258" s="152"/>
      <c r="BQ258" s="152"/>
    </row>
    <row r="259" spans="2:69">
      <c r="AM259" s="152"/>
      <c r="AN259" s="152"/>
      <c r="AO259" s="152"/>
      <c r="AP259" s="217"/>
      <c r="AQ259" s="152"/>
      <c r="AR259" s="152"/>
      <c r="AS259" s="152"/>
      <c r="AT259" s="152"/>
      <c r="AU259" s="152"/>
      <c r="AV259" s="152"/>
      <c r="BP259" s="152"/>
      <c r="BQ259" s="152"/>
    </row>
    <row r="260" spans="2:69">
      <c r="AM260" s="152"/>
      <c r="AN260" s="152"/>
      <c r="AO260" s="152"/>
      <c r="AP260" s="217"/>
      <c r="AQ260" s="152"/>
      <c r="AR260" s="152"/>
      <c r="AS260" s="152"/>
      <c r="AT260" s="152"/>
      <c r="AU260" s="152"/>
      <c r="AV260" s="152"/>
      <c r="BP260" s="152"/>
      <c r="BQ260" s="152"/>
    </row>
    <row r="261" spans="2:69">
      <c r="AM261" s="152"/>
      <c r="AN261" s="152"/>
      <c r="AO261" s="152"/>
      <c r="AP261" s="217"/>
      <c r="AQ261" s="152"/>
      <c r="AR261" s="152"/>
      <c r="AS261" s="152"/>
      <c r="AT261" s="152"/>
      <c r="AU261" s="152"/>
      <c r="AV261" s="152"/>
      <c r="BP261" s="152"/>
      <c r="BQ261" s="152"/>
    </row>
    <row r="262" spans="2:69">
      <c r="AM262" s="152"/>
      <c r="AN262" s="152"/>
      <c r="AO262" s="152"/>
      <c r="AP262" s="217"/>
      <c r="AQ262" s="152"/>
      <c r="AR262" s="152"/>
      <c r="AS262" s="152"/>
      <c r="AT262" s="152"/>
      <c r="AU262" s="152"/>
      <c r="AV262" s="152"/>
      <c r="BP262" s="152"/>
      <c r="BQ262" s="152"/>
    </row>
    <row r="263" spans="2:69">
      <c r="AM263" s="152"/>
      <c r="AN263" s="152"/>
      <c r="AO263" s="152"/>
      <c r="AP263" s="217"/>
      <c r="AQ263" s="152"/>
      <c r="AR263" s="152"/>
      <c r="AS263" s="152"/>
      <c r="AT263" s="152"/>
      <c r="AU263" s="152"/>
      <c r="AV263" s="152"/>
      <c r="BP263" s="152"/>
      <c r="BQ263" s="152"/>
    </row>
    <row r="264" spans="2:69">
      <c r="AM264" s="152"/>
      <c r="AN264" s="152"/>
      <c r="AO264" s="152"/>
      <c r="AP264" s="217"/>
      <c r="AQ264" s="152"/>
      <c r="AR264" s="152"/>
      <c r="AS264" s="152"/>
      <c r="AT264" s="152"/>
      <c r="AU264" s="152"/>
      <c r="AV264" s="152"/>
      <c r="BP264" s="152"/>
      <c r="BQ264" s="152"/>
    </row>
    <row r="265" spans="2:69">
      <c r="AM265" s="152"/>
      <c r="AN265" s="152"/>
      <c r="AO265" s="152"/>
      <c r="AP265" s="217"/>
      <c r="AQ265" s="152"/>
      <c r="AR265" s="152"/>
      <c r="AS265" s="152"/>
      <c r="AT265" s="152"/>
      <c r="AU265" s="152"/>
      <c r="AV265" s="152"/>
      <c r="BP265" s="152"/>
      <c r="BQ265" s="152"/>
    </row>
    <row r="266" spans="2:69">
      <c r="AM266" s="152"/>
      <c r="AN266" s="152"/>
      <c r="AO266" s="152"/>
      <c r="AP266" s="217"/>
      <c r="AQ266" s="152"/>
      <c r="AR266" s="152"/>
      <c r="AS266" s="152"/>
      <c r="AT266" s="152"/>
      <c r="AU266" s="152"/>
      <c r="AV266" s="152"/>
      <c r="BP266" s="152"/>
      <c r="BQ266" s="152"/>
    </row>
    <row r="267" spans="2:69">
      <c r="AM267" s="152"/>
      <c r="AN267" s="152"/>
      <c r="AO267" s="152"/>
      <c r="AP267" s="217"/>
      <c r="AQ267" s="152"/>
      <c r="AR267" s="152"/>
      <c r="AS267" s="152"/>
      <c r="AT267" s="152"/>
      <c r="AU267" s="152"/>
      <c r="AV267" s="152"/>
      <c r="BP267" s="152"/>
      <c r="BQ267" s="152"/>
    </row>
    <row r="268" spans="2:69">
      <c r="AM268" s="152"/>
      <c r="AN268" s="152"/>
      <c r="AO268" s="152"/>
      <c r="AP268" s="217"/>
      <c r="AQ268" s="152"/>
      <c r="AR268" s="152"/>
      <c r="AS268" s="152"/>
      <c r="AT268" s="152"/>
      <c r="AU268" s="152"/>
      <c r="AV268" s="152"/>
      <c r="BP268" s="152"/>
      <c r="BQ268" s="152"/>
    </row>
    <row r="269" spans="2:69">
      <c r="AM269" s="152"/>
      <c r="AN269" s="152"/>
      <c r="AO269" s="152"/>
      <c r="AP269" s="217"/>
      <c r="AQ269" s="152"/>
      <c r="AR269" s="152"/>
      <c r="AS269" s="152"/>
      <c r="AT269" s="152"/>
      <c r="AU269" s="152"/>
      <c r="AV269" s="152"/>
      <c r="BP269" s="152"/>
      <c r="BQ269" s="152"/>
    </row>
    <row r="270" spans="2:69">
      <c r="AM270" s="152"/>
      <c r="AN270" s="152"/>
      <c r="AO270" s="152"/>
      <c r="AP270" s="217"/>
      <c r="AQ270" s="152"/>
      <c r="AR270" s="152"/>
      <c r="AS270" s="152"/>
      <c r="AT270" s="152"/>
      <c r="AU270" s="152"/>
      <c r="AV270" s="152"/>
      <c r="BP270" s="152"/>
      <c r="BQ270" s="152"/>
    </row>
    <row r="271" spans="2:69">
      <c r="AM271" s="152"/>
      <c r="AN271" s="152"/>
      <c r="AO271" s="152"/>
      <c r="AP271" s="217"/>
      <c r="AQ271" s="152"/>
      <c r="AR271" s="152"/>
      <c r="AS271" s="152"/>
      <c r="AT271" s="152"/>
      <c r="AU271" s="152"/>
      <c r="AV271" s="152"/>
      <c r="BP271" s="152"/>
      <c r="BQ271" s="152"/>
    </row>
    <row r="272" spans="2:69">
      <c r="AM272" s="152"/>
      <c r="AN272" s="152"/>
      <c r="AO272" s="152"/>
      <c r="AP272" s="217"/>
      <c r="AQ272" s="152"/>
      <c r="AR272" s="152"/>
      <c r="AS272" s="152"/>
      <c r="AT272" s="152"/>
      <c r="AU272" s="152"/>
      <c r="AV272" s="152"/>
      <c r="BP272" s="152"/>
      <c r="BQ272" s="152"/>
    </row>
    <row r="273" spans="39:69">
      <c r="AM273" s="152"/>
      <c r="AN273" s="152"/>
      <c r="AO273" s="152"/>
      <c r="AP273" s="217"/>
      <c r="AQ273" s="152"/>
      <c r="AR273" s="152"/>
      <c r="AS273" s="152"/>
      <c r="AT273" s="152"/>
      <c r="AU273" s="152"/>
      <c r="AV273" s="152"/>
      <c r="BP273" s="152"/>
      <c r="BQ273" s="152"/>
    </row>
    <row r="274" spans="39:69">
      <c r="AM274" s="152"/>
      <c r="AN274" s="152"/>
      <c r="AO274" s="152"/>
      <c r="AP274" s="217"/>
      <c r="AQ274" s="152"/>
      <c r="AR274" s="152"/>
      <c r="AS274" s="152"/>
      <c r="AT274" s="152"/>
      <c r="AU274" s="152"/>
      <c r="AV274" s="152"/>
      <c r="BP274" s="152"/>
      <c r="BQ274" s="152"/>
    </row>
    <row r="275" spans="39:69">
      <c r="AM275" s="152"/>
      <c r="AN275" s="152"/>
      <c r="AO275" s="152"/>
      <c r="AP275" s="217"/>
      <c r="AQ275" s="152"/>
      <c r="AR275" s="152"/>
      <c r="AS275" s="152"/>
      <c r="AT275" s="152"/>
      <c r="AU275" s="152"/>
      <c r="AV275" s="152"/>
      <c r="BP275" s="152"/>
      <c r="BQ275" s="152"/>
    </row>
    <row r="276" spans="39:69">
      <c r="AM276" s="152"/>
      <c r="AN276" s="152"/>
      <c r="AO276" s="152"/>
      <c r="AP276" s="217"/>
      <c r="AQ276" s="152"/>
      <c r="AR276" s="152"/>
      <c r="AS276" s="152"/>
      <c r="AT276" s="152"/>
      <c r="AU276" s="152"/>
      <c r="AV276" s="152"/>
      <c r="BP276" s="152"/>
      <c r="BQ276" s="152"/>
    </row>
    <row r="277" spans="39:69">
      <c r="AM277" s="152"/>
      <c r="AN277" s="152"/>
      <c r="AO277" s="152"/>
      <c r="AP277" s="217"/>
      <c r="AQ277" s="152"/>
      <c r="AR277" s="152"/>
      <c r="AS277" s="152"/>
      <c r="AT277" s="152"/>
      <c r="AU277" s="152"/>
      <c r="AV277" s="152"/>
      <c r="BP277" s="152"/>
      <c r="BQ277" s="152"/>
    </row>
    <row r="278" spans="39:69">
      <c r="AM278" s="152"/>
      <c r="AN278" s="152"/>
      <c r="AO278" s="152"/>
      <c r="AP278" s="217"/>
      <c r="AQ278" s="152"/>
      <c r="AR278" s="152"/>
      <c r="AS278" s="152"/>
      <c r="AT278" s="152"/>
      <c r="AU278" s="152"/>
      <c r="AV278" s="152"/>
      <c r="BP278" s="152"/>
      <c r="BQ278" s="152"/>
    </row>
    <row r="279" spans="39:69">
      <c r="AM279" s="152"/>
      <c r="AN279" s="152"/>
      <c r="AO279" s="152"/>
      <c r="AP279" s="217"/>
      <c r="AQ279" s="152"/>
      <c r="AR279" s="152"/>
      <c r="AS279" s="152"/>
      <c r="AT279" s="152"/>
      <c r="AU279" s="152"/>
      <c r="AV279" s="152"/>
      <c r="BP279" s="152"/>
      <c r="BQ279" s="152"/>
    </row>
    <row r="280" spans="39:69">
      <c r="AM280" s="152"/>
      <c r="AN280" s="152"/>
      <c r="AO280" s="152"/>
      <c r="AP280" s="217"/>
      <c r="AQ280" s="152"/>
      <c r="AR280" s="152"/>
      <c r="AS280" s="152"/>
      <c r="AT280" s="152"/>
      <c r="AU280" s="152"/>
      <c r="AV280" s="152"/>
      <c r="BP280" s="152"/>
      <c r="BQ280" s="152"/>
    </row>
    <row r="281" spans="39:69">
      <c r="AM281" s="152"/>
      <c r="AN281" s="152"/>
      <c r="AO281" s="152"/>
      <c r="AP281" s="217"/>
      <c r="AQ281" s="152"/>
      <c r="AR281" s="152"/>
      <c r="AS281" s="152"/>
      <c r="AT281" s="152"/>
      <c r="AU281" s="152"/>
      <c r="AV281" s="152"/>
      <c r="BP281" s="152"/>
      <c r="BQ281" s="152"/>
    </row>
    <row r="282" spans="39:69">
      <c r="AM282" s="152"/>
      <c r="AN282" s="152"/>
      <c r="AO282" s="152"/>
      <c r="AP282" s="217"/>
      <c r="AQ282" s="152"/>
      <c r="AR282" s="152"/>
      <c r="AS282" s="152"/>
      <c r="AT282" s="152"/>
      <c r="AU282" s="152"/>
      <c r="AV282" s="152"/>
      <c r="BP282" s="152"/>
      <c r="BQ282" s="152"/>
    </row>
    <row r="283" spans="39:69">
      <c r="AM283" s="152"/>
      <c r="AN283" s="152"/>
      <c r="AO283" s="152"/>
      <c r="AP283" s="217"/>
      <c r="AQ283" s="152"/>
      <c r="AR283" s="152"/>
      <c r="AS283" s="152"/>
      <c r="AT283" s="152"/>
      <c r="AU283" s="152"/>
      <c r="AV283" s="152"/>
      <c r="BP283" s="152"/>
      <c r="BQ283" s="152"/>
    </row>
    <row r="284" spans="39:69">
      <c r="AM284" s="152"/>
      <c r="AN284" s="152"/>
      <c r="AO284" s="152"/>
      <c r="AP284" s="217"/>
      <c r="AQ284" s="152"/>
      <c r="AR284" s="152"/>
      <c r="AS284" s="152"/>
      <c r="AT284" s="152"/>
      <c r="AU284" s="152"/>
      <c r="AV284" s="152"/>
      <c r="BP284" s="152"/>
      <c r="BQ284" s="152"/>
    </row>
    <row r="285" spans="39:69">
      <c r="AM285" s="152"/>
      <c r="AN285" s="152"/>
      <c r="AO285" s="152"/>
      <c r="AP285" s="217"/>
      <c r="AQ285" s="152"/>
      <c r="AR285" s="152"/>
      <c r="AS285" s="152"/>
      <c r="AT285" s="152"/>
      <c r="AU285" s="152"/>
      <c r="AV285" s="152"/>
      <c r="BP285" s="152"/>
      <c r="BQ285" s="152"/>
    </row>
    <row r="286" spans="39:69">
      <c r="AM286" s="152"/>
      <c r="AN286" s="152"/>
      <c r="AO286" s="152"/>
      <c r="AP286" s="217"/>
      <c r="AQ286" s="152"/>
      <c r="AR286" s="152"/>
      <c r="AS286" s="152"/>
      <c r="AT286" s="152"/>
      <c r="AU286" s="152"/>
      <c r="AV286" s="152"/>
      <c r="BP286" s="152"/>
      <c r="BQ286" s="152"/>
    </row>
    <row r="287" spans="39:69">
      <c r="AM287" s="152"/>
      <c r="AN287" s="152"/>
      <c r="AO287" s="152"/>
      <c r="AP287" s="217"/>
      <c r="AQ287" s="152"/>
      <c r="AR287" s="152"/>
      <c r="AS287" s="152"/>
      <c r="AT287" s="152"/>
      <c r="AU287" s="152"/>
      <c r="AV287" s="152"/>
      <c r="BP287" s="152"/>
      <c r="BQ287" s="152"/>
    </row>
    <row r="288" spans="39:69">
      <c r="AM288" s="152"/>
      <c r="AN288" s="152"/>
      <c r="AO288" s="152"/>
      <c r="AP288" s="217"/>
      <c r="AQ288" s="152"/>
      <c r="AR288" s="152"/>
      <c r="AS288" s="152"/>
      <c r="AT288" s="152"/>
      <c r="AU288" s="152"/>
      <c r="AV288" s="152"/>
      <c r="BP288" s="152"/>
      <c r="BQ288" s="152"/>
    </row>
    <row r="289" spans="39:69">
      <c r="AM289" s="152"/>
      <c r="AN289" s="152"/>
      <c r="AO289" s="152"/>
      <c r="AP289" s="217"/>
      <c r="AQ289" s="152"/>
      <c r="AR289" s="152"/>
      <c r="AS289" s="152"/>
      <c r="AT289" s="152"/>
      <c r="AU289" s="152"/>
      <c r="AV289" s="152"/>
      <c r="BP289" s="152"/>
      <c r="BQ289" s="152"/>
    </row>
    <row r="290" spans="39:69">
      <c r="AM290" s="152"/>
      <c r="AN290" s="152"/>
      <c r="AO290" s="152"/>
      <c r="AP290" s="217"/>
      <c r="AQ290" s="152"/>
      <c r="AR290" s="152"/>
      <c r="AS290" s="152"/>
      <c r="AT290" s="152"/>
      <c r="AU290" s="152"/>
      <c r="AV290" s="152"/>
      <c r="BP290" s="152"/>
      <c r="BQ290" s="152"/>
    </row>
    <row r="291" spans="39:69">
      <c r="AM291" s="152"/>
      <c r="AN291" s="152"/>
      <c r="AO291" s="152"/>
      <c r="AP291" s="217"/>
      <c r="AQ291" s="152"/>
      <c r="AR291" s="152"/>
      <c r="AS291" s="152"/>
      <c r="AT291" s="152"/>
      <c r="AU291" s="152"/>
      <c r="AV291" s="152"/>
      <c r="BP291" s="152"/>
      <c r="BQ291" s="152"/>
    </row>
    <row r="292" spans="39:69">
      <c r="AM292" s="152"/>
      <c r="AN292" s="152"/>
      <c r="AO292" s="152"/>
      <c r="AP292" s="217"/>
      <c r="AQ292" s="152"/>
      <c r="AR292" s="152"/>
      <c r="AS292" s="152"/>
      <c r="AT292" s="152"/>
      <c r="AU292" s="152"/>
      <c r="AV292" s="152"/>
      <c r="BP292" s="152"/>
      <c r="BQ292" s="152"/>
    </row>
    <row r="293" spans="39:69">
      <c r="AM293" s="152"/>
      <c r="AN293" s="152"/>
      <c r="AO293" s="152"/>
      <c r="AP293" s="217"/>
      <c r="AQ293" s="152"/>
      <c r="AR293" s="152"/>
      <c r="AS293" s="152"/>
      <c r="AT293" s="152"/>
      <c r="AU293" s="152"/>
      <c r="AV293" s="152"/>
      <c r="BP293" s="152"/>
      <c r="BQ293" s="152"/>
    </row>
    <row r="294" spans="39:69">
      <c r="AM294" s="152"/>
      <c r="AN294" s="152"/>
      <c r="AO294" s="152"/>
      <c r="AP294" s="217"/>
      <c r="AQ294" s="152"/>
      <c r="AR294" s="152"/>
      <c r="AS294" s="152"/>
      <c r="AT294" s="152"/>
      <c r="AU294" s="152"/>
      <c r="AV294" s="152"/>
      <c r="BP294" s="152"/>
      <c r="BQ294" s="152"/>
    </row>
    <row r="295" spans="39:69">
      <c r="AM295" s="152"/>
      <c r="AN295" s="152"/>
      <c r="AO295" s="152"/>
      <c r="AP295" s="217"/>
      <c r="AQ295" s="152"/>
      <c r="AR295" s="152"/>
      <c r="AS295" s="152"/>
      <c r="AT295" s="152"/>
      <c r="AU295" s="152"/>
      <c r="AV295" s="152"/>
      <c r="BP295" s="152"/>
      <c r="BQ295" s="152"/>
    </row>
    <row r="296" spans="39:69">
      <c r="AM296" s="152"/>
      <c r="AN296" s="152"/>
      <c r="AO296" s="152"/>
      <c r="AP296" s="217"/>
      <c r="AQ296" s="152"/>
      <c r="AR296" s="152"/>
      <c r="AS296" s="152"/>
      <c r="AT296" s="152"/>
      <c r="AU296" s="152"/>
      <c r="AV296" s="152"/>
      <c r="BP296" s="152"/>
      <c r="BQ296" s="152"/>
    </row>
    <row r="297" spans="39:69">
      <c r="AM297" s="152"/>
      <c r="AN297" s="152"/>
      <c r="AO297" s="152"/>
      <c r="AP297" s="217"/>
      <c r="AQ297" s="152"/>
      <c r="AR297" s="152"/>
      <c r="AS297" s="152"/>
      <c r="AT297" s="152"/>
      <c r="AU297" s="152"/>
      <c r="AV297" s="152"/>
      <c r="BP297" s="152"/>
      <c r="BQ297" s="152"/>
    </row>
    <row r="298" spans="39:69">
      <c r="AM298" s="152"/>
      <c r="AN298" s="152"/>
      <c r="AO298" s="152"/>
      <c r="AP298" s="217"/>
      <c r="AQ298" s="152"/>
      <c r="AR298" s="152"/>
      <c r="AS298" s="152"/>
      <c r="AT298" s="152"/>
      <c r="AU298" s="152"/>
      <c r="AV298" s="152"/>
      <c r="BP298" s="152"/>
      <c r="BQ298" s="152"/>
    </row>
    <row r="299" spans="39:69">
      <c r="AM299" s="152"/>
      <c r="AN299" s="152"/>
      <c r="AO299" s="152"/>
      <c r="AP299" s="217"/>
      <c r="AQ299" s="152"/>
      <c r="AR299" s="152"/>
      <c r="AS299" s="152"/>
      <c r="AT299" s="152"/>
      <c r="AU299" s="152"/>
      <c r="AV299" s="152"/>
      <c r="BP299" s="152"/>
      <c r="BQ299" s="152"/>
    </row>
    <row r="300" spans="39:69">
      <c r="AM300" s="152"/>
      <c r="AN300" s="152"/>
      <c r="AO300" s="152"/>
      <c r="AP300" s="217"/>
      <c r="AQ300" s="152"/>
      <c r="AR300" s="152"/>
      <c r="AS300" s="152"/>
      <c r="AT300" s="152"/>
      <c r="AU300" s="152"/>
      <c r="AV300" s="152"/>
      <c r="BP300" s="152"/>
      <c r="BQ300" s="152"/>
    </row>
    <row r="301" spans="39:69">
      <c r="AM301" s="152"/>
      <c r="AN301" s="152"/>
      <c r="AO301" s="152"/>
      <c r="AP301" s="217"/>
      <c r="AQ301" s="152"/>
      <c r="AR301" s="152"/>
      <c r="AS301" s="152"/>
      <c r="AT301" s="152"/>
      <c r="AU301" s="152"/>
      <c r="AV301" s="152"/>
      <c r="BP301" s="152"/>
      <c r="BQ301" s="152"/>
    </row>
    <row r="302" spans="39:69">
      <c r="AM302" s="152"/>
      <c r="AN302" s="152"/>
      <c r="AO302" s="152"/>
      <c r="AP302" s="217"/>
      <c r="AQ302" s="152"/>
      <c r="AR302" s="152"/>
      <c r="AS302" s="152"/>
      <c r="AT302" s="152"/>
      <c r="AU302" s="152"/>
      <c r="AV302" s="152"/>
      <c r="BP302" s="152"/>
      <c r="BQ302" s="152"/>
    </row>
    <row r="303" spans="39:69">
      <c r="AM303" s="152"/>
      <c r="AN303" s="152"/>
      <c r="AO303" s="152"/>
      <c r="AP303" s="217"/>
      <c r="AQ303" s="152"/>
      <c r="AR303" s="152"/>
      <c r="AS303" s="152"/>
      <c r="AT303" s="152"/>
      <c r="AU303" s="152"/>
      <c r="AV303" s="152"/>
      <c r="BP303" s="152"/>
      <c r="BQ303" s="152"/>
    </row>
    <row r="304" spans="39:69">
      <c r="AM304" s="152"/>
      <c r="AN304" s="152"/>
      <c r="AO304" s="152"/>
      <c r="AP304" s="217"/>
      <c r="AQ304" s="152"/>
      <c r="AR304" s="152"/>
      <c r="AS304" s="152"/>
      <c r="AT304" s="152"/>
      <c r="AU304" s="152"/>
      <c r="AV304" s="152"/>
      <c r="BP304" s="152"/>
      <c r="BQ304" s="152"/>
    </row>
    <row r="305" spans="39:69">
      <c r="AM305" s="152"/>
      <c r="AN305" s="152"/>
      <c r="AO305" s="152"/>
      <c r="AP305" s="217"/>
      <c r="AQ305" s="152"/>
      <c r="AR305" s="152"/>
      <c r="AS305" s="152"/>
      <c r="AT305" s="152"/>
      <c r="AU305" s="152"/>
      <c r="AV305" s="152"/>
      <c r="BP305" s="152"/>
      <c r="BQ305" s="152"/>
    </row>
    <row r="306" spans="39:69">
      <c r="AM306" s="152"/>
      <c r="AN306" s="152"/>
      <c r="AO306" s="152"/>
      <c r="AP306" s="217"/>
      <c r="AQ306" s="152"/>
      <c r="AR306" s="152"/>
      <c r="AS306" s="152"/>
      <c r="AT306" s="152"/>
      <c r="AU306" s="152"/>
      <c r="AV306" s="152"/>
      <c r="BP306" s="152"/>
      <c r="BQ306" s="152"/>
    </row>
    <row r="307" spans="39:69">
      <c r="AM307" s="152"/>
      <c r="AN307" s="152"/>
      <c r="AO307" s="152"/>
      <c r="AP307" s="217"/>
      <c r="AQ307" s="152"/>
      <c r="AR307" s="152"/>
      <c r="AS307" s="152"/>
      <c r="AT307" s="152"/>
      <c r="AU307" s="152"/>
      <c r="AV307" s="152"/>
      <c r="BP307" s="152"/>
      <c r="BQ307" s="152"/>
    </row>
    <row r="308" spans="39:69">
      <c r="AM308" s="152"/>
      <c r="AN308" s="152"/>
      <c r="AO308" s="152"/>
      <c r="AP308" s="217"/>
      <c r="AQ308" s="152"/>
      <c r="AR308" s="152"/>
      <c r="AS308" s="152"/>
      <c r="AT308" s="152"/>
      <c r="AU308" s="152"/>
      <c r="AV308" s="152"/>
      <c r="BP308" s="296"/>
      <c r="BQ308" s="296"/>
    </row>
    <row r="309" spans="39:69">
      <c r="AM309" s="152"/>
      <c r="AN309" s="152"/>
      <c r="AO309" s="152"/>
      <c r="AP309" s="217"/>
      <c r="AQ309" s="152"/>
      <c r="AR309" s="152"/>
      <c r="AS309" s="152"/>
      <c r="AT309" s="152"/>
      <c r="AU309" s="152"/>
      <c r="AV309" s="152"/>
      <c r="BP309" s="296"/>
      <c r="BQ309" s="296"/>
    </row>
    <row r="310" spans="39:69">
      <c r="AM310" s="152"/>
      <c r="AN310" s="152"/>
      <c r="AO310" s="152"/>
      <c r="AP310" s="217"/>
      <c r="AQ310" s="152"/>
      <c r="AR310" s="152"/>
      <c r="AS310" s="152"/>
      <c r="AT310" s="152"/>
      <c r="AU310" s="152"/>
      <c r="AV310" s="152"/>
      <c r="BP310" s="296"/>
      <c r="BQ310" s="296"/>
    </row>
    <row r="311" spans="39:69">
      <c r="AM311" s="152"/>
      <c r="AN311" s="152"/>
      <c r="AO311" s="152"/>
      <c r="AP311" s="217"/>
      <c r="AQ311" s="152"/>
      <c r="AR311" s="152"/>
      <c r="AS311" s="152"/>
      <c r="AT311" s="152"/>
      <c r="AU311" s="152"/>
      <c r="AV311" s="152"/>
      <c r="BP311" s="296"/>
      <c r="BQ311" s="296"/>
    </row>
    <row r="312" spans="39:69">
      <c r="AM312" s="152"/>
      <c r="AN312" s="152"/>
      <c r="AO312" s="152"/>
      <c r="AP312" s="217"/>
      <c r="AQ312" s="152"/>
      <c r="AR312" s="152"/>
      <c r="AS312" s="152"/>
      <c r="AT312" s="152"/>
      <c r="AU312" s="152"/>
      <c r="AV312" s="152"/>
      <c r="BP312" s="296"/>
      <c r="BQ312" s="296"/>
    </row>
    <row r="313" spans="39:69">
      <c r="AM313" s="152"/>
      <c r="AN313" s="152"/>
      <c r="AO313" s="152"/>
      <c r="AP313" s="217"/>
      <c r="AQ313" s="152"/>
      <c r="AR313" s="152"/>
      <c r="AS313" s="152"/>
      <c r="AT313" s="152"/>
      <c r="AU313" s="152"/>
      <c r="AV313" s="152"/>
      <c r="BP313" s="296"/>
      <c r="BQ313" s="296"/>
    </row>
    <row r="314" spans="39:69">
      <c r="AM314" s="152"/>
      <c r="AN314" s="152"/>
      <c r="AO314" s="152"/>
      <c r="AP314" s="217"/>
      <c r="AQ314" s="152"/>
      <c r="AR314" s="152"/>
      <c r="AS314" s="152"/>
      <c r="AT314" s="152"/>
      <c r="AU314" s="152"/>
      <c r="AV314" s="152"/>
      <c r="BP314" s="296"/>
      <c r="BQ314" s="296"/>
    </row>
    <row r="315" spans="39:69">
      <c r="AM315" s="152"/>
      <c r="AN315" s="152"/>
      <c r="AO315" s="152"/>
      <c r="AP315" s="217"/>
      <c r="AQ315" s="152"/>
      <c r="AR315" s="152"/>
      <c r="AS315" s="152"/>
      <c r="AT315" s="152"/>
      <c r="AU315" s="152"/>
      <c r="AV315" s="152"/>
      <c r="BP315" s="296"/>
      <c r="BQ315" s="296"/>
    </row>
    <row r="316" spans="39:69">
      <c r="AM316" s="152"/>
      <c r="AN316" s="152"/>
      <c r="AO316" s="152"/>
      <c r="AP316" s="217"/>
      <c r="AQ316" s="152"/>
      <c r="AR316" s="152"/>
      <c r="AS316" s="152"/>
      <c r="AT316" s="152"/>
      <c r="AU316" s="152"/>
      <c r="AV316" s="152"/>
    </row>
    <row r="317" spans="39:69">
      <c r="AM317" s="152"/>
      <c r="AN317" s="152"/>
      <c r="AO317" s="152"/>
      <c r="AP317" s="217"/>
      <c r="AQ317" s="152"/>
      <c r="AR317" s="152"/>
      <c r="AS317" s="152"/>
      <c r="AT317" s="152"/>
      <c r="AU317" s="152"/>
      <c r="AV317" s="152"/>
    </row>
    <row r="318" spans="39:69">
      <c r="AM318" s="152"/>
      <c r="AN318" s="152"/>
      <c r="AO318" s="152"/>
      <c r="AP318" s="217"/>
      <c r="AQ318" s="152"/>
      <c r="AR318" s="152"/>
      <c r="AS318" s="152"/>
      <c r="AT318" s="152"/>
      <c r="AU318" s="152"/>
      <c r="AV318" s="152"/>
    </row>
    <row r="319" spans="39:69">
      <c r="AM319" s="152"/>
      <c r="AN319" s="152"/>
      <c r="AO319" s="152"/>
      <c r="AP319" s="217"/>
      <c r="AQ319" s="152"/>
      <c r="AR319" s="152"/>
      <c r="AS319" s="152"/>
      <c r="AT319" s="152"/>
      <c r="AU319" s="152"/>
      <c r="AV319" s="152"/>
    </row>
    <row r="320" spans="39:69">
      <c r="AM320" s="152"/>
      <c r="AN320" s="152"/>
      <c r="AO320" s="152"/>
      <c r="AP320" s="217"/>
      <c r="AQ320" s="152"/>
      <c r="AR320" s="152"/>
      <c r="AS320" s="152"/>
      <c r="AT320" s="152"/>
      <c r="AU320" s="152"/>
      <c r="AV320" s="152"/>
    </row>
    <row r="321" spans="39:48">
      <c r="AM321" s="152"/>
      <c r="AN321" s="152"/>
      <c r="AO321" s="152"/>
      <c r="AP321" s="217"/>
      <c r="AQ321" s="152"/>
      <c r="AR321" s="152"/>
      <c r="AS321" s="152"/>
      <c r="AT321" s="152"/>
      <c r="AU321" s="152"/>
      <c r="AV321" s="152"/>
    </row>
    <row r="322" spans="39:48">
      <c r="AM322" s="152"/>
      <c r="AN322" s="152"/>
      <c r="AO322" s="152"/>
      <c r="AP322" s="217"/>
      <c r="AQ322" s="152"/>
      <c r="AR322" s="152"/>
      <c r="AS322" s="152"/>
      <c r="AT322" s="152"/>
      <c r="AU322" s="152"/>
      <c r="AV322" s="152"/>
    </row>
    <row r="323" spans="39:48">
      <c r="AM323" s="152"/>
      <c r="AN323" s="152"/>
      <c r="AO323" s="152"/>
      <c r="AP323" s="217"/>
      <c r="AQ323" s="152"/>
      <c r="AR323" s="152"/>
      <c r="AS323" s="152"/>
      <c r="AT323" s="152"/>
      <c r="AU323" s="152"/>
      <c r="AV323" s="152"/>
    </row>
    <row r="324" spans="39:48">
      <c r="AM324" s="152"/>
      <c r="AN324" s="152"/>
      <c r="AO324" s="152"/>
      <c r="AP324" s="217"/>
      <c r="AQ324" s="152"/>
      <c r="AR324" s="152"/>
      <c r="AS324" s="152"/>
      <c r="AT324" s="152"/>
      <c r="AU324" s="152"/>
      <c r="AV324" s="152"/>
    </row>
    <row r="325" spans="39:48">
      <c r="AM325" s="152"/>
      <c r="AN325" s="152"/>
      <c r="AO325" s="152"/>
      <c r="AP325" s="217"/>
      <c r="AQ325" s="152"/>
      <c r="AR325" s="152"/>
      <c r="AS325" s="152"/>
      <c r="AT325" s="152"/>
      <c r="AU325" s="152"/>
      <c r="AV325" s="152"/>
    </row>
    <row r="326" spans="39:48">
      <c r="AM326" s="152"/>
      <c r="AN326" s="152"/>
      <c r="AO326" s="152"/>
      <c r="AP326" s="217"/>
      <c r="AQ326" s="152"/>
      <c r="AR326" s="152"/>
      <c r="AS326" s="152"/>
      <c r="AT326" s="152"/>
      <c r="AU326" s="152"/>
      <c r="AV326" s="152"/>
    </row>
    <row r="327" spans="39:48">
      <c r="AM327" s="152"/>
      <c r="AN327" s="152"/>
      <c r="AO327" s="152"/>
      <c r="AP327" s="217"/>
      <c r="AQ327" s="152"/>
      <c r="AR327" s="152"/>
      <c r="AS327" s="152"/>
      <c r="AT327" s="152"/>
      <c r="AU327" s="152"/>
      <c r="AV327" s="152"/>
    </row>
    <row r="328" spans="39:48">
      <c r="AM328" s="152"/>
      <c r="AN328" s="152"/>
      <c r="AO328" s="152"/>
      <c r="AP328" s="217"/>
      <c r="AQ328" s="152"/>
      <c r="AR328" s="152"/>
      <c r="AS328" s="152"/>
      <c r="AT328" s="152"/>
      <c r="AU328" s="152"/>
      <c r="AV328" s="152"/>
    </row>
    <row r="329" spans="39:48">
      <c r="AM329" s="152"/>
      <c r="AN329" s="152"/>
      <c r="AO329" s="152"/>
      <c r="AP329" s="217"/>
      <c r="AQ329" s="152"/>
      <c r="AR329" s="152"/>
      <c r="AS329" s="152"/>
      <c r="AT329" s="152"/>
      <c r="AU329" s="152"/>
      <c r="AV329" s="152"/>
    </row>
    <row r="330" spans="39:48">
      <c r="AM330" s="152"/>
      <c r="AN330" s="152"/>
      <c r="AO330" s="152"/>
      <c r="AP330" s="217"/>
      <c r="AQ330" s="152"/>
      <c r="AR330" s="152"/>
      <c r="AS330" s="152"/>
      <c r="AT330" s="152"/>
      <c r="AU330" s="152"/>
      <c r="AV330" s="152"/>
    </row>
    <row r="331" spans="39:48">
      <c r="AM331" s="152"/>
      <c r="AN331" s="152"/>
      <c r="AO331" s="152"/>
      <c r="AP331" s="217"/>
      <c r="AQ331" s="152"/>
      <c r="AR331" s="152"/>
      <c r="AS331" s="152"/>
      <c r="AT331" s="152"/>
      <c r="AU331" s="152"/>
      <c r="AV331" s="152"/>
    </row>
    <row r="332" spans="39:48">
      <c r="AM332" s="152"/>
      <c r="AN332" s="152"/>
      <c r="AO332" s="152"/>
      <c r="AP332" s="217"/>
      <c r="AQ332" s="152"/>
      <c r="AR332" s="152"/>
      <c r="AS332" s="152"/>
      <c r="AT332" s="152"/>
      <c r="AU332" s="152"/>
      <c r="AV332" s="152"/>
    </row>
    <row r="333" spans="39:48">
      <c r="AM333" s="152"/>
      <c r="AN333" s="152"/>
      <c r="AO333" s="152"/>
      <c r="AP333" s="217"/>
      <c r="AQ333" s="152"/>
      <c r="AR333" s="152"/>
      <c r="AS333" s="152"/>
      <c r="AT333" s="152"/>
      <c r="AU333" s="152"/>
      <c r="AV333" s="152"/>
    </row>
    <row r="334" spans="39:48">
      <c r="AM334" s="152"/>
      <c r="AN334" s="152"/>
      <c r="AO334" s="152"/>
      <c r="AP334" s="217"/>
      <c r="AQ334" s="152"/>
      <c r="AR334" s="152"/>
      <c r="AS334" s="152"/>
      <c r="AT334" s="152"/>
      <c r="AU334" s="152"/>
      <c r="AV334" s="152"/>
    </row>
    <row r="335" spans="39:48">
      <c r="AM335" s="152"/>
      <c r="AN335" s="152"/>
      <c r="AO335" s="152"/>
      <c r="AP335" s="217"/>
      <c r="AQ335" s="152"/>
      <c r="AR335" s="152"/>
      <c r="AS335" s="152"/>
      <c r="AT335" s="152"/>
      <c r="AU335" s="152"/>
      <c r="AV335" s="152"/>
    </row>
    <row r="336" spans="39:48">
      <c r="AM336" s="152"/>
      <c r="AN336" s="152"/>
      <c r="AO336" s="152"/>
      <c r="AP336" s="217"/>
      <c r="AQ336" s="152"/>
      <c r="AR336" s="152"/>
      <c r="AS336" s="152"/>
      <c r="AT336" s="152"/>
      <c r="AU336" s="152"/>
      <c r="AV336" s="152"/>
    </row>
    <row r="337" spans="39:48">
      <c r="AM337" s="152"/>
      <c r="AN337" s="152"/>
      <c r="AO337" s="152"/>
      <c r="AP337" s="217"/>
      <c r="AQ337" s="152"/>
      <c r="AR337" s="152"/>
      <c r="AS337" s="152"/>
      <c r="AT337" s="152"/>
      <c r="AU337" s="152"/>
      <c r="AV337" s="152"/>
    </row>
    <row r="338" spans="39:48">
      <c r="AM338" s="152"/>
      <c r="AN338" s="152"/>
      <c r="AO338" s="152"/>
      <c r="AP338" s="217"/>
      <c r="AQ338" s="152"/>
      <c r="AR338" s="152"/>
      <c r="AS338" s="152"/>
      <c r="AT338" s="152"/>
      <c r="AU338" s="152"/>
      <c r="AV338" s="152"/>
    </row>
    <row r="339" spans="39:48">
      <c r="AM339" s="152"/>
      <c r="AN339" s="152"/>
      <c r="AO339" s="152"/>
      <c r="AP339" s="217"/>
      <c r="AQ339" s="152"/>
      <c r="AR339" s="152"/>
      <c r="AS339" s="152"/>
      <c r="AT339" s="152"/>
      <c r="AU339" s="152"/>
      <c r="AV339" s="152"/>
    </row>
    <row r="340" spans="39:48">
      <c r="AM340" s="152"/>
      <c r="AN340" s="152"/>
      <c r="AO340" s="152"/>
      <c r="AP340" s="217"/>
      <c r="AQ340" s="152"/>
      <c r="AR340" s="152"/>
      <c r="AS340" s="152"/>
      <c r="AT340" s="152"/>
      <c r="AU340" s="152"/>
      <c r="AV340" s="152"/>
    </row>
    <row r="341" spans="39:48">
      <c r="AM341" s="152"/>
      <c r="AN341" s="152"/>
      <c r="AO341" s="152"/>
      <c r="AP341" s="217"/>
      <c r="AQ341" s="152"/>
      <c r="AR341" s="152"/>
      <c r="AS341" s="152"/>
      <c r="AT341" s="152"/>
      <c r="AU341" s="152"/>
      <c r="AV341" s="152"/>
    </row>
    <row r="342" spans="39:48">
      <c r="AM342" s="152"/>
      <c r="AN342" s="152"/>
      <c r="AO342" s="152"/>
      <c r="AP342" s="217"/>
      <c r="AQ342" s="152"/>
      <c r="AR342" s="152"/>
      <c r="AS342" s="152"/>
      <c r="AT342" s="152"/>
      <c r="AU342" s="152"/>
      <c r="AV342" s="152"/>
    </row>
    <row r="343" spans="39:48">
      <c r="AM343" s="152"/>
      <c r="AN343" s="152"/>
      <c r="AO343" s="152"/>
      <c r="AP343" s="217"/>
      <c r="AQ343" s="152"/>
      <c r="AR343" s="152"/>
      <c r="AS343" s="152"/>
      <c r="AT343" s="152"/>
      <c r="AU343" s="152"/>
      <c r="AV343" s="152"/>
    </row>
    <row r="344" spans="39:48">
      <c r="AM344" s="152"/>
      <c r="AN344" s="152"/>
      <c r="AO344" s="152"/>
      <c r="AP344" s="217"/>
      <c r="AQ344" s="152"/>
      <c r="AR344" s="152"/>
      <c r="AS344" s="152"/>
      <c r="AT344" s="152"/>
      <c r="AU344" s="152"/>
      <c r="AV344" s="152"/>
    </row>
    <row r="345" spans="39:48">
      <c r="AM345" s="152"/>
      <c r="AN345" s="152"/>
      <c r="AO345" s="152"/>
      <c r="AP345" s="217"/>
      <c r="AQ345" s="152"/>
      <c r="AR345" s="152"/>
      <c r="AS345" s="152"/>
      <c r="AT345" s="152"/>
      <c r="AU345" s="152"/>
      <c r="AV345" s="152"/>
    </row>
    <row r="346" spans="39:48">
      <c r="AM346" s="152"/>
      <c r="AN346" s="152"/>
      <c r="AO346" s="152"/>
      <c r="AP346" s="217"/>
      <c r="AQ346" s="152"/>
      <c r="AR346" s="152"/>
      <c r="AS346" s="152"/>
      <c r="AT346" s="152"/>
      <c r="AU346" s="152"/>
      <c r="AV346" s="152"/>
    </row>
    <row r="347" spans="39:48">
      <c r="AM347" s="152"/>
      <c r="AN347" s="152"/>
      <c r="AO347" s="152"/>
      <c r="AP347" s="217"/>
      <c r="AQ347" s="152"/>
      <c r="AR347" s="152"/>
      <c r="AS347" s="152"/>
      <c r="AT347" s="152"/>
      <c r="AU347" s="152"/>
      <c r="AV347" s="152"/>
    </row>
    <row r="348" spans="39:48">
      <c r="AM348" s="152"/>
      <c r="AN348" s="152"/>
      <c r="AO348" s="152"/>
      <c r="AP348" s="217"/>
      <c r="AQ348" s="152"/>
      <c r="AR348" s="152"/>
      <c r="AS348" s="152"/>
      <c r="AT348" s="152"/>
      <c r="AU348" s="152"/>
      <c r="AV348" s="152"/>
    </row>
    <row r="349" spans="39:48">
      <c r="AM349" s="152"/>
      <c r="AN349" s="152"/>
      <c r="AO349" s="152"/>
      <c r="AP349" s="217"/>
      <c r="AQ349" s="152"/>
      <c r="AR349" s="152"/>
      <c r="AT349" s="152"/>
      <c r="AU349" s="152"/>
      <c r="AV349" s="152"/>
    </row>
    <row r="350" spans="39:48">
      <c r="AM350" s="152"/>
      <c r="AN350" s="152"/>
      <c r="AO350" s="152"/>
      <c r="AP350" s="217"/>
      <c r="AQ350" s="152"/>
      <c r="AR350" s="152"/>
      <c r="AT350" s="152"/>
      <c r="AU350" s="152"/>
      <c r="AV350" s="152"/>
    </row>
    <row r="351" spans="39:48">
      <c r="AM351" s="152"/>
      <c r="AN351" s="152"/>
      <c r="AO351" s="152"/>
      <c r="AP351" s="217"/>
      <c r="AQ351" s="152"/>
      <c r="AR351" s="152"/>
      <c r="AT351" s="152"/>
      <c r="AU351" s="152"/>
      <c r="AV351" s="152"/>
    </row>
    <row r="352" spans="39:48">
      <c r="AM352" s="152"/>
      <c r="AN352" s="152"/>
      <c r="AO352" s="152"/>
      <c r="AP352" s="217"/>
      <c r="AQ352" s="152"/>
      <c r="AR352" s="152"/>
      <c r="AT352" s="152"/>
      <c r="AU352" s="152"/>
      <c r="AV352" s="152"/>
    </row>
    <row r="353" spans="39:48">
      <c r="AM353" s="152"/>
      <c r="AN353" s="152"/>
      <c r="AO353" s="152"/>
      <c r="AT353" s="152"/>
      <c r="AU353" s="152"/>
      <c r="AV353" s="152"/>
    </row>
    <row r="354" spans="39:48">
      <c r="AM354" s="152"/>
      <c r="AN354" s="152"/>
      <c r="AO354" s="152"/>
      <c r="AT354" s="152"/>
      <c r="AU354" s="152"/>
      <c r="AV354" s="152"/>
    </row>
    <row r="355" spans="39:48">
      <c r="AM355" s="152"/>
      <c r="AN355" s="152"/>
      <c r="AO355" s="152"/>
      <c r="AT355" s="152"/>
      <c r="AU355" s="152"/>
      <c r="AV355" s="152"/>
    </row>
    <row r="356" spans="39:48">
      <c r="AM356" s="152"/>
      <c r="AN356" s="152"/>
      <c r="AO356" s="152"/>
      <c r="AT356" s="152"/>
      <c r="AU356" s="152"/>
      <c r="AV356" s="152"/>
    </row>
    <row r="357" spans="39:48">
      <c r="AM357" s="152"/>
      <c r="AN357" s="152"/>
      <c r="AO357" s="152"/>
      <c r="AT357" s="152"/>
      <c r="AU357" s="152"/>
      <c r="AV357" s="152"/>
    </row>
    <row r="358" spans="39:48">
      <c r="AM358" s="152"/>
      <c r="AN358" s="152"/>
      <c r="AO358" s="152"/>
      <c r="AT358" s="152"/>
      <c r="AU358" s="152"/>
      <c r="AV358" s="152"/>
    </row>
    <row r="359" spans="39:48">
      <c r="AM359" s="152"/>
      <c r="AN359" s="152"/>
      <c r="AO359" s="152"/>
      <c r="AT359" s="152"/>
      <c r="AU359" s="152"/>
      <c r="AV359" s="152"/>
    </row>
    <row r="360" spans="39:48">
      <c r="AM360" s="152"/>
      <c r="AN360" s="152"/>
      <c r="AO360" s="152"/>
    </row>
    <row r="361" spans="39:48">
      <c r="AM361" s="152"/>
      <c r="AN361" s="152"/>
      <c r="AO361" s="152"/>
    </row>
    <row r="362" spans="39:48">
      <c r="AM362" s="152"/>
      <c r="AN362" s="152"/>
      <c r="AO362" s="152"/>
    </row>
    <row r="363" spans="39:48">
      <c r="AM363" s="152"/>
      <c r="AN363" s="152"/>
      <c r="AO363" s="152"/>
    </row>
    <row r="364" spans="39:48">
      <c r="AM364" s="152"/>
      <c r="AN364" s="152"/>
      <c r="AO364" s="152"/>
    </row>
    <row r="365" spans="39:48">
      <c r="AM365" s="152"/>
      <c r="AN365" s="152"/>
      <c r="AO365" s="152"/>
    </row>
    <row r="366" spans="39:48">
      <c r="AM366" s="152"/>
      <c r="AN366" s="152"/>
      <c r="AO366" s="152"/>
    </row>
    <row r="367" spans="39:48">
      <c r="AM367" s="152"/>
      <c r="AN367" s="152"/>
      <c r="AO367" s="152"/>
    </row>
    <row r="368" spans="39:48">
      <c r="AM368" s="152"/>
      <c r="AN368" s="152"/>
      <c r="AO368" s="152"/>
    </row>
    <row r="369" spans="39:41">
      <c r="AM369" s="152"/>
      <c r="AN369" s="152"/>
      <c r="AO369" s="152"/>
    </row>
    <row r="370" spans="39:41">
      <c r="AM370" s="152"/>
      <c r="AN370" s="152"/>
      <c r="AO370" s="152"/>
    </row>
    <row r="371" spans="39:41">
      <c r="AM371" s="152"/>
      <c r="AN371" s="152"/>
      <c r="AO371" s="152"/>
    </row>
    <row r="372" spans="39:41">
      <c r="AM372" s="152"/>
      <c r="AN372" s="152"/>
      <c r="AO372" s="152"/>
    </row>
    <row r="373" spans="39:41">
      <c r="AM373" s="152"/>
      <c r="AN373" s="152"/>
      <c r="AO373" s="152"/>
    </row>
    <row r="374" spans="39:41">
      <c r="AM374" s="152"/>
      <c r="AN374" s="152"/>
      <c r="AO374" s="152"/>
    </row>
    <row r="375" spans="39:41">
      <c r="AM375" s="152"/>
      <c r="AN375" s="152"/>
      <c r="AO375" s="152"/>
    </row>
    <row r="376" spans="39:41">
      <c r="AM376" s="152"/>
      <c r="AN376" s="152"/>
      <c r="AO376" s="152"/>
    </row>
    <row r="377" spans="39:41">
      <c r="AM377" s="152"/>
      <c r="AN377" s="152"/>
      <c r="AO377" s="152"/>
    </row>
    <row r="378" spans="39:41">
      <c r="AM378" s="152"/>
      <c r="AN378" s="152"/>
      <c r="AO378" s="152"/>
    </row>
    <row r="379" spans="39:41">
      <c r="AM379" s="152"/>
      <c r="AN379" s="152"/>
      <c r="AO379" s="152"/>
    </row>
    <row r="380" spans="39:41">
      <c r="AM380" s="152"/>
      <c r="AN380" s="152"/>
      <c r="AO380" s="152"/>
    </row>
    <row r="381" spans="39:41">
      <c r="AM381" s="152"/>
      <c r="AN381" s="152"/>
      <c r="AO381" s="152"/>
    </row>
    <row r="382" spans="39:41">
      <c r="AM382" s="152"/>
      <c r="AN382" s="152"/>
      <c r="AO382" s="152"/>
    </row>
    <row r="383" spans="39:41">
      <c r="AM383" s="152"/>
      <c r="AN383" s="152"/>
      <c r="AO383" s="152"/>
    </row>
    <row r="384" spans="39:41">
      <c r="AM384" s="152"/>
      <c r="AN384" s="152"/>
      <c r="AO384" s="152"/>
    </row>
    <row r="385" spans="39:41">
      <c r="AM385" s="152"/>
      <c r="AN385" s="152"/>
      <c r="AO385" s="152"/>
    </row>
    <row r="386" spans="39:41">
      <c r="AM386" s="152"/>
      <c r="AN386" s="152"/>
      <c r="AO386" s="152"/>
    </row>
    <row r="387" spans="39:41">
      <c r="AM387" s="152"/>
      <c r="AN387" s="152"/>
      <c r="AO387" s="152"/>
    </row>
    <row r="388" spans="39:41">
      <c r="AM388" s="152"/>
      <c r="AN388" s="152"/>
      <c r="AO388" s="152"/>
    </row>
    <row r="389" spans="39:41">
      <c r="AM389" s="152"/>
      <c r="AN389" s="152"/>
      <c r="AO389" s="152"/>
    </row>
    <row r="390" spans="39:41">
      <c r="AM390" s="152"/>
      <c r="AN390" s="152"/>
      <c r="AO390" s="152"/>
    </row>
    <row r="391" spans="39:41">
      <c r="AM391" s="152"/>
      <c r="AN391" s="152"/>
      <c r="AO391" s="152"/>
    </row>
    <row r="392" spans="39:41">
      <c r="AM392" s="152"/>
      <c r="AN392" s="152"/>
      <c r="AO392" s="152"/>
    </row>
    <row r="393" spans="39:41">
      <c r="AM393" s="152"/>
      <c r="AN393" s="152"/>
      <c r="AO393" s="152"/>
    </row>
    <row r="394" spans="39:41">
      <c r="AM394" s="152"/>
      <c r="AN394" s="152"/>
      <c r="AO394" s="152"/>
    </row>
    <row r="395" spans="39:41">
      <c r="AM395" s="152"/>
      <c r="AN395" s="152"/>
      <c r="AO395" s="152"/>
    </row>
    <row r="396" spans="39:41">
      <c r="AM396" s="152"/>
      <c r="AN396" s="152"/>
      <c r="AO396" s="152"/>
    </row>
    <row r="397" spans="39:41">
      <c r="AM397" s="152"/>
      <c r="AN397" s="152"/>
      <c r="AO397" s="152"/>
    </row>
    <row r="398" spans="39:41">
      <c r="AM398" s="152"/>
      <c r="AN398" s="152"/>
      <c r="AO398" s="152"/>
    </row>
    <row r="399" spans="39:41">
      <c r="AM399" s="152"/>
      <c r="AN399" s="152"/>
      <c r="AO399" s="152"/>
    </row>
    <row r="400" spans="39:41">
      <c r="AM400" s="152"/>
      <c r="AN400" s="152"/>
      <c r="AO400" s="152"/>
    </row>
    <row r="401" spans="39:41">
      <c r="AM401" s="152"/>
      <c r="AN401" s="152"/>
      <c r="AO401" s="152"/>
    </row>
    <row r="402" spans="39:41">
      <c r="AM402" s="152"/>
      <c r="AN402" s="152"/>
      <c r="AO402" s="152"/>
    </row>
    <row r="403" spans="39:41">
      <c r="AM403" s="152"/>
      <c r="AN403" s="152"/>
      <c r="AO403" s="152"/>
    </row>
    <row r="404" spans="39:41">
      <c r="AM404" s="152"/>
      <c r="AN404" s="152"/>
      <c r="AO404" s="152"/>
    </row>
    <row r="405" spans="39:41">
      <c r="AM405" s="152"/>
      <c r="AN405" s="152"/>
      <c r="AO405" s="152"/>
    </row>
    <row r="406" spans="39:41">
      <c r="AM406" s="152"/>
      <c r="AN406" s="152"/>
      <c r="AO406" s="152"/>
    </row>
    <row r="407" spans="39:41">
      <c r="AM407" s="152"/>
      <c r="AN407" s="152"/>
      <c r="AO407" s="152"/>
    </row>
    <row r="408" spans="39:41">
      <c r="AM408" s="152"/>
      <c r="AN408" s="152"/>
      <c r="AO408" s="152"/>
    </row>
    <row r="409" spans="39:41">
      <c r="AM409" s="152"/>
      <c r="AN409" s="152"/>
      <c r="AO409" s="152"/>
    </row>
    <row r="410" spans="39:41">
      <c r="AM410" s="152"/>
      <c r="AN410" s="152"/>
      <c r="AO410" s="152"/>
    </row>
    <row r="411" spans="39:41">
      <c r="AM411" s="152"/>
      <c r="AN411" s="152"/>
      <c r="AO411" s="152"/>
    </row>
  </sheetData>
  <mergeCells count="3">
    <mergeCell ref="BJ6:BK6"/>
    <mergeCell ref="BL6:BM6"/>
    <mergeCell ref="BP6:BQ6"/>
  </mergeCells>
  <phoneticPr fontId="25" type="noConversion"/>
  <pageMargins left="0.24" right="0.21" top="0.33" bottom="0.37" header="0.5" footer="0.2"/>
  <pageSetup scale="80" fitToWidth="4" fitToHeight="15" pageOrder="overThenDown" orientation="landscape"/>
  <headerFooter alignWithMargins="0">
    <oddFooter>&amp;C
&amp;R&amp;8&amp;D--Page &amp;P</oddFooter>
  </headerFooter>
  <rowBreaks count="4" manualBreakCount="4">
    <brk id="58" max="62" man="1"/>
    <brk id="108" max="62" man="1"/>
    <brk id="157" max="62" man="1"/>
    <brk id="212" max="62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03"/>
  <sheetViews>
    <sheetView topLeftCell="A189" zoomScaleSheetLayoutView="100" workbookViewId="0">
      <pane xSplit="1" topLeftCell="BJ1" activePane="topRight" state="frozen"/>
      <selection pane="topRight"/>
    </sheetView>
  </sheetViews>
  <sheetFormatPr baseColWidth="10" defaultColWidth="8.83203125" defaultRowHeight="15" x14ac:dyDescent="0"/>
  <cols>
    <col min="1" max="1" width="49.5" style="3" customWidth="1"/>
    <col min="2" max="2" width="6.5" style="177" customWidth="1"/>
    <col min="3" max="11" width="6.5" customWidth="1"/>
    <col min="12" max="12" width="6.5" style="178" customWidth="1"/>
    <col min="13" max="21" width="6.5" style="3" customWidth="1"/>
    <col min="22" max="22" width="6.5" style="178" customWidth="1"/>
    <col min="23" max="31" width="6.5" style="3" customWidth="1"/>
    <col min="32" max="32" width="6.5" style="178" customWidth="1"/>
    <col min="33" max="41" width="6.5" style="3" customWidth="1"/>
    <col min="42" max="42" width="6.5" style="178" customWidth="1"/>
    <col min="43" max="48" width="6.5" style="3" customWidth="1"/>
    <col min="49" max="49" width="6.5" customWidth="1"/>
    <col min="50" max="50" width="6.5" style="188" customWidth="1"/>
    <col min="51" max="52" width="6.5" customWidth="1"/>
    <col min="53" max="54" width="6.5" style="343" customWidth="1"/>
    <col min="55" max="55" width="6.5" style="292" customWidth="1"/>
    <col min="56" max="61" width="6.5" style="531" customWidth="1"/>
    <col min="62" max="63" width="8.5" style="517" customWidth="1"/>
    <col min="64" max="64" width="9" style="947" customWidth="1"/>
    <col min="65" max="65" width="8.5" style="947" customWidth="1"/>
    <col min="66" max="66" width="6" style="443" customWidth="1"/>
    <col min="67" max="67" width="6.5" style="443" customWidth="1"/>
    <col min="68" max="68" width="7" style="443" customWidth="1"/>
  </cols>
  <sheetData>
    <row r="1" spans="1:70">
      <c r="A1" s="3" t="s">
        <v>6</v>
      </c>
    </row>
    <row r="2" spans="1:70" s="68" customFormat="1">
      <c r="A2" s="70" t="s">
        <v>7</v>
      </c>
      <c r="B2" s="968"/>
      <c r="L2" s="981"/>
      <c r="M2" s="58"/>
      <c r="O2" s="58"/>
      <c r="P2" s="58"/>
      <c r="Q2" s="58"/>
      <c r="R2" s="58"/>
      <c r="S2" s="58"/>
      <c r="T2" s="58"/>
      <c r="U2" s="58"/>
      <c r="V2" s="981"/>
      <c r="W2" s="58"/>
      <c r="X2" s="58"/>
      <c r="Y2" s="5"/>
      <c r="Z2" s="5"/>
      <c r="AA2" s="5"/>
      <c r="AB2" s="5"/>
      <c r="AC2" s="5"/>
      <c r="AD2" s="5"/>
      <c r="AE2" s="5"/>
      <c r="AF2" s="819"/>
      <c r="AG2" s="5"/>
      <c r="AH2" s="5"/>
      <c r="AI2" s="5"/>
      <c r="AJ2" s="5"/>
      <c r="AK2" s="5"/>
      <c r="AL2" s="5"/>
      <c r="AP2" s="968"/>
      <c r="AQ2" s="5"/>
      <c r="AR2" s="5"/>
      <c r="AS2" s="5"/>
      <c r="AT2" s="5"/>
      <c r="AU2" s="5"/>
      <c r="AV2" s="5"/>
      <c r="AX2" s="189"/>
      <c r="BA2" s="343"/>
      <c r="BB2" s="343"/>
      <c r="BC2" s="292"/>
      <c r="BD2" s="391"/>
      <c r="BE2" s="391"/>
      <c r="BF2" s="391"/>
      <c r="BG2" s="391"/>
      <c r="BH2" s="391"/>
      <c r="BI2" s="391"/>
      <c r="BJ2" s="517"/>
      <c r="BK2" s="517"/>
      <c r="BL2" s="947"/>
      <c r="BM2" s="947"/>
      <c r="BN2" s="443"/>
      <c r="BO2" s="443"/>
      <c r="BP2" s="443"/>
    </row>
    <row r="3" spans="1:70">
      <c r="A3" s="71" t="s">
        <v>0</v>
      </c>
      <c r="L3" s="818"/>
      <c r="M3" s="4"/>
      <c r="N3" s="4"/>
      <c r="O3" s="4"/>
      <c r="P3" s="4"/>
      <c r="Q3" s="4"/>
      <c r="R3" s="4"/>
      <c r="S3" s="4"/>
      <c r="T3" s="4"/>
      <c r="U3" s="4"/>
      <c r="V3" s="818"/>
      <c r="W3" s="4"/>
      <c r="X3" s="4"/>
      <c r="Y3" s="4"/>
      <c r="Z3" s="4"/>
      <c r="AA3" s="4"/>
      <c r="AB3" s="4"/>
      <c r="AC3" s="4"/>
      <c r="AD3" s="4"/>
      <c r="AE3" s="4"/>
      <c r="AF3" s="818"/>
      <c r="AG3" s="4"/>
      <c r="AH3" s="4"/>
      <c r="AI3" s="4"/>
      <c r="AJ3" s="4"/>
      <c r="AK3" s="4"/>
      <c r="AL3" s="4"/>
      <c r="AQ3" s="4"/>
      <c r="AR3" s="4"/>
      <c r="AS3" s="4"/>
      <c r="AT3" s="5"/>
      <c r="AU3" s="5"/>
      <c r="AV3" s="5"/>
      <c r="AX3" s="189"/>
      <c r="BD3" s="391"/>
      <c r="BE3" s="391"/>
      <c r="BF3" s="391"/>
      <c r="BG3" s="391"/>
      <c r="BH3" s="391"/>
      <c r="BI3" s="391"/>
    </row>
    <row r="4" spans="1:70">
      <c r="A4" s="622"/>
      <c r="B4" s="693"/>
      <c r="C4" s="623"/>
      <c r="D4" s="623"/>
      <c r="E4" s="623"/>
      <c r="F4" s="623"/>
      <c r="G4" s="623"/>
      <c r="H4" s="623"/>
      <c r="I4" s="623"/>
      <c r="J4" s="623"/>
      <c r="K4" s="623"/>
      <c r="L4" s="982"/>
      <c r="M4" s="624"/>
      <c r="N4" s="624"/>
      <c r="O4" s="624"/>
      <c r="P4" s="624"/>
      <c r="Q4" s="624"/>
      <c r="R4" s="624"/>
      <c r="S4" s="624"/>
      <c r="T4" s="624"/>
      <c r="U4" s="624"/>
      <c r="V4" s="982"/>
      <c r="W4" s="624"/>
      <c r="X4" s="624"/>
      <c r="Y4" s="624"/>
      <c r="Z4" s="624"/>
      <c r="AA4" s="624"/>
      <c r="AB4" s="624"/>
      <c r="AC4" s="624"/>
      <c r="AD4" s="624"/>
      <c r="AE4" s="624"/>
      <c r="AF4" s="982"/>
      <c r="AG4" s="624"/>
      <c r="AH4" s="624"/>
      <c r="AI4" s="624"/>
      <c r="AJ4" s="624"/>
      <c r="AK4" s="624"/>
      <c r="AL4" s="624"/>
      <c r="AM4" s="625"/>
      <c r="AN4" s="625"/>
      <c r="AO4" s="625"/>
      <c r="AP4" s="995"/>
      <c r="AQ4" s="624"/>
      <c r="AR4" s="624"/>
      <c r="AS4" s="624"/>
      <c r="AT4" s="626"/>
      <c r="AU4" s="626"/>
      <c r="AV4" s="626"/>
      <c r="AW4" s="623"/>
      <c r="AX4" s="627"/>
      <c r="AY4" s="623"/>
      <c r="AZ4" s="623"/>
      <c r="BA4" s="628"/>
      <c r="BB4" s="628"/>
      <c r="BC4" s="629"/>
      <c r="BD4" s="630"/>
      <c r="BE4" s="630"/>
      <c r="BF4" s="630"/>
      <c r="BG4" s="630"/>
      <c r="BH4" s="630"/>
      <c r="BI4" s="630"/>
      <c r="BJ4" s="958"/>
      <c r="BK4" s="958"/>
      <c r="BL4" s="948"/>
      <c r="BM4" s="948"/>
    </row>
    <row r="5" spans="1:70">
      <c r="A5" s="39"/>
      <c r="B5" s="631"/>
      <c r="C5" s="39"/>
      <c r="D5" s="39"/>
      <c r="E5" s="39"/>
      <c r="F5" s="39"/>
      <c r="G5" s="39"/>
      <c r="H5" s="39"/>
      <c r="I5" s="39"/>
      <c r="J5" s="39"/>
      <c r="K5" s="39"/>
      <c r="L5" s="820"/>
      <c r="M5" s="104"/>
      <c r="N5" s="104"/>
      <c r="O5" s="104"/>
      <c r="P5" s="104"/>
      <c r="Q5" s="104"/>
      <c r="R5" s="104"/>
      <c r="S5" s="104"/>
      <c r="T5" s="104"/>
      <c r="U5" s="104"/>
      <c r="V5" s="820"/>
      <c r="W5" s="104"/>
      <c r="X5" s="104"/>
      <c r="Y5" s="104"/>
      <c r="Z5" s="98"/>
      <c r="AA5" s="98"/>
      <c r="AB5" s="98"/>
      <c r="AC5" s="98"/>
      <c r="AD5" s="98"/>
      <c r="AE5" s="98"/>
      <c r="AF5" s="675"/>
      <c r="AG5" s="98"/>
      <c r="AH5" s="98"/>
      <c r="AI5" s="39"/>
      <c r="AJ5" s="39"/>
      <c r="AK5" s="100"/>
      <c r="AL5" s="100"/>
      <c r="AM5" s="100"/>
      <c r="AN5" s="100"/>
      <c r="AO5" s="39"/>
      <c r="AP5" s="631"/>
      <c r="AQ5" s="39"/>
      <c r="AR5" s="39"/>
      <c r="AS5" s="101"/>
      <c r="AT5" s="105"/>
      <c r="AU5" s="105"/>
      <c r="AV5" s="185"/>
      <c r="AW5" s="215"/>
      <c r="AX5" s="183"/>
      <c r="AY5" s="196"/>
      <c r="AZ5" s="439"/>
      <c r="BA5" s="344"/>
      <c r="BB5" s="418"/>
      <c r="BC5" s="418"/>
      <c r="BD5" s="428"/>
      <c r="BF5" s="391"/>
      <c r="BG5" s="391"/>
      <c r="BH5" s="866" t="s">
        <v>118</v>
      </c>
      <c r="BI5" s="391"/>
      <c r="BJ5" s="999" t="s">
        <v>1</v>
      </c>
      <c r="BK5" s="999"/>
      <c r="BL5" s="1000" t="s">
        <v>167</v>
      </c>
      <c r="BM5" s="1000"/>
    </row>
    <row r="6" spans="1:70">
      <c r="A6" s="185" t="s">
        <v>2</v>
      </c>
      <c r="B6" s="794">
        <v>1960</v>
      </c>
      <c r="C6" s="259">
        <v>1961</v>
      </c>
      <c r="D6" s="259">
        <v>1962</v>
      </c>
      <c r="E6" s="259">
        <v>1963</v>
      </c>
      <c r="F6" s="259">
        <v>1964</v>
      </c>
      <c r="G6" s="259">
        <v>1965</v>
      </c>
      <c r="H6" s="259">
        <v>1966</v>
      </c>
      <c r="I6" s="259">
        <v>1967</v>
      </c>
      <c r="J6" s="259">
        <v>1968</v>
      </c>
      <c r="K6" s="259">
        <v>1969</v>
      </c>
      <c r="L6" s="794">
        <v>1970</v>
      </c>
      <c r="M6" s="259">
        <v>1971</v>
      </c>
      <c r="N6" s="259">
        <v>1972</v>
      </c>
      <c r="O6" s="259">
        <v>1973</v>
      </c>
      <c r="P6" s="259">
        <v>1974</v>
      </c>
      <c r="Q6" s="259">
        <v>1975</v>
      </c>
      <c r="R6" s="259">
        <v>1976</v>
      </c>
      <c r="S6" s="259">
        <v>1977</v>
      </c>
      <c r="T6" s="259">
        <v>1978</v>
      </c>
      <c r="U6" s="259">
        <v>1979</v>
      </c>
      <c r="V6" s="794">
        <v>1980</v>
      </c>
      <c r="W6" s="259">
        <v>1981</v>
      </c>
      <c r="X6" s="259">
        <v>1982</v>
      </c>
      <c r="Y6" s="259">
        <v>1983</v>
      </c>
      <c r="Z6" s="259">
        <v>1984</v>
      </c>
      <c r="AA6" s="259">
        <v>1985</v>
      </c>
      <c r="AB6" s="259">
        <v>1986</v>
      </c>
      <c r="AC6" s="259">
        <v>1987</v>
      </c>
      <c r="AD6" s="259">
        <v>1988</v>
      </c>
      <c r="AE6" s="259">
        <v>1989</v>
      </c>
      <c r="AF6" s="794">
        <v>1990</v>
      </c>
      <c r="AG6" s="259">
        <v>1991</v>
      </c>
      <c r="AH6" s="259">
        <v>1992</v>
      </c>
      <c r="AI6" s="259">
        <v>1993</v>
      </c>
      <c r="AJ6" s="259">
        <v>1994</v>
      </c>
      <c r="AK6" s="259">
        <v>1995</v>
      </c>
      <c r="AL6" s="259">
        <v>1996</v>
      </c>
      <c r="AM6" s="259">
        <v>1997</v>
      </c>
      <c r="AN6" s="259">
        <v>1998</v>
      </c>
      <c r="AO6" s="259">
        <v>1999</v>
      </c>
      <c r="AP6" s="794">
        <v>2000</v>
      </c>
      <c r="AQ6" s="259">
        <v>2001</v>
      </c>
      <c r="AR6" s="259">
        <v>2002</v>
      </c>
      <c r="AS6" s="259">
        <v>2003</v>
      </c>
      <c r="AT6" s="259">
        <v>2004</v>
      </c>
      <c r="AU6" s="259">
        <v>2005</v>
      </c>
      <c r="AV6" s="259">
        <v>2006</v>
      </c>
      <c r="AW6" s="260">
        <v>2007</v>
      </c>
      <c r="AX6" s="261">
        <v>2008</v>
      </c>
      <c r="AY6" s="261">
        <v>2009</v>
      </c>
      <c r="AZ6" s="261">
        <v>2010</v>
      </c>
      <c r="BA6" s="345">
        <v>2011</v>
      </c>
      <c r="BB6" s="345">
        <v>2012</v>
      </c>
      <c r="BC6" s="345">
        <v>2013</v>
      </c>
      <c r="BD6" s="532">
        <v>2014</v>
      </c>
      <c r="BE6" s="532">
        <v>2015</v>
      </c>
      <c r="BF6" s="532">
        <v>2016</v>
      </c>
      <c r="BG6" s="532">
        <v>2017</v>
      </c>
      <c r="BH6" s="532">
        <v>2018</v>
      </c>
      <c r="BI6" s="532">
        <v>2019</v>
      </c>
      <c r="BJ6" s="867" t="s">
        <v>164</v>
      </c>
      <c r="BK6" s="867" t="s">
        <v>165</v>
      </c>
      <c r="BL6" s="882" t="s">
        <v>164</v>
      </c>
      <c r="BM6" s="882" t="s">
        <v>165</v>
      </c>
    </row>
    <row r="7" spans="1:70" ht="16" thickBot="1">
      <c r="A7" s="262"/>
      <c r="B7" s="969"/>
      <c r="C7" s="436"/>
      <c r="D7" s="436"/>
      <c r="E7" s="436"/>
      <c r="F7" s="436"/>
      <c r="G7" s="436"/>
      <c r="H7" s="436"/>
      <c r="I7" s="436"/>
      <c r="J7" s="436"/>
      <c r="K7" s="436"/>
      <c r="L7" s="821"/>
      <c r="M7" s="262"/>
      <c r="N7" s="262"/>
      <c r="O7" s="262"/>
      <c r="P7" s="262"/>
      <c r="Q7" s="262"/>
      <c r="R7" s="262"/>
      <c r="S7" s="262"/>
      <c r="T7" s="262"/>
      <c r="U7" s="262"/>
      <c r="V7" s="821"/>
      <c r="W7" s="262"/>
      <c r="X7" s="262"/>
      <c r="Y7" s="262"/>
      <c r="Z7" s="262"/>
      <c r="AA7" s="262"/>
      <c r="AB7" s="262"/>
      <c r="AC7" s="262"/>
      <c r="AD7" s="262"/>
      <c r="AE7" s="262"/>
      <c r="AF7" s="821"/>
      <c r="AG7" s="262"/>
      <c r="AH7" s="262"/>
      <c r="AI7" s="262"/>
      <c r="AJ7" s="262"/>
      <c r="AK7" s="262"/>
      <c r="AL7" s="262"/>
      <c r="AM7" s="263"/>
      <c r="AN7" s="263"/>
      <c r="AO7" s="263"/>
      <c r="AP7" s="795"/>
      <c r="AQ7" s="262"/>
      <c r="AR7" s="263"/>
      <c r="AS7" s="263"/>
      <c r="AT7" s="263"/>
      <c r="AU7" s="263"/>
      <c r="AV7" s="263"/>
      <c r="AW7" s="265"/>
      <c r="AX7" s="446"/>
      <c r="AY7" s="265"/>
      <c r="AZ7" s="265"/>
      <c r="BA7" s="346"/>
      <c r="BB7" s="346"/>
      <c r="BC7" s="379"/>
      <c r="BD7" s="519"/>
      <c r="BE7" s="519"/>
      <c r="BF7" s="519"/>
      <c r="BG7" s="519"/>
      <c r="BH7" s="519"/>
      <c r="BI7" s="519"/>
      <c r="BJ7" s="959"/>
      <c r="BK7" s="959"/>
      <c r="BL7" s="949"/>
      <c r="BM7" s="949"/>
    </row>
    <row r="8" spans="1:70">
      <c r="A8" s="121" t="s">
        <v>8</v>
      </c>
      <c r="L8" s="983"/>
      <c r="M8" s="6"/>
      <c r="N8" s="6"/>
      <c r="O8" s="6"/>
      <c r="P8" s="6"/>
      <c r="Q8" s="6"/>
      <c r="R8" s="6"/>
      <c r="S8" s="6"/>
      <c r="T8" s="6"/>
      <c r="U8" s="6"/>
      <c r="V8" s="179"/>
      <c r="W8" s="6"/>
      <c r="X8" s="6"/>
      <c r="Y8" s="6"/>
      <c r="Z8" s="6"/>
      <c r="AA8" s="6"/>
      <c r="AB8" s="6"/>
      <c r="AC8" s="6"/>
      <c r="AD8" s="6"/>
      <c r="AE8" s="6"/>
      <c r="AF8" s="179"/>
      <c r="AG8" s="6"/>
      <c r="AH8" s="6"/>
      <c r="AI8" s="6"/>
      <c r="AJ8" s="6"/>
      <c r="AQ8" s="6"/>
      <c r="AR8" s="6"/>
      <c r="AS8" s="6"/>
      <c r="AW8" s="195"/>
      <c r="AX8" s="204"/>
      <c r="AY8" s="195"/>
      <c r="AZ8" s="195"/>
      <c r="BD8" s="391"/>
      <c r="BE8" s="391"/>
      <c r="BF8" s="391"/>
      <c r="BG8" s="391"/>
      <c r="BH8" s="391"/>
      <c r="BI8" s="391"/>
      <c r="BJ8" s="410"/>
      <c r="BK8" s="410"/>
      <c r="BL8" s="950"/>
      <c r="BM8" s="950"/>
      <c r="BN8" s="72"/>
      <c r="BO8" s="72"/>
      <c r="BP8" s="72"/>
      <c r="BQ8" s="72"/>
    </row>
    <row r="9" spans="1:70" ht="11.25" customHeight="1">
      <c r="A9" s="156"/>
      <c r="L9" s="177"/>
      <c r="M9" s="73"/>
      <c r="N9" s="73"/>
      <c r="O9" s="4"/>
      <c r="P9" s="4"/>
      <c r="Q9" s="4"/>
      <c r="R9" s="4"/>
      <c r="S9" s="4"/>
      <c r="T9" s="4"/>
      <c r="U9" s="4"/>
      <c r="V9" s="818"/>
      <c r="W9" s="4"/>
      <c r="X9" s="4"/>
      <c r="Y9" s="4"/>
      <c r="Z9" s="6"/>
      <c r="AA9" s="6"/>
      <c r="AB9" s="6"/>
      <c r="AC9" s="6"/>
      <c r="AD9" s="6"/>
      <c r="AE9" s="6"/>
      <c r="AF9" s="179"/>
      <c r="AG9" s="6"/>
      <c r="AH9" s="6"/>
      <c r="AI9" s="6"/>
      <c r="AJ9" s="6"/>
      <c r="AQ9" s="6"/>
      <c r="AR9" s="6"/>
      <c r="AS9" s="6"/>
      <c r="AW9" s="195"/>
      <c r="AX9" s="204"/>
      <c r="AY9" s="195"/>
      <c r="AZ9" s="195"/>
      <c r="BD9" s="391"/>
      <c r="BE9" s="391"/>
      <c r="BF9" s="391"/>
      <c r="BG9" s="391"/>
      <c r="BH9" s="391"/>
      <c r="BI9" s="391"/>
    </row>
    <row r="10" spans="1:70" ht="14.25" customHeight="1">
      <c r="A10" s="120" t="s">
        <v>9</v>
      </c>
      <c r="L10" s="179"/>
      <c r="M10" s="6"/>
      <c r="N10" s="6"/>
      <c r="O10" s="6"/>
      <c r="P10" s="6"/>
      <c r="Q10" s="6"/>
      <c r="R10" s="6"/>
      <c r="S10" s="6"/>
      <c r="T10" s="6"/>
      <c r="U10" s="6"/>
      <c r="V10" s="179"/>
      <c r="W10" s="6"/>
      <c r="X10" s="6"/>
      <c r="Y10" s="6"/>
      <c r="Z10" s="6"/>
      <c r="AA10" s="6"/>
      <c r="AB10" s="6"/>
      <c r="AC10" s="6"/>
      <c r="AD10" s="6"/>
      <c r="AE10" s="6"/>
      <c r="AF10" s="179"/>
      <c r="AG10" s="6"/>
      <c r="AH10" s="6"/>
      <c r="AI10" s="6"/>
      <c r="AJ10" s="6"/>
      <c r="AQ10" s="6"/>
      <c r="AR10" s="6"/>
      <c r="AS10" s="6"/>
      <c r="AW10" s="195"/>
      <c r="AX10" s="204"/>
      <c r="AY10" s="195"/>
      <c r="AZ10" s="195"/>
      <c r="BD10" s="391"/>
      <c r="BE10" s="391"/>
      <c r="BF10" s="391"/>
      <c r="BG10" s="391"/>
      <c r="BH10" s="391"/>
      <c r="BI10" s="391"/>
    </row>
    <row r="11" spans="1:70" ht="6" customHeight="1">
      <c r="A11" s="115"/>
      <c r="L11" s="179"/>
      <c r="M11" s="6"/>
      <c r="N11" s="6"/>
      <c r="O11" s="6"/>
      <c r="P11" s="6"/>
      <c r="Q11" s="6"/>
      <c r="R11" s="6"/>
      <c r="S11" s="6"/>
      <c r="T11" s="6"/>
      <c r="U11" s="6"/>
      <c r="V11" s="179"/>
      <c r="W11" s="6"/>
      <c r="X11" s="6"/>
      <c r="Y11" s="6"/>
      <c r="Z11" s="6"/>
      <c r="AA11" s="6"/>
      <c r="AB11" s="6"/>
      <c r="AC11" s="6"/>
      <c r="AD11" s="6"/>
      <c r="AE11" s="6"/>
      <c r="AF11" s="179"/>
      <c r="AG11" s="6"/>
      <c r="AH11" s="6"/>
      <c r="AI11" s="6"/>
      <c r="AJ11" s="6"/>
      <c r="AW11" s="195"/>
      <c r="AX11" s="204"/>
      <c r="AY11" s="195"/>
      <c r="AZ11" s="195"/>
      <c r="BD11" s="391"/>
      <c r="BE11" s="391"/>
      <c r="BF11" s="391"/>
      <c r="BG11" s="391"/>
      <c r="BH11" s="391"/>
      <c r="BI11" s="391"/>
      <c r="BJ11" s="410"/>
      <c r="BK11" s="410"/>
    </row>
    <row r="12" spans="1:70" ht="11.25" customHeight="1">
      <c r="A12" s="115" t="s">
        <v>21</v>
      </c>
      <c r="B12" s="695" t="s">
        <v>3</v>
      </c>
      <c r="C12" s="17" t="s">
        <v>3</v>
      </c>
      <c r="D12" s="17" t="s">
        <v>3</v>
      </c>
      <c r="E12" s="17" t="s">
        <v>3</v>
      </c>
      <c r="F12" s="17" t="s">
        <v>3</v>
      </c>
      <c r="G12" s="17" t="s">
        <v>3</v>
      </c>
      <c r="H12" s="17" t="s">
        <v>3</v>
      </c>
      <c r="I12" s="17" t="s">
        <v>3</v>
      </c>
      <c r="J12" s="17" t="s">
        <v>3</v>
      </c>
      <c r="K12" s="17" t="s">
        <v>3</v>
      </c>
      <c r="L12" s="695" t="s">
        <v>3</v>
      </c>
      <c r="M12" s="17" t="s">
        <v>3</v>
      </c>
      <c r="N12" s="17" t="s">
        <v>3</v>
      </c>
      <c r="O12" s="11">
        <v>586</v>
      </c>
      <c r="P12" s="11">
        <v>816</v>
      </c>
      <c r="Q12" s="11">
        <v>926</v>
      </c>
      <c r="R12" s="11">
        <v>929</v>
      </c>
      <c r="S12" s="11">
        <v>944</v>
      </c>
      <c r="T12" s="11">
        <v>945</v>
      </c>
      <c r="U12" s="11">
        <v>979</v>
      </c>
      <c r="V12" s="596">
        <v>978</v>
      </c>
      <c r="W12" s="11">
        <v>889</v>
      </c>
      <c r="X12" s="11">
        <v>639</v>
      </c>
      <c r="Y12" s="11">
        <v>616</v>
      </c>
      <c r="Z12" s="11">
        <v>579</v>
      </c>
      <c r="AA12" s="11">
        <v>573</v>
      </c>
      <c r="AB12" s="11">
        <v>557</v>
      </c>
      <c r="AC12" s="11">
        <v>528</v>
      </c>
      <c r="AD12" s="11">
        <v>510</v>
      </c>
      <c r="AE12" s="11">
        <v>515</v>
      </c>
      <c r="AF12" s="596">
        <v>515</v>
      </c>
      <c r="AG12" s="11">
        <v>511</v>
      </c>
      <c r="AH12" s="11">
        <v>531</v>
      </c>
      <c r="AI12" s="11">
        <v>516</v>
      </c>
      <c r="AJ12" s="11">
        <v>485</v>
      </c>
      <c r="AK12" s="11">
        <v>474</v>
      </c>
      <c r="AL12" s="74">
        <v>469</v>
      </c>
      <c r="AM12" s="74">
        <v>462</v>
      </c>
      <c r="AN12" s="74">
        <v>462</v>
      </c>
      <c r="AO12" s="74">
        <v>466</v>
      </c>
      <c r="AP12" s="996">
        <v>468</v>
      </c>
      <c r="AQ12" s="74">
        <v>469</v>
      </c>
      <c r="AR12" s="74">
        <v>462</v>
      </c>
      <c r="AS12" s="74">
        <v>469</v>
      </c>
      <c r="AT12" s="74">
        <v>460</v>
      </c>
      <c r="AU12" s="74">
        <v>447</v>
      </c>
      <c r="AV12" s="230">
        <v>412</v>
      </c>
      <c r="AW12" s="230">
        <v>393</v>
      </c>
      <c r="AX12" s="228">
        <v>396</v>
      </c>
      <c r="AY12" s="238">
        <v>435</v>
      </c>
      <c r="AZ12" s="238">
        <v>488</v>
      </c>
      <c r="BA12" s="370">
        <v>542</v>
      </c>
      <c r="BB12" s="370">
        <v>537</v>
      </c>
      <c r="BC12" s="370">
        <v>522</v>
      </c>
      <c r="BD12" s="370">
        <v>527</v>
      </c>
      <c r="BE12" s="370">
        <v>535</v>
      </c>
      <c r="BF12" s="370">
        <v>549</v>
      </c>
      <c r="BG12" s="370">
        <v>552</v>
      </c>
      <c r="BH12" s="370">
        <v>545</v>
      </c>
      <c r="BI12" s="370">
        <v>535</v>
      </c>
      <c r="BJ12" s="410">
        <f>(BH12-BG12)/BG12</f>
        <v>-1.2681159420289856E-2</v>
      </c>
      <c r="BK12" s="410">
        <f>(BI12-BH12)/BH12</f>
        <v>-1.834862385321101E-2</v>
      </c>
      <c r="BL12" s="938">
        <f>(BH12-BG12)</f>
        <v>-7</v>
      </c>
      <c r="BM12" s="938">
        <f>(BI12-BH12)</f>
        <v>-10</v>
      </c>
      <c r="BP12" s="515"/>
      <c r="BQ12" s="320"/>
      <c r="BR12" s="320"/>
    </row>
    <row r="13" spans="1:70" ht="6" customHeight="1">
      <c r="A13" s="115"/>
      <c r="L13" s="596"/>
      <c r="M13" s="11"/>
      <c r="N13" s="11"/>
      <c r="O13" s="11"/>
      <c r="P13" s="11"/>
      <c r="Q13" s="11"/>
      <c r="R13" s="11"/>
      <c r="S13" s="11"/>
      <c r="T13" s="11"/>
      <c r="U13" s="11"/>
      <c r="V13" s="596"/>
      <c r="W13" s="11"/>
      <c r="X13" s="11"/>
      <c r="Y13" s="11"/>
      <c r="Z13" s="11"/>
      <c r="AA13" s="11"/>
      <c r="AB13" s="11"/>
      <c r="AC13" s="11"/>
      <c r="AD13" s="11"/>
      <c r="AE13" s="11"/>
      <c r="AF13" s="596"/>
      <c r="AG13" s="11"/>
      <c r="AH13" s="11"/>
      <c r="AI13" s="11"/>
      <c r="AJ13" s="11"/>
      <c r="AK13" s="11"/>
      <c r="AL13" s="11"/>
      <c r="AM13" s="63"/>
      <c r="AN13" s="63"/>
      <c r="AO13" s="63"/>
      <c r="AP13" s="696"/>
      <c r="AQ13" s="63"/>
      <c r="AR13" s="63"/>
      <c r="AS13" s="63"/>
      <c r="AT13" s="63"/>
      <c r="AU13" s="63"/>
      <c r="AV13" s="239"/>
      <c r="AW13" s="240"/>
      <c r="AX13" s="241"/>
      <c r="AY13" s="240"/>
      <c r="AZ13" s="302"/>
      <c r="BA13" s="370"/>
      <c r="BB13" s="370"/>
      <c r="BC13" s="462"/>
      <c r="BD13" s="370"/>
      <c r="BE13" s="302"/>
      <c r="BF13" s="302"/>
      <c r="BG13" s="370"/>
      <c r="BH13" s="370"/>
      <c r="BI13" s="370"/>
      <c r="BJ13" s="871"/>
      <c r="BK13" s="871"/>
      <c r="BL13" s="565"/>
      <c r="BM13" s="565"/>
      <c r="BP13" s="515"/>
      <c r="BQ13" s="320"/>
      <c r="BR13" s="320"/>
    </row>
    <row r="14" spans="1:70" ht="11.25" customHeight="1">
      <c r="A14" s="116" t="s">
        <v>29</v>
      </c>
      <c r="L14" s="596"/>
      <c r="M14" s="11"/>
      <c r="N14" s="11"/>
      <c r="O14" s="11"/>
      <c r="P14" s="11"/>
      <c r="Q14" s="11"/>
      <c r="R14" s="11"/>
      <c r="S14" s="11"/>
      <c r="T14" s="11"/>
      <c r="U14" s="11"/>
      <c r="V14" s="596"/>
      <c r="W14" s="11"/>
      <c r="X14" s="11"/>
      <c r="Y14" s="11"/>
      <c r="Z14" s="11"/>
      <c r="AA14" s="11"/>
      <c r="AB14" s="11"/>
      <c r="AC14" s="11"/>
      <c r="AD14" s="11"/>
      <c r="AE14" s="11"/>
      <c r="AF14" s="596"/>
      <c r="AG14" s="11"/>
      <c r="AH14" s="11"/>
      <c r="AI14" s="11"/>
      <c r="AJ14" s="11"/>
      <c r="AK14" s="11"/>
      <c r="AL14" s="11"/>
      <c r="AM14" s="63"/>
      <c r="AN14" s="63"/>
      <c r="AO14" s="63"/>
      <c r="AP14" s="696"/>
      <c r="AQ14" s="63"/>
      <c r="AR14" s="63"/>
      <c r="AS14" s="63"/>
      <c r="AT14" s="63"/>
      <c r="AU14" s="63"/>
      <c r="AV14" s="239"/>
      <c r="AW14" s="240"/>
      <c r="AX14" s="241"/>
      <c r="AY14" s="240"/>
      <c r="AZ14" s="302"/>
      <c r="BA14" s="370"/>
      <c r="BB14" s="370"/>
      <c r="BC14" s="462"/>
      <c r="BD14" s="370"/>
      <c r="BE14" s="302"/>
      <c r="BF14" s="302"/>
      <c r="BG14" s="370"/>
      <c r="BH14" s="370"/>
      <c r="BI14" s="370"/>
      <c r="BJ14" s="871"/>
      <c r="BK14" s="871"/>
      <c r="BL14" s="565"/>
      <c r="BM14" s="565"/>
      <c r="BP14" s="515"/>
      <c r="BQ14" s="320"/>
      <c r="BR14" s="320"/>
    </row>
    <row r="15" spans="1:70" ht="11.25" customHeight="1">
      <c r="A15" s="115" t="s">
        <v>30</v>
      </c>
      <c r="L15" s="596"/>
      <c r="M15" s="11"/>
      <c r="N15" s="11"/>
      <c r="O15" s="11"/>
      <c r="P15" s="11"/>
      <c r="Q15" s="11"/>
      <c r="R15" s="11"/>
      <c r="S15" s="11"/>
      <c r="T15" s="11"/>
      <c r="U15" s="11"/>
      <c r="V15" s="596"/>
      <c r="W15" s="11"/>
      <c r="X15" s="11"/>
      <c r="Y15" s="11"/>
      <c r="Z15" s="11"/>
      <c r="AA15" s="11"/>
      <c r="AB15" s="11"/>
      <c r="AC15" s="11"/>
      <c r="AD15" s="11"/>
      <c r="AE15" s="11"/>
      <c r="AF15" s="596"/>
      <c r="AG15" s="11"/>
      <c r="AH15" s="11"/>
      <c r="AI15" s="11"/>
      <c r="AJ15" s="11"/>
      <c r="AK15" s="11"/>
      <c r="AM15" s="63"/>
      <c r="AN15" s="63"/>
      <c r="AO15" s="63"/>
      <c r="AP15" s="696"/>
      <c r="AQ15" s="63"/>
      <c r="AR15" s="63"/>
      <c r="AS15" s="63"/>
      <c r="AT15" s="63"/>
      <c r="AU15" s="63"/>
      <c r="AV15" s="239"/>
      <c r="AW15" s="240"/>
      <c r="AX15" s="241"/>
      <c r="AY15" s="240"/>
      <c r="AZ15" s="302"/>
      <c r="BA15" s="370"/>
      <c r="BB15" s="370"/>
      <c r="BC15" s="462"/>
      <c r="BD15" s="370"/>
      <c r="BE15" s="302"/>
      <c r="BF15" s="302"/>
      <c r="BG15" s="370"/>
      <c r="BH15" s="370"/>
      <c r="BI15" s="370"/>
      <c r="BJ15" s="410"/>
      <c r="BK15" s="410"/>
      <c r="BL15" s="566"/>
      <c r="BM15" s="566"/>
      <c r="BP15" s="515"/>
      <c r="BQ15" s="320"/>
      <c r="BR15" s="320"/>
    </row>
    <row r="16" spans="1:70" ht="11.25" customHeight="1">
      <c r="A16" s="115" t="s">
        <v>64</v>
      </c>
      <c r="B16" s="227">
        <v>6258</v>
      </c>
      <c r="C16" s="27">
        <v>6460</v>
      </c>
      <c r="D16" s="27">
        <v>6737</v>
      </c>
      <c r="E16" s="27">
        <v>6902</v>
      </c>
      <c r="F16" s="27">
        <v>7221</v>
      </c>
      <c r="G16" s="27">
        <v>5948</v>
      </c>
      <c r="H16" s="27">
        <v>6366</v>
      </c>
      <c r="I16" s="27">
        <v>6183</v>
      </c>
      <c r="J16" s="27">
        <v>6294</v>
      </c>
      <c r="K16" s="27">
        <v>6313</v>
      </c>
      <c r="L16" s="596">
        <v>6403</v>
      </c>
      <c r="M16" s="11">
        <v>6276</v>
      </c>
      <c r="N16" s="11">
        <v>14791</v>
      </c>
      <c r="O16" s="11">
        <v>16397</v>
      </c>
      <c r="P16" s="11">
        <v>16155</v>
      </c>
      <c r="Q16" s="11">
        <v>15310</v>
      </c>
      <c r="R16" s="11">
        <v>15748</v>
      </c>
      <c r="S16" s="11">
        <v>5991</v>
      </c>
      <c r="T16" s="11">
        <v>5491</v>
      </c>
      <c r="U16" s="11">
        <v>6387</v>
      </c>
      <c r="V16" s="596">
        <v>5440</v>
      </c>
      <c r="W16" s="11">
        <v>5073</v>
      </c>
      <c r="X16" s="11">
        <v>5117</v>
      </c>
      <c r="Y16" s="11">
        <v>4701</v>
      </c>
      <c r="Z16" s="11">
        <v>4763</v>
      </c>
      <c r="AA16" s="11">
        <v>4812</v>
      </c>
      <c r="AB16" s="11">
        <v>5067</v>
      </c>
      <c r="AC16" s="11">
        <v>5204</v>
      </c>
      <c r="AD16" s="11">
        <v>5460</v>
      </c>
      <c r="AE16" s="11">
        <v>5633</v>
      </c>
      <c r="AF16" s="596">
        <v>5814</v>
      </c>
      <c r="AG16" s="11">
        <v>5891</v>
      </c>
      <c r="AH16" s="11">
        <v>6294</v>
      </c>
      <c r="AI16" s="11">
        <v>6530</v>
      </c>
      <c r="AJ16" s="11">
        <v>6609</v>
      </c>
      <c r="AK16" s="11">
        <v>6227</v>
      </c>
      <c r="AL16" s="11">
        <v>6187</v>
      </c>
      <c r="AM16" s="63">
        <v>6207</v>
      </c>
      <c r="AN16" s="63">
        <v>6342</v>
      </c>
      <c r="AO16" s="63">
        <v>6321</v>
      </c>
      <c r="AP16" s="696">
        <v>6468</v>
      </c>
      <c r="AQ16" s="63">
        <v>6959</v>
      </c>
      <c r="AR16" s="63">
        <v>5215</v>
      </c>
      <c r="AS16" s="63">
        <v>7462</v>
      </c>
      <c r="AT16" s="63">
        <v>6761</v>
      </c>
      <c r="AU16" s="63">
        <v>7078</v>
      </c>
      <c r="AV16" s="239">
        <v>7299</v>
      </c>
      <c r="AW16" s="227">
        <v>7463</v>
      </c>
      <c r="AX16" s="228">
        <v>7743</v>
      </c>
      <c r="AY16" s="238">
        <v>7935</v>
      </c>
      <c r="AZ16" s="238">
        <v>8004</v>
      </c>
      <c r="BA16" s="370">
        <v>7929</v>
      </c>
      <c r="BB16" s="305">
        <v>7453</v>
      </c>
      <c r="BC16" s="305">
        <v>7171</v>
      </c>
      <c r="BD16" s="305">
        <v>7111</v>
      </c>
      <c r="BE16" s="305">
        <v>7233</v>
      </c>
      <c r="BF16" s="305">
        <v>7568</v>
      </c>
      <c r="BG16" s="305">
        <v>7615</v>
      </c>
      <c r="BH16" s="305">
        <v>7957</v>
      </c>
      <c r="BI16" s="305">
        <v>7109</v>
      </c>
      <c r="BJ16" s="410">
        <f t="shared" ref="BJ16:BK20" si="0">(BH16-BG16)/BG16</f>
        <v>4.4911359159553514E-2</v>
      </c>
      <c r="BK16" s="410">
        <f t="shared" si="0"/>
        <v>-0.10657282895563655</v>
      </c>
      <c r="BL16" s="564">
        <f t="shared" ref="BL16:BL19" si="1">(BH16-BG16)</f>
        <v>342</v>
      </c>
      <c r="BM16" s="564">
        <f t="shared" ref="BM16:BM19" si="2">(BI16-BH16)</f>
        <v>-848</v>
      </c>
      <c r="BP16" s="515"/>
      <c r="BQ16" s="320"/>
      <c r="BR16" s="320"/>
    </row>
    <row r="17" spans="1:70" ht="11.25" customHeight="1">
      <c r="A17" s="115" t="s">
        <v>65</v>
      </c>
      <c r="B17" s="695" t="s">
        <v>3</v>
      </c>
      <c r="C17" s="17" t="s">
        <v>3</v>
      </c>
      <c r="D17" s="17" t="s">
        <v>3</v>
      </c>
      <c r="E17" s="17" t="s">
        <v>3</v>
      </c>
      <c r="F17" s="17" t="s">
        <v>3</v>
      </c>
      <c r="G17" s="17" t="s">
        <v>3</v>
      </c>
      <c r="H17" s="17" t="s">
        <v>3</v>
      </c>
      <c r="I17" s="17" t="s">
        <v>3</v>
      </c>
      <c r="J17" s="17" t="s">
        <v>3</v>
      </c>
      <c r="K17" s="17" t="s">
        <v>3</v>
      </c>
      <c r="L17" s="695" t="s">
        <v>3</v>
      </c>
      <c r="M17" s="17" t="s">
        <v>3</v>
      </c>
      <c r="N17" s="17" t="s">
        <v>3</v>
      </c>
      <c r="O17" s="17" t="s">
        <v>3</v>
      </c>
      <c r="P17" s="17" t="s">
        <v>3</v>
      </c>
      <c r="Q17" s="17" t="s">
        <v>3</v>
      </c>
      <c r="R17" s="17" t="s">
        <v>3</v>
      </c>
      <c r="S17" s="11">
        <v>12698</v>
      </c>
      <c r="T17" s="11">
        <v>12664</v>
      </c>
      <c r="U17" s="11">
        <v>14848</v>
      </c>
      <c r="V17" s="596">
        <v>12372</v>
      </c>
      <c r="W17" s="11">
        <v>12066</v>
      </c>
      <c r="X17" s="11">
        <v>9605</v>
      </c>
      <c r="Y17" s="11">
        <v>9612</v>
      </c>
      <c r="Z17" s="11">
        <v>9580</v>
      </c>
      <c r="AA17" s="11">
        <v>9719</v>
      </c>
      <c r="AB17" s="11">
        <v>9292</v>
      </c>
      <c r="AC17" s="11">
        <v>9353</v>
      </c>
      <c r="AD17" s="11">
        <v>9426</v>
      </c>
      <c r="AE17" s="11">
        <v>9367</v>
      </c>
      <c r="AF17" s="596">
        <v>9433</v>
      </c>
      <c r="AG17" s="11">
        <v>9533</v>
      </c>
      <c r="AH17" s="11">
        <v>9642</v>
      </c>
      <c r="AI17" s="11">
        <v>9787</v>
      </c>
      <c r="AJ17" s="11">
        <v>9885</v>
      </c>
      <c r="AK17" s="11">
        <v>9904</v>
      </c>
      <c r="AL17" s="11">
        <v>9758</v>
      </c>
      <c r="AM17" s="63">
        <v>9695</v>
      </c>
      <c r="AN17" s="63">
        <v>9698</v>
      </c>
      <c r="AO17" s="63">
        <v>9580</v>
      </c>
      <c r="AP17" s="270">
        <v>9545</v>
      </c>
      <c r="AQ17" s="30">
        <v>9582</v>
      </c>
      <c r="AR17" s="30">
        <v>9579</v>
      </c>
      <c r="AS17" s="30">
        <v>9479</v>
      </c>
      <c r="AT17" s="30">
        <v>9503</v>
      </c>
      <c r="AU17" s="30">
        <v>9464</v>
      </c>
      <c r="AV17" s="228">
        <f>9339+39+46</f>
        <v>9424</v>
      </c>
      <c r="AW17" s="228">
        <f>9184+31+61</f>
        <v>9276</v>
      </c>
      <c r="AX17" s="228">
        <v>9474</v>
      </c>
      <c r="AY17" s="228">
        <v>9460</v>
      </c>
      <c r="AZ17" s="228">
        <v>9513</v>
      </c>
      <c r="BA17" s="305">
        <v>9573</v>
      </c>
      <c r="BB17" s="305">
        <v>9461</v>
      </c>
      <c r="BC17" s="305">
        <v>9262</v>
      </c>
      <c r="BD17" s="305">
        <v>9036</v>
      </c>
      <c r="BE17" s="305">
        <v>9036</v>
      </c>
      <c r="BF17" s="305">
        <v>9275</v>
      </c>
      <c r="BG17" s="305">
        <v>9355</v>
      </c>
      <c r="BH17" s="305">
        <v>9165</v>
      </c>
      <c r="BI17" s="305">
        <v>9335</v>
      </c>
      <c r="BJ17" s="410">
        <f t="shared" si="0"/>
        <v>-2.0309994655264563E-2</v>
      </c>
      <c r="BK17" s="410">
        <f t="shared" si="0"/>
        <v>1.8548827059465357E-2</v>
      </c>
      <c r="BL17" s="564">
        <f t="shared" si="1"/>
        <v>-190</v>
      </c>
      <c r="BM17" s="564">
        <f t="shared" si="2"/>
        <v>170</v>
      </c>
      <c r="BP17" s="515"/>
      <c r="BQ17" s="320"/>
      <c r="BR17" s="320"/>
    </row>
    <row r="18" spans="1:70" s="177" customFormat="1" ht="11.25" customHeight="1">
      <c r="A18" s="694" t="s">
        <v>66</v>
      </c>
      <c r="B18" s="695" t="s">
        <v>3</v>
      </c>
      <c r="C18" s="695" t="s">
        <v>3</v>
      </c>
      <c r="D18" s="695" t="s">
        <v>3</v>
      </c>
      <c r="E18" s="695" t="s">
        <v>3</v>
      </c>
      <c r="F18" s="695" t="s">
        <v>3</v>
      </c>
      <c r="G18" s="695" t="s">
        <v>3</v>
      </c>
      <c r="H18" s="227">
        <v>209</v>
      </c>
      <c r="I18" s="227">
        <v>212</v>
      </c>
      <c r="J18" s="227">
        <v>201</v>
      </c>
      <c r="K18" s="227">
        <v>212</v>
      </c>
      <c r="L18" s="648">
        <v>221</v>
      </c>
      <c r="M18" s="648">
        <v>211</v>
      </c>
      <c r="N18" s="648">
        <v>216</v>
      </c>
      <c r="O18" s="648">
        <v>211</v>
      </c>
      <c r="P18" s="648">
        <v>201</v>
      </c>
      <c r="Q18" s="648">
        <v>218</v>
      </c>
      <c r="R18" s="648">
        <v>214</v>
      </c>
      <c r="S18" s="444">
        <v>1836</v>
      </c>
      <c r="T18" s="444">
        <v>2651</v>
      </c>
      <c r="U18" s="444">
        <v>2506</v>
      </c>
      <c r="V18" s="444">
        <v>2207</v>
      </c>
      <c r="W18" s="444">
        <v>2071</v>
      </c>
      <c r="X18" s="444">
        <v>1349</v>
      </c>
      <c r="Y18" s="444">
        <v>1122</v>
      </c>
      <c r="Z18" s="444">
        <v>1078</v>
      </c>
      <c r="AA18" s="444">
        <v>1033</v>
      </c>
      <c r="AB18" s="444">
        <v>1084</v>
      </c>
      <c r="AC18" s="444">
        <v>956</v>
      </c>
      <c r="AD18" s="444">
        <v>982</v>
      </c>
      <c r="AE18" s="444">
        <v>999</v>
      </c>
      <c r="AF18" s="444">
        <v>989</v>
      </c>
      <c r="AG18" s="444">
        <v>923</v>
      </c>
      <c r="AH18" s="444">
        <v>866</v>
      </c>
      <c r="AI18" s="444">
        <v>888</v>
      </c>
      <c r="AJ18" s="444">
        <v>875</v>
      </c>
      <c r="AK18" s="648">
        <v>816</v>
      </c>
      <c r="AL18" s="648">
        <v>808</v>
      </c>
      <c r="AM18" s="696">
        <v>788</v>
      </c>
      <c r="AN18" s="697">
        <v>757</v>
      </c>
      <c r="AO18" s="697">
        <v>740</v>
      </c>
      <c r="AP18" s="698">
        <v>750</v>
      </c>
      <c r="AQ18" s="698">
        <v>750</v>
      </c>
      <c r="AR18" s="698">
        <v>735</v>
      </c>
      <c r="AS18" s="698">
        <v>707</v>
      </c>
      <c r="AT18" s="698">
        <v>690</v>
      </c>
      <c r="AU18" s="698">
        <v>675</v>
      </c>
      <c r="AV18" s="699">
        <f>316+329</f>
        <v>645</v>
      </c>
      <c r="AW18" s="700">
        <f>312+5+314</f>
        <v>631</v>
      </c>
      <c r="AX18" s="213">
        <v>647</v>
      </c>
      <c r="AY18" s="238">
        <v>682</v>
      </c>
      <c r="AZ18" s="238">
        <v>713</v>
      </c>
      <c r="BA18" s="370">
        <v>721</v>
      </c>
      <c r="BB18" s="370">
        <v>686</v>
      </c>
      <c r="BC18" s="370">
        <v>652</v>
      </c>
      <c r="BD18" s="370">
        <v>644</v>
      </c>
      <c r="BE18" s="370">
        <v>656</v>
      </c>
      <c r="BF18" s="370">
        <v>681</v>
      </c>
      <c r="BG18" s="370">
        <v>260</v>
      </c>
      <c r="BH18" s="370">
        <v>260</v>
      </c>
      <c r="BI18" s="960">
        <v>0</v>
      </c>
      <c r="BJ18" s="410">
        <f t="shared" si="0"/>
        <v>0</v>
      </c>
      <c r="BK18" s="410">
        <f t="shared" si="0"/>
        <v>-1</v>
      </c>
      <c r="BL18" s="564">
        <f t="shared" si="1"/>
        <v>0</v>
      </c>
      <c r="BM18" s="564">
        <f t="shared" si="2"/>
        <v>-260</v>
      </c>
      <c r="BN18" s="598"/>
      <c r="BO18" s="598"/>
      <c r="BP18" s="599"/>
      <c r="BQ18" s="391"/>
      <c r="BR18" s="391"/>
    </row>
    <row r="19" spans="1:70" ht="11.25" customHeight="1">
      <c r="A19" s="117" t="s">
        <v>84</v>
      </c>
      <c r="B19" s="695" t="s">
        <v>3</v>
      </c>
      <c r="C19" s="17" t="s">
        <v>3</v>
      </c>
      <c r="D19" s="17" t="s">
        <v>3</v>
      </c>
      <c r="E19" s="17" t="s">
        <v>3</v>
      </c>
      <c r="F19" s="17" t="s">
        <v>3</v>
      </c>
      <c r="G19" s="17" t="s">
        <v>3</v>
      </c>
      <c r="H19" s="17" t="s">
        <v>3</v>
      </c>
      <c r="I19" s="17" t="s">
        <v>3</v>
      </c>
      <c r="J19" s="17" t="s">
        <v>3</v>
      </c>
      <c r="K19" s="17" t="s">
        <v>3</v>
      </c>
      <c r="L19" s="695" t="s">
        <v>3</v>
      </c>
      <c r="M19" s="17" t="s">
        <v>3</v>
      </c>
      <c r="N19" s="17" t="s">
        <v>3</v>
      </c>
      <c r="O19" s="17" t="s">
        <v>3</v>
      </c>
      <c r="P19" s="17" t="s">
        <v>3</v>
      </c>
      <c r="Q19" s="17" t="s">
        <v>3</v>
      </c>
      <c r="R19" s="17" t="s">
        <v>3</v>
      </c>
      <c r="S19" s="17" t="s">
        <v>3</v>
      </c>
      <c r="T19" s="17" t="s">
        <v>3</v>
      </c>
      <c r="U19" s="17" t="s">
        <v>3</v>
      </c>
      <c r="V19" s="695" t="s">
        <v>3</v>
      </c>
      <c r="W19" s="17" t="s">
        <v>3</v>
      </c>
      <c r="X19" s="17" t="s">
        <v>3</v>
      </c>
      <c r="Y19" s="17" t="s">
        <v>3</v>
      </c>
      <c r="Z19" s="17" t="s">
        <v>3</v>
      </c>
      <c r="AA19" s="17" t="s">
        <v>3</v>
      </c>
      <c r="AB19" s="17" t="s">
        <v>3</v>
      </c>
      <c r="AC19" s="17" t="s">
        <v>3</v>
      </c>
      <c r="AD19" s="17" t="s">
        <v>3</v>
      </c>
      <c r="AE19" s="17" t="s">
        <v>3</v>
      </c>
      <c r="AF19" s="695" t="s">
        <v>3</v>
      </c>
      <c r="AG19" s="17" t="s">
        <v>3</v>
      </c>
      <c r="AH19" s="17" t="s">
        <v>3</v>
      </c>
      <c r="AI19" s="17" t="s">
        <v>3</v>
      </c>
      <c r="AJ19" s="17" t="s">
        <v>3</v>
      </c>
      <c r="AK19" s="17" t="s">
        <v>3</v>
      </c>
      <c r="AL19" s="441" t="s">
        <v>3</v>
      </c>
      <c r="AM19" s="56">
        <v>526</v>
      </c>
      <c r="AN19" s="56">
        <v>530</v>
      </c>
      <c r="AO19" s="56">
        <v>528</v>
      </c>
      <c r="AP19" s="997">
        <v>512</v>
      </c>
      <c r="AQ19" s="56">
        <v>510</v>
      </c>
      <c r="AR19" s="56">
        <v>499</v>
      </c>
      <c r="AS19" s="56">
        <v>515</v>
      </c>
      <c r="AT19" s="56">
        <v>520</v>
      </c>
      <c r="AU19" s="56">
        <v>502</v>
      </c>
      <c r="AV19" s="242">
        <v>477</v>
      </c>
      <c r="AW19" s="243">
        <v>488</v>
      </c>
      <c r="AX19" s="243">
        <v>481</v>
      </c>
      <c r="AY19" s="238">
        <v>481</v>
      </c>
      <c r="AZ19" s="238">
        <v>501</v>
      </c>
      <c r="BA19" s="370">
        <v>505</v>
      </c>
      <c r="BB19" s="370">
        <v>470</v>
      </c>
      <c r="BC19" s="370">
        <v>446</v>
      </c>
      <c r="BD19" s="370">
        <v>429</v>
      </c>
      <c r="BE19" s="370">
        <v>464</v>
      </c>
      <c r="BF19" s="370">
        <v>476</v>
      </c>
      <c r="BG19" s="370">
        <v>474</v>
      </c>
      <c r="BH19" s="370">
        <v>476</v>
      </c>
      <c r="BI19" s="370">
        <v>394</v>
      </c>
      <c r="BJ19" s="410">
        <f t="shared" si="0"/>
        <v>4.2194092827004216E-3</v>
      </c>
      <c r="BK19" s="410">
        <f t="shared" si="0"/>
        <v>-0.17226890756302521</v>
      </c>
      <c r="BL19" s="564">
        <f t="shared" si="1"/>
        <v>2</v>
      </c>
      <c r="BM19" s="564">
        <f t="shared" si="2"/>
        <v>-82</v>
      </c>
      <c r="BP19" s="515"/>
      <c r="BQ19" s="320"/>
      <c r="BR19" s="320"/>
    </row>
    <row r="20" spans="1:70" ht="11.25" customHeight="1">
      <c r="A20" s="118" t="s">
        <v>31</v>
      </c>
      <c r="B20" s="970">
        <f>SUM(B16:B19)</f>
        <v>6258</v>
      </c>
      <c r="C20" s="86">
        <f t="shared" ref="C20:AV20" si="3">SUM(C16:C19)</f>
        <v>6460</v>
      </c>
      <c r="D20" s="86">
        <f t="shared" si="3"/>
        <v>6737</v>
      </c>
      <c r="E20" s="86">
        <f t="shared" si="3"/>
        <v>6902</v>
      </c>
      <c r="F20" s="86">
        <f t="shared" si="3"/>
        <v>7221</v>
      </c>
      <c r="G20" s="86">
        <f t="shared" si="3"/>
        <v>5948</v>
      </c>
      <c r="H20" s="86">
        <f t="shared" si="3"/>
        <v>6575</v>
      </c>
      <c r="I20" s="86">
        <f t="shared" si="3"/>
        <v>6395</v>
      </c>
      <c r="J20" s="86">
        <f t="shared" si="3"/>
        <v>6495</v>
      </c>
      <c r="K20" s="86">
        <f t="shared" si="3"/>
        <v>6525</v>
      </c>
      <c r="L20" s="970">
        <f t="shared" si="3"/>
        <v>6624</v>
      </c>
      <c r="M20" s="86">
        <f t="shared" si="3"/>
        <v>6487</v>
      </c>
      <c r="N20" s="86">
        <f t="shared" si="3"/>
        <v>15007</v>
      </c>
      <c r="O20" s="86">
        <f t="shared" si="3"/>
        <v>16608</v>
      </c>
      <c r="P20" s="86">
        <f t="shared" si="3"/>
        <v>16356</v>
      </c>
      <c r="Q20" s="86">
        <f t="shared" si="3"/>
        <v>15528</v>
      </c>
      <c r="R20" s="86">
        <f t="shared" si="3"/>
        <v>15962</v>
      </c>
      <c r="S20" s="86">
        <f t="shared" si="3"/>
        <v>20525</v>
      </c>
      <c r="T20" s="86">
        <f t="shared" si="3"/>
        <v>20806</v>
      </c>
      <c r="U20" s="86">
        <f t="shared" si="3"/>
        <v>23741</v>
      </c>
      <c r="V20" s="970">
        <f t="shared" si="3"/>
        <v>20019</v>
      </c>
      <c r="W20" s="86">
        <f t="shared" si="3"/>
        <v>19210</v>
      </c>
      <c r="X20" s="86">
        <f t="shared" si="3"/>
        <v>16071</v>
      </c>
      <c r="Y20" s="86">
        <f t="shared" si="3"/>
        <v>15435</v>
      </c>
      <c r="Z20" s="86">
        <f t="shared" si="3"/>
        <v>15421</v>
      </c>
      <c r="AA20" s="86">
        <f t="shared" si="3"/>
        <v>15564</v>
      </c>
      <c r="AB20" s="86">
        <f t="shared" si="3"/>
        <v>15443</v>
      </c>
      <c r="AC20" s="86">
        <f t="shared" si="3"/>
        <v>15513</v>
      </c>
      <c r="AD20" s="86">
        <f t="shared" si="3"/>
        <v>15868</v>
      </c>
      <c r="AE20" s="86">
        <f t="shared" si="3"/>
        <v>15999</v>
      </c>
      <c r="AF20" s="970">
        <f t="shared" si="3"/>
        <v>16236</v>
      </c>
      <c r="AG20" s="86">
        <f t="shared" si="3"/>
        <v>16347</v>
      </c>
      <c r="AH20" s="86">
        <f t="shared" si="3"/>
        <v>16802</v>
      </c>
      <c r="AI20" s="86">
        <f t="shared" si="3"/>
        <v>17205</v>
      </c>
      <c r="AJ20" s="86">
        <f t="shared" si="3"/>
        <v>17369</v>
      </c>
      <c r="AK20" s="86">
        <f t="shared" si="3"/>
        <v>16947</v>
      </c>
      <c r="AL20" s="86">
        <f t="shared" si="3"/>
        <v>16753</v>
      </c>
      <c r="AM20" s="86">
        <f t="shared" si="3"/>
        <v>17216</v>
      </c>
      <c r="AN20" s="86">
        <f t="shared" si="3"/>
        <v>17327</v>
      </c>
      <c r="AO20" s="86">
        <f t="shared" si="3"/>
        <v>17169</v>
      </c>
      <c r="AP20" s="970">
        <f t="shared" si="3"/>
        <v>17275</v>
      </c>
      <c r="AQ20" s="86">
        <f t="shared" si="3"/>
        <v>17801</v>
      </c>
      <c r="AR20" s="86">
        <f t="shared" si="3"/>
        <v>16028</v>
      </c>
      <c r="AS20" s="86">
        <f t="shared" si="3"/>
        <v>18163</v>
      </c>
      <c r="AT20" s="86">
        <f t="shared" si="3"/>
        <v>17474</v>
      </c>
      <c r="AU20" s="86">
        <f t="shared" si="3"/>
        <v>17719</v>
      </c>
      <c r="AV20" s="244">
        <f t="shared" si="3"/>
        <v>17845</v>
      </c>
      <c r="AW20" s="244">
        <f t="shared" ref="AW20:BB20" si="4">SUM(AW16:AW19)</f>
        <v>17858</v>
      </c>
      <c r="AX20" s="244">
        <f t="shared" si="4"/>
        <v>18345</v>
      </c>
      <c r="AY20" s="141">
        <f t="shared" si="4"/>
        <v>18558</v>
      </c>
      <c r="AZ20" s="141">
        <f t="shared" si="4"/>
        <v>18731</v>
      </c>
      <c r="BA20" s="383">
        <f t="shared" si="4"/>
        <v>18728</v>
      </c>
      <c r="BB20" s="383">
        <f t="shared" si="4"/>
        <v>18070</v>
      </c>
      <c r="BC20" s="383">
        <f t="shared" ref="BC20:BI20" si="5">SUM(BC16:BC19)</f>
        <v>17531</v>
      </c>
      <c r="BD20" s="384">
        <f t="shared" si="5"/>
        <v>17220</v>
      </c>
      <c r="BE20" s="384">
        <f t="shared" si="5"/>
        <v>17389</v>
      </c>
      <c r="BF20" s="384">
        <f t="shared" si="5"/>
        <v>18000</v>
      </c>
      <c r="BG20" s="384">
        <f t="shared" si="5"/>
        <v>17704</v>
      </c>
      <c r="BH20" s="384">
        <f t="shared" si="5"/>
        <v>17858</v>
      </c>
      <c r="BI20" s="384">
        <f t="shared" si="5"/>
        <v>16838</v>
      </c>
      <c r="BJ20" s="872">
        <f t="shared" si="0"/>
        <v>8.6985991866244915E-3</v>
      </c>
      <c r="BK20" s="872">
        <f t="shared" si="0"/>
        <v>-5.7117258371598166E-2</v>
      </c>
      <c r="BL20" s="567">
        <f>BH20-BG20</f>
        <v>154</v>
      </c>
      <c r="BM20" s="567">
        <f>BI20-BH20</f>
        <v>-1020</v>
      </c>
      <c r="BP20" s="515"/>
      <c r="BQ20" s="320"/>
      <c r="BR20" s="320"/>
    </row>
    <row r="21" spans="1:70" ht="6" customHeight="1">
      <c r="A21" s="115"/>
      <c r="L21" s="596"/>
      <c r="M21" s="11"/>
      <c r="N21" s="11"/>
      <c r="O21" s="11"/>
      <c r="P21" s="11"/>
      <c r="Q21" s="11"/>
      <c r="R21" s="11"/>
      <c r="S21" s="11"/>
      <c r="T21" s="11"/>
      <c r="U21" s="11"/>
      <c r="V21" s="596"/>
      <c r="W21" s="11"/>
      <c r="X21" s="11"/>
      <c r="Y21" s="11"/>
      <c r="Z21" s="11"/>
      <c r="AA21" s="11"/>
      <c r="AB21" s="11"/>
      <c r="AC21" s="11"/>
      <c r="AD21" s="11"/>
      <c r="AE21" s="11"/>
      <c r="AF21" s="596"/>
      <c r="AG21" s="11"/>
      <c r="AH21" s="11"/>
      <c r="AI21" s="11"/>
      <c r="AJ21" s="11"/>
      <c r="AK21" s="11"/>
      <c r="AM21" s="63"/>
      <c r="AN21" s="63"/>
      <c r="AO21" s="63"/>
      <c r="AP21" s="696"/>
      <c r="AQ21" s="63"/>
      <c r="AR21" s="63"/>
      <c r="AS21" s="63"/>
      <c r="AT21" s="63"/>
      <c r="AU21" s="63"/>
      <c r="AV21" s="147"/>
      <c r="AW21" s="238"/>
      <c r="AX21" s="228"/>
      <c r="AY21" s="238"/>
      <c r="AZ21" s="302"/>
      <c r="BA21" s="370"/>
      <c r="BB21" s="370"/>
      <c r="BC21" s="462"/>
      <c r="BD21" s="302"/>
      <c r="BE21" s="302"/>
      <c r="BF21" s="302"/>
      <c r="BG21" s="302"/>
      <c r="BH21" s="302"/>
      <c r="BI21" s="302"/>
      <c r="BJ21" s="871"/>
      <c r="BK21" s="871"/>
      <c r="BL21" s="565"/>
      <c r="BM21" s="565"/>
      <c r="BP21" s="515"/>
      <c r="BQ21" s="320"/>
      <c r="BR21" s="320"/>
    </row>
    <row r="22" spans="1:70" ht="11.25" customHeight="1">
      <c r="A22" s="116" t="s">
        <v>32</v>
      </c>
      <c r="B22" s="595"/>
      <c r="C22" s="112"/>
      <c r="D22" s="112"/>
      <c r="E22" s="112"/>
      <c r="F22" s="112"/>
      <c r="G22" s="112"/>
      <c r="H22" s="112"/>
      <c r="I22" s="112"/>
      <c r="J22" s="112"/>
      <c r="K22" s="112"/>
      <c r="L22" s="595"/>
      <c r="M22" s="112"/>
      <c r="N22" s="112"/>
      <c r="O22" s="112"/>
      <c r="P22" s="112"/>
      <c r="Q22" s="112"/>
      <c r="R22" s="112"/>
      <c r="S22" s="112"/>
      <c r="T22" s="112"/>
      <c r="U22" s="112"/>
      <c r="V22" s="595"/>
      <c r="W22" s="112"/>
      <c r="X22" s="112"/>
      <c r="Y22" s="112"/>
      <c r="Z22" s="112"/>
      <c r="AA22" s="112"/>
      <c r="AB22" s="112"/>
      <c r="AC22" s="112"/>
      <c r="AD22" s="112"/>
      <c r="AE22" s="112"/>
      <c r="AF22" s="595"/>
      <c r="AG22" s="112"/>
      <c r="AH22" s="112"/>
      <c r="AI22" s="112"/>
      <c r="AJ22" s="112"/>
      <c r="AK22" s="112"/>
      <c r="AL22" s="112"/>
      <c r="AM22" s="112"/>
      <c r="AN22" s="112"/>
      <c r="AO22" s="112"/>
      <c r="AP22" s="595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595"/>
      <c r="BG22" s="595"/>
      <c r="BH22" s="595"/>
      <c r="BI22" s="595"/>
      <c r="BJ22" s="871"/>
      <c r="BK22" s="871"/>
      <c r="BL22" s="565"/>
      <c r="BM22" s="565"/>
      <c r="BP22" s="515"/>
      <c r="BQ22" s="320"/>
      <c r="BR22" s="320"/>
    </row>
    <row r="23" spans="1:70" ht="11.25" customHeight="1">
      <c r="A23" s="115" t="s">
        <v>80</v>
      </c>
      <c r="B23" s="593">
        <v>1868</v>
      </c>
      <c r="C23" s="25">
        <v>2291</v>
      </c>
      <c r="D23" s="25">
        <v>2649</v>
      </c>
      <c r="E23" s="25">
        <v>3460</v>
      </c>
      <c r="F23" s="25">
        <v>4082</v>
      </c>
      <c r="G23" s="25">
        <v>4352</v>
      </c>
      <c r="H23" s="25">
        <v>5023</v>
      </c>
      <c r="I23" s="25">
        <v>5407</v>
      </c>
      <c r="J23" s="25">
        <v>4961</v>
      </c>
      <c r="K23" s="25">
        <v>4409</v>
      </c>
      <c r="L23" s="596">
        <v>4496</v>
      </c>
      <c r="M23" s="11">
        <v>4698</v>
      </c>
      <c r="N23" s="11">
        <v>5833</v>
      </c>
      <c r="O23" s="11">
        <v>7172</v>
      </c>
      <c r="P23" s="11">
        <v>6593</v>
      </c>
      <c r="Q23" s="11">
        <v>6686</v>
      </c>
      <c r="R23" s="11">
        <v>6918</v>
      </c>
      <c r="S23" s="11">
        <v>7896</v>
      </c>
      <c r="T23" s="11">
        <v>8134</v>
      </c>
      <c r="U23" s="11">
        <v>8550</v>
      </c>
      <c r="V23" s="596">
        <v>8045</v>
      </c>
      <c r="W23" s="11">
        <v>7705</v>
      </c>
      <c r="X23" s="11">
        <v>7260</v>
      </c>
      <c r="Y23" s="11">
        <v>7261</v>
      </c>
      <c r="Z23" s="11">
        <v>7234</v>
      </c>
      <c r="AA23" s="11">
        <v>7156</v>
      </c>
      <c r="AB23" s="11">
        <v>6966</v>
      </c>
      <c r="AC23" s="11">
        <v>6918</v>
      </c>
      <c r="AD23" s="11">
        <v>7168</v>
      </c>
      <c r="AE23" s="11">
        <v>7349</v>
      </c>
      <c r="AF23" s="596">
        <v>7764</v>
      </c>
      <c r="AG23" s="11">
        <v>8418</v>
      </c>
      <c r="AH23" s="11">
        <v>8952</v>
      </c>
      <c r="AI23" s="11">
        <v>8977</v>
      </c>
      <c r="AJ23" s="11">
        <v>9194</v>
      </c>
      <c r="AK23" s="11">
        <v>9242</v>
      </c>
      <c r="AL23" s="11">
        <v>9172</v>
      </c>
      <c r="AM23" s="63">
        <v>9171</v>
      </c>
      <c r="AN23" s="63">
        <v>8904</v>
      </c>
      <c r="AO23" s="63">
        <v>8896</v>
      </c>
      <c r="AP23" s="776">
        <v>8900</v>
      </c>
      <c r="AQ23" s="49">
        <v>9063</v>
      </c>
      <c r="AR23" s="95">
        <v>8888</v>
      </c>
      <c r="AS23" s="95">
        <v>10318</v>
      </c>
      <c r="AT23" s="95">
        <v>10210</v>
      </c>
      <c r="AU23" s="95">
        <v>9980</v>
      </c>
      <c r="AV23" s="213">
        <f>7319+573+1717+135+33</f>
        <v>9777</v>
      </c>
      <c r="AW23" s="213">
        <f>7151+554+1765+137+36</f>
        <v>9643</v>
      </c>
      <c r="AX23" s="228">
        <v>9889</v>
      </c>
      <c r="AY23" s="228">
        <v>11369</v>
      </c>
      <c r="AZ23" s="228">
        <v>12467</v>
      </c>
      <c r="BA23" s="305">
        <v>13266</v>
      </c>
      <c r="BB23" s="305">
        <v>13484</v>
      </c>
      <c r="BC23" s="305">
        <v>14092</v>
      </c>
      <c r="BD23" s="305">
        <v>14682</v>
      </c>
      <c r="BE23" s="305">
        <v>15620</v>
      </c>
      <c r="BF23" s="305">
        <v>16517</v>
      </c>
      <c r="BG23" s="305">
        <v>17471</v>
      </c>
      <c r="BH23" s="305">
        <v>17671</v>
      </c>
      <c r="BI23" s="305">
        <v>17475</v>
      </c>
      <c r="BJ23" s="410">
        <f>(BH23-BG23)/BG23</f>
        <v>1.1447541640432718E-2</v>
      </c>
      <c r="BK23" s="410">
        <f>(BI23-BH23)/BH23</f>
        <v>-1.1091619036840021E-2</v>
      </c>
      <c r="BL23" s="564">
        <f>BG23-BF23</f>
        <v>954</v>
      </c>
      <c r="BM23" s="564">
        <f>BH23-BG23</f>
        <v>200</v>
      </c>
      <c r="BP23" s="515"/>
      <c r="BQ23" s="320"/>
      <c r="BR23" s="320"/>
    </row>
    <row r="24" spans="1:70" ht="6" customHeight="1">
      <c r="A24" s="115"/>
      <c r="B24" s="509"/>
      <c r="C24" s="359"/>
      <c r="D24" s="359"/>
      <c r="E24" s="359"/>
      <c r="F24" s="359"/>
      <c r="G24" s="359"/>
      <c r="H24" s="359"/>
      <c r="I24" s="359"/>
      <c r="J24" s="359"/>
      <c r="K24" s="359"/>
      <c r="L24" s="509"/>
      <c r="M24" s="359"/>
      <c r="N24" s="359"/>
      <c r="O24" s="359"/>
      <c r="P24" s="359"/>
      <c r="Q24" s="359"/>
      <c r="R24" s="359"/>
      <c r="S24" s="359"/>
      <c r="T24" s="359"/>
      <c r="U24" s="359"/>
      <c r="V24" s="509"/>
      <c r="W24" s="359"/>
      <c r="X24" s="359"/>
      <c r="Y24" s="359"/>
      <c r="Z24" s="359"/>
      <c r="AA24" s="359"/>
      <c r="AB24" s="359"/>
      <c r="AC24" s="359"/>
      <c r="AD24" s="359"/>
      <c r="AE24" s="359"/>
      <c r="AF24" s="509"/>
      <c r="AG24" s="359"/>
      <c r="AH24" s="359"/>
      <c r="AI24" s="359"/>
      <c r="AJ24" s="359"/>
      <c r="AK24" s="359"/>
      <c r="AL24" s="343"/>
      <c r="AM24" s="359"/>
      <c r="AN24" s="359"/>
      <c r="AO24" s="359"/>
      <c r="AP24" s="509"/>
      <c r="AQ24" s="359"/>
      <c r="AR24" s="359"/>
      <c r="AS24" s="359"/>
      <c r="AT24" s="359"/>
      <c r="AU24" s="359"/>
      <c r="AV24" s="417"/>
      <c r="AW24" s="370"/>
      <c r="AX24" s="305"/>
      <c r="AY24" s="305"/>
      <c r="AZ24" s="305"/>
      <c r="BA24" s="305"/>
      <c r="BB24" s="305"/>
      <c r="BC24" s="463"/>
      <c r="BD24" s="300"/>
      <c r="BE24" s="300"/>
      <c r="BF24" s="300"/>
      <c r="BG24" s="300"/>
      <c r="BH24" s="300"/>
      <c r="BI24" s="300"/>
      <c r="BJ24" s="874"/>
      <c r="BK24" s="874"/>
      <c r="BP24" s="515"/>
      <c r="BQ24" s="320"/>
      <c r="BR24" s="320"/>
    </row>
    <row r="25" spans="1:70" s="292" customFormat="1" ht="11.25" customHeight="1">
      <c r="A25" s="116" t="s">
        <v>33</v>
      </c>
      <c r="B25" s="428"/>
      <c r="C25" s="343"/>
      <c r="D25" s="343"/>
      <c r="E25" s="343"/>
      <c r="F25" s="343"/>
      <c r="G25" s="343"/>
      <c r="H25" s="343"/>
      <c r="I25" s="343"/>
      <c r="J25" s="343"/>
      <c r="K25" s="343"/>
      <c r="L25" s="509"/>
      <c r="M25" s="359"/>
      <c r="N25" s="359"/>
      <c r="O25" s="359"/>
      <c r="P25" s="359"/>
      <c r="Q25" s="359"/>
      <c r="R25" s="359"/>
      <c r="S25" s="359"/>
      <c r="T25" s="359"/>
      <c r="U25" s="359"/>
      <c r="V25" s="509"/>
      <c r="W25" s="359"/>
      <c r="X25" s="359"/>
      <c r="Y25" s="359"/>
      <c r="Z25" s="359"/>
      <c r="AA25" s="359"/>
      <c r="AB25" s="359"/>
      <c r="AC25" s="359"/>
      <c r="AD25" s="359"/>
      <c r="AE25" s="359"/>
      <c r="AF25" s="509"/>
      <c r="AG25" s="359"/>
      <c r="AH25" s="359"/>
      <c r="AI25" s="359"/>
      <c r="AJ25" s="359"/>
      <c r="AK25" s="359"/>
      <c r="AL25" s="343"/>
      <c r="AM25" s="359"/>
      <c r="AN25" s="359"/>
      <c r="AO25" s="359"/>
      <c r="AP25" s="509"/>
      <c r="AQ25" s="359"/>
      <c r="AR25" s="359"/>
      <c r="AS25" s="359"/>
      <c r="AT25" s="359"/>
      <c r="AU25" s="359"/>
      <c r="AV25" s="370"/>
      <c r="AW25" s="370"/>
      <c r="AX25" s="305"/>
      <c r="AY25" s="305"/>
      <c r="AZ25" s="305"/>
      <c r="BA25" s="305"/>
      <c r="BB25" s="305"/>
      <c r="BC25" s="463"/>
      <c r="BD25" s="300"/>
      <c r="BE25" s="300"/>
      <c r="BF25" s="300"/>
      <c r="BG25" s="300"/>
      <c r="BH25" s="300"/>
      <c r="BI25" s="300"/>
      <c r="BJ25" s="874"/>
      <c r="BK25" s="874"/>
      <c r="BL25" s="947"/>
      <c r="BM25" s="947"/>
      <c r="BN25" s="443"/>
      <c r="BO25" s="443"/>
      <c r="BP25" s="515"/>
    </row>
    <row r="26" spans="1:70" s="292" customFormat="1" ht="11.25" customHeight="1">
      <c r="A26" s="115" t="s">
        <v>81</v>
      </c>
      <c r="B26" s="417" t="s">
        <v>3</v>
      </c>
      <c r="C26" s="360" t="s">
        <v>3</v>
      </c>
      <c r="D26" s="360" t="s">
        <v>3</v>
      </c>
      <c r="E26" s="360" t="s">
        <v>3</v>
      </c>
      <c r="F26" s="360" t="s">
        <v>3</v>
      </c>
      <c r="G26" s="360" t="s">
        <v>3</v>
      </c>
      <c r="H26" s="360" t="s">
        <v>3</v>
      </c>
      <c r="I26" s="360" t="s">
        <v>3</v>
      </c>
      <c r="J26" s="360" t="s">
        <v>3</v>
      </c>
      <c r="K26" s="360" t="s">
        <v>3</v>
      </c>
      <c r="L26" s="417" t="s">
        <v>3</v>
      </c>
      <c r="M26" s="360" t="s">
        <v>3</v>
      </c>
      <c r="N26" s="360" t="s">
        <v>3</v>
      </c>
      <c r="O26" s="360" t="s">
        <v>3</v>
      </c>
      <c r="P26" s="360" t="s">
        <v>3</v>
      </c>
      <c r="Q26" s="360" t="s">
        <v>3</v>
      </c>
      <c r="R26" s="360" t="s">
        <v>3</v>
      </c>
      <c r="S26" s="360" t="s">
        <v>3</v>
      </c>
      <c r="T26" s="360" t="s">
        <v>3</v>
      </c>
      <c r="U26" s="360" t="s">
        <v>3</v>
      </c>
      <c r="V26" s="417" t="s">
        <v>3</v>
      </c>
      <c r="W26" s="360" t="s">
        <v>3</v>
      </c>
      <c r="X26" s="360" t="s">
        <v>3</v>
      </c>
      <c r="Y26" s="360" t="s">
        <v>3</v>
      </c>
      <c r="Z26" s="360" t="s">
        <v>3</v>
      </c>
      <c r="AA26" s="360" t="s">
        <v>3</v>
      </c>
      <c r="AB26" s="360" t="s">
        <v>3</v>
      </c>
      <c r="AC26" s="360" t="s">
        <v>3</v>
      </c>
      <c r="AD26" s="360" t="s">
        <v>3</v>
      </c>
      <c r="AE26" s="360" t="s">
        <v>3</v>
      </c>
      <c r="AF26" s="417" t="s">
        <v>3</v>
      </c>
      <c r="AG26" s="360" t="s">
        <v>3</v>
      </c>
      <c r="AH26" s="360" t="s">
        <v>11</v>
      </c>
      <c r="AI26" s="359">
        <v>7</v>
      </c>
      <c r="AJ26" s="359">
        <v>25</v>
      </c>
      <c r="AK26" s="359">
        <v>56</v>
      </c>
      <c r="AL26" s="359">
        <v>66</v>
      </c>
      <c r="AM26" s="359">
        <v>69</v>
      </c>
      <c r="AN26" s="359">
        <v>72</v>
      </c>
      <c r="AO26" s="359">
        <v>73</v>
      </c>
      <c r="AP26" s="358">
        <v>87</v>
      </c>
      <c r="AQ26" s="348">
        <v>105</v>
      </c>
      <c r="AR26" s="349">
        <v>112</v>
      </c>
      <c r="AS26" s="349">
        <v>126</v>
      </c>
      <c r="AT26" s="349">
        <v>152</v>
      </c>
      <c r="AU26" s="349">
        <v>198</v>
      </c>
      <c r="AV26" s="390">
        <v>225</v>
      </c>
      <c r="AW26" s="390">
        <v>230</v>
      </c>
      <c r="AX26" s="442">
        <v>251</v>
      </c>
      <c r="AY26" s="306" t="s">
        <v>3</v>
      </c>
      <c r="AZ26" s="306" t="s">
        <v>3</v>
      </c>
      <c r="BA26" s="306" t="s">
        <v>3</v>
      </c>
      <c r="BB26" s="306" t="s">
        <v>3</v>
      </c>
      <c r="BC26" s="306" t="s">
        <v>3</v>
      </c>
      <c r="BD26" s="306" t="s">
        <v>3</v>
      </c>
      <c r="BE26" s="306" t="s">
        <v>3</v>
      </c>
      <c r="BF26" s="306" t="s">
        <v>3</v>
      </c>
      <c r="BG26" s="306" t="s">
        <v>3</v>
      </c>
      <c r="BH26" s="306" t="s">
        <v>3</v>
      </c>
      <c r="BI26" s="306" t="s">
        <v>3</v>
      </c>
      <c r="BJ26" s="960" t="s">
        <v>10</v>
      </c>
      <c r="BK26" s="960" t="s">
        <v>10</v>
      </c>
      <c r="BL26" s="951" t="s">
        <v>10</v>
      </c>
      <c r="BM26" s="951" t="s">
        <v>10</v>
      </c>
      <c r="BN26" s="443"/>
      <c r="BO26" s="443"/>
      <c r="BP26" s="515"/>
    </row>
    <row r="27" spans="1:70" ht="10.5" customHeight="1">
      <c r="A27" s="413" t="s">
        <v>85</v>
      </c>
      <c r="B27" s="306" t="s">
        <v>3</v>
      </c>
      <c r="C27" s="306" t="s">
        <v>3</v>
      </c>
      <c r="D27" s="306" t="s">
        <v>3</v>
      </c>
      <c r="E27" s="306" t="s">
        <v>3</v>
      </c>
      <c r="F27" s="306" t="s">
        <v>3</v>
      </c>
      <c r="G27" s="306" t="s">
        <v>3</v>
      </c>
      <c r="H27" s="306" t="s">
        <v>3</v>
      </c>
      <c r="I27" s="306" t="s">
        <v>3</v>
      </c>
      <c r="J27" s="306" t="s">
        <v>3</v>
      </c>
      <c r="K27" s="306" t="s">
        <v>3</v>
      </c>
      <c r="L27" s="306" t="s">
        <v>3</v>
      </c>
      <c r="M27" s="306" t="s">
        <v>3</v>
      </c>
      <c r="N27" s="306" t="s">
        <v>3</v>
      </c>
      <c r="O27" s="306" t="s">
        <v>3</v>
      </c>
      <c r="P27" s="306" t="s">
        <v>3</v>
      </c>
      <c r="Q27" s="306" t="s">
        <v>3</v>
      </c>
      <c r="R27" s="306" t="s">
        <v>3</v>
      </c>
      <c r="S27" s="306" t="s">
        <v>3</v>
      </c>
      <c r="T27" s="306" t="s">
        <v>3</v>
      </c>
      <c r="U27" s="306" t="s">
        <v>3</v>
      </c>
      <c r="V27" s="306" t="s">
        <v>3</v>
      </c>
      <c r="W27" s="306" t="s">
        <v>3</v>
      </c>
      <c r="X27" s="306" t="s">
        <v>3</v>
      </c>
      <c r="Y27" s="306" t="s">
        <v>3</v>
      </c>
      <c r="Z27" s="306" t="s">
        <v>3</v>
      </c>
      <c r="AA27" s="306" t="s">
        <v>3</v>
      </c>
      <c r="AB27" s="306" t="s">
        <v>3</v>
      </c>
      <c r="AC27" s="306" t="s">
        <v>3</v>
      </c>
      <c r="AD27" s="306" t="s">
        <v>3</v>
      </c>
      <c r="AE27" s="306" t="s">
        <v>3</v>
      </c>
      <c r="AF27" s="306" t="s">
        <v>3</v>
      </c>
      <c r="AG27" s="306" t="s">
        <v>3</v>
      </c>
      <c r="AH27" s="306" t="s">
        <v>3</v>
      </c>
      <c r="AI27" s="306" t="s">
        <v>3</v>
      </c>
      <c r="AJ27" s="306" t="s">
        <v>3</v>
      </c>
      <c r="AK27" s="306" t="s">
        <v>3</v>
      </c>
      <c r="AL27" s="306" t="s">
        <v>3</v>
      </c>
      <c r="AM27" s="306" t="s">
        <v>3</v>
      </c>
      <c r="AN27" s="306" t="s">
        <v>3</v>
      </c>
      <c r="AO27" s="306" t="s">
        <v>3</v>
      </c>
      <c r="AP27" s="306" t="s">
        <v>3</v>
      </c>
      <c r="AQ27" s="306" t="s">
        <v>3</v>
      </c>
      <c r="AR27" s="306" t="s">
        <v>3</v>
      </c>
      <c r="AS27" s="306" t="s">
        <v>3</v>
      </c>
      <c r="AT27" s="306" t="s">
        <v>3</v>
      </c>
      <c r="AU27" s="306" t="s">
        <v>3</v>
      </c>
      <c r="AV27" s="306" t="s">
        <v>3</v>
      </c>
      <c r="AW27" s="306" t="s">
        <v>3</v>
      </c>
      <c r="AX27" s="306" t="s">
        <v>3</v>
      </c>
      <c r="AY27" s="306" t="s">
        <v>3</v>
      </c>
      <c r="AZ27" s="306" t="s">
        <v>3</v>
      </c>
      <c r="BA27" s="306" t="s">
        <v>3</v>
      </c>
      <c r="BB27" s="306" t="s">
        <v>3</v>
      </c>
      <c r="BC27" s="306" t="s">
        <v>3</v>
      </c>
      <c r="BD27" s="306" t="s">
        <v>3</v>
      </c>
      <c r="BE27" s="306" t="s">
        <v>3</v>
      </c>
      <c r="BF27" s="306" t="s">
        <v>3</v>
      </c>
      <c r="BG27" s="306" t="s">
        <v>3</v>
      </c>
      <c r="BH27" s="306" t="s">
        <v>3</v>
      </c>
      <c r="BI27" s="306" t="s">
        <v>3</v>
      </c>
      <c r="BJ27" s="960" t="s">
        <v>10</v>
      </c>
      <c r="BK27" s="960" t="s">
        <v>10</v>
      </c>
      <c r="BL27" s="951" t="s">
        <v>10</v>
      </c>
      <c r="BM27" s="951" t="s">
        <v>10</v>
      </c>
    </row>
    <row r="28" spans="1:70" ht="10.5" customHeight="1">
      <c r="A28" s="119" t="s">
        <v>87</v>
      </c>
      <c r="B28" s="243" t="s">
        <v>3</v>
      </c>
      <c r="C28" s="267" t="s">
        <v>3</v>
      </c>
      <c r="D28" s="267" t="s">
        <v>3</v>
      </c>
      <c r="E28" s="267" t="s">
        <v>3</v>
      </c>
      <c r="F28" s="267" t="s">
        <v>3</v>
      </c>
      <c r="G28" s="267" t="s">
        <v>3</v>
      </c>
      <c r="H28" s="267" t="s">
        <v>3</v>
      </c>
      <c r="I28" s="267" t="s">
        <v>3</v>
      </c>
      <c r="J28" s="267" t="s">
        <v>3</v>
      </c>
      <c r="K28" s="267" t="s">
        <v>3</v>
      </c>
      <c r="L28" s="243" t="s">
        <v>3</v>
      </c>
      <c r="M28" s="267" t="s">
        <v>3</v>
      </c>
      <c r="N28" s="267" t="s">
        <v>3</v>
      </c>
      <c r="O28" s="267" t="s">
        <v>3</v>
      </c>
      <c r="P28" s="267" t="s">
        <v>3</v>
      </c>
      <c r="Q28" s="267" t="s">
        <v>3</v>
      </c>
      <c r="R28" s="267" t="s">
        <v>3</v>
      </c>
      <c r="S28" s="267" t="s">
        <v>3</v>
      </c>
      <c r="T28" s="267" t="s">
        <v>3</v>
      </c>
      <c r="U28" s="267" t="s">
        <v>3</v>
      </c>
      <c r="V28" s="243" t="s">
        <v>3</v>
      </c>
      <c r="W28" s="267" t="s">
        <v>3</v>
      </c>
      <c r="X28" s="267" t="s">
        <v>3</v>
      </c>
      <c r="Y28" s="267" t="s">
        <v>3</v>
      </c>
      <c r="Z28" s="267" t="s">
        <v>3</v>
      </c>
      <c r="AA28" s="267" t="s">
        <v>3</v>
      </c>
      <c r="AB28" s="267" t="s">
        <v>3</v>
      </c>
      <c r="AC28" s="267" t="s">
        <v>3</v>
      </c>
      <c r="AD28" s="267" t="s">
        <v>3</v>
      </c>
      <c r="AE28" s="267" t="s">
        <v>3</v>
      </c>
      <c r="AF28" s="243" t="s">
        <v>3</v>
      </c>
      <c r="AG28" s="267" t="s">
        <v>3</v>
      </c>
      <c r="AH28" s="267" t="s">
        <v>3</v>
      </c>
      <c r="AI28" s="267" t="s">
        <v>3</v>
      </c>
      <c r="AJ28" s="267" t="s">
        <v>3</v>
      </c>
      <c r="AK28" s="267" t="s">
        <v>3</v>
      </c>
      <c r="AL28" s="267" t="s">
        <v>3</v>
      </c>
      <c r="AM28" s="267" t="s">
        <v>3</v>
      </c>
      <c r="AN28" s="267" t="s">
        <v>3</v>
      </c>
      <c r="AO28" s="267" t="s">
        <v>3</v>
      </c>
      <c r="AP28" s="243" t="s">
        <v>3</v>
      </c>
      <c r="AQ28" s="267" t="s">
        <v>3</v>
      </c>
      <c r="AR28" s="267" t="s">
        <v>3</v>
      </c>
      <c r="AS28" s="267" t="s">
        <v>3</v>
      </c>
      <c r="AT28" s="267" t="s">
        <v>3</v>
      </c>
      <c r="AU28" s="267" t="s">
        <v>3</v>
      </c>
      <c r="AV28" s="267" t="s">
        <v>3</v>
      </c>
      <c r="AW28" s="267" t="s">
        <v>3</v>
      </c>
      <c r="AX28" s="267" t="s">
        <v>3</v>
      </c>
      <c r="AY28" s="267" t="s">
        <v>3</v>
      </c>
      <c r="AZ28" s="267" t="s">
        <v>3</v>
      </c>
      <c r="BA28" s="267" t="s">
        <v>3</v>
      </c>
      <c r="BB28" s="267" t="s">
        <v>3</v>
      </c>
      <c r="BC28" s="267" t="s">
        <v>3</v>
      </c>
      <c r="BD28" s="267" t="s">
        <v>3</v>
      </c>
      <c r="BE28" s="267" t="s">
        <v>3</v>
      </c>
      <c r="BF28" s="243" t="s">
        <v>3</v>
      </c>
      <c r="BG28" s="243" t="s">
        <v>3</v>
      </c>
      <c r="BH28" s="243" t="s">
        <v>3</v>
      </c>
      <c r="BI28" s="243" t="s">
        <v>3</v>
      </c>
      <c r="BJ28" s="960" t="s">
        <v>10</v>
      </c>
      <c r="BK28" s="960" t="s">
        <v>10</v>
      </c>
      <c r="BL28" s="951" t="s">
        <v>10</v>
      </c>
      <c r="BM28" s="951" t="s">
        <v>10</v>
      </c>
    </row>
    <row r="29" spans="1:70" ht="10.5" customHeight="1">
      <c r="A29" s="119"/>
      <c r="B29" s="809" t="s">
        <v>3</v>
      </c>
      <c r="C29" s="786" t="s">
        <v>3</v>
      </c>
      <c r="D29" s="786" t="s">
        <v>3</v>
      </c>
      <c r="E29" s="786" t="s">
        <v>3</v>
      </c>
      <c r="F29" s="786" t="s">
        <v>3</v>
      </c>
      <c r="G29" s="786" t="s">
        <v>3</v>
      </c>
      <c r="H29" s="786" t="s">
        <v>3</v>
      </c>
      <c r="I29" s="786" t="s">
        <v>3</v>
      </c>
      <c r="J29" s="786" t="s">
        <v>3</v>
      </c>
      <c r="K29" s="786" t="s">
        <v>3</v>
      </c>
      <c r="L29" s="809" t="s">
        <v>3</v>
      </c>
      <c r="M29" s="786" t="s">
        <v>3</v>
      </c>
      <c r="N29" s="786" t="s">
        <v>3</v>
      </c>
      <c r="O29" s="786" t="s">
        <v>3</v>
      </c>
      <c r="P29" s="786" t="s">
        <v>3</v>
      </c>
      <c r="Q29" s="786" t="s">
        <v>3</v>
      </c>
      <c r="R29" s="786" t="s">
        <v>3</v>
      </c>
      <c r="S29" s="786" t="s">
        <v>3</v>
      </c>
      <c r="T29" s="786" t="s">
        <v>3</v>
      </c>
      <c r="U29" s="786" t="s">
        <v>3</v>
      </c>
      <c r="V29" s="809" t="s">
        <v>3</v>
      </c>
      <c r="W29" s="786" t="s">
        <v>3</v>
      </c>
      <c r="X29" s="786" t="s">
        <v>3</v>
      </c>
      <c r="Y29" s="786" t="s">
        <v>3</v>
      </c>
      <c r="Z29" s="786" t="s">
        <v>3</v>
      </c>
      <c r="AA29" s="786" t="s">
        <v>3</v>
      </c>
      <c r="AB29" s="786" t="s">
        <v>3</v>
      </c>
      <c r="AC29" s="786" t="s">
        <v>3</v>
      </c>
      <c r="AD29" s="786" t="s">
        <v>3</v>
      </c>
      <c r="AE29" s="786" t="s">
        <v>3</v>
      </c>
      <c r="AF29" s="809" t="s">
        <v>3</v>
      </c>
      <c r="AG29" s="786" t="s">
        <v>3</v>
      </c>
      <c r="AH29" s="786" t="s">
        <v>3</v>
      </c>
      <c r="AI29" s="786">
        <f t="shared" ref="AI29:AX29" si="6">SUM(AI26,AI27,AI28)</f>
        <v>7</v>
      </c>
      <c r="AJ29" s="786">
        <f t="shared" si="6"/>
        <v>25</v>
      </c>
      <c r="AK29" s="786">
        <f t="shared" si="6"/>
        <v>56</v>
      </c>
      <c r="AL29" s="786">
        <f t="shared" si="6"/>
        <v>66</v>
      </c>
      <c r="AM29" s="786">
        <f t="shared" si="6"/>
        <v>69</v>
      </c>
      <c r="AN29" s="786">
        <f t="shared" si="6"/>
        <v>72</v>
      </c>
      <c r="AO29" s="786">
        <f t="shared" si="6"/>
        <v>73</v>
      </c>
      <c r="AP29" s="809">
        <f t="shared" si="6"/>
        <v>87</v>
      </c>
      <c r="AQ29" s="786">
        <f t="shared" si="6"/>
        <v>105</v>
      </c>
      <c r="AR29" s="786">
        <f t="shared" si="6"/>
        <v>112</v>
      </c>
      <c r="AS29" s="786">
        <f t="shared" si="6"/>
        <v>126</v>
      </c>
      <c r="AT29" s="786">
        <f t="shared" si="6"/>
        <v>152</v>
      </c>
      <c r="AU29" s="786">
        <f t="shared" si="6"/>
        <v>198</v>
      </c>
      <c r="AV29" s="786">
        <f t="shared" si="6"/>
        <v>225</v>
      </c>
      <c r="AW29" s="786">
        <f t="shared" si="6"/>
        <v>230</v>
      </c>
      <c r="AX29" s="786">
        <f t="shared" si="6"/>
        <v>251</v>
      </c>
      <c r="AY29" s="786" t="s">
        <v>3</v>
      </c>
      <c r="AZ29" s="786" t="s">
        <v>3</v>
      </c>
      <c r="BA29" s="786" t="s">
        <v>3</v>
      </c>
      <c r="BB29" s="786" t="s">
        <v>3</v>
      </c>
      <c r="BC29" s="786" t="s">
        <v>3</v>
      </c>
      <c r="BD29" s="786" t="s">
        <v>3</v>
      </c>
      <c r="BE29" s="786" t="s">
        <v>3</v>
      </c>
      <c r="BF29" s="786" t="s">
        <v>3</v>
      </c>
      <c r="BG29" s="809" t="s">
        <v>3</v>
      </c>
      <c r="BH29" s="809" t="s">
        <v>3</v>
      </c>
      <c r="BI29" s="809" t="s">
        <v>3</v>
      </c>
      <c r="BJ29" s="961" t="s">
        <v>10</v>
      </c>
      <c r="BK29" s="961" t="s">
        <v>10</v>
      </c>
      <c r="BL29" s="952" t="s">
        <v>10</v>
      </c>
      <c r="BM29" s="952" t="s">
        <v>10</v>
      </c>
    </row>
    <row r="30" spans="1:70" ht="6" customHeight="1">
      <c r="A30" s="115"/>
      <c r="B30" s="593"/>
      <c r="C30" s="25"/>
      <c r="D30" s="25"/>
      <c r="E30" s="25"/>
      <c r="F30" s="25"/>
      <c r="G30" s="25"/>
      <c r="H30" s="25"/>
      <c r="I30" s="25"/>
      <c r="J30" s="25"/>
      <c r="K30" s="25"/>
      <c r="L30" s="596"/>
      <c r="M30" s="11"/>
      <c r="N30" s="11"/>
      <c r="O30" s="11"/>
      <c r="P30" s="11"/>
      <c r="Q30" s="11"/>
      <c r="R30" s="11"/>
      <c r="S30" s="11"/>
      <c r="T30" s="11"/>
      <c r="U30" s="11"/>
      <c r="V30" s="596"/>
      <c r="W30" s="11"/>
      <c r="X30" s="11"/>
      <c r="Y30" s="11"/>
      <c r="Z30" s="11"/>
      <c r="AA30" s="11"/>
      <c r="AB30" s="11"/>
      <c r="AC30" s="11"/>
      <c r="AD30" s="11"/>
      <c r="AE30" s="11"/>
      <c r="AF30" s="596"/>
      <c r="AG30" s="11"/>
      <c r="AH30" s="11"/>
      <c r="AI30" s="11"/>
      <c r="AJ30" s="11"/>
      <c r="AK30" s="11"/>
      <c r="AM30" s="63"/>
      <c r="AN30" s="63"/>
      <c r="AO30" s="63"/>
      <c r="AP30" s="696"/>
      <c r="AQ30" s="63"/>
      <c r="AR30" s="63"/>
      <c r="AS30" s="63"/>
      <c r="AT30" s="63"/>
      <c r="AU30" s="63"/>
      <c r="AV30" s="239"/>
      <c r="AW30" s="238"/>
      <c r="AX30" s="228"/>
      <c r="AY30" s="228"/>
      <c r="AZ30" s="300"/>
      <c r="BA30" s="305"/>
      <c r="BB30" s="305"/>
      <c r="BC30" s="463"/>
      <c r="BD30" s="300"/>
      <c r="BE30" s="300"/>
      <c r="BF30" s="300"/>
      <c r="BG30" s="300"/>
      <c r="BH30" s="300"/>
      <c r="BI30" s="300"/>
      <c r="BJ30" s="874"/>
      <c r="BK30" s="874"/>
      <c r="BP30" s="515"/>
      <c r="BQ30" s="320"/>
      <c r="BR30" s="320"/>
    </row>
    <row r="31" spans="1:70" ht="11.25" customHeight="1">
      <c r="A31" s="116" t="s">
        <v>34</v>
      </c>
      <c r="B31" s="593"/>
      <c r="C31" s="25"/>
      <c r="D31" s="25"/>
      <c r="E31" s="25"/>
      <c r="F31" s="25"/>
      <c r="G31" s="25"/>
      <c r="H31" s="25"/>
      <c r="I31" s="25"/>
      <c r="J31" s="25"/>
      <c r="K31" s="25"/>
      <c r="L31" s="596"/>
      <c r="M31" s="11"/>
      <c r="N31" s="11"/>
      <c r="O31" s="11"/>
      <c r="P31" s="11"/>
      <c r="Q31" s="11"/>
      <c r="R31" s="11"/>
      <c r="S31" s="11"/>
      <c r="T31" s="11"/>
      <c r="U31" s="11"/>
      <c r="V31" s="596"/>
      <c r="W31" s="11"/>
      <c r="X31" s="11"/>
      <c r="Y31" s="11"/>
      <c r="Z31" s="11"/>
      <c r="AA31" s="11"/>
      <c r="AB31" s="11"/>
      <c r="AC31" s="11"/>
      <c r="AD31" s="11"/>
      <c r="AE31" s="11"/>
      <c r="AF31" s="596"/>
      <c r="AG31" s="11"/>
      <c r="AH31" s="11"/>
      <c r="AI31" s="11"/>
      <c r="AJ31" s="11"/>
      <c r="AK31" s="11"/>
      <c r="AM31" s="63"/>
      <c r="AN31" s="63"/>
      <c r="AO31" s="63"/>
      <c r="AP31" s="696"/>
      <c r="AQ31" s="63"/>
      <c r="AR31" s="63"/>
      <c r="AS31" s="63"/>
      <c r="AT31" s="63"/>
      <c r="AU31" s="63"/>
      <c r="AV31" s="239"/>
      <c r="AW31" s="238"/>
      <c r="AX31" s="228"/>
      <c r="AY31" s="228"/>
      <c r="AZ31" s="300"/>
      <c r="BA31" s="305"/>
      <c r="BB31" s="305"/>
      <c r="BC31" s="463"/>
      <c r="BD31" s="300"/>
      <c r="BE31" s="300"/>
      <c r="BF31" s="300"/>
      <c r="BG31" s="300"/>
      <c r="BH31" s="300"/>
      <c r="BI31" s="300"/>
      <c r="BJ31" s="874"/>
      <c r="BK31" s="874"/>
      <c r="BP31" s="515"/>
      <c r="BQ31" s="320"/>
      <c r="BR31" s="320"/>
    </row>
    <row r="32" spans="1:70" ht="11.25" customHeight="1">
      <c r="A32" s="115" t="s">
        <v>88</v>
      </c>
      <c r="B32" s="227" t="s">
        <v>3</v>
      </c>
      <c r="C32" s="27" t="s">
        <v>3</v>
      </c>
      <c r="D32" s="27" t="s">
        <v>3</v>
      </c>
      <c r="E32" s="27" t="s">
        <v>3</v>
      </c>
      <c r="F32" s="27" t="s">
        <v>3</v>
      </c>
      <c r="G32" s="27" t="s">
        <v>3</v>
      </c>
      <c r="H32" s="27" t="s">
        <v>3</v>
      </c>
      <c r="I32" s="27" t="s">
        <v>3</v>
      </c>
      <c r="J32" s="25">
        <v>81</v>
      </c>
      <c r="K32" s="25">
        <v>107</v>
      </c>
      <c r="L32" s="596">
        <v>125</v>
      </c>
      <c r="M32" s="11">
        <v>224</v>
      </c>
      <c r="N32" s="11">
        <v>327</v>
      </c>
      <c r="O32" s="11">
        <v>367</v>
      </c>
      <c r="P32" s="11">
        <v>284</v>
      </c>
      <c r="Q32" s="11">
        <v>368</v>
      </c>
      <c r="R32" s="11">
        <v>251</v>
      </c>
      <c r="S32" s="11">
        <v>237</v>
      </c>
      <c r="T32" s="11">
        <v>228</v>
      </c>
      <c r="U32" s="11">
        <v>280</v>
      </c>
      <c r="V32" s="596">
        <v>255</v>
      </c>
      <c r="W32" s="11">
        <v>233</v>
      </c>
      <c r="X32" s="11">
        <v>233</v>
      </c>
      <c r="Y32" s="11">
        <v>217</v>
      </c>
      <c r="Z32" s="11">
        <v>194</v>
      </c>
      <c r="AA32" s="11">
        <v>222</v>
      </c>
      <c r="AB32" s="11">
        <v>236</v>
      </c>
      <c r="AC32" s="11">
        <v>254</v>
      </c>
      <c r="AD32" s="11">
        <v>275</v>
      </c>
      <c r="AE32" s="11">
        <v>287</v>
      </c>
      <c r="AF32" s="596">
        <v>294</v>
      </c>
      <c r="AG32" s="11">
        <v>319</v>
      </c>
      <c r="AH32" s="11">
        <v>356</v>
      </c>
      <c r="AI32" s="11">
        <v>361</v>
      </c>
      <c r="AJ32" s="11">
        <v>525</v>
      </c>
      <c r="AK32" s="11">
        <v>508</v>
      </c>
      <c r="AL32" s="11">
        <v>522</v>
      </c>
      <c r="AM32" s="63">
        <v>533</v>
      </c>
      <c r="AN32" s="63">
        <v>620</v>
      </c>
      <c r="AO32" s="63">
        <v>599</v>
      </c>
      <c r="AP32" s="696">
        <v>613</v>
      </c>
      <c r="AQ32" s="63">
        <v>595</v>
      </c>
      <c r="AR32" s="63">
        <v>568</v>
      </c>
      <c r="AS32" s="63">
        <v>570</v>
      </c>
      <c r="AT32" s="63">
        <v>613</v>
      </c>
      <c r="AU32" s="63">
        <v>739</v>
      </c>
      <c r="AV32" s="239">
        <v>807</v>
      </c>
      <c r="AW32" s="227">
        <v>857</v>
      </c>
      <c r="AX32" s="228">
        <v>998</v>
      </c>
      <c r="AY32" s="228">
        <v>975</v>
      </c>
      <c r="AZ32" s="228">
        <v>1125</v>
      </c>
      <c r="BA32" s="305">
        <v>1227</v>
      </c>
      <c r="BB32" s="305">
        <v>1335</v>
      </c>
      <c r="BC32" s="305">
        <v>1362</v>
      </c>
      <c r="BD32" s="305">
        <v>1256</v>
      </c>
      <c r="BE32" s="305">
        <v>1356</v>
      </c>
      <c r="BF32" s="305">
        <v>1343</v>
      </c>
      <c r="BG32" s="305">
        <v>1472</v>
      </c>
      <c r="BH32" s="305">
        <v>1511</v>
      </c>
      <c r="BI32" s="305">
        <v>1537</v>
      </c>
      <c r="BJ32" s="410">
        <f>(BH32-BG32)/BG32</f>
        <v>2.6494565217391304E-2</v>
      </c>
      <c r="BK32" s="410">
        <f>(BI32-BH32)/BH32</f>
        <v>1.7207147584381206E-2</v>
      </c>
      <c r="BL32" s="564">
        <f t="shared" ref="BL32:BL34" si="7">(BH32-BG32)</f>
        <v>39</v>
      </c>
      <c r="BM32" s="564">
        <f t="shared" ref="BM32:BM34" si="8">(BI32-BH32)</f>
        <v>26</v>
      </c>
      <c r="BP32" s="515"/>
      <c r="BQ32" s="320"/>
      <c r="BR32" s="320"/>
    </row>
    <row r="33" spans="1:70" ht="11.25" customHeight="1">
      <c r="A33" s="119" t="s">
        <v>117</v>
      </c>
      <c r="B33" s="593"/>
      <c r="C33" s="25"/>
      <c r="D33" s="25"/>
      <c r="E33" s="25"/>
      <c r="F33" s="25"/>
      <c r="G33" s="25"/>
      <c r="H33" s="25"/>
      <c r="I33" s="25"/>
      <c r="J33" s="25"/>
      <c r="K33" s="25"/>
      <c r="L33" s="596"/>
      <c r="M33" s="11"/>
      <c r="N33" s="11"/>
      <c r="O33" s="11"/>
      <c r="P33" s="11"/>
      <c r="Q33" s="11"/>
      <c r="R33" s="11"/>
      <c r="S33" s="11"/>
      <c r="T33" s="11"/>
      <c r="U33" s="11"/>
      <c r="V33" s="596"/>
      <c r="W33" s="11"/>
      <c r="X33" s="11"/>
      <c r="Y33" s="11"/>
      <c r="Z33" s="11"/>
      <c r="AA33" s="11"/>
      <c r="AB33" s="11"/>
      <c r="AC33" s="11"/>
      <c r="AD33" s="11"/>
      <c r="AE33" s="11"/>
      <c r="AF33" s="596"/>
      <c r="AG33" s="11"/>
      <c r="AH33" s="11"/>
      <c r="AI33" s="11"/>
      <c r="AJ33" s="11"/>
      <c r="AK33" s="11"/>
      <c r="AM33" s="63"/>
      <c r="AN33" s="63"/>
      <c r="AO33" s="63"/>
      <c r="AP33" s="696"/>
      <c r="AQ33" s="63"/>
      <c r="AR33" s="49"/>
      <c r="AS33" s="63"/>
      <c r="AT33" s="63"/>
      <c r="AU33" s="63"/>
      <c r="AV33" s="147"/>
      <c r="AW33" s="238"/>
      <c r="AX33" s="228"/>
      <c r="AY33" s="228"/>
      <c r="AZ33" s="300"/>
      <c r="BA33" s="305"/>
      <c r="BB33" s="305"/>
      <c r="BC33" s="305"/>
      <c r="BD33" s="300"/>
      <c r="BE33" s="300"/>
      <c r="BF33" s="300"/>
      <c r="BG33" s="300"/>
      <c r="BH33" s="300"/>
      <c r="BI33" s="300"/>
      <c r="BJ33" s="871"/>
      <c r="BK33" s="871"/>
      <c r="BL33" s="564">
        <f t="shared" si="7"/>
        <v>0</v>
      </c>
      <c r="BM33" s="564">
        <f t="shared" si="8"/>
        <v>0</v>
      </c>
      <c r="BP33" s="515"/>
      <c r="BQ33" s="320"/>
      <c r="BR33" s="320"/>
    </row>
    <row r="34" spans="1:70" ht="11.25" customHeight="1">
      <c r="A34" s="119" t="s">
        <v>89</v>
      </c>
      <c r="B34" s="593">
        <v>3835</v>
      </c>
      <c r="C34" s="25">
        <v>3784</v>
      </c>
      <c r="D34" s="25">
        <v>3845</v>
      </c>
      <c r="E34" s="25">
        <v>3877</v>
      </c>
      <c r="F34" s="25">
        <v>3474</v>
      </c>
      <c r="G34" s="25">
        <v>3584</v>
      </c>
      <c r="H34" s="25">
        <v>3502</v>
      </c>
      <c r="I34" s="25">
        <v>3477</v>
      </c>
      <c r="J34" s="25">
        <v>3310</v>
      </c>
      <c r="K34" s="27">
        <v>3490</v>
      </c>
      <c r="L34" s="596">
        <v>3489</v>
      </c>
      <c r="M34" s="11">
        <v>3958</v>
      </c>
      <c r="N34" s="11">
        <v>4171</v>
      </c>
      <c r="O34" s="11">
        <v>4218</v>
      </c>
      <c r="P34" s="11">
        <v>4064</v>
      </c>
      <c r="Q34" s="11">
        <v>4196</v>
      </c>
      <c r="R34" s="11">
        <v>4482</v>
      </c>
      <c r="S34" s="11">
        <v>4460</v>
      </c>
      <c r="T34" s="11">
        <v>4222</v>
      </c>
      <c r="U34" s="11">
        <v>4402</v>
      </c>
      <c r="V34" s="596">
        <v>3819</v>
      </c>
      <c r="W34" s="11">
        <v>3651</v>
      </c>
      <c r="X34" s="11">
        <v>2955</v>
      </c>
      <c r="Y34" s="11">
        <v>2820</v>
      </c>
      <c r="Z34" s="11">
        <v>2941</v>
      </c>
      <c r="AA34" s="11">
        <v>2982</v>
      </c>
      <c r="AB34" s="11">
        <v>2890</v>
      </c>
      <c r="AC34" s="11">
        <v>2937</v>
      </c>
      <c r="AD34" s="11">
        <v>3301</v>
      </c>
      <c r="AE34" s="11">
        <v>3997</v>
      </c>
      <c r="AF34" s="596">
        <v>3873</v>
      </c>
      <c r="AG34" s="11">
        <v>4146</v>
      </c>
      <c r="AH34" s="11">
        <v>4257</v>
      </c>
      <c r="AI34" s="11">
        <v>4367</v>
      </c>
      <c r="AJ34" s="11">
        <v>4258</v>
      </c>
      <c r="AK34" s="11">
        <v>4089</v>
      </c>
      <c r="AL34" s="11">
        <v>3893</v>
      </c>
      <c r="AM34" s="63">
        <v>3925</v>
      </c>
      <c r="AN34" s="63">
        <v>3873</v>
      </c>
      <c r="AO34" s="63">
        <v>4088</v>
      </c>
      <c r="AP34" s="696">
        <f>4219+118</f>
        <v>4337</v>
      </c>
      <c r="AQ34" s="63">
        <f>4551+97</f>
        <v>4648</v>
      </c>
      <c r="AR34" s="49">
        <f>4354+85</f>
        <v>4439</v>
      </c>
      <c r="AS34" s="63">
        <v>4802</v>
      </c>
      <c r="AT34" s="63">
        <v>4625</v>
      </c>
      <c r="AU34" s="63">
        <v>4752</v>
      </c>
      <c r="AV34" s="147">
        <v>4884</v>
      </c>
      <c r="AW34" s="227">
        <f>4743+56</f>
        <v>4799</v>
      </c>
      <c r="AX34" s="228">
        <v>4869</v>
      </c>
      <c r="AY34" s="228">
        <v>5006</v>
      </c>
      <c r="AZ34" s="228">
        <v>5103</v>
      </c>
      <c r="BA34" s="305">
        <v>5091</v>
      </c>
      <c r="BB34" s="305">
        <v>4829</v>
      </c>
      <c r="BC34" s="305">
        <v>4710</v>
      </c>
      <c r="BD34" s="305">
        <f>4658+51</f>
        <v>4709</v>
      </c>
      <c r="BE34" s="305">
        <f>4821+52</f>
        <v>4873</v>
      </c>
      <c r="BF34" s="305">
        <f>5042+52</f>
        <v>5094</v>
      </c>
      <c r="BG34" s="305">
        <f>5081+60</f>
        <v>5141</v>
      </c>
      <c r="BH34" s="305">
        <f>4986+52</f>
        <v>5038</v>
      </c>
      <c r="BI34" s="305">
        <f>5012+57</f>
        <v>5069</v>
      </c>
      <c r="BJ34" s="410">
        <f>(BH34-BG34)/BG34</f>
        <v>-2.0035012643454579E-2</v>
      </c>
      <c r="BK34" s="410">
        <f>(BI34-BH34)/BH34</f>
        <v>6.1532354108773321E-3</v>
      </c>
      <c r="BL34" s="564">
        <f t="shared" si="7"/>
        <v>-103</v>
      </c>
      <c r="BM34" s="564">
        <f t="shared" si="8"/>
        <v>31</v>
      </c>
      <c r="BP34" s="515"/>
      <c r="BQ34" s="320"/>
      <c r="BR34" s="320"/>
    </row>
    <row r="35" spans="1:70" ht="11.25" customHeight="1">
      <c r="A35" s="118" t="s">
        <v>31</v>
      </c>
      <c r="B35" s="970">
        <f t="shared" ref="B35:K35" si="9">SUM(B32:B34)</f>
        <v>3835</v>
      </c>
      <c r="C35" s="86">
        <f t="shared" si="9"/>
        <v>3784</v>
      </c>
      <c r="D35" s="86">
        <f t="shared" si="9"/>
        <v>3845</v>
      </c>
      <c r="E35" s="86">
        <f t="shared" si="9"/>
        <v>3877</v>
      </c>
      <c r="F35" s="86">
        <f t="shared" si="9"/>
        <v>3474</v>
      </c>
      <c r="G35" s="86">
        <f t="shared" si="9"/>
        <v>3584</v>
      </c>
      <c r="H35" s="86">
        <f t="shared" si="9"/>
        <v>3502</v>
      </c>
      <c r="I35" s="86">
        <f t="shared" si="9"/>
        <v>3477</v>
      </c>
      <c r="J35" s="86">
        <f t="shared" si="9"/>
        <v>3391</v>
      </c>
      <c r="K35" s="86">
        <f t="shared" si="9"/>
        <v>3597</v>
      </c>
      <c r="L35" s="970">
        <f>SUM(L32:L34)</f>
        <v>3614</v>
      </c>
      <c r="M35" s="86">
        <f t="shared" ref="M35:AV35" si="10">SUM(M32:M34)</f>
        <v>4182</v>
      </c>
      <c r="N35" s="86">
        <f t="shared" si="10"/>
        <v>4498</v>
      </c>
      <c r="O35" s="86">
        <f t="shared" si="10"/>
        <v>4585</v>
      </c>
      <c r="P35" s="86">
        <f t="shared" si="10"/>
        <v>4348</v>
      </c>
      <c r="Q35" s="86">
        <f t="shared" si="10"/>
        <v>4564</v>
      </c>
      <c r="R35" s="86">
        <f t="shared" si="10"/>
        <v>4733</v>
      </c>
      <c r="S35" s="86">
        <f t="shared" si="10"/>
        <v>4697</v>
      </c>
      <c r="T35" s="86">
        <f t="shared" si="10"/>
        <v>4450</v>
      </c>
      <c r="U35" s="86">
        <f t="shared" si="10"/>
        <v>4682</v>
      </c>
      <c r="V35" s="970">
        <f t="shared" si="10"/>
        <v>4074</v>
      </c>
      <c r="W35" s="86">
        <f t="shared" si="10"/>
        <v>3884</v>
      </c>
      <c r="X35" s="86">
        <f t="shared" si="10"/>
        <v>3188</v>
      </c>
      <c r="Y35" s="86">
        <f t="shared" si="10"/>
        <v>3037</v>
      </c>
      <c r="Z35" s="86">
        <f t="shared" si="10"/>
        <v>3135</v>
      </c>
      <c r="AA35" s="86">
        <f t="shared" si="10"/>
        <v>3204</v>
      </c>
      <c r="AB35" s="86">
        <f t="shared" si="10"/>
        <v>3126</v>
      </c>
      <c r="AC35" s="86">
        <f t="shared" si="10"/>
        <v>3191</v>
      </c>
      <c r="AD35" s="86">
        <f t="shared" si="10"/>
        <v>3576</v>
      </c>
      <c r="AE35" s="86">
        <f t="shared" si="10"/>
        <v>4284</v>
      </c>
      <c r="AF35" s="970">
        <f t="shared" si="10"/>
        <v>4167</v>
      </c>
      <c r="AG35" s="86">
        <f t="shared" si="10"/>
        <v>4465</v>
      </c>
      <c r="AH35" s="86">
        <f t="shared" si="10"/>
        <v>4613</v>
      </c>
      <c r="AI35" s="86">
        <f t="shared" si="10"/>
        <v>4728</v>
      </c>
      <c r="AJ35" s="86">
        <f t="shared" si="10"/>
        <v>4783</v>
      </c>
      <c r="AK35" s="86">
        <f t="shared" si="10"/>
        <v>4597</v>
      </c>
      <c r="AL35" s="86">
        <f t="shared" si="10"/>
        <v>4415</v>
      </c>
      <c r="AM35" s="86">
        <f t="shared" si="10"/>
        <v>4458</v>
      </c>
      <c r="AN35" s="86">
        <f t="shared" si="10"/>
        <v>4493</v>
      </c>
      <c r="AO35" s="86">
        <f t="shared" si="10"/>
        <v>4687</v>
      </c>
      <c r="AP35" s="970">
        <f t="shared" si="10"/>
        <v>4950</v>
      </c>
      <c r="AQ35" s="86">
        <f t="shared" si="10"/>
        <v>5243</v>
      </c>
      <c r="AR35" s="86">
        <f t="shared" si="10"/>
        <v>5007</v>
      </c>
      <c r="AS35" s="86">
        <f t="shared" si="10"/>
        <v>5372</v>
      </c>
      <c r="AT35" s="86">
        <f t="shared" si="10"/>
        <v>5238</v>
      </c>
      <c r="AU35" s="86">
        <f t="shared" si="10"/>
        <v>5491</v>
      </c>
      <c r="AV35" s="244">
        <f t="shared" si="10"/>
        <v>5691</v>
      </c>
      <c r="AW35" s="244">
        <f t="shared" ref="AW35:BB35" si="11">SUM(AW32:AW34)</f>
        <v>5656</v>
      </c>
      <c r="AX35" s="244">
        <f t="shared" si="11"/>
        <v>5867</v>
      </c>
      <c r="AY35" s="244">
        <f t="shared" si="11"/>
        <v>5981</v>
      </c>
      <c r="AZ35" s="141">
        <f t="shared" si="11"/>
        <v>6228</v>
      </c>
      <c r="BA35" s="383">
        <f t="shared" si="11"/>
        <v>6318</v>
      </c>
      <c r="BB35" s="383">
        <f t="shared" si="11"/>
        <v>6164</v>
      </c>
      <c r="BC35" s="383">
        <f t="shared" ref="BC35:BI35" si="12">SUM(BC32:BC34)</f>
        <v>6072</v>
      </c>
      <c r="BD35" s="384">
        <f t="shared" si="12"/>
        <v>5965</v>
      </c>
      <c r="BE35" s="384">
        <f t="shared" si="12"/>
        <v>6229</v>
      </c>
      <c r="BF35" s="384">
        <f t="shared" si="12"/>
        <v>6437</v>
      </c>
      <c r="BG35" s="384">
        <f t="shared" si="12"/>
        <v>6613</v>
      </c>
      <c r="BH35" s="384">
        <f t="shared" si="12"/>
        <v>6549</v>
      </c>
      <c r="BI35" s="384">
        <f t="shared" si="12"/>
        <v>6606</v>
      </c>
      <c r="BJ35" s="872">
        <f>(BH35-BG35)/BG35</f>
        <v>-9.6779071525782551E-3</v>
      </c>
      <c r="BK35" s="872">
        <f>(BI35-BH35)/BH35</f>
        <v>8.703618873110398E-3</v>
      </c>
      <c r="BL35" s="567">
        <f>BH35-BG35</f>
        <v>-64</v>
      </c>
      <c r="BM35" s="567">
        <f>BI35-BH35</f>
        <v>57</v>
      </c>
      <c r="BP35" s="515"/>
      <c r="BQ35" s="320"/>
      <c r="BR35" s="320"/>
    </row>
    <row r="36" spans="1:70" ht="6" customHeight="1">
      <c r="A36" s="115"/>
      <c r="L36" s="596"/>
      <c r="M36" s="11"/>
      <c r="N36" s="11"/>
      <c r="O36" s="11"/>
      <c r="P36" s="11"/>
      <c r="Q36" s="11"/>
      <c r="R36" s="11"/>
      <c r="S36" s="11"/>
      <c r="T36" s="11"/>
      <c r="U36" s="11"/>
      <c r="V36" s="596"/>
      <c r="W36" s="11"/>
      <c r="X36" s="11"/>
      <c r="Y36" s="11"/>
      <c r="Z36" s="11"/>
      <c r="AA36" s="11"/>
      <c r="AB36" s="11"/>
      <c r="AC36" s="11"/>
      <c r="AD36" s="11"/>
      <c r="AE36" s="11"/>
      <c r="AF36" s="596"/>
      <c r="AG36" s="11"/>
      <c r="AH36" s="11"/>
      <c r="AI36" s="11"/>
      <c r="AJ36" s="11"/>
      <c r="AK36" s="11"/>
      <c r="AL36" s="11"/>
      <c r="AM36" s="63"/>
      <c r="AN36" s="63"/>
      <c r="AO36" s="63"/>
      <c r="AP36" s="696"/>
      <c r="AQ36" s="63"/>
      <c r="AV36" s="42"/>
      <c r="AW36" s="238"/>
      <c r="AX36" s="228"/>
      <c r="AY36" s="228"/>
      <c r="AZ36" s="300"/>
      <c r="BA36" s="305"/>
      <c r="BB36" s="305"/>
      <c r="BC36" s="305"/>
      <c r="BD36" s="300"/>
      <c r="BE36" s="300"/>
      <c r="BF36" s="300"/>
      <c r="BG36" s="300"/>
      <c r="BH36" s="300"/>
      <c r="BI36" s="300"/>
      <c r="BJ36" s="871"/>
      <c r="BK36" s="871"/>
      <c r="BL36" s="565"/>
      <c r="BM36" s="565"/>
      <c r="BP36" s="515"/>
      <c r="BQ36" s="320"/>
      <c r="BR36" s="320"/>
    </row>
    <row r="37" spans="1:70" ht="11.25" customHeight="1">
      <c r="A37" s="116" t="s">
        <v>73</v>
      </c>
      <c r="J37" s="112"/>
      <c r="K37" s="364"/>
      <c r="L37" s="429"/>
      <c r="M37" s="364"/>
      <c r="N37" s="364"/>
      <c r="O37" s="364"/>
      <c r="P37" s="364"/>
      <c r="Q37" s="364"/>
      <c r="R37" s="364"/>
      <c r="S37" s="364"/>
      <c r="T37" s="364"/>
      <c r="U37" s="364"/>
      <c r="V37" s="429"/>
      <c r="W37" s="364"/>
      <c r="X37" s="364"/>
      <c r="Y37" s="364"/>
      <c r="Z37" s="364"/>
      <c r="AA37" s="364"/>
      <c r="AB37" s="364"/>
      <c r="AC37" s="364"/>
      <c r="AD37" s="364"/>
      <c r="AE37" s="364"/>
      <c r="AF37" s="429"/>
      <c r="AG37" s="364"/>
      <c r="AH37" s="364"/>
      <c r="AI37" s="364"/>
      <c r="AJ37" s="364"/>
      <c r="AK37" s="364"/>
      <c r="AL37" s="364"/>
      <c r="AM37" s="364"/>
      <c r="AN37" s="364"/>
      <c r="AO37" s="364"/>
      <c r="AP37" s="429"/>
      <c r="AQ37" s="364"/>
      <c r="AR37" s="364"/>
      <c r="AS37" s="364"/>
      <c r="AT37" s="364"/>
      <c r="AU37" s="364"/>
      <c r="AV37" s="364"/>
      <c r="AW37" s="364"/>
      <c r="AX37" s="364"/>
      <c r="AY37" s="364"/>
      <c r="AZ37" s="364"/>
      <c r="BA37" s="364"/>
      <c r="BB37" s="364"/>
      <c r="BC37" s="364"/>
      <c r="BD37" s="364"/>
      <c r="BE37" s="364"/>
      <c r="BF37" s="429"/>
      <c r="BG37" s="429"/>
      <c r="BH37" s="429"/>
      <c r="BI37" s="429"/>
      <c r="BJ37" s="871"/>
      <c r="BK37" s="871"/>
      <c r="BL37" s="565"/>
      <c r="BM37" s="565"/>
      <c r="BP37" s="515"/>
      <c r="BQ37" s="320"/>
      <c r="BR37" s="320"/>
    </row>
    <row r="38" spans="1:70" ht="11.25" customHeight="1">
      <c r="A38" s="119" t="s">
        <v>90</v>
      </c>
      <c r="B38" s="225" t="s">
        <v>3</v>
      </c>
      <c r="C38" s="93" t="s">
        <v>3</v>
      </c>
      <c r="D38" s="93" t="s">
        <v>3</v>
      </c>
      <c r="E38" s="93" t="s">
        <v>3</v>
      </c>
      <c r="F38" s="93" t="s">
        <v>3</v>
      </c>
      <c r="G38" s="93" t="s">
        <v>3</v>
      </c>
      <c r="H38" s="93" t="s">
        <v>3</v>
      </c>
      <c r="I38" s="93" t="s">
        <v>3</v>
      </c>
      <c r="J38" s="93" t="s">
        <v>3</v>
      </c>
      <c r="K38" s="93" t="s">
        <v>3</v>
      </c>
      <c r="L38" s="225" t="s">
        <v>3</v>
      </c>
      <c r="M38" s="93" t="s">
        <v>3</v>
      </c>
      <c r="N38" s="93" t="s">
        <v>3</v>
      </c>
      <c r="O38" s="93" t="s">
        <v>3</v>
      </c>
      <c r="P38" s="93" t="s">
        <v>3</v>
      </c>
      <c r="Q38" s="93" t="s">
        <v>3</v>
      </c>
      <c r="R38" s="93" t="s">
        <v>3</v>
      </c>
      <c r="S38" s="93" t="s">
        <v>3</v>
      </c>
      <c r="T38" s="93" t="s">
        <v>3</v>
      </c>
      <c r="U38" s="93" t="s">
        <v>3</v>
      </c>
      <c r="V38" s="225" t="s">
        <v>3</v>
      </c>
      <c r="W38" s="93" t="s">
        <v>3</v>
      </c>
      <c r="X38" s="93" t="s">
        <v>3</v>
      </c>
      <c r="Y38" s="93" t="s">
        <v>3</v>
      </c>
      <c r="Z38" s="93" t="s">
        <v>3</v>
      </c>
      <c r="AA38" s="93" t="s">
        <v>3</v>
      </c>
      <c r="AB38" s="93" t="s">
        <v>3</v>
      </c>
      <c r="AC38" s="93" t="s">
        <v>3</v>
      </c>
      <c r="AD38" s="93" t="s">
        <v>3</v>
      </c>
      <c r="AE38" s="93" t="s">
        <v>3</v>
      </c>
      <c r="AF38" s="225" t="s">
        <v>3</v>
      </c>
      <c r="AG38" s="93" t="s">
        <v>3</v>
      </c>
      <c r="AH38" s="93" t="s">
        <v>3</v>
      </c>
      <c r="AI38" s="93" t="s">
        <v>3</v>
      </c>
      <c r="AJ38" s="93" t="s">
        <v>3</v>
      </c>
      <c r="AK38" s="93" t="s">
        <v>3</v>
      </c>
      <c r="AL38" s="93" t="s">
        <v>3</v>
      </c>
      <c r="AM38" s="93" t="s">
        <v>3</v>
      </c>
      <c r="AN38" s="93" t="s">
        <v>3</v>
      </c>
      <c r="AO38" s="93" t="s">
        <v>3</v>
      </c>
      <c r="AP38" s="225" t="s">
        <v>3</v>
      </c>
      <c r="AQ38" s="93" t="s">
        <v>3</v>
      </c>
      <c r="AR38" s="49">
        <f>543+16</f>
        <v>559</v>
      </c>
      <c r="AS38" s="63">
        <f>544+15</f>
        <v>559</v>
      </c>
      <c r="AT38" s="63">
        <v>505</v>
      </c>
      <c r="AU38" s="63">
        <v>523</v>
      </c>
      <c r="AV38" s="147">
        <v>534</v>
      </c>
      <c r="AW38" s="227">
        <v>533</v>
      </c>
      <c r="AX38" s="228">
        <v>520</v>
      </c>
      <c r="AY38" s="228">
        <v>519</v>
      </c>
      <c r="AZ38" s="228">
        <v>512</v>
      </c>
      <c r="BA38" s="305">
        <v>492</v>
      </c>
      <c r="BB38" s="305">
        <f>471+10</f>
        <v>481</v>
      </c>
      <c r="BC38" s="305">
        <f>466+10</f>
        <v>476</v>
      </c>
      <c r="BD38" s="305">
        <f>460+10</f>
        <v>470</v>
      </c>
      <c r="BE38" s="305">
        <f>456+10</f>
        <v>466</v>
      </c>
      <c r="BF38" s="305">
        <f>470+10</f>
        <v>480</v>
      </c>
      <c r="BG38" s="305">
        <v>488</v>
      </c>
      <c r="BH38" s="305">
        <v>517</v>
      </c>
      <c r="BI38" s="305">
        <v>502</v>
      </c>
      <c r="BJ38" s="410">
        <f>(BH38-BG38)/BG38</f>
        <v>5.9426229508196718E-2</v>
      </c>
      <c r="BK38" s="410">
        <f>(BI38-BH38)/BH38</f>
        <v>-2.9013539651837523E-2</v>
      </c>
      <c r="BL38" s="564">
        <f t="shared" ref="BL38:BL44" si="13">(BH38-BG38)</f>
        <v>29</v>
      </c>
      <c r="BM38" s="564">
        <f t="shared" ref="BM38:BM44" si="14">(BI38-BH38)</f>
        <v>-15</v>
      </c>
      <c r="BP38" s="515"/>
      <c r="BQ38" s="320"/>
      <c r="BR38" s="320"/>
    </row>
    <row r="39" spans="1:70" ht="11.25" customHeight="1">
      <c r="A39" s="154"/>
      <c r="L39" s="225"/>
      <c r="M39" s="93"/>
      <c r="N39" s="93"/>
      <c r="O39" s="93"/>
      <c r="P39" s="93"/>
      <c r="Q39" s="93"/>
      <c r="R39" s="93"/>
      <c r="S39" s="93"/>
      <c r="T39" s="93"/>
      <c r="U39" s="93"/>
      <c r="V39" s="225"/>
      <c r="W39" s="93"/>
      <c r="X39" s="93"/>
      <c r="Y39" s="93"/>
      <c r="Z39" s="93"/>
      <c r="AA39" s="93"/>
      <c r="AB39" s="93"/>
      <c r="AC39" s="93"/>
      <c r="AD39" s="93"/>
      <c r="AE39" s="93"/>
      <c r="AF39" s="225"/>
      <c r="AG39" s="93"/>
      <c r="AH39" s="93"/>
      <c r="AI39" s="93"/>
      <c r="AJ39" s="93"/>
      <c r="AK39" s="93"/>
      <c r="AL39" s="93"/>
      <c r="AM39" s="93"/>
      <c r="AN39" s="93"/>
      <c r="AO39" s="93"/>
      <c r="AP39" s="225"/>
      <c r="AQ39" s="93"/>
      <c r="AR39" s="49"/>
      <c r="AS39" s="63"/>
      <c r="AT39" s="63"/>
      <c r="AU39" s="63"/>
      <c r="AV39" s="147"/>
      <c r="AW39" s="238"/>
      <c r="AX39" s="228"/>
      <c r="AY39" s="228"/>
      <c r="AZ39" s="300"/>
      <c r="BA39" s="305"/>
      <c r="BB39" s="305"/>
      <c r="BC39" s="305"/>
      <c r="BD39" s="300"/>
      <c r="BE39" s="300"/>
      <c r="BF39" s="300"/>
      <c r="BG39" s="300"/>
      <c r="BH39" s="300"/>
      <c r="BI39" s="300"/>
      <c r="BJ39" s="871"/>
      <c r="BK39" s="871"/>
      <c r="BL39" s="564">
        <f t="shared" si="13"/>
        <v>0</v>
      </c>
      <c r="BM39" s="564">
        <f t="shared" si="14"/>
        <v>0</v>
      </c>
      <c r="BP39" s="515"/>
      <c r="BQ39" s="320"/>
      <c r="BR39" s="320"/>
    </row>
    <row r="40" spans="1:70" ht="11.25" customHeight="1">
      <c r="A40" s="288" t="s">
        <v>105</v>
      </c>
      <c r="B40" s="225" t="s">
        <v>3</v>
      </c>
      <c r="C40" s="93" t="s">
        <v>3</v>
      </c>
      <c r="D40" s="93" t="s">
        <v>3</v>
      </c>
      <c r="E40" s="93" t="s">
        <v>3</v>
      </c>
      <c r="F40" s="93" t="s">
        <v>3</v>
      </c>
      <c r="G40" s="93" t="s">
        <v>3</v>
      </c>
      <c r="H40" s="93" t="s">
        <v>3</v>
      </c>
      <c r="I40" s="93" t="s">
        <v>3</v>
      </c>
      <c r="J40" s="93" t="s">
        <v>3</v>
      </c>
      <c r="K40" s="93" t="s">
        <v>3</v>
      </c>
      <c r="L40" s="225" t="s">
        <v>3</v>
      </c>
      <c r="M40" s="93" t="s">
        <v>3</v>
      </c>
      <c r="N40" s="93" t="s">
        <v>3</v>
      </c>
      <c r="O40" s="93" t="s">
        <v>3</v>
      </c>
      <c r="P40" s="93" t="s">
        <v>3</v>
      </c>
      <c r="Q40" s="93" t="s">
        <v>3</v>
      </c>
      <c r="R40" s="93" t="s">
        <v>3</v>
      </c>
      <c r="S40" s="93" t="s">
        <v>3</v>
      </c>
      <c r="T40" s="93" t="s">
        <v>3</v>
      </c>
      <c r="U40" s="93" t="s">
        <v>3</v>
      </c>
      <c r="V40" s="225" t="s">
        <v>3</v>
      </c>
      <c r="W40" s="93" t="s">
        <v>3</v>
      </c>
      <c r="X40" s="93" t="s">
        <v>3</v>
      </c>
      <c r="Y40" s="93" t="s">
        <v>3</v>
      </c>
      <c r="Z40" s="93" t="s">
        <v>3</v>
      </c>
      <c r="AA40" s="93" t="s">
        <v>3</v>
      </c>
      <c r="AB40" s="93" t="s">
        <v>3</v>
      </c>
      <c r="AC40" s="93" t="s">
        <v>3</v>
      </c>
      <c r="AD40" s="93" t="s">
        <v>3</v>
      </c>
      <c r="AE40" s="93" t="s">
        <v>3</v>
      </c>
      <c r="AF40" s="225">
        <v>13</v>
      </c>
      <c r="AG40" s="93">
        <v>440</v>
      </c>
      <c r="AH40" s="93">
        <v>65</v>
      </c>
      <c r="AI40" s="93">
        <v>87</v>
      </c>
      <c r="AJ40" s="93">
        <v>91</v>
      </c>
      <c r="AK40" s="93">
        <v>105</v>
      </c>
      <c r="AL40" s="93">
        <v>104</v>
      </c>
      <c r="AM40" s="93">
        <v>105</v>
      </c>
      <c r="AN40" s="93">
        <v>99</v>
      </c>
      <c r="AO40" s="93">
        <v>94</v>
      </c>
      <c r="AP40" s="225">
        <v>94</v>
      </c>
      <c r="AQ40" s="93">
        <v>93</v>
      </c>
      <c r="AR40" s="49">
        <v>95</v>
      </c>
      <c r="AS40" s="63">
        <v>95</v>
      </c>
      <c r="AT40" s="63">
        <v>97</v>
      </c>
      <c r="AU40" s="63">
        <v>91</v>
      </c>
      <c r="AV40" s="147">
        <v>86</v>
      </c>
      <c r="AW40" s="238">
        <v>91</v>
      </c>
      <c r="AX40" s="228">
        <v>91</v>
      </c>
      <c r="AY40" s="228">
        <v>99</v>
      </c>
      <c r="AZ40" s="228">
        <v>103</v>
      </c>
      <c r="BA40" s="305">
        <v>109</v>
      </c>
      <c r="BB40" s="305">
        <v>109</v>
      </c>
      <c r="BC40" s="305">
        <v>113</v>
      </c>
      <c r="BD40" s="305">
        <v>107</v>
      </c>
      <c r="BE40" s="305">
        <v>106</v>
      </c>
      <c r="BF40" s="305">
        <v>107</v>
      </c>
      <c r="BG40" s="305">
        <v>115</v>
      </c>
      <c r="BH40" s="305">
        <v>117</v>
      </c>
      <c r="BI40" s="305">
        <v>117</v>
      </c>
      <c r="BJ40" s="410">
        <f>(BH40-BG40)/BG40</f>
        <v>1.7391304347826087E-2</v>
      </c>
      <c r="BK40" s="410">
        <f>(BI40-BH40)/BH40</f>
        <v>0</v>
      </c>
      <c r="BL40" s="564">
        <f t="shared" si="13"/>
        <v>2</v>
      </c>
      <c r="BM40" s="564">
        <f t="shared" si="14"/>
        <v>0</v>
      </c>
      <c r="BP40" s="515"/>
      <c r="BQ40" s="320"/>
      <c r="BR40" s="320"/>
    </row>
    <row r="41" spans="1:70" ht="11.25" customHeight="1">
      <c r="A41" s="154"/>
      <c r="L41" s="225"/>
      <c r="M41" s="93"/>
      <c r="N41" s="93"/>
      <c r="O41" s="93"/>
      <c r="P41" s="93"/>
      <c r="Q41" s="93"/>
      <c r="R41" s="93"/>
      <c r="S41" s="93"/>
      <c r="T41" s="93"/>
      <c r="U41" s="93"/>
      <c r="V41" s="225"/>
      <c r="W41" s="93"/>
      <c r="X41" s="93"/>
      <c r="Y41" s="93"/>
      <c r="Z41" s="93"/>
      <c r="AA41" s="93"/>
      <c r="AB41" s="93"/>
      <c r="AC41" s="93"/>
      <c r="AD41" s="93"/>
      <c r="AE41" s="93"/>
      <c r="AF41" s="225"/>
      <c r="AG41" s="93"/>
      <c r="AH41" s="93"/>
      <c r="AI41" s="93"/>
      <c r="AJ41" s="93"/>
      <c r="AK41" s="93"/>
      <c r="AL41" s="93"/>
      <c r="AM41" s="93"/>
      <c r="AN41" s="93"/>
      <c r="AO41" s="93"/>
      <c r="AP41" s="225"/>
      <c r="AQ41" s="93"/>
      <c r="AR41" s="49"/>
      <c r="AS41" s="63"/>
      <c r="AT41" s="63"/>
      <c r="AU41" s="63"/>
      <c r="AV41" s="147"/>
      <c r="AW41" s="238"/>
      <c r="AX41" s="228"/>
      <c r="AY41" s="228"/>
      <c r="AZ41" s="300"/>
      <c r="BA41" s="305"/>
      <c r="BB41" s="305"/>
      <c r="BC41" s="305"/>
      <c r="BD41" s="300"/>
      <c r="BE41" s="300"/>
      <c r="BF41" s="300"/>
      <c r="BG41" s="300"/>
      <c r="BH41" s="300"/>
      <c r="BI41" s="300"/>
      <c r="BJ41" s="871"/>
      <c r="BK41" s="871"/>
      <c r="BL41" s="564">
        <f t="shared" si="13"/>
        <v>0</v>
      </c>
      <c r="BM41" s="564">
        <f t="shared" si="14"/>
        <v>0</v>
      </c>
      <c r="BP41" s="515"/>
      <c r="BQ41" s="320"/>
      <c r="BR41" s="320"/>
    </row>
    <row r="42" spans="1:70" ht="11.25" customHeight="1">
      <c r="A42" s="119" t="s">
        <v>91</v>
      </c>
      <c r="B42" s="971" t="s">
        <v>3</v>
      </c>
      <c r="C42" s="77" t="s">
        <v>3</v>
      </c>
      <c r="D42" s="77" t="s">
        <v>3</v>
      </c>
      <c r="E42" s="77" t="s">
        <v>3</v>
      </c>
      <c r="F42" s="77" t="s">
        <v>3</v>
      </c>
      <c r="G42" s="77" t="s">
        <v>3</v>
      </c>
      <c r="H42" s="77" t="s">
        <v>3</v>
      </c>
      <c r="I42" s="77" t="s">
        <v>3</v>
      </c>
      <c r="J42" s="77" t="s">
        <v>3</v>
      </c>
      <c r="K42" s="77" t="s">
        <v>3</v>
      </c>
      <c r="L42" s="971" t="s">
        <v>3</v>
      </c>
      <c r="M42" s="77" t="s">
        <v>3</v>
      </c>
      <c r="N42" s="77" t="s">
        <v>3</v>
      </c>
      <c r="O42" s="77" t="s">
        <v>3</v>
      </c>
      <c r="P42" s="77" t="s">
        <v>3</v>
      </c>
      <c r="Q42" s="77" t="s">
        <v>3</v>
      </c>
      <c r="R42" s="77" t="s">
        <v>3</v>
      </c>
      <c r="S42" s="77" t="s">
        <v>3</v>
      </c>
      <c r="T42" s="77" t="s">
        <v>3</v>
      </c>
      <c r="U42" s="77" t="s">
        <v>3</v>
      </c>
      <c r="V42" s="971" t="s">
        <v>3</v>
      </c>
      <c r="W42" s="77" t="s">
        <v>3</v>
      </c>
      <c r="X42" s="77" t="s">
        <v>3</v>
      </c>
      <c r="Y42" s="77" t="s">
        <v>3</v>
      </c>
      <c r="Z42" s="77" t="s">
        <v>3</v>
      </c>
      <c r="AA42" s="77" t="s">
        <v>3</v>
      </c>
      <c r="AB42" s="77" t="s">
        <v>3</v>
      </c>
      <c r="AC42" s="77" t="s">
        <v>3</v>
      </c>
      <c r="AD42" s="77" t="s">
        <v>3</v>
      </c>
      <c r="AE42" s="77" t="s">
        <v>3</v>
      </c>
      <c r="AF42" s="971" t="s">
        <v>3</v>
      </c>
      <c r="AG42" s="77" t="s">
        <v>3</v>
      </c>
      <c r="AH42" s="77" t="s">
        <v>3</v>
      </c>
      <c r="AI42" s="77" t="s">
        <v>3</v>
      </c>
      <c r="AJ42" s="77" t="s">
        <v>3</v>
      </c>
      <c r="AK42" s="11">
        <v>2</v>
      </c>
      <c r="AL42" s="17" t="s">
        <v>3</v>
      </c>
      <c r="AM42" s="17" t="s">
        <v>3</v>
      </c>
      <c r="AN42" s="17">
        <v>7</v>
      </c>
      <c r="AO42" s="17">
        <v>25</v>
      </c>
      <c r="AP42" s="695">
        <v>26</v>
      </c>
      <c r="AQ42" s="17">
        <v>33</v>
      </c>
      <c r="AR42" s="129">
        <v>30</v>
      </c>
      <c r="AS42" s="17">
        <v>37</v>
      </c>
      <c r="AT42" s="17">
        <v>37</v>
      </c>
      <c r="AU42" s="17">
        <v>37</v>
      </c>
      <c r="AV42" s="147">
        <v>40</v>
      </c>
      <c r="AW42" s="227">
        <v>39</v>
      </c>
      <c r="AX42" s="228">
        <v>38</v>
      </c>
      <c r="AY42" s="228">
        <v>37</v>
      </c>
      <c r="AZ42" s="228">
        <v>39</v>
      </c>
      <c r="BA42" s="305">
        <v>45</v>
      </c>
      <c r="BB42" s="305">
        <v>43</v>
      </c>
      <c r="BC42" s="305">
        <v>41</v>
      </c>
      <c r="BD42" s="305">
        <v>36</v>
      </c>
      <c r="BE42" s="305">
        <v>40</v>
      </c>
      <c r="BF42" s="305">
        <v>41</v>
      </c>
      <c r="BG42" s="305">
        <v>43</v>
      </c>
      <c r="BH42" s="305">
        <v>46</v>
      </c>
      <c r="BI42" s="305">
        <v>50</v>
      </c>
      <c r="BJ42" s="410">
        <f>(BH42-BG42)/BG42</f>
        <v>6.9767441860465115E-2</v>
      </c>
      <c r="BK42" s="410">
        <f>(BI42-BH42)/BH42</f>
        <v>8.6956521739130432E-2</v>
      </c>
      <c r="BL42" s="564">
        <f t="shared" si="13"/>
        <v>3</v>
      </c>
      <c r="BM42" s="564">
        <f t="shared" si="14"/>
        <v>4</v>
      </c>
      <c r="BP42" s="515"/>
      <c r="BQ42" s="320"/>
      <c r="BR42" s="320"/>
    </row>
    <row r="43" spans="1:70" ht="6" customHeight="1">
      <c r="A43" s="115"/>
      <c r="L43" s="695"/>
      <c r="M43" s="17"/>
      <c r="N43" s="17"/>
      <c r="O43" s="17"/>
      <c r="P43" s="17"/>
      <c r="Q43" s="17"/>
      <c r="R43" s="11"/>
      <c r="S43" s="11"/>
      <c r="T43" s="11"/>
      <c r="U43" s="11"/>
      <c r="V43" s="596"/>
      <c r="W43" s="11"/>
      <c r="X43" s="11"/>
      <c r="Y43" s="11"/>
      <c r="Z43" s="11"/>
      <c r="AA43" s="11"/>
      <c r="AB43" s="11"/>
      <c r="AC43" s="11"/>
      <c r="AD43" s="11"/>
      <c r="AE43" s="11"/>
      <c r="AF43" s="596"/>
      <c r="AG43" s="11"/>
      <c r="AH43" s="11"/>
      <c r="AI43" s="11"/>
      <c r="AJ43" s="11"/>
      <c r="AK43" s="11"/>
      <c r="AM43" s="63"/>
      <c r="AN43" s="63"/>
      <c r="AO43" s="63"/>
      <c r="AP43" s="696"/>
      <c r="AQ43" s="63"/>
      <c r="AR43" s="49"/>
      <c r="AS43" s="63"/>
      <c r="AT43" s="63"/>
      <c r="AU43" s="63"/>
      <c r="AV43" s="147"/>
      <c r="AW43" s="238"/>
      <c r="AX43" s="228"/>
      <c r="AY43" s="228"/>
      <c r="AZ43" s="300"/>
      <c r="BA43" s="305"/>
      <c r="BB43" s="305"/>
      <c r="BC43" s="463"/>
      <c r="BD43" s="300"/>
      <c r="BE43" s="300"/>
      <c r="BF43" s="300"/>
      <c r="BG43" s="300"/>
      <c r="BH43" s="300"/>
      <c r="BI43" s="300"/>
      <c r="BJ43" s="871"/>
      <c r="BK43" s="871"/>
      <c r="BL43" s="564"/>
      <c r="BM43" s="564"/>
      <c r="BP43" s="515"/>
      <c r="BQ43" s="320"/>
      <c r="BR43" s="320"/>
    </row>
    <row r="44" spans="1:70" ht="11.25" customHeight="1">
      <c r="A44" s="115" t="s">
        <v>28</v>
      </c>
      <c r="B44" s="971" t="s">
        <v>3</v>
      </c>
      <c r="C44" s="77" t="s">
        <v>3</v>
      </c>
      <c r="D44" s="77" t="s">
        <v>3</v>
      </c>
      <c r="E44" s="77" t="s">
        <v>3</v>
      </c>
      <c r="F44" s="77" t="s">
        <v>3</v>
      </c>
      <c r="G44" s="77" t="s">
        <v>3</v>
      </c>
      <c r="H44" s="77" t="s">
        <v>3</v>
      </c>
      <c r="I44" s="77" t="s">
        <v>3</v>
      </c>
      <c r="J44" s="77" t="s">
        <v>3</v>
      </c>
      <c r="K44" s="77" t="s">
        <v>3</v>
      </c>
      <c r="L44" s="971" t="s">
        <v>3</v>
      </c>
      <c r="M44" s="77" t="s">
        <v>3</v>
      </c>
      <c r="N44" s="77" t="s">
        <v>3</v>
      </c>
      <c r="O44" s="77" t="s">
        <v>3</v>
      </c>
      <c r="P44" s="77" t="s">
        <v>3</v>
      </c>
      <c r="Q44" s="77" t="s">
        <v>3</v>
      </c>
      <c r="R44" s="77" t="s">
        <v>3</v>
      </c>
      <c r="S44" s="77" t="s">
        <v>3</v>
      </c>
      <c r="T44" s="23">
        <v>96</v>
      </c>
      <c r="U44" s="11">
        <v>86</v>
      </c>
      <c r="V44" s="596">
        <v>85</v>
      </c>
      <c r="W44" s="11">
        <v>81</v>
      </c>
      <c r="X44" s="11">
        <v>58</v>
      </c>
      <c r="Y44" s="11">
        <v>58</v>
      </c>
      <c r="Z44" s="23">
        <v>58</v>
      </c>
      <c r="AA44" s="11">
        <v>52</v>
      </c>
      <c r="AB44" s="11">
        <v>47</v>
      </c>
      <c r="AC44" s="11">
        <v>51</v>
      </c>
      <c r="AD44" s="11">
        <v>52</v>
      </c>
      <c r="AE44" s="11">
        <v>51</v>
      </c>
      <c r="AF44" s="596">
        <v>48</v>
      </c>
      <c r="AG44" s="11">
        <v>47</v>
      </c>
      <c r="AH44" s="11">
        <v>56</v>
      </c>
      <c r="AI44" s="11">
        <v>53</v>
      </c>
      <c r="AJ44" s="11">
        <v>53</v>
      </c>
      <c r="AK44" s="11">
        <v>55</v>
      </c>
      <c r="AL44" s="74">
        <v>52</v>
      </c>
      <c r="AM44" s="74">
        <v>50</v>
      </c>
      <c r="AN44" s="74">
        <v>47</v>
      </c>
      <c r="AO44" s="74">
        <v>45</v>
      </c>
      <c r="AP44" s="996">
        <v>43</v>
      </c>
      <c r="AQ44" s="74">
        <v>42</v>
      </c>
      <c r="AR44" s="95">
        <v>38</v>
      </c>
      <c r="AS44" s="74">
        <v>35</v>
      </c>
      <c r="AT44" s="74">
        <v>40</v>
      </c>
      <c r="AU44" s="74">
        <v>40</v>
      </c>
      <c r="AV44" s="229">
        <v>41</v>
      </c>
      <c r="AW44" s="230">
        <v>37</v>
      </c>
      <c r="AX44" s="228">
        <v>40</v>
      </c>
      <c r="AY44" s="228">
        <v>43</v>
      </c>
      <c r="AZ44" s="228">
        <v>48</v>
      </c>
      <c r="BA44" s="305">
        <v>69</v>
      </c>
      <c r="BB44" s="305">
        <v>69</v>
      </c>
      <c r="BC44" s="305">
        <v>74</v>
      </c>
      <c r="BD44" s="305">
        <v>74</v>
      </c>
      <c r="BE44" s="305">
        <v>75</v>
      </c>
      <c r="BF44" s="305">
        <v>79</v>
      </c>
      <c r="BG44" s="305">
        <v>70</v>
      </c>
      <c r="BH44" s="305">
        <v>76</v>
      </c>
      <c r="BI44" s="305">
        <v>73</v>
      </c>
      <c r="BJ44" s="410">
        <f>(BH44-BG44)/BG44</f>
        <v>8.5714285714285715E-2</v>
      </c>
      <c r="BK44" s="410">
        <f>(BI44-BH44)/BH44</f>
        <v>-3.9473684210526314E-2</v>
      </c>
      <c r="BL44" s="564">
        <f t="shared" si="13"/>
        <v>6</v>
      </c>
      <c r="BM44" s="564">
        <f t="shared" si="14"/>
        <v>-3</v>
      </c>
      <c r="BP44" s="515"/>
      <c r="BQ44" s="320"/>
      <c r="BR44" s="320"/>
    </row>
    <row r="45" spans="1:70" ht="14.25" customHeight="1" thickBot="1">
      <c r="A45" s="393" t="s">
        <v>37</v>
      </c>
      <c r="B45" s="338">
        <f t="shared" ref="B45:BH45" si="15">SUM(B44,B42,B40,B38,B35,B29,B23,B20,B12)</f>
        <v>11961</v>
      </c>
      <c r="C45" s="338">
        <f t="shared" si="15"/>
        <v>12535</v>
      </c>
      <c r="D45" s="338">
        <f t="shared" si="15"/>
        <v>13231</v>
      </c>
      <c r="E45" s="338">
        <f t="shared" si="15"/>
        <v>14239</v>
      </c>
      <c r="F45" s="338">
        <f t="shared" si="15"/>
        <v>14777</v>
      </c>
      <c r="G45" s="338">
        <f t="shared" si="15"/>
        <v>13884</v>
      </c>
      <c r="H45" s="338">
        <f t="shared" si="15"/>
        <v>15100</v>
      </c>
      <c r="I45" s="338">
        <f t="shared" si="15"/>
        <v>15279</v>
      </c>
      <c r="J45" s="338">
        <f t="shared" si="15"/>
        <v>14847</v>
      </c>
      <c r="K45" s="338">
        <f t="shared" si="15"/>
        <v>14531</v>
      </c>
      <c r="L45" s="338">
        <f t="shared" si="15"/>
        <v>14734</v>
      </c>
      <c r="M45" s="338">
        <f t="shared" si="15"/>
        <v>15367</v>
      </c>
      <c r="N45" s="338">
        <f t="shared" si="15"/>
        <v>25338</v>
      </c>
      <c r="O45" s="338">
        <f t="shared" si="15"/>
        <v>28951</v>
      </c>
      <c r="P45" s="338">
        <f t="shared" si="15"/>
        <v>28113</v>
      </c>
      <c r="Q45" s="338">
        <f t="shared" si="15"/>
        <v>27704</v>
      </c>
      <c r="R45" s="338">
        <f t="shared" si="15"/>
        <v>28542</v>
      </c>
      <c r="S45" s="338">
        <f t="shared" si="15"/>
        <v>34062</v>
      </c>
      <c r="T45" s="338">
        <f t="shared" si="15"/>
        <v>34431</v>
      </c>
      <c r="U45" s="338">
        <f t="shared" si="15"/>
        <v>38038</v>
      </c>
      <c r="V45" s="338">
        <f t="shared" si="15"/>
        <v>33201</v>
      </c>
      <c r="W45" s="338">
        <f t="shared" si="15"/>
        <v>31769</v>
      </c>
      <c r="X45" s="338">
        <f t="shared" si="15"/>
        <v>27216</v>
      </c>
      <c r="Y45" s="338">
        <f t="shared" si="15"/>
        <v>26407</v>
      </c>
      <c r="Z45" s="338">
        <f t="shared" si="15"/>
        <v>26427</v>
      </c>
      <c r="AA45" s="338">
        <f t="shared" si="15"/>
        <v>26549</v>
      </c>
      <c r="AB45" s="338">
        <f t="shared" si="15"/>
        <v>26139</v>
      </c>
      <c r="AC45" s="338">
        <f t="shared" si="15"/>
        <v>26201</v>
      </c>
      <c r="AD45" s="338">
        <f t="shared" si="15"/>
        <v>27174</v>
      </c>
      <c r="AE45" s="338">
        <f t="shared" si="15"/>
        <v>28198</v>
      </c>
      <c r="AF45" s="338">
        <f t="shared" si="15"/>
        <v>28743</v>
      </c>
      <c r="AG45" s="338">
        <f t="shared" si="15"/>
        <v>30228</v>
      </c>
      <c r="AH45" s="338">
        <f t="shared" si="15"/>
        <v>31019</v>
      </c>
      <c r="AI45" s="338">
        <f t="shared" si="15"/>
        <v>31573</v>
      </c>
      <c r="AJ45" s="338">
        <f t="shared" si="15"/>
        <v>32000</v>
      </c>
      <c r="AK45" s="338">
        <f t="shared" si="15"/>
        <v>31478</v>
      </c>
      <c r="AL45" s="338">
        <f t="shared" si="15"/>
        <v>31031</v>
      </c>
      <c r="AM45" s="338">
        <f t="shared" si="15"/>
        <v>31531</v>
      </c>
      <c r="AN45" s="338">
        <f t="shared" si="15"/>
        <v>31411</v>
      </c>
      <c r="AO45" s="338">
        <f t="shared" si="15"/>
        <v>31455</v>
      </c>
      <c r="AP45" s="338">
        <f t="shared" si="15"/>
        <v>31843</v>
      </c>
      <c r="AQ45" s="338">
        <f t="shared" si="15"/>
        <v>32849</v>
      </c>
      <c r="AR45" s="338">
        <f t="shared" si="15"/>
        <v>31219</v>
      </c>
      <c r="AS45" s="338">
        <f t="shared" si="15"/>
        <v>35174</v>
      </c>
      <c r="AT45" s="338">
        <f t="shared" si="15"/>
        <v>34213</v>
      </c>
      <c r="AU45" s="338">
        <f t="shared" si="15"/>
        <v>34526</v>
      </c>
      <c r="AV45" s="338">
        <f t="shared" si="15"/>
        <v>34651</v>
      </c>
      <c r="AW45" s="338">
        <f t="shared" si="15"/>
        <v>34480</v>
      </c>
      <c r="AX45" s="338">
        <f t="shared" si="15"/>
        <v>35437</v>
      </c>
      <c r="AY45" s="338">
        <f t="shared" si="15"/>
        <v>37041</v>
      </c>
      <c r="AZ45" s="338">
        <f t="shared" si="15"/>
        <v>38616</v>
      </c>
      <c r="BA45" s="338">
        <f t="shared" si="15"/>
        <v>39569</v>
      </c>
      <c r="BB45" s="338">
        <f t="shared" si="15"/>
        <v>38957</v>
      </c>
      <c r="BC45" s="338">
        <f t="shared" si="15"/>
        <v>38921</v>
      </c>
      <c r="BD45" s="338">
        <f t="shared" si="15"/>
        <v>39081</v>
      </c>
      <c r="BE45" s="338">
        <f t="shared" si="15"/>
        <v>40460</v>
      </c>
      <c r="BF45" s="338">
        <f t="shared" si="15"/>
        <v>42210</v>
      </c>
      <c r="BG45" s="338">
        <f t="shared" si="15"/>
        <v>43056</v>
      </c>
      <c r="BH45" s="338">
        <f t="shared" si="15"/>
        <v>43379</v>
      </c>
      <c r="BI45" s="338">
        <f>SUM(BI44,BI42,BI40,BI38,BI35,BI29,BI23,BI20,BI12)</f>
        <v>42196</v>
      </c>
      <c r="BJ45" s="875">
        <f>(BH45-BG45)/BG45</f>
        <v>7.501858045336306E-3</v>
      </c>
      <c r="BK45" s="875">
        <f>(BI45-BH45)/BH45</f>
        <v>-2.7271260287235758E-2</v>
      </c>
      <c r="BL45" s="569">
        <f>BH45-BG45</f>
        <v>323</v>
      </c>
      <c r="BM45" s="569">
        <f>BI45-BH45</f>
        <v>-1183</v>
      </c>
      <c r="BP45" s="515"/>
      <c r="BQ45" s="320"/>
      <c r="BR45" s="320"/>
    </row>
    <row r="46" spans="1:70" ht="11.25" customHeight="1">
      <c r="A46" s="118"/>
      <c r="L46" s="702"/>
      <c r="M46" s="103"/>
      <c r="N46" s="103"/>
      <c r="O46" s="103"/>
      <c r="P46" s="103"/>
      <c r="Q46" s="103"/>
      <c r="R46" s="103"/>
      <c r="S46" s="103"/>
      <c r="T46" s="103"/>
      <c r="U46" s="103"/>
      <c r="V46" s="702"/>
      <c r="W46" s="103"/>
      <c r="X46" s="103"/>
      <c r="Y46" s="103"/>
      <c r="Z46" s="103"/>
      <c r="AA46" s="103"/>
      <c r="AB46" s="103"/>
      <c r="AC46" s="103"/>
      <c r="AD46" s="103"/>
      <c r="AE46" s="103"/>
      <c r="AF46" s="702"/>
      <c r="AG46" s="103"/>
      <c r="AH46" s="103"/>
      <c r="AI46" s="103"/>
      <c r="AJ46" s="103"/>
      <c r="AK46" s="103"/>
      <c r="AL46" s="103"/>
      <c r="AM46" s="103"/>
      <c r="AN46" s="103"/>
      <c r="AO46" s="103"/>
      <c r="AP46" s="702"/>
      <c r="AQ46" s="103"/>
      <c r="AR46" s="103"/>
      <c r="AS46" s="103"/>
      <c r="AT46" s="103"/>
      <c r="AU46" s="103"/>
      <c r="AV46" s="54"/>
      <c r="AW46" s="238"/>
      <c r="AX46" s="228"/>
      <c r="AY46" s="228"/>
      <c r="AZ46" s="300"/>
      <c r="BA46" s="305"/>
      <c r="BB46" s="305"/>
      <c r="BC46" s="305"/>
      <c r="BD46" s="300"/>
      <c r="BE46" s="300"/>
      <c r="BF46" s="300"/>
      <c r="BG46" s="300"/>
      <c r="BH46" s="300"/>
      <c r="BI46" s="300"/>
      <c r="BJ46" s="874"/>
      <c r="BK46" s="874"/>
      <c r="BP46" s="515"/>
      <c r="BQ46" s="320"/>
      <c r="BR46" s="320"/>
    </row>
    <row r="47" spans="1:70" ht="11.25" customHeight="1">
      <c r="A47" s="159" t="s">
        <v>71</v>
      </c>
      <c r="B47" s="595"/>
      <c r="C47" s="364"/>
      <c r="D47" s="364"/>
      <c r="E47" s="364"/>
      <c r="F47" s="364"/>
      <c r="G47" s="364"/>
      <c r="H47" s="364"/>
      <c r="I47" s="364"/>
      <c r="J47" s="364"/>
      <c r="K47" s="364"/>
      <c r="L47" s="429"/>
      <c r="M47" s="364"/>
      <c r="N47" s="364"/>
      <c r="O47" s="364"/>
      <c r="P47" s="364"/>
      <c r="Q47" s="364"/>
      <c r="R47" s="364"/>
      <c r="S47" s="364"/>
      <c r="T47" s="364"/>
      <c r="U47" s="364"/>
      <c r="V47" s="429"/>
      <c r="W47" s="364"/>
      <c r="X47" s="364"/>
      <c r="Y47" s="364"/>
      <c r="Z47" s="364"/>
      <c r="AA47" s="364"/>
      <c r="AB47" s="364"/>
      <c r="AC47" s="364"/>
      <c r="AD47" s="364"/>
      <c r="AE47" s="364"/>
      <c r="AF47" s="429"/>
      <c r="AG47" s="364"/>
      <c r="AH47" s="364"/>
      <c r="AI47" s="364"/>
      <c r="AJ47" s="364"/>
      <c r="AK47" s="364"/>
      <c r="AL47" s="364"/>
      <c r="AM47" s="364"/>
      <c r="AN47" s="364"/>
      <c r="AO47" s="364"/>
      <c r="AP47" s="429"/>
      <c r="AQ47" s="364"/>
      <c r="AR47" s="364"/>
      <c r="AS47" s="364"/>
      <c r="AT47" s="364"/>
      <c r="AU47" s="364"/>
      <c r="AV47" s="364"/>
      <c r="AW47" s="364"/>
      <c r="AX47" s="364"/>
      <c r="AY47" s="364"/>
      <c r="AZ47" s="364"/>
      <c r="BA47" s="364"/>
      <c r="BB47" s="364"/>
      <c r="BC47" s="364"/>
      <c r="BD47" s="364"/>
      <c r="BE47" s="364"/>
      <c r="BF47" s="429"/>
      <c r="BG47" s="429"/>
      <c r="BH47" s="429"/>
      <c r="BI47" s="429"/>
      <c r="BJ47" s="874"/>
      <c r="BK47" s="874"/>
      <c r="BP47" s="515"/>
      <c r="BQ47" s="320"/>
      <c r="BR47" s="320"/>
    </row>
    <row r="48" spans="1:70" ht="11.25" customHeight="1">
      <c r="A48" s="118"/>
      <c r="B48" s="217"/>
      <c r="C48" s="152"/>
      <c r="D48" s="152"/>
      <c r="E48" s="152"/>
      <c r="F48" s="152"/>
      <c r="G48" s="152"/>
      <c r="H48" s="152"/>
      <c r="I48" s="152"/>
      <c r="J48" s="152"/>
      <c r="K48" s="152"/>
      <c r="L48" s="702"/>
      <c r="M48" s="103"/>
      <c r="N48" s="103"/>
      <c r="O48" s="103"/>
      <c r="P48" s="103"/>
      <c r="Q48" s="103"/>
      <c r="R48" s="103"/>
      <c r="S48" s="103"/>
      <c r="T48" s="103"/>
      <c r="U48" s="103"/>
      <c r="V48" s="702"/>
      <c r="W48" s="103"/>
      <c r="X48" s="103"/>
      <c r="Y48" s="103"/>
      <c r="Z48" s="103"/>
      <c r="AA48" s="103"/>
      <c r="AB48" s="103"/>
      <c r="AC48" s="103"/>
      <c r="AD48" s="103"/>
      <c r="AE48" s="103"/>
      <c r="AF48" s="702"/>
      <c r="AG48" s="103"/>
      <c r="AH48" s="103"/>
      <c r="AI48" s="103"/>
      <c r="AJ48" s="103"/>
      <c r="AK48" s="103"/>
      <c r="AL48" s="103"/>
      <c r="AM48" s="103"/>
      <c r="AN48" s="103"/>
      <c r="AO48" s="103"/>
      <c r="AP48" s="702"/>
      <c r="AQ48" s="103"/>
      <c r="AR48" s="103"/>
      <c r="AS48" s="103"/>
      <c r="AT48" s="103"/>
      <c r="AU48" s="103"/>
      <c r="AV48" s="54"/>
      <c r="AW48" s="238"/>
      <c r="AX48" s="228"/>
      <c r="AY48" s="228"/>
      <c r="AZ48" s="300"/>
      <c r="BA48" s="305"/>
      <c r="BB48" s="305"/>
      <c r="BC48" s="305"/>
      <c r="BD48" s="300"/>
      <c r="BE48" s="300"/>
      <c r="BF48" s="300"/>
      <c r="BG48" s="300"/>
      <c r="BH48" s="300"/>
      <c r="BI48" s="300"/>
      <c r="BJ48" s="874"/>
      <c r="BK48" s="874"/>
      <c r="BP48" s="515"/>
      <c r="BQ48" s="320"/>
      <c r="BR48" s="320"/>
    </row>
    <row r="49" spans="1:71" ht="11.25" customHeight="1">
      <c r="A49" s="122" t="s">
        <v>92</v>
      </c>
      <c r="B49" s="217"/>
      <c r="C49" s="152"/>
      <c r="D49" s="152"/>
      <c r="E49" s="152"/>
      <c r="F49" s="152"/>
      <c r="G49" s="152"/>
      <c r="H49" s="152"/>
      <c r="I49" s="152"/>
      <c r="J49" s="152"/>
      <c r="K49" s="152"/>
      <c r="O49" s="11"/>
      <c r="P49" s="11"/>
      <c r="Q49" s="11"/>
      <c r="R49" s="11"/>
      <c r="S49" s="11"/>
      <c r="T49" s="11"/>
      <c r="U49" s="11"/>
      <c r="V49" s="596"/>
      <c r="W49" s="11"/>
      <c r="X49" s="11"/>
      <c r="Y49" s="11"/>
      <c r="Z49" s="11"/>
      <c r="AA49" s="11"/>
      <c r="AB49" s="11"/>
      <c r="AC49" s="11"/>
      <c r="AD49" s="11"/>
      <c r="AE49" s="11"/>
      <c r="AF49" s="596"/>
      <c r="AG49" s="11"/>
      <c r="AH49" s="11"/>
      <c r="AI49" s="11"/>
      <c r="AJ49" s="11"/>
      <c r="AK49" s="11"/>
      <c r="AL49" s="11"/>
      <c r="AM49" s="63"/>
      <c r="AN49" s="63"/>
      <c r="AO49" s="63"/>
      <c r="AP49" s="696"/>
      <c r="AQ49" s="63"/>
      <c r="AV49" s="42"/>
      <c r="AW49" s="238"/>
      <c r="AX49" s="228"/>
      <c r="AY49" s="228"/>
      <c r="AZ49" s="300"/>
      <c r="BA49" s="305"/>
      <c r="BB49" s="305"/>
      <c r="BC49" s="305"/>
      <c r="BD49" s="300"/>
      <c r="BE49" s="300"/>
      <c r="BF49" s="300"/>
      <c r="BG49" s="300"/>
      <c r="BH49" s="300"/>
      <c r="BI49" s="300"/>
      <c r="BJ49" s="874"/>
      <c r="BK49" s="874"/>
      <c r="BP49" s="515"/>
      <c r="BQ49" s="320"/>
      <c r="BR49" s="320"/>
    </row>
    <row r="50" spans="1:71" ht="11.25" customHeight="1">
      <c r="A50" s="110" t="s">
        <v>93</v>
      </c>
      <c r="B50" s="225" t="s">
        <v>3</v>
      </c>
      <c r="C50" s="93" t="s">
        <v>3</v>
      </c>
      <c r="D50" s="93" t="s">
        <v>3</v>
      </c>
      <c r="E50" s="93" t="s">
        <v>3</v>
      </c>
      <c r="F50" s="93" t="s">
        <v>3</v>
      </c>
      <c r="G50" s="93" t="s">
        <v>3</v>
      </c>
      <c r="H50" s="93" t="s">
        <v>3</v>
      </c>
      <c r="I50" s="93" t="s">
        <v>3</v>
      </c>
      <c r="J50" s="93" t="s">
        <v>3</v>
      </c>
      <c r="K50" s="93" t="s">
        <v>3</v>
      </c>
      <c r="L50" s="225" t="s">
        <v>3</v>
      </c>
      <c r="M50" s="93" t="s">
        <v>3</v>
      </c>
      <c r="N50" s="93" t="s">
        <v>3</v>
      </c>
      <c r="O50" s="93" t="s">
        <v>3</v>
      </c>
      <c r="P50" s="93" t="s">
        <v>3</v>
      </c>
      <c r="Q50" s="93" t="s">
        <v>3</v>
      </c>
      <c r="R50" s="93" t="s">
        <v>3</v>
      </c>
      <c r="S50" s="93" t="s">
        <v>3</v>
      </c>
      <c r="T50" s="93" t="s">
        <v>3</v>
      </c>
      <c r="U50" s="93" t="s">
        <v>3</v>
      </c>
      <c r="V50" s="225" t="s">
        <v>3</v>
      </c>
      <c r="W50" s="93" t="s">
        <v>3</v>
      </c>
      <c r="X50" s="93" t="s">
        <v>3</v>
      </c>
      <c r="Y50" s="93" t="s">
        <v>3</v>
      </c>
      <c r="Z50" s="93" t="s">
        <v>3</v>
      </c>
      <c r="AA50" s="93" t="s">
        <v>3</v>
      </c>
      <c r="AB50" s="93" t="s">
        <v>3</v>
      </c>
      <c r="AC50" s="93" t="s">
        <v>3</v>
      </c>
      <c r="AD50" s="93" t="s">
        <v>3</v>
      </c>
      <c r="AE50" s="93" t="s">
        <v>3</v>
      </c>
      <c r="AF50" s="225" t="s">
        <v>3</v>
      </c>
      <c r="AG50" s="93" t="s">
        <v>3</v>
      </c>
      <c r="AH50" s="93" t="s">
        <v>3</v>
      </c>
      <c r="AI50" s="93" t="s">
        <v>3</v>
      </c>
      <c r="AJ50" s="93" t="s">
        <v>3</v>
      </c>
      <c r="AK50" s="93" t="s">
        <v>3</v>
      </c>
      <c r="AL50" s="93" t="s">
        <v>3</v>
      </c>
      <c r="AM50" s="93" t="s">
        <v>3</v>
      </c>
      <c r="AN50" s="93" t="s">
        <v>3</v>
      </c>
      <c r="AO50" s="93" t="s">
        <v>3</v>
      </c>
      <c r="AP50" s="225" t="s">
        <v>3</v>
      </c>
      <c r="AQ50" s="93" t="s">
        <v>3</v>
      </c>
      <c r="AR50" s="93" t="s">
        <v>3</v>
      </c>
      <c r="AS50" s="93" t="s">
        <v>3</v>
      </c>
      <c r="AT50" s="93" t="s">
        <v>3</v>
      </c>
      <c r="AU50" s="93">
        <v>3</v>
      </c>
      <c r="AV50" s="225" t="s">
        <v>3</v>
      </c>
      <c r="AW50" s="225" t="s">
        <v>3</v>
      </c>
      <c r="AX50" s="225" t="s">
        <v>3</v>
      </c>
      <c r="AY50" s="225" t="s">
        <v>3</v>
      </c>
      <c r="AZ50" s="225" t="s">
        <v>3</v>
      </c>
      <c r="BA50" s="306" t="s">
        <v>3</v>
      </c>
      <c r="BB50" s="306" t="s">
        <v>3</v>
      </c>
      <c r="BC50" s="306" t="s">
        <v>3</v>
      </c>
      <c r="BD50" s="306" t="s">
        <v>3</v>
      </c>
      <c r="BE50" s="306" t="s">
        <v>3</v>
      </c>
      <c r="BF50" s="306" t="s">
        <v>3</v>
      </c>
      <c r="BG50" s="306" t="s">
        <v>3</v>
      </c>
      <c r="BH50" s="306" t="s">
        <v>3</v>
      </c>
      <c r="BI50" s="306" t="s">
        <v>3</v>
      </c>
      <c r="BJ50" s="874" t="s">
        <v>10</v>
      </c>
      <c r="BK50" s="874" t="s">
        <v>10</v>
      </c>
      <c r="BL50" s="568" t="s">
        <v>10</v>
      </c>
      <c r="BM50" s="568" t="s">
        <v>10</v>
      </c>
      <c r="BP50" s="515"/>
      <c r="BQ50" s="320"/>
      <c r="BR50" s="320"/>
    </row>
    <row r="51" spans="1:71" ht="11.25" customHeight="1">
      <c r="A51" s="110" t="s">
        <v>94</v>
      </c>
      <c r="B51" s="593">
        <v>7402</v>
      </c>
      <c r="C51" s="25">
        <v>7591</v>
      </c>
      <c r="D51" s="25">
        <v>7999</v>
      </c>
      <c r="E51" s="25">
        <v>8158</v>
      </c>
      <c r="F51" s="25">
        <v>8209</v>
      </c>
      <c r="G51" s="25">
        <v>8334</v>
      </c>
      <c r="H51" s="25">
        <v>8807</v>
      </c>
      <c r="I51" s="25">
        <v>8991</v>
      </c>
      <c r="J51" s="25">
        <v>8784</v>
      </c>
      <c r="K51" s="25">
        <v>8738</v>
      </c>
      <c r="L51" s="225">
        <f>10558+314</f>
        <v>10872</v>
      </c>
      <c r="M51" s="93">
        <f>10270+375+326+14</f>
        <v>10985</v>
      </c>
      <c r="N51" s="93">
        <v>15267</v>
      </c>
      <c r="O51" s="93">
        <v>15255</v>
      </c>
      <c r="P51" s="93">
        <f>12937+438+775+9+387+22</f>
        <v>14568</v>
      </c>
      <c r="Q51" s="93">
        <v>15140</v>
      </c>
      <c r="R51" s="93">
        <v>15530</v>
      </c>
      <c r="S51" s="93">
        <v>15515</v>
      </c>
      <c r="T51" s="93">
        <v>16029</v>
      </c>
      <c r="U51" s="93">
        <v>17968</v>
      </c>
      <c r="V51" s="225">
        <v>15107</v>
      </c>
      <c r="W51" s="93">
        <v>14446</v>
      </c>
      <c r="X51" s="93">
        <v>13999</v>
      </c>
      <c r="Y51" s="93">
        <v>13797</v>
      </c>
      <c r="Z51" s="93">
        <v>14093</v>
      </c>
      <c r="AA51" s="93">
        <v>13746</v>
      </c>
      <c r="AB51" s="93">
        <v>13559</v>
      </c>
      <c r="AC51" s="49">
        <v>14811</v>
      </c>
      <c r="AD51" s="93">
        <v>16160</v>
      </c>
      <c r="AE51" s="93">
        <v>17324</v>
      </c>
      <c r="AF51" s="225">
        <v>17340</v>
      </c>
      <c r="AG51" s="93">
        <v>17178</v>
      </c>
      <c r="AH51" s="93">
        <f>16890+1174+299</f>
        <v>18363</v>
      </c>
      <c r="AI51" s="93">
        <f>17399+1441+322</f>
        <v>19162</v>
      </c>
      <c r="AJ51" s="93">
        <f>16967+1482+323</f>
        <v>18772</v>
      </c>
      <c r="AK51" s="93">
        <f>16441+946+1644+571</f>
        <v>19602</v>
      </c>
      <c r="AL51" s="93">
        <f>16401+959+1755+639</f>
        <v>19754</v>
      </c>
      <c r="AM51" s="93">
        <f>16967+1482</f>
        <v>18449</v>
      </c>
      <c r="AN51" s="50">
        <f>16964+2025</f>
        <v>18989</v>
      </c>
      <c r="AO51" s="49">
        <f>17249+1988</f>
        <v>19237</v>
      </c>
      <c r="AP51" s="225">
        <f>16796+2079</f>
        <v>18875</v>
      </c>
      <c r="AQ51" s="93">
        <f>17140+1988</f>
        <v>19128</v>
      </c>
      <c r="AR51" s="57">
        <f>35272+1392</f>
        <v>36664</v>
      </c>
      <c r="AS51" s="143">
        <v>36477</v>
      </c>
      <c r="AT51" s="66">
        <v>38207</v>
      </c>
      <c r="AU51" s="66">
        <v>40601</v>
      </c>
      <c r="AV51" s="223">
        <v>41136</v>
      </c>
      <c r="AW51" s="225">
        <f>41733+1804</f>
        <v>43537</v>
      </c>
      <c r="AX51" s="228">
        <v>48065</v>
      </c>
      <c r="AY51" s="228">
        <v>53966</v>
      </c>
      <c r="AZ51" s="228">
        <v>56253</v>
      </c>
      <c r="BA51" s="305">
        <v>57495</v>
      </c>
      <c r="BB51" s="305">
        <f>52031+6759</f>
        <v>58790</v>
      </c>
      <c r="BC51" s="305">
        <f>46807+8698</f>
        <v>55505</v>
      </c>
      <c r="BD51" s="305">
        <f>48086+9643</f>
        <v>57729</v>
      </c>
      <c r="BE51" s="305">
        <f>44835+10279</f>
        <v>55114</v>
      </c>
      <c r="BF51" s="305">
        <f>44137+10723</f>
        <v>54860</v>
      </c>
      <c r="BG51" s="305">
        <f>47030+10741</f>
        <v>57771</v>
      </c>
      <c r="BH51" s="305">
        <f>46799+10972</f>
        <v>57771</v>
      </c>
      <c r="BI51" s="305">
        <f>47156+10972</f>
        <v>58128</v>
      </c>
      <c r="BJ51" s="410">
        <f t="shared" ref="BJ51:BK56" si="16">(BH51-BG51)/BG51</f>
        <v>0</v>
      </c>
      <c r="BK51" s="410">
        <f t="shared" si="16"/>
        <v>6.1795710650672485E-3</v>
      </c>
      <c r="BL51" s="564">
        <f t="shared" ref="BL51:BL55" si="17">(BH51-BG51)</f>
        <v>0</v>
      </c>
      <c r="BM51" s="564">
        <f t="shared" ref="BM51:BM55" si="18">(BI51-BH51)</f>
        <v>357</v>
      </c>
      <c r="BP51" s="515"/>
      <c r="BQ51" s="320"/>
      <c r="BR51" s="320"/>
      <c r="BS51" s="112"/>
    </row>
    <row r="52" spans="1:71" ht="11.25" customHeight="1">
      <c r="A52" s="110" t="s">
        <v>95</v>
      </c>
      <c r="B52" s="593">
        <v>4660</v>
      </c>
      <c r="C52" s="25">
        <v>4823</v>
      </c>
      <c r="D52" s="25">
        <v>4838</v>
      </c>
      <c r="E52" s="25">
        <v>4841</v>
      </c>
      <c r="F52" s="25">
        <v>4651</v>
      </c>
      <c r="G52" s="25">
        <v>4715</v>
      </c>
      <c r="H52" s="25">
        <v>4931</v>
      </c>
      <c r="I52" s="25">
        <v>4602</v>
      </c>
      <c r="J52" s="25">
        <v>4860</v>
      </c>
      <c r="K52" s="25">
        <v>4297</v>
      </c>
      <c r="L52" s="225">
        <v>4574</v>
      </c>
      <c r="M52" s="93">
        <v>5274</v>
      </c>
      <c r="N52" s="93">
        <v>5768</v>
      </c>
      <c r="O52" s="93">
        <v>5794</v>
      </c>
      <c r="P52" s="93">
        <v>5455</v>
      </c>
      <c r="Q52" s="93">
        <v>5247</v>
      </c>
      <c r="R52" s="93">
        <v>6021</v>
      </c>
      <c r="S52" s="93">
        <v>8452</v>
      </c>
      <c r="T52" s="93">
        <v>8466</v>
      </c>
      <c r="U52" s="93">
        <v>8513</v>
      </c>
      <c r="V52" s="225">
        <v>8794</v>
      </c>
      <c r="W52" s="93">
        <v>10535</v>
      </c>
      <c r="X52" s="93">
        <v>9972</v>
      </c>
      <c r="Y52" s="93">
        <v>9850</v>
      </c>
      <c r="Z52" s="93">
        <v>9124</v>
      </c>
      <c r="AA52" s="93">
        <v>9569</v>
      </c>
      <c r="AB52" s="93">
        <v>8640</v>
      </c>
      <c r="AC52" s="93">
        <v>10881</v>
      </c>
      <c r="AD52" s="93">
        <v>12805</v>
      </c>
      <c r="AE52" s="93">
        <v>16313</v>
      </c>
      <c r="AF52" s="225">
        <v>15931</v>
      </c>
      <c r="AG52" s="93">
        <v>16348</v>
      </c>
      <c r="AH52" s="93">
        <v>17597</v>
      </c>
      <c r="AI52" s="93">
        <v>19720</v>
      </c>
      <c r="AJ52" s="93">
        <v>18735</v>
      </c>
      <c r="AK52" s="93">
        <v>19356</v>
      </c>
      <c r="AL52" s="93">
        <v>20697</v>
      </c>
      <c r="AM52" s="93">
        <v>18931</v>
      </c>
      <c r="AN52" s="93">
        <v>24371</v>
      </c>
      <c r="AO52" s="93">
        <v>23680</v>
      </c>
      <c r="AP52" s="225">
        <v>24692</v>
      </c>
      <c r="AQ52" s="93">
        <v>22757</v>
      </c>
      <c r="AR52" s="93">
        <f>11261+1959</f>
        <v>13220</v>
      </c>
      <c r="AS52" s="93">
        <v>17323</v>
      </c>
      <c r="AT52" s="93">
        <v>17935</v>
      </c>
      <c r="AU52" s="93">
        <v>14761</v>
      </c>
      <c r="AV52" s="225">
        <v>13241</v>
      </c>
      <c r="AW52" s="238">
        <f>14537+202</f>
        <v>14739</v>
      </c>
      <c r="AX52" s="228">
        <v>16102</v>
      </c>
      <c r="AY52" s="228">
        <v>17632</v>
      </c>
      <c r="AZ52" s="228">
        <v>19029</v>
      </c>
      <c r="BA52" s="305">
        <v>19931</v>
      </c>
      <c r="BB52" s="305">
        <f>20031+140</f>
        <v>20171</v>
      </c>
      <c r="BC52" s="305">
        <f>19480+289</f>
        <v>19769</v>
      </c>
      <c r="BD52" s="305">
        <f>18767+270</f>
        <v>19037</v>
      </c>
      <c r="BE52" s="305">
        <f>18639+380</f>
        <v>19019</v>
      </c>
      <c r="BF52" s="305">
        <f>18410+466</f>
        <v>18876</v>
      </c>
      <c r="BG52" s="305">
        <f>19028+438</f>
        <v>19466</v>
      </c>
      <c r="BH52" s="305">
        <f>20324+86</f>
        <v>20410</v>
      </c>
      <c r="BI52" s="305">
        <f>23439+327</f>
        <v>23766</v>
      </c>
      <c r="BJ52" s="410">
        <f t="shared" si="16"/>
        <v>4.84948114661461E-2</v>
      </c>
      <c r="BK52" s="410">
        <f t="shared" si="16"/>
        <v>0.16442920137187653</v>
      </c>
      <c r="BL52" s="564">
        <f t="shared" si="17"/>
        <v>944</v>
      </c>
      <c r="BM52" s="564">
        <f t="shared" si="18"/>
        <v>3356</v>
      </c>
      <c r="BP52" s="515"/>
      <c r="BQ52" s="320"/>
      <c r="BR52" s="320"/>
      <c r="BS52" s="112"/>
    </row>
    <row r="53" spans="1:71" s="761" customFormat="1" ht="11.25" customHeight="1">
      <c r="A53" s="755" t="s">
        <v>96</v>
      </c>
      <c r="B53" s="509">
        <v>5452</v>
      </c>
      <c r="C53" s="748">
        <v>5587</v>
      </c>
      <c r="D53" s="748">
        <v>6231</v>
      </c>
      <c r="E53" s="748">
        <v>6276</v>
      </c>
      <c r="F53" s="748">
        <v>6359</v>
      </c>
      <c r="G53" s="748">
        <v>5247</v>
      </c>
      <c r="H53" s="748">
        <v>5369</v>
      </c>
      <c r="I53" s="748">
        <v>4868</v>
      </c>
      <c r="J53" s="748">
        <v>5719</v>
      </c>
      <c r="K53" s="748">
        <v>6274</v>
      </c>
      <c r="L53" s="509">
        <v>7050</v>
      </c>
      <c r="M53" s="748">
        <v>13144</v>
      </c>
      <c r="N53" s="748">
        <v>13313</v>
      </c>
      <c r="O53" s="748">
        <v>13969</v>
      </c>
      <c r="P53" s="748">
        <v>12482</v>
      </c>
      <c r="Q53" s="748">
        <v>10484</v>
      </c>
      <c r="R53" s="748">
        <v>11421</v>
      </c>
      <c r="S53" s="748">
        <v>12723</v>
      </c>
      <c r="T53" s="748">
        <v>11916</v>
      </c>
      <c r="U53" s="748">
        <v>11353</v>
      </c>
      <c r="V53" s="509">
        <v>11432</v>
      </c>
      <c r="W53" s="748">
        <v>12913</v>
      </c>
      <c r="X53" s="748">
        <v>12471</v>
      </c>
      <c r="Y53" s="748">
        <v>9008</v>
      </c>
      <c r="Z53" s="748">
        <v>9310</v>
      </c>
      <c r="AA53" s="748">
        <v>8834</v>
      </c>
      <c r="AB53" s="748">
        <v>8921</v>
      </c>
      <c r="AC53" s="748">
        <v>8252</v>
      </c>
      <c r="AD53" s="748">
        <v>7481</v>
      </c>
      <c r="AE53" s="748">
        <v>8078</v>
      </c>
      <c r="AF53" s="509">
        <v>10887</v>
      </c>
      <c r="AG53" s="748">
        <v>12577</v>
      </c>
      <c r="AH53" s="748">
        <v>14754</v>
      </c>
      <c r="AI53" s="748">
        <v>14957</v>
      </c>
      <c r="AJ53" s="758">
        <v>14919</v>
      </c>
      <c r="AK53" s="758">
        <v>16602</v>
      </c>
      <c r="AL53" s="758">
        <v>17006</v>
      </c>
      <c r="AM53" s="748">
        <v>16468</v>
      </c>
      <c r="AN53" s="748">
        <v>16794</v>
      </c>
      <c r="AO53" s="748">
        <v>16340</v>
      </c>
      <c r="AP53" s="509">
        <v>16847</v>
      </c>
      <c r="AQ53" s="748">
        <v>14812</v>
      </c>
      <c r="AR53" s="748">
        <v>16016</v>
      </c>
      <c r="AS53" s="748">
        <v>12374</v>
      </c>
      <c r="AT53" s="748">
        <v>13083</v>
      </c>
      <c r="AU53" s="748">
        <v>12679</v>
      </c>
      <c r="AV53" s="759">
        <v>13933</v>
      </c>
      <c r="AW53" s="760">
        <v>12997</v>
      </c>
      <c r="AX53" s="736">
        <v>13407</v>
      </c>
      <c r="AY53" s="736">
        <v>13496</v>
      </c>
      <c r="AZ53" s="736">
        <v>14145</v>
      </c>
      <c r="BA53" s="736">
        <v>12321</v>
      </c>
      <c r="BB53" s="736">
        <v>12465</v>
      </c>
      <c r="BC53" s="736">
        <v>13765</v>
      </c>
      <c r="BD53" s="736">
        <v>17090</v>
      </c>
      <c r="BE53" s="736">
        <v>13258</v>
      </c>
      <c r="BF53" s="736">
        <v>14269</v>
      </c>
      <c r="BG53" s="305">
        <v>12580</v>
      </c>
      <c r="BH53" s="305">
        <v>13925</v>
      </c>
      <c r="BI53" s="305">
        <v>15084</v>
      </c>
      <c r="BJ53" s="410">
        <f t="shared" si="16"/>
        <v>0.10691573926868045</v>
      </c>
      <c r="BK53" s="410">
        <f t="shared" si="16"/>
        <v>8.323159784560144E-2</v>
      </c>
      <c r="BL53" s="564">
        <f t="shared" si="17"/>
        <v>1345</v>
      </c>
      <c r="BM53" s="564">
        <f t="shared" si="18"/>
        <v>1159</v>
      </c>
      <c r="BN53" s="722"/>
      <c r="BO53" s="722"/>
      <c r="BP53" s="723"/>
      <c r="BS53" s="762"/>
    </row>
    <row r="54" spans="1:71" ht="11.25" customHeight="1">
      <c r="A54" s="115" t="s">
        <v>97</v>
      </c>
      <c r="B54" s="695" t="s">
        <v>3</v>
      </c>
      <c r="C54" s="17" t="s">
        <v>3</v>
      </c>
      <c r="D54" s="17" t="s">
        <v>3</v>
      </c>
      <c r="E54" s="17" t="s">
        <v>3</v>
      </c>
      <c r="F54" s="17" t="s">
        <v>3</v>
      </c>
      <c r="G54" s="17" t="s">
        <v>3</v>
      </c>
      <c r="H54" s="17" t="s">
        <v>3</v>
      </c>
      <c r="I54" s="17" t="s">
        <v>3</v>
      </c>
      <c r="J54" s="17" t="s">
        <v>3</v>
      </c>
      <c r="K54" s="17" t="s">
        <v>3</v>
      </c>
      <c r="L54" s="971" t="s">
        <v>3</v>
      </c>
      <c r="M54" s="77" t="s">
        <v>3</v>
      </c>
      <c r="N54" s="77" t="s">
        <v>3</v>
      </c>
      <c r="O54" s="77" t="s">
        <v>3</v>
      </c>
      <c r="P54" s="77" t="s">
        <v>3</v>
      </c>
      <c r="Q54" s="77" t="s">
        <v>3</v>
      </c>
      <c r="R54" s="77" t="s">
        <v>3</v>
      </c>
      <c r="S54" s="77" t="s">
        <v>3</v>
      </c>
      <c r="T54" s="77" t="s">
        <v>3</v>
      </c>
      <c r="U54" s="77" t="s">
        <v>3</v>
      </c>
      <c r="V54" s="971" t="s">
        <v>3</v>
      </c>
      <c r="W54" s="77" t="s">
        <v>3</v>
      </c>
      <c r="X54" s="77" t="s">
        <v>3</v>
      </c>
      <c r="Y54" s="77" t="s">
        <v>3</v>
      </c>
      <c r="Z54" s="77" t="s">
        <v>3</v>
      </c>
      <c r="AA54" s="77" t="s">
        <v>3</v>
      </c>
      <c r="AB54" s="77" t="s">
        <v>3</v>
      </c>
      <c r="AC54" s="77" t="s">
        <v>3</v>
      </c>
      <c r="AD54" s="77" t="s">
        <v>3</v>
      </c>
      <c r="AE54" s="77" t="s">
        <v>3</v>
      </c>
      <c r="AF54" s="971" t="s">
        <v>3</v>
      </c>
      <c r="AG54" s="77" t="s">
        <v>3</v>
      </c>
      <c r="AH54" s="77" t="s">
        <v>3</v>
      </c>
      <c r="AI54" s="77" t="s">
        <v>3</v>
      </c>
      <c r="AJ54" s="77" t="s">
        <v>3</v>
      </c>
      <c r="AK54" s="77" t="s">
        <v>3</v>
      </c>
      <c r="AL54" s="77" t="s">
        <v>3</v>
      </c>
      <c r="AM54" s="77" t="s">
        <v>3</v>
      </c>
      <c r="AN54" s="77" t="s">
        <v>3</v>
      </c>
      <c r="AO54" s="77" t="s">
        <v>3</v>
      </c>
      <c r="AP54" s="971" t="s">
        <v>3</v>
      </c>
      <c r="AQ54" s="77" t="s">
        <v>3</v>
      </c>
      <c r="AR54" s="77" t="s">
        <v>3</v>
      </c>
      <c r="AS54" s="63">
        <v>6</v>
      </c>
      <c r="AT54" s="23">
        <v>14</v>
      </c>
      <c r="AU54" s="63">
        <v>26</v>
      </c>
      <c r="AV54" s="239">
        <v>17</v>
      </c>
      <c r="AW54" s="227">
        <v>20</v>
      </c>
      <c r="AX54" s="228">
        <v>26</v>
      </c>
      <c r="AY54" s="228">
        <v>30</v>
      </c>
      <c r="AZ54" s="228">
        <v>33</v>
      </c>
      <c r="BA54" s="305">
        <v>36</v>
      </c>
      <c r="BB54" s="305">
        <v>37</v>
      </c>
      <c r="BC54" s="305">
        <v>37</v>
      </c>
      <c r="BD54" s="305">
        <v>37</v>
      </c>
      <c r="BE54" s="305">
        <v>37</v>
      </c>
      <c r="BF54" s="305">
        <v>56</v>
      </c>
      <c r="BG54" s="305">
        <v>38</v>
      </c>
      <c r="BH54" s="305">
        <v>36</v>
      </c>
      <c r="BI54" s="305">
        <v>35</v>
      </c>
      <c r="BJ54" s="410">
        <f t="shared" si="16"/>
        <v>-5.2631578947368418E-2</v>
      </c>
      <c r="BK54" s="410">
        <f t="shared" si="16"/>
        <v>-2.7777777777777776E-2</v>
      </c>
      <c r="BL54" s="564">
        <f t="shared" si="17"/>
        <v>-2</v>
      </c>
      <c r="BM54" s="564">
        <f t="shared" si="18"/>
        <v>-1</v>
      </c>
      <c r="BP54" s="515"/>
      <c r="BQ54" s="320"/>
      <c r="BR54" s="320"/>
      <c r="BS54" s="112"/>
    </row>
    <row r="55" spans="1:71" ht="10.5" customHeight="1">
      <c r="A55" s="110" t="s">
        <v>98</v>
      </c>
      <c r="B55" s="695" t="s">
        <v>3</v>
      </c>
      <c r="C55" s="17" t="s">
        <v>3</v>
      </c>
      <c r="D55" s="17" t="s">
        <v>3</v>
      </c>
      <c r="E55" s="17" t="s">
        <v>3</v>
      </c>
      <c r="F55" s="17" t="s">
        <v>3</v>
      </c>
      <c r="G55" s="17" t="s">
        <v>3</v>
      </c>
      <c r="H55" s="17" t="s">
        <v>3</v>
      </c>
      <c r="I55" s="17" t="s">
        <v>3</v>
      </c>
      <c r="J55" s="17" t="s">
        <v>3</v>
      </c>
      <c r="K55" s="17" t="s">
        <v>3</v>
      </c>
      <c r="L55" s="695" t="s">
        <v>3</v>
      </c>
      <c r="M55" s="17" t="s">
        <v>3</v>
      </c>
      <c r="N55" s="17" t="s">
        <v>3</v>
      </c>
      <c r="O55" s="17" t="s">
        <v>3</v>
      </c>
      <c r="P55" s="17" t="s">
        <v>3</v>
      </c>
      <c r="Q55" s="17" t="s">
        <v>3</v>
      </c>
      <c r="R55" s="17" t="s">
        <v>3</v>
      </c>
      <c r="S55" s="17" t="s">
        <v>3</v>
      </c>
      <c r="T55" s="17" t="s">
        <v>3</v>
      </c>
      <c r="U55" s="17" t="s">
        <v>3</v>
      </c>
      <c r="V55" s="695" t="s">
        <v>3</v>
      </c>
      <c r="W55" s="17" t="s">
        <v>3</v>
      </c>
      <c r="X55" s="17" t="s">
        <v>3</v>
      </c>
      <c r="Y55" s="17" t="s">
        <v>3</v>
      </c>
      <c r="Z55" s="17" t="s">
        <v>3</v>
      </c>
      <c r="AA55" s="17" t="s">
        <v>3</v>
      </c>
      <c r="AB55" s="17" t="s">
        <v>3</v>
      </c>
      <c r="AC55" s="17" t="s">
        <v>3</v>
      </c>
      <c r="AD55" s="17" t="s">
        <v>3</v>
      </c>
      <c r="AE55" s="17" t="s">
        <v>3</v>
      </c>
      <c r="AF55" s="695" t="s">
        <v>3</v>
      </c>
      <c r="AG55" s="17" t="s">
        <v>3</v>
      </c>
      <c r="AH55" s="17" t="s">
        <v>3</v>
      </c>
      <c r="AI55" s="17" t="s">
        <v>3</v>
      </c>
      <c r="AJ55" s="17" t="s">
        <v>3</v>
      </c>
      <c r="AK55" s="17" t="s">
        <v>3</v>
      </c>
      <c r="AL55" s="17" t="s">
        <v>3</v>
      </c>
      <c r="AM55" s="17" t="s">
        <v>3</v>
      </c>
      <c r="AN55" s="17" t="s">
        <v>3</v>
      </c>
      <c r="AO55" s="17" t="s">
        <v>3</v>
      </c>
      <c r="AP55" s="695" t="s">
        <v>3</v>
      </c>
      <c r="AQ55" s="17" t="s">
        <v>3</v>
      </c>
      <c r="AR55" s="49">
        <f>3397+37</f>
        <v>3434</v>
      </c>
      <c r="AS55" s="49">
        <v>57324</v>
      </c>
      <c r="AT55" s="49">
        <v>46413</v>
      </c>
      <c r="AU55" s="49">
        <v>50725</v>
      </c>
      <c r="AV55" s="245">
        <v>49469</v>
      </c>
      <c r="AW55" s="228">
        <v>49999</v>
      </c>
      <c r="AX55" s="228">
        <v>52692</v>
      </c>
      <c r="AY55" s="228">
        <v>53421</v>
      </c>
      <c r="AZ55" s="228">
        <v>52644</v>
      </c>
      <c r="BA55" s="305">
        <v>55000</v>
      </c>
      <c r="BB55" s="305">
        <v>56317</v>
      </c>
      <c r="BC55" s="305">
        <v>55658</v>
      </c>
      <c r="BD55" s="305">
        <v>53511</v>
      </c>
      <c r="BE55" s="305">
        <v>51712</v>
      </c>
      <c r="BF55" s="305">
        <v>54901</v>
      </c>
      <c r="BG55" s="305">
        <v>53084</v>
      </c>
      <c r="BH55" s="305">
        <v>52956</v>
      </c>
      <c r="BI55" s="305">
        <v>53637</v>
      </c>
      <c r="BJ55" s="410">
        <f t="shared" si="16"/>
        <v>-2.4112726998719012E-3</v>
      </c>
      <c r="BK55" s="410">
        <f t="shared" si="16"/>
        <v>1.2859732608203037E-2</v>
      </c>
      <c r="BL55" s="564">
        <f t="shared" si="17"/>
        <v>-128</v>
      </c>
      <c r="BM55" s="564">
        <f t="shared" si="18"/>
        <v>681</v>
      </c>
      <c r="BP55" s="515"/>
      <c r="BQ55" s="290"/>
      <c r="BR55" s="320"/>
      <c r="BS55" s="112"/>
    </row>
    <row r="56" spans="1:71" ht="11.25" customHeight="1" thickBot="1">
      <c r="A56" s="393" t="s">
        <v>72</v>
      </c>
      <c r="B56" s="677">
        <f t="shared" ref="B56:K56" si="19">SUM(B50:B55)</f>
        <v>17514</v>
      </c>
      <c r="C56" s="254">
        <f t="shared" si="19"/>
        <v>18001</v>
      </c>
      <c r="D56" s="254">
        <f t="shared" si="19"/>
        <v>19068</v>
      </c>
      <c r="E56" s="254">
        <f t="shared" si="19"/>
        <v>19275</v>
      </c>
      <c r="F56" s="254">
        <f t="shared" si="19"/>
        <v>19219</v>
      </c>
      <c r="G56" s="254">
        <f t="shared" si="19"/>
        <v>18296</v>
      </c>
      <c r="H56" s="254">
        <f t="shared" si="19"/>
        <v>19107</v>
      </c>
      <c r="I56" s="254">
        <f t="shared" si="19"/>
        <v>18461</v>
      </c>
      <c r="J56" s="254">
        <f t="shared" si="19"/>
        <v>19363</v>
      </c>
      <c r="K56" s="254">
        <f t="shared" si="19"/>
        <v>19309</v>
      </c>
      <c r="L56" s="677">
        <f>SUM(L50:L55)</f>
        <v>22496</v>
      </c>
      <c r="M56" s="254">
        <f t="shared" ref="M56:AV56" si="20">SUM(M50:M55)</f>
        <v>29403</v>
      </c>
      <c r="N56" s="254">
        <f t="shared" si="20"/>
        <v>34348</v>
      </c>
      <c r="O56" s="254">
        <f t="shared" si="20"/>
        <v>35018</v>
      </c>
      <c r="P56" s="254">
        <f t="shared" si="20"/>
        <v>32505</v>
      </c>
      <c r="Q56" s="254">
        <f t="shared" si="20"/>
        <v>30871</v>
      </c>
      <c r="R56" s="254">
        <f t="shared" si="20"/>
        <v>32972</v>
      </c>
      <c r="S56" s="254">
        <f t="shared" si="20"/>
        <v>36690</v>
      </c>
      <c r="T56" s="254">
        <f t="shared" si="20"/>
        <v>36411</v>
      </c>
      <c r="U56" s="254">
        <f t="shared" si="20"/>
        <v>37834</v>
      </c>
      <c r="V56" s="677">
        <f t="shared" si="20"/>
        <v>35333</v>
      </c>
      <c r="W56" s="254">
        <f t="shared" si="20"/>
        <v>37894</v>
      </c>
      <c r="X56" s="254">
        <f t="shared" si="20"/>
        <v>36442</v>
      </c>
      <c r="Y56" s="254">
        <f t="shared" si="20"/>
        <v>32655</v>
      </c>
      <c r="Z56" s="254">
        <f t="shared" si="20"/>
        <v>32527</v>
      </c>
      <c r="AA56" s="254">
        <f t="shared" si="20"/>
        <v>32149</v>
      </c>
      <c r="AB56" s="254">
        <f t="shared" si="20"/>
        <v>31120</v>
      </c>
      <c r="AC56" s="254">
        <f t="shared" si="20"/>
        <v>33944</v>
      </c>
      <c r="AD56" s="254">
        <f t="shared" si="20"/>
        <v>36446</v>
      </c>
      <c r="AE56" s="254">
        <f t="shared" si="20"/>
        <v>41715</v>
      </c>
      <c r="AF56" s="677">
        <f t="shared" si="20"/>
        <v>44158</v>
      </c>
      <c r="AG56" s="254">
        <f t="shared" si="20"/>
        <v>46103</v>
      </c>
      <c r="AH56" s="254">
        <f t="shared" si="20"/>
        <v>50714</v>
      </c>
      <c r="AI56" s="254">
        <f t="shared" si="20"/>
        <v>53839</v>
      </c>
      <c r="AJ56" s="254">
        <f t="shared" si="20"/>
        <v>52426</v>
      </c>
      <c r="AK56" s="254">
        <f t="shared" si="20"/>
        <v>55560</v>
      </c>
      <c r="AL56" s="254">
        <f t="shared" si="20"/>
        <v>57457</v>
      </c>
      <c r="AM56" s="254">
        <f t="shared" si="20"/>
        <v>53848</v>
      </c>
      <c r="AN56" s="254">
        <f t="shared" si="20"/>
        <v>60154</v>
      </c>
      <c r="AO56" s="254">
        <f t="shared" si="20"/>
        <v>59257</v>
      </c>
      <c r="AP56" s="677">
        <f t="shared" si="20"/>
        <v>60414</v>
      </c>
      <c r="AQ56" s="254">
        <f t="shared" si="20"/>
        <v>56697</v>
      </c>
      <c r="AR56" s="254">
        <f t="shared" si="20"/>
        <v>69334</v>
      </c>
      <c r="AS56" s="254">
        <f t="shared" si="20"/>
        <v>123504</v>
      </c>
      <c r="AT56" s="254">
        <f t="shared" si="20"/>
        <v>115652</v>
      </c>
      <c r="AU56" s="254">
        <f t="shared" si="20"/>
        <v>118795</v>
      </c>
      <c r="AV56" s="677">
        <f t="shared" si="20"/>
        <v>117796</v>
      </c>
      <c r="AW56" s="677">
        <f t="shared" ref="AW56:BB56" si="21">SUM(AW50:AW55)</f>
        <v>121292</v>
      </c>
      <c r="AX56" s="677">
        <f t="shared" si="21"/>
        <v>130292</v>
      </c>
      <c r="AY56" s="677">
        <f t="shared" si="21"/>
        <v>138545</v>
      </c>
      <c r="AZ56" s="677">
        <f t="shared" si="21"/>
        <v>142104</v>
      </c>
      <c r="BA56" s="521">
        <f t="shared" si="21"/>
        <v>144783</v>
      </c>
      <c r="BB56" s="521">
        <f t="shared" si="21"/>
        <v>147780</v>
      </c>
      <c r="BC56" s="521">
        <f t="shared" ref="BC56:BI56" si="22">SUM(BC50:BC55)</f>
        <v>144734</v>
      </c>
      <c r="BD56" s="521">
        <f t="shared" si="22"/>
        <v>147404</v>
      </c>
      <c r="BE56" s="521">
        <f t="shared" si="22"/>
        <v>139140</v>
      </c>
      <c r="BF56" s="521">
        <f t="shared" si="22"/>
        <v>142962</v>
      </c>
      <c r="BG56" s="521">
        <f t="shared" si="22"/>
        <v>142939</v>
      </c>
      <c r="BH56" s="521">
        <f t="shared" si="22"/>
        <v>145098</v>
      </c>
      <c r="BI56" s="521">
        <f t="shared" si="22"/>
        <v>150650</v>
      </c>
      <c r="BJ56" s="875">
        <f t="shared" si="16"/>
        <v>1.5104345210194558E-2</v>
      </c>
      <c r="BK56" s="875">
        <f t="shared" si="16"/>
        <v>3.8263794125349762E-2</v>
      </c>
      <c r="BL56" s="569">
        <f>BH56-BG56</f>
        <v>2159</v>
      </c>
      <c r="BM56" s="569">
        <f>BI56-BH56</f>
        <v>5552</v>
      </c>
      <c r="BP56" s="515"/>
      <c r="BQ56" s="320"/>
      <c r="BR56" s="320"/>
      <c r="BS56" s="112"/>
    </row>
    <row r="57" spans="1:71" ht="11.25" customHeight="1">
      <c r="A57" s="115"/>
      <c r="L57" s="971"/>
      <c r="M57" s="77"/>
      <c r="N57" s="77"/>
      <c r="O57" s="77"/>
      <c r="P57" s="77"/>
      <c r="Q57" s="77"/>
      <c r="R57" s="77"/>
      <c r="S57" s="77"/>
      <c r="T57" s="23"/>
      <c r="U57" s="11"/>
      <c r="V57" s="596"/>
      <c r="W57" s="11"/>
      <c r="X57" s="11"/>
      <c r="Y57" s="11"/>
      <c r="Z57" s="23"/>
      <c r="AA57" s="11"/>
      <c r="AB57" s="11"/>
      <c r="AC57" s="11"/>
      <c r="AD57" s="11"/>
      <c r="AE57" s="11"/>
      <c r="AF57" s="596"/>
      <c r="AG57" s="11"/>
      <c r="AH57" s="11"/>
      <c r="AI57" s="11"/>
      <c r="AJ57" s="11"/>
      <c r="AK57" s="11"/>
      <c r="AL57" s="332"/>
      <c r="AM57" s="332"/>
      <c r="AN57" s="332"/>
      <c r="AO57" s="332"/>
      <c r="AP57" s="996"/>
      <c r="AQ57" s="332"/>
      <c r="AR57" s="333"/>
      <c r="AS57" s="332"/>
      <c r="AT57" s="332"/>
      <c r="AU57" s="332"/>
      <c r="AV57" s="336"/>
      <c r="AW57" s="240"/>
      <c r="AX57" s="337"/>
      <c r="AY57" s="240"/>
      <c r="AZ57" s="302"/>
      <c r="BA57" s="370"/>
      <c r="BB57" s="370"/>
      <c r="BC57" s="462"/>
      <c r="BD57" s="302"/>
      <c r="BE57" s="302"/>
      <c r="BF57" s="302"/>
      <c r="BG57" s="302"/>
      <c r="BH57" s="302"/>
      <c r="BI57" s="302"/>
      <c r="BJ57" s="410"/>
      <c r="BK57" s="410"/>
      <c r="BL57" s="564"/>
      <c r="BM57" s="564"/>
      <c r="BP57" s="515"/>
      <c r="BQ57" s="320"/>
      <c r="BR57" s="320"/>
    </row>
    <row r="58" spans="1:71" ht="15.75" customHeight="1">
      <c r="A58" s="120" t="s">
        <v>99</v>
      </c>
      <c r="L58" s="596"/>
      <c r="M58" s="11"/>
      <c r="N58" s="11"/>
      <c r="O58" s="11"/>
      <c r="P58" s="11"/>
      <c r="Q58" s="11"/>
      <c r="R58" s="11"/>
      <c r="S58" s="11"/>
      <c r="T58" s="11"/>
      <c r="U58" s="11"/>
      <c r="V58" s="596"/>
      <c r="W58" s="11"/>
      <c r="X58" s="11"/>
      <c r="Y58" s="11"/>
      <c r="Z58" s="11"/>
      <c r="AA58" s="11"/>
      <c r="AB58" s="11"/>
      <c r="AC58" s="11"/>
      <c r="AD58" s="11"/>
      <c r="AE58" s="11"/>
      <c r="AF58" s="596"/>
      <c r="AG58" s="11"/>
      <c r="AH58" s="11"/>
      <c r="AI58" s="11"/>
      <c r="AJ58" s="11"/>
      <c r="AK58" s="11"/>
      <c r="AM58" s="63"/>
      <c r="AN58" s="63"/>
      <c r="AO58" s="63"/>
      <c r="AP58" s="696"/>
      <c r="AQ58" s="63"/>
      <c r="AR58" s="63"/>
      <c r="AS58" s="63"/>
      <c r="AT58" s="63"/>
      <c r="AU58" s="63"/>
      <c r="AV58" s="239"/>
      <c r="AW58" s="240"/>
      <c r="AX58" s="241"/>
      <c r="AY58" s="240"/>
      <c r="AZ58" s="302"/>
      <c r="BA58" s="370"/>
      <c r="BB58" s="370"/>
      <c r="BC58" s="462"/>
      <c r="BD58" s="302"/>
      <c r="BE58" s="302"/>
      <c r="BF58" s="302"/>
      <c r="BG58" s="302"/>
      <c r="BH58" s="302"/>
      <c r="BI58" s="302"/>
      <c r="BJ58" s="410"/>
      <c r="BK58" s="410"/>
      <c r="BL58" s="564"/>
      <c r="BM58" s="564"/>
      <c r="BP58" s="515"/>
      <c r="BQ58" s="320"/>
      <c r="BR58" s="320"/>
    </row>
    <row r="59" spans="1:71" ht="6" customHeight="1">
      <c r="A59" s="115"/>
      <c r="L59" s="596"/>
      <c r="M59" s="11"/>
      <c r="N59" s="11"/>
      <c r="O59" s="11"/>
      <c r="P59" s="11"/>
      <c r="Q59" s="11"/>
      <c r="R59" s="11"/>
      <c r="S59" s="11"/>
      <c r="T59" s="11"/>
      <c r="U59" s="11"/>
      <c r="V59" s="596"/>
      <c r="W59" s="11"/>
      <c r="X59" s="11"/>
      <c r="Y59" s="11"/>
      <c r="Z59" s="11"/>
      <c r="AA59" s="11"/>
      <c r="AB59" s="11"/>
      <c r="AC59" s="11"/>
      <c r="AD59" s="11"/>
      <c r="AE59" s="11"/>
      <c r="AF59" s="596"/>
      <c r="AG59" s="11"/>
      <c r="AH59" s="11"/>
      <c r="AI59" s="11"/>
      <c r="AJ59" s="11"/>
      <c r="AK59" s="11"/>
      <c r="AM59" s="63"/>
      <c r="AN59" s="63"/>
      <c r="AO59" s="63"/>
      <c r="AP59" s="696"/>
      <c r="AQ59" s="63"/>
      <c r="AR59" s="63"/>
      <c r="AS59" s="63"/>
      <c r="AT59" s="63"/>
      <c r="AU59" s="63"/>
      <c r="AV59" s="239"/>
      <c r="AW59" s="246"/>
      <c r="AX59" s="247"/>
      <c r="AY59" s="246"/>
      <c r="AZ59" s="302"/>
      <c r="BA59" s="370"/>
      <c r="BB59" s="370"/>
      <c r="BC59" s="462"/>
      <c r="BD59" s="302"/>
      <c r="BE59" s="302"/>
      <c r="BF59" s="302"/>
      <c r="BG59" s="302"/>
      <c r="BH59" s="302"/>
      <c r="BI59" s="302"/>
      <c r="BJ59" s="410"/>
      <c r="BK59" s="410"/>
      <c r="BL59" s="564"/>
      <c r="BM59" s="564"/>
      <c r="BP59" s="515"/>
      <c r="BQ59" s="320"/>
      <c r="BR59" s="320"/>
    </row>
    <row r="60" spans="1:71" ht="11.25" customHeight="1">
      <c r="A60" s="116" t="s">
        <v>35</v>
      </c>
      <c r="L60" s="596"/>
      <c r="M60" s="11"/>
      <c r="N60" s="11"/>
      <c r="O60" s="11"/>
      <c r="P60" s="11"/>
      <c r="Q60" s="11"/>
      <c r="R60" s="11"/>
      <c r="S60" s="11"/>
      <c r="T60" s="11"/>
      <c r="U60" s="11"/>
      <c r="V60" s="596"/>
      <c r="W60" s="11"/>
      <c r="X60" s="11"/>
      <c r="Y60" s="11"/>
      <c r="Z60" s="11"/>
      <c r="AA60" s="11"/>
      <c r="AB60" s="11"/>
      <c r="AC60" s="11"/>
      <c r="AD60" s="11"/>
      <c r="AE60" s="11"/>
      <c r="AF60" s="596"/>
      <c r="AG60" s="11"/>
      <c r="AH60" s="11"/>
      <c r="AI60" s="11"/>
      <c r="AJ60" s="11"/>
      <c r="AK60" s="11"/>
      <c r="AM60" s="63"/>
      <c r="AN60" s="63"/>
      <c r="AO60" s="63"/>
      <c r="AP60" s="696"/>
      <c r="AQ60" s="63"/>
      <c r="AR60" s="63"/>
      <c r="AS60" s="63"/>
      <c r="AT60" s="63"/>
      <c r="AU60" s="63"/>
      <c r="AV60" s="239"/>
      <c r="AW60" s="246"/>
      <c r="AX60" s="247"/>
      <c r="AY60" s="246"/>
      <c r="AZ60" s="302"/>
      <c r="BA60" s="370"/>
      <c r="BB60" s="370"/>
      <c r="BC60" s="462"/>
      <c r="BD60" s="302"/>
      <c r="BE60" s="302"/>
      <c r="BF60" s="302"/>
      <c r="BG60" s="302"/>
      <c r="BH60" s="302"/>
      <c r="BI60" s="302"/>
      <c r="BJ60" s="410"/>
      <c r="BK60" s="410"/>
      <c r="BL60" s="564"/>
      <c r="BM60" s="564"/>
      <c r="BP60" s="515"/>
      <c r="BQ60" s="320"/>
      <c r="BR60" s="320"/>
    </row>
    <row r="61" spans="1:71" s="711" customFormat="1" ht="11.25" customHeight="1">
      <c r="A61" s="743" t="s">
        <v>100</v>
      </c>
      <c r="B61" s="593">
        <v>3928</v>
      </c>
      <c r="C61" s="716">
        <v>6043</v>
      </c>
      <c r="D61" s="716">
        <v>6756</v>
      </c>
      <c r="E61" s="716">
        <v>7254</v>
      </c>
      <c r="F61" s="716">
        <v>7365</v>
      </c>
      <c r="G61" s="716">
        <v>7205</v>
      </c>
      <c r="H61" s="716">
        <v>6841</v>
      </c>
      <c r="I61" s="716">
        <v>6572</v>
      </c>
      <c r="J61" s="716">
        <v>6671</v>
      </c>
      <c r="K61" s="716">
        <v>6736</v>
      </c>
      <c r="L61" s="596">
        <v>6447</v>
      </c>
      <c r="M61" s="717">
        <v>7350</v>
      </c>
      <c r="N61" s="717">
        <v>6814</v>
      </c>
      <c r="O61" s="717">
        <v>6990</v>
      </c>
      <c r="P61" s="717">
        <v>6805</v>
      </c>
      <c r="Q61" s="717">
        <v>6534</v>
      </c>
      <c r="R61" s="717">
        <v>6573</v>
      </c>
      <c r="S61" s="717">
        <v>6316</v>
      </c>
      <c r="T61" s="717">
        <v>6297</v>
      </c>
      <c r="U61" s="717">
        <v>6334</v>
      </c>
      <c r="V61" s="596">
        <v>6251</v>
      </c>
      <c r="W61" s="717">
        <v>5559</v>
      </c>
      <c r="X61" s="717">
        <v>4843</v>
      </c>
      <c r="Y61" s="717">
        <v>4487</v>
      </c>
      <c r="Z61" s="717">
        <v>4502</v>
      </c>
      <c r="AA61" s="717">
        <v>4403</v>
      </c>
      <c r="AB61" s="717">
        <v>4570</v>
      </c>
      <c r="AC61" s="717">
        <v>4784</v>
      </c>
      <c r="AD61" s="717">
        <v>5054</v>
      </c>
      <c r="AE61" s="717">
        <v>5276</v>
      </c>
      <c r="AF61" s="596">
        <v>5640</v>
      </c>
      <c r="AG61" s="717">
        <v>5683</v>
      </c>
      <c r="AH61" s="717">
        <v>6154</v>
      </c>
      <c r="AI61" s="717">
        <v>6165</v>
      </c>
      <c r="AJ61" s="717">
        <v>5904</v>
      </c>
      <c r="AK61" s="717">
        <v>5467</v>
      </c>
      <c r="AL61" s="717">
        <v>6331</v>
      </c>
      <c r="AM61" s="718">
        <v>6095</v>
      </c>
      <c r="AN61" s="718">
        <v>6335</v>
      </c>
      <c r="AO61" s="718">
        <v>6584</v>
      </c>
      <c r="AP61" s="696">
        <v>6318.8085608358615</v>
      </c>
      <c r="AQ61" s="718">
        <v>6106.8227571115967</v>
      </c>
      <c r="AR61" s="718">
        <v>6569.4853825709897</v>
      </c>
      <c r="AS61" s="718">
        <v>5757</v>
      </c>
      <c r="AT61" s="718">
        <v>5475</v>
      </c>
      <c r="AU61" s="718">
        <v>5324</v>
      </c>
      <c r="AV61" s="739">
        <v>5460</v>
      </c>
      <c r="AW61" s="739">
        <v>5351</v>
      </c>
      <c r="AX61" s="735">
        <v>5772</v>
      </c>
      <c r="AY61" s="735">
        <v>6177</v>
      </c>
      <c r="AZ61" s="763">
        <v>6424</v>
      </c>
      <c r="BA61" s="736">
        <v>6387</v>
      </c>
      <c r="BB61" s="736">
        <v>6243</v>
      </c>
      <c r="BC61" s="736">
        <v>6127</v>
      </c>
      <c r="BD61" s="736">
        <v>5633</v>
      </c>
      <c r="BE61" s="736">
        <v>5736</v>
      </c>
      <c r="BF61" s="736">
        <v>5757</v>
      </c>
      <c r="BG61" s="305">
        <v>5865</v>
      </c>
      <c r="BH61" s="305">
        <v>5733</v>
      </c>
      <c r="BI61" s="305">
        <v>5504</v>
      </c>
      <c r="BJ61" s="410">
        <f>(BH61-BG61)/BG61</f>
        <v>-2.2506393861892585E-2</v>
      </c>
      <c r="BK61" s="410">
        <f>(BI61-BH61)/BH61</f>
        <v>-3.994418280132566E-2</v>
      </c>
      <c r="BL61" s="564">
        <f t="shared" ref="BL61:BL66" si="23">(BH61-BG61)</f>
        <v>-132</v>
      </c>
      <c r="BM61" s="564">
        <f t="shared" ref="BM61:BM66" si="24">(BI61-BH61)</f>
        <v>-229</v>
      </c>
      <c r="BN61" s="722"/>
      <c r="BO61" s="722"/>
      <c r="BP61" s="723"/>
      <c r="BQ61" s="710"/>
      <c r="BR61" s="710"/>
    </row>
    <row r="62" spans="1:71" ht="11.25" customHeight="1">
      <c r="A62" s="115" t="s">
        <v>101</v>
      </c>
      <c r="B62" s="227" t="s">
        <v>3</v>
      </c>
      <c r="C62" s="27" t="s">
        <v>3</v>
      </c>
      <c r="D62" s="27" t="s">
        <v>3</v>
      </c>
      <c r="E62" s="27" t="s">
        <v>3</v>
      </c>
      <c r="F62" s="27" t="s">
        <v>3</v>
      </c>
      <c r="G62" s="27" t="s">
        <v>3</v>
      </c>
      <c r="H62" s="25">
        <v>57</v>
      </c>
      <c r="I62" s="25">
        <v>189</v>
      </c>
      <c r="J62" s="25">
        <v>188</v>
      </c>
      <c r="K62" s="25">
        <v>198</v>
      </c>
      <c r="L62" s="596">
        <v>201</v>
      </c>
      <c r="M62" s="11">
        <v>161</v>
      </c>
      <c r="N62" s="11">
        <v>175</v>
      </c>
      <c r="O62" s="11">
        <v>246</v>
      </c>
      <c r="P62" s="11">
        <v>168</v>
      </c>
      <c r="Q62" s="11">
        <v>235</v>
      </c>
      <c r="R62" s="11">
        <v>233</v>
      </c>
      <c r="S62" s="11">
        <v>224</v>
      </c>
      <c r="T62" s="11">
        <v>235</v>
      </c>
      <c r="U62" s="11">
        <v>226</v>
      </c>
      <c r="V62" s="596">
        <v>239</v>
      </c>
      <c r="W62" s="11">
        <v>274</v>
      </c>
      <c r="X62" s="11">
        <v>278</v>
      </c>
      <c r="Y62" s="11">
        <v>262</v>
      </c>
      <c r="Z62" s="11">
        <v>252</v>
      </c>
      <c r="AA62" s="11">
        <v>248</v>
      </c>
      <c r="AB62" s="11">
        <v>266</v>
      </c>
      <c r="AC62" s="11">
        <v>405</v>
      </c>
      <c r="AD62" s="11">
        <v>432</v>
      </c>
      <c r="AE62" s="11">
        <v>458</v>
      </c>
      <c r="AF62" s="596">
        <v>495</v>
      </c>
      <c r="AG62" s="11">
        <v>603</v>
      </c>
      <c r="AH62" s="11">
        <v>645</v>
      </c>
      <c r="AI62" s="11">
        <v>694</v>
      </c>
      <c r="AJ62" s="11">
        <v>664</v>
      </c>
      <c r="AK62" s="11">
        <v>621</v>
      </c>
      <c r="AL62" s="11">
        <v>630</v>
      </c>
      <c r="AM62" s="63">
        <v>636</v>
      </c>
      <c r="AN62" s="63">
        <v>618</v>
      </c>
      <c r="AO62" s="63">
        <v>592</v>
      </c>
      <c r="AP62" s="778">
        <v>66</v>
      </c>
      <c r="AQ62" s="74">
        <v>92.054237288135582</v>
      </c>
      <c r="AR62" s="74">
        <v>126.64406779661016</v>
      </c>
      <c r="AS62" s="74">
        <v>128.53918495297805</v>
      </c>
      <c r="AT62" s="74">
        <v>128.37383177570092</v>
      </c>
      <c r="AU62" s="77" t="s">
        <v>3</v>
      </c>
      <c r="AV62" s="226" t="s">
        <v>3</v>
      </c>
      <c r="AW62" s="226" t="s">
        <v>3</v>
      </c>
      <c r="AX62" s="226" t="s">
        <v>3</v>
      </c>
      <c r="AY62" s="226" t="s">
        <v>3</v>
      </c>
      <c r="AZ62" s="212" t="s">
        <v>3</v>
      </c>
      <c r="BA62" s="385" t="s">
        <v>3</v>
      </c>
      <c r="BB62" s="385" t="s">
        <v>3</v>
      </c>
      <c r="BC62" s="385" t="s">
        <v>3</v>
      </c>
      <c r="BD62" s="520" t="s">
        <v>3</v>
      </c>
      <c r="BE62" s="520" t="s">
        <v>3</v>
      </c>
      <c r="BF62" s="520" t="s">
        <v>3</v>
      </c>
      <c r="BG62" s="520" t="s">
        <v>3</v>
      </c>
      <c r="BH62" s="520" t="s">
        <v>3</v>
      </c>
      <c r="BI62" s="520" t="s">
        <v>3</v>
      </c>
      <c r="BJ62" s="874" t="s">
        <v>10</v>
      </c>
      <c r="BK62" s="874" t="s">
        <v>10</v>
      </c>
      <c r="BL62" s="568" t="s">
        <v>10</v>
      </c>
      <c r="BM62" s="568" t="s">
        <v>10</v>
      </c>
      <c r="BP62" s="515"/>
      <c r="BQ62" s="320"/>
      <c r="BR62" s="320"/>
    </row>
    <row r="63" spans="1:71" ht="11.25" customHeight="1">
      <c r="A63" s="115" t="s">
        <v>102</v>
      </c>
      <c r="B63" s="695" t="s">
        <v>3</v>
      </c>
      <c r="C63" s="17" t="s">
        <v>3</v>
      </c>
      <c r="D63" s="17" t="s">
        <v>3</v>
      </c>
      <c r="E63" s="17" t="s">
        <v>3</v>
      </c>
      <c r="F63" s="17" t="s">
        <v>3</v>
      </c>
      <c r="G63" s="17" t="s">
        <v>3</v>
      </c>
      <c r="H63" s="17" t="s">
        <v>3</v>
      </c>
      <c r="I63" s="17" t="s">
        <v>3</v>
      </c>
      <c r="J63" s="17" t="s">
        <v>3</v>
      </c>
      <c r="K63" s="17" t="s">
        <v>3</v>
      </c>
      <c r="L63" s="695" t="s">
        <v>3</v>
      </c>
      <c r="M63" s="17" t="s">
        <v>3</v>
      </c>
      <c r="N63" s="17" t="s">
        <v>3</v>
      </c>
      <c r="O63" s="17" t="s">
        <v>3</v>
      </c>
      <c r="P63" s="17" t="s">
        <v>3</v>
      </c>
      <c r="Q63" s="17" t="s">
        <v>3</v>
      </c>
      <c r="R63" s="17" t="s">
        <v>3</v>
      </c>
      <c r="S63" s="17" t="s">
        <v>3</v>
      </c>
      <c r="T63" s="17" t="s">
        <v>3</v>
      </c>
      <c r="U63" s="17" t="s">
        <v>3</v>
      </c>
      <c r="V63" s="695" t="s">
        <v>3</v>
      </c>
      <c r="W63" s="17" t="s">
        <v>3</v>
      </c>
      <c r="X63" s="17" t="s">
        <v>3</v>
      </c>
      <c r="Y63" s="17" t="s">
        <v>3</v>
      </c>
      <c r="Z63" s="17" t="s">
        <v>3</v>
      </c>
      <c r="AA63" s="17" t="s">
        <v>3</v>
      </c>
      <c r="AB63" s="17" t="s">
        <v>3</v>
      </c>
      <c r="AC63" s="17" t="s">
        <v>3</v>
      </c>
      <c r="AD63" s="17" t="s">
        <v>3</v>
      </c>
      <c r="AE63" s="17" t="s">
        <v>3</v>
      </c>
      <c r="AF63" s="695" t="s">
        <v>3</v>
      </c>
      <c r="AG63" s="17" t="s">
        <v>3</v>
      </c>
      <c r="AH63" s="17" t="s">
        <v>3</v>
      </c>
      <c r="AI63" s="17" t="s">
        <v>3</v>
      </c>
      <c r="AJ63" s="17" t="s">
        <v>3</v>
      </c>
      <c r="AK63" s="17" t="s">
        <v>3</v>
      </c>
      <c r="AL63" s="17" t="s">
        <v>3</v>
      </c>
      <c r="AM63" s="17" t="s">
        <v>3</v>
      </c>
      <c r="AN63" s="17" t="s">
        <v>3</v>
      </c>
      <c r="AO63" s="17" t="s">
        <v>3</v>
      </c>
      <c r="AP63" s="180">
        <v>673</v>
      </c>
      <c r="AQ63" s="49">
        <v>715</v>
      </c>
      <c r="AR63" s="95">
        <v>864</v>
      </c>
      <c r="AS63" s="95">
        <v>1007</v>
      </c>
      <c r="AT63" s="95">
        <v>1006</v>
      </c>
      <c r="AU63" s="95">
        <v>1031</v>
      </c>
      <c r="AV63" s="163">
        <v>1007</v>
      </c>
      <c r="AW63" s="213">
        <v>1011</v>
      </c>
      <c r="AX63" s="60">
        <v>1018</v>
      </c>
      <c r="AY63" s="60">
        <v>1048</v>
      </c>
      <c r="AZ63" s="60">
        <v>1026</v>
      </c>
      <c r="BA63" s="284">
        <v>1079</v>
      </c>
      <c r="BB63" s="284">
        <v>1092</v>
      </c>
      <c r="BC63" s="284">
        <v>1101</v>
      </c>
      <c r="BD63" s="305">
        <v>1100</v>
      </c>
      <c r="BE63" s="305">
        <v>1111</v>
      </c>
      <c r="BF63" s="305">
        <v>1136</v>
      </c>
      <c r="BG63" s="305">
        <v>1161</v>
      </c>
      <c r="BH63" s="305">
        <v>1202</v>
      </c>
      <c r="BI63" s="305">
        <v>1202</v>
      </c>
      <c r="BJ63" s="410">
        <f t="shared" ref="BJ63:BK67" si="25">(BH63-BG63)/BG63</f>
        <v>3.5314384151593457E-2</v>
      </c>
      <c r="BK63" s="410">
        <f t="shared" si="25"/>
        <v>0</v>
      </c>
      <c r="BL63" s="564">
        <f t="shared" si="23"/>
        <v>41</v>
      </c>
      <c r="BM63" s="564">
        <f t="shared" si="24"/>
        <v>0</v>
      </c>
      <c r="BP63" s="515"/>
      <c r="BQ63" s="290"/>
      <c r="BR63" s="320"/>
    </row>
    <row r="64" spans="1:71" ht="11.25" customHeight="1">
      <c r="A64" s="115" t="s">
        <v>14</v>
      </c>
      <c r="B64" s="695" t="s">
        <v>3</v>
      </c>
      <c r="C64" s="17" t="s">
        <v>3</v>
      </c>
      <c r="D64" s="17" t="s">
        <v>3</v>
      </c>
      <c r="E64" s="17" t="s">
        <v>3</v>
      </c>
      <c r="F64" s="17" t="s">
        <v>3</v>
      </c>
      <c r="G64" s="17" t="s">
        <v>3</v>
      </c>
      <c r="H64" s="25">
        <v>34</v>
      </c>
      <c r="I64" s="25">
        <v>289</v>
      </c>
      <c r="J64" s="25">
        <v>287</v>
      </c>
      <c r="K64" s="25">
        <v>287</v>
      </c>
      <c r="L64" s="596">
        <v>299</v>
      </c>
      <c r="M64" s="11">
        <v>286</v>
      </c>
      <c r="N64" s="11">
        <v>318</v>
      </c>
      <c r="O64" s="11">
        <v>452</v>
      </c>
      <c r="P64" s="11">
        <v>345</v>
      </c>
      <c r="Q64" s="11">
        <v>412</v>
      </c>
      <c r="R64" s="11">
        <v>455</v>
      </c>
      <c r="S64" s="11">
        <v>545</v>
      </c>
      <c r="T64" s="11">
        <v>556</v>
      </c>
      <c r="U64" s="11">
        <v>573</v>
      </c>
      <c r="V64" s="596">
        <v>607</v>
      </c>
      <c r="W64" s="11">
        <v>578</v>
      </c>
      <c r="X64" s="11">
        <v>409</v>
      </c>
      <c r="Y64" s="11">
        <v>425</v>
      </c>
      <c r="Z64" s="11">
        <v>432</v>
      </c>
      <c r="AA64" s="11">
        <v>448</v>
      </c>
      <c r="AB64" s="11">
        <v>447</v>
      </c>
      <c r="AC64" s="11">
        <v>438</v>
      </c>
      <c r="AD64" s="11">
        <v>430</v>
      </c>
      <c r="AE64" s="11">
        <v>412</v>
      </c>
      <c r="AF64" s="596">
        <v>435</v>
      </c>
      <c r="AG64" s="11">
        <v>466</v>
      </c>
      <c r="AH64" s="11">
        <v>498</v>
      </c>
      <c r="AI64" s="11">
        <v>524</v>
      </c>
      <c r="AJ64" s="11">
        <v>535</v>
      </c>
      <c r="AK64" s="11">
        <v>544</v>
      </c>
      <c r="AL64" s="11">
        <v>547</v>
      </c>
      <c r="AM64" s="63">
        <v>540</v>
      </c>
      <c r="AN64" s="63">
        <v>688</v>
      </c>
      <c r="AO64" s="63">
        <v>701</v>
      </c>
      <c r="AP64" s="180">
        <v>718</v>
      </c>
      <c r="AQ64" s="23">
        <v>742</v>
      </c>
      <c r="AR64" s="23">
        <v>754</v>
      </c>
      <c r="AS64" s="23">
        <v>768</v>
      </c>
      <c r="AT64" s="23">
        <v>783</v>
      </c>
      <c r="AU64" s="152">
        <v>791</v>
      </c>
      <c r="AV64" s="153">
        <v>808</v>
      </c>
      <c r="AW64" s="153">
        <v>811</v>
      </c>
      <c r="AX64" s="60">
        <v>812</v>
      </c>
      <c r="AY64" s="153">
        <v>817</v>
      </c>
      <c r="AZ64" s="153">
        <v>840</v>
      </c>
      <c r="BA64" s="283">
        <v>856</v>
      </c>
      <c r="BB64" s="283">
        <v>859</v>
      </c>
      <c r="BC64" s="283">
        <v>881</v>
      </c>
      <c r="BD64" s="370">
        <v>847</v>
      </c>
      <c r="BE64" s="370">
        <v>836</v>
      </c>
      <c r="BF64" s="370">
        <v>903</v>
      </c>
      <c r="BG64" s="370">
        <v>909</v>
      </c>
      <c r="BH64" s="370">
        <v>920</v>
      </c>
      <c r="BI64" s="370">
        <v>920</v>
      </c>
      <c r="BJ64" s="410">
        <f t="shared" si="25"/>
        <v>1.2101210121012101E-2</v>
      </c>
      <c r="BK64" s="410">
        <f t="shared" si="25"/>
        <v>0</v>
      </c>
      <c r="BL64" s="564">
        <f t="shared" si="23"/>
        <v>11</v>
      </c>
      <c r="BM64" s="564">
        <f t="shared" si="24"/>
        <v>0</v>
      </c>
      <c r="BP64" s="515"/>
      <c r="BQ64" s="290"/>
      <c r="BR64" s="320"/>
    </row>
    <row r="65" spans="1:70" s="711" customFormat="1" ht="11.25" customHeight="1">
      <c r="A65" s="743" t="s">
        <v>61</v>
      </c>
      <c r="B65" s="695" t="s">
        <v>3</v>
      </c>
      <c r="C65" s="750" t="s">
        <v>3</v>
      </c>
      <c r="D65" s="750" t="s">
        <v>3</v>
      </c>
      <c r="E65" s="750" t="s">
        <v>3</v>
      </c>
      <c r="F65" s="750" t="s">
        <v>3</v>
      </c>
      <c r="G65" s="750" t="s">
        <v>3</v>
      </c>
      <c r="H65" s="716">
        <v>18</v>
      </c>
      <c r="I65" s="716">
        <v>30</v>
      </c>
      <c r="J65" s="716">
        <v>650</v>
      </c>
      <c r="K65" s="716">
        <v>583</v>
      </c>
      <c r="L65" s="648">
        <v>562</v>
      </c>
      <c r="M65" s="731">
        <v>607</v>
      </c>
      <c r="N65" s="731">
        <v>745</v>
      </c>
      <c r="O65" s="731">
        <v>761</v>
      </c>
      <c r="P65" s="731">
        <v>784</v>
      </c>
      <c r="Q65" s="731">
        <v>802</v>
      </c>
      <c r="R65" s="731">
        <v>816</v>
      </c>
      <c r="S65" s="731">
        <v>861</v>
      </c>
      <c r="T65" s="731">
        <v>892</v>
      </c>
      <c r="U65" s="731">
        <v>895</v>
      </c>
      <c r="V65" s="648">
        <v>917</v>
      </c>
      <c r="W65" s="731">
        <v>841</v>
      </c>
      <c r="X65" s="731">
        <v>749</v>
      </c>
      <c r="Y65" s="731">
        <v>673</v>
      </c>
      <c r="Z65" s="731">
        <v>656</v>
      </c>
      <c r="AA65" s="731">
        <v>664</v>
      </c>
      <c r="AB65" s="731">
        <v>641</v>
      </c>
      <c r="AC65" s="731">
        <v>648</v>
      </c>
      <c r="AD65" s="731">
        <v>672</v>
      </c>
      <c r="AE65" s="731">
        <v>1033</v>
      </c>
      <c r="AF65" s="648">
        <v>605</v>
      </c>
      <c r="AG65" s="731">
        <v>458</v>
      </c>
      <c r="AH65" s="731">
        <v>730</v>
      </c>
      <c r="AI65" s="731">
        <v>726</v>
      </c>
      <c r="AJ65" s="731">
        <v>679</v>
      </c>
      <c r="AK65" s="731">
        <v>642</v>
      </c>
      <c r="AL65" s="731">
        <v>618</v>
      </c>
      <c r="AM65" s="746">
        <v>597</v>
      </c>
      <c r="AN65" s="746">
        <v>625</v>
      </c>
      <c r="AO65" s="746">
        <v>600</v>
      </c>
      <c r="AP65" s="697">
        <v>612</v>
      </c>
      <c r="AQ65" s="725">
        <v>633</v>
      </c>
      <c r="AR65" s="725">
        <v>661</v>
      </c>
      <c r="AS65" s="726">
        <v>669</v>
      </c>
      <c r="AT65" s="725">
        <f>249+374</f>
        <v>623</v>
      </c>
      <c r="AU65" s="709">
        <v>600</v>
      </c>
      <c r="AV65" s="751">
        <v>605</v>
      </c>
      <c r="AW65" s="751">
        <v>578</v>
      </c>
      <c r="AX65" s="735">
        <v>572</v>
      </c>
      <c r="AY65" s="751">
        <v>562</v>
      </c>
      <c r="AZ65" s="751">
        <v>545</v>
      </c>
      <c r="BA65" s="752">
        <v>546</v>
      </c>
      <c r="BB65" s="752">
        <v>536</v>
      </c>
      <c r="BC65" s="752">
        <v>522</v>
      </c>
      <c r="BD65" s="752">
        <v>531</v>
      </c>
      <c r="BE65" s="752">
        <v>507</v>
      </c>
      <c r="BF65" s="752">
        <v>484</v>
      </c>
      <c r="BG65" s="370">
        <v>490</v>
      </c>
      <c r="BH65" s="370">
        <v>567</v>
      </c>
      <c r="BI65" s="370">
        <v>571</v>
      </c>
      <c r="BJ65" s="410">
        <f t="shared" si="25"/>
        <v>0.15714285714285714</v>
      </c>
      <c r="BK65" s="410">
        <f t="shared" si="25"/>
        <v>7.0546737213403876E-3</v>
      </c>
      <c r="BL65" s="564">
        <f t="shared" si="23"/>
        <v>77</v>
      </c>
      <c r="BM65" s="564">
        <f t="shared" si="24"/>
        <v>4</v>
      </c>
      <c r="BN65" s="722"/>
      <c r="BO65" s="722"/>
      <c r="BP65" s="723"/>
      <c r="BQ65" s="710"/>
      <c r="BR65" s="710"/>
    </row>
    <row r="66" spans="1:70" ht="11.25" customHeight="1">
      <c r="A66" s="119" t="s">
        <v>119</v>
      </c>
      <c r="B66" s="695" t="s">
        <v>3</v>
      </c>
      <c r="C66" s="17" t="s">
        <v>3</v>
      </c>
      <c r="D66" s="17" t="s">
        <v>3</v>
      </c>
      <c r="E66" s="17" t="s">
        <v>3</v>
      </c>
      <c r="F66" s="17" t="s">
        <v>3</v>
      </c>
      <c r="G66" s="17" t="s">
        <v>3</v>
      </c>
      <c r="H66" s="17" t="s">
        <v>3</v>
      </c>
      <c r="I66" s="17" t="s">
        <v>3</v>
      </c>
      <c r="J66" s="17" t="s">
        <v>3</v>
      </c>
      <c r="K66" s="17" t="s">
        <v>3</v>
      </c>
      <c r="L66" s="695" t="s">
        <v>3</v>
      </c>
      <c r="M66" s="17" t="s">
        <v>3</v>
      </c>
      <c r="N66" s="17" t="s">
        <v>3</v>
      </c>
      <c r="O66" s="17" t="s">
        <v>3</v>
      </c>
      <c r="P66" s="17" t="s">
        <v>3</v>
      </c>
      <c r="Q66" s="17" t="s">
        <v>3</v>
      </c>
      <c r="R66" s="17" t="s">
        <v>3</v>
      </c>
      <c r="S66" s="17" t="s">
        <v>3</v>
      </c>
      <c r="T66" s="17" t="s">
        <v>3</v>
      </c>
      <c r="U66" s="17" t="s">
        <v>3</v>
      </c>
      <c r="V66" s="695" t="s">
        <v>3</v>
      </c>
      <c r="W66" s="17" t="s">
        <v>3</v>
      </c>
      <c r="X66" s="17" t="s">
        <v>3</v>
      </c>
      <c r="Y66" s="17" t="s">
        <v>3</v>
      </c>
      <c r="Z66" s="17" t="s">
        <v>3</v>
      </c>
      <c r="AA66" s="17" t="s">
        <v>3</v>
      </c>
      <c r="AB66" s="17" t="s">
        <v>3</v>
      </c>
      <c r="AC66" s="17" t="s">
        <v>3</v>
      </c>
      <c r="AD66" s="75">
        <v>47</v>
      </c>
      <c r="AE66" s="75">
        <v>48</v>
      </c>
      <c r="AF66" s="648">
        <v>50</v>
      </c>
      <c r="AG66" s="75">
        <v>58</v>
      </c>
      <c r="AH66" s="75">
        <v>57</v>
      </c>
      <c r="AI66" s="75">
        <v>60</v>
      </c>
      <c r="AJ66" s="75">
        <v>62</v>
      </c>
      <c r="AK66" s="75">
        <v>71</v>
      </c>
      <c r="AL66" s="75">
        <v>84</v>
      </c>
      <c r="AM66" s="66">
        <v>92</v>
      </c>
      <c r="AN66" s="66">
        <v>97</v>
      </c>
      <c r="AO66" s="66">
        <v>93</v>
      </c>
      <c r="AP66" s="697">
        <v>97</v>
      </c>
      <c r="AQ66" s="23">
        <v>96</v>
      </c>
      <c r="AR66" s="23">
        <v>100</v>
      </c>
      <c r="AS66" s="49">
        <v>111</v>
      </c>
      <c r="AT66" s="23">
        <v>125</v>
      </c>
      <c r="AU66" s="152">
        <v>154</v>
      </c>
      <c r="AV66" s="153">
        <v>139</v>
      </c>
      <c r="AW66" s="153">
        <v>146</v>
      </c>
      <c r="AX66" s="60">
        <v>147</v>
      </c>
      <c r="AY66" s="153">
        <v>162</v>
      </c>
      <c r="AZ66" s="153">
        <v>175</v>
      </c>
      <c r="BA66" s="283">
        <v>193</v>
      </c>
      <c r="BB66" s="283">
        <v>195</v>
      </c>
      <c r="BC66" s="283">
        <v>197</v>
      </c>
      <c r="BD66" s="370">
        <v>198</v>
      </c>
      <c r="BE66" s="370">
        <v>215</v>
      </c>
      <c r="BF66" s="370">
        <v>258</v>
      </c>
      <c r="BG66" s="370">
        <v>291</v>
      </c>
      <c r="BH66" s="370">
        <v>308</v>
      </c>
      <c r="BI66" s="370">
        <v>308</v>
      </c>
      <c r="BJ66" s="410">
        <f t="shared" si="25"/>
        <v>5.8419243986254296E-2</v>
      </c>
      <c r="BK66" s="410">
        <f t="shared" si="25"/>
        <v>0</v>
      </c>
      <c r="BL66" s="564">
        <f t="shared" si="23"/>
        <v>17</v>
      </c>
      <c r="BM66" s="564">
        <f t="shared" si="24"/>
        <v>0</v>
      </c>
      <c r="BP66" s="515"/>
      <c r="BQ66" s="290"/>
      <c r="BR66" s="320"/>
    </row>
    <row r="67" spans="1:70" ht="11.25" customHeight="1">
      <c r="A67" s="393" t="s">
        <v>36</v>
      </c>
      <c r="B67" s="384">
        <f t="shared" ref="B67:BD67" si="26">SUM(B61:B66)</f>
        <v>3928</v>
      </c>
      <c r="C67" s="384">
        <f t="shared" si="26"/>
        <v>6043</v>
      </c>
      <c r="D67" s="384">
        <f t="shared" si="26"/>
        <v>6756</v>
      </c>
      <c r="E67" s="384">
        <f t="shared" si="26"/>
        <v>7254</v>
      </c>
      <c r="F67" s="384">
        <f t="shared" si="26"/>
        <v>7365</v>
      </c>
      <c r="G67" s="384">
        <f t="shared" si="26"/>
        <v>7205</v>
      </c>
      <c r="H67" s="384">
        <f t="shared" si="26"/>
        <v>6950</v>
      </c>
      <c r="I67" s="384">
        <f t="shared" si="26"/>
        <v>7080</v>
      </c>
      <c r="J67" s="384">
        <f t="shared" si="26"/>
        <v>7796</v>
      </c>
      <c r="K67" s="384">
        <f t="shared" si="26"/>
        <v>7804</v>
      </c>
      <c r="L67" s="384">
        <f t="shared" si="26"/>
        <v>7509</v>
      </c>
      <c r="M67" s="384">
        <f t="shared" si="26"/>
        <v>8404</v>
      </c>
      <c r="N67" s="384">
        <f t="shared" si="26"/>
        <v>8052</v>
      </c>
      <c r="O67" s="384">
        <f t="shared" si="26"/>
        <v>8449</v>
      </c>
      <c r="P67" s="384">
        <f t="shared" si="26"/>
        <v>8102</v>
      </c>
      <c r="Q67" s="384">
        <f t="shared" si="26"/>
        <v>7983</v>
      </c>
      <c r="R67" s="384">
        <f t="shared" si="26"/>
        <v>8077</v>
      </c>
      <c r="S67" s="384">
        <f t="shared" si="26"/>
        <v>7946</v>
      </c>
      <c r="T67" s="384">
        <f t="shared" si="26"/>
        <v>7980</v>
      </c>
      <c r="U67" s="384">
        <f t="shared" si="26"/>
        <v>8028</v>
      </c>
      <c r="V67" s="384">
        <f t="shared" si="26"/>
        <v>8014</v>
      </c>
      <c r="W67" s="384">
        <f t="shared" si="26"/>
        <v>7252</v>
      </c>
      <c r="X67" s="384">
        <f t="shared" si="26"/>
        <v>6279</v>
      </c>
      <c r="Y67" s="384">
        <f t="shared" si="26"/>
        <v>5847</v>
      </c>
      <c r="Z67" s="384">
        <f t="shared" si="26"/>
        <v>5842</v>
      </c>
      <c r="AA67" s="384">
        <f t="shared" si="26"/>
        <v>5763</v>
      </c>
      <c r="AB67" s="384">
        <f t="shared" si="26"/>
        <v>5924</v>
      </c>
      <c r="AC67" s="384">
        <f t="shared" si="26"/>
        <v>6275</v>
      </c>
      <c r="AD67" s="384">
        <f t="shared" si="26"/>
        <v>6635</v>
      </c>
      <c r="AE67" s="384">
        <f t="shared" si="26"/>
        <v>7227</v>
      </c>
      <c r="AF67" s="384">
        <f t="shared" si="26"/>
        <v>7225</v>
      </c>
      <c r="AG67" s="384">
        <f t="shared" si="26"/>
        <v>7268</v>
      </c>
      <c r="AH67" s="384">
        <f t="shared" si="26"/>
        <v>8084</v>
      </c>
      <c r="AI67" s="384">
        <f t="shared" si="26"/>
        <v>8169</v>
      </c>
      <c r="AJ67" s="384">
        <f t="shared" si="26"/>
        <v>7844</v>
      </c>
      <c r="AK67" s="384">
        <f t="shared" si="26"/>
        <v>7345</v>
      </c>
      <c r="AL67" s="384">
        <f t="shared" si="26"/>
        <v>8210</v>
      </c>
      <c r="AM67" s="384">
        <f t="shared" si="26"/>
        <v>7960</v>
      </c>
      <c r="AN67" s="384">
        <f t="shared" si="26"/>
        <v>8363</v>
      </c>
      <c r="AO67" s="384">
        <f t="shared" si="26"/>
        <v>8570</v>
      </c>
      <c r="AP67" s="384">
        <f t="shared" si="26"/>
        <v>8484.8085608358615</v>
      </c>
      <c r="AQ67" s="384">
        <f t="shared" si="26"/>
        <v>8384.8769943997322</v>
      </c>
      <c r="AR67" s="384">
        <f t="shared" si="26"/>
        <v>9075.1294503675999</v>
      </c>
      <c r="AS67" s="384">
        <f t="shared" si="26"/>
        <v>8440.5391849529769</v>
      </c>
      <c r="AT67" s="384">
        <f t="shared" si="26"/>
        <v>8140.3738317757006</v>
      </c>
      <c r="AU67" s="384">
        <f t="shared" si="26"/>
        <v>7900</v>
      </c>
      <c r="AV67" s="384">
        <f t="shared" si="26"/>
        <v>8019</v>
      </c>
      <c r="AW67" s="384">
        <f t="shared" si="26"/>
        <v>7897</v>
      </c>
      <c r="AX67" s="384">
        <f t="shared" si="26"/>
        <v>8321</v>
      </c>
      <c r="AY67" s="384">
        <f t="shared" si="26"/>
        <v>8766</v>
      </c>
      <c r="AZ67" s="384">
        <f t="shared" si="26"/>
        <v>9010</v>
      </c>
      <c r="BA67" s="384">
        <f t="shared" si="26"/>
        <v>9061</v>
      </c>
      <c r="BB67" s="384">
        <f t="shared" si="26"/>
        <v>8925</v>
      </c>
      <c r="BC67" s="384">
        <f t="shared" si="26"/>
        <v>8828</v>
      </c>
      <c r="BD67" s="384">
        <f t="shared" si="26"/>
        <v>8309</v>
      </c>
      <c r="BE67" s="384">
        <f>SUM(BE61:BE66)</f>
        <v>8405</v>
      </c>
      <c r="BF67" s="384">
        <f>SUM(BF61:BF66)</f>
        <v>8538</v>
      </c>
      <c r="BG67" s="384">
        <f>SUM(BG61:BG66)</f>
        <v>8716</v>
      </c>
      <c r="BH67" s="384">
        <f>SUM(BH61:BH66)</f>
        <v>8730</v>
      </c>
      <c r="BI67" s="384">
        <f>SUM(BI61:BI66)</f>
        <v>8505</v>
      </c>
      <c r="BJ67" s="872">
        <f t="shared" si="25"/>
        <v>1.6062413951353832E-3</v>
      </c>
      <c r="BK67" s="872">
        <f t="shared" si="25"/>
        <v>-2.5773195876288658E-2</v>
      </c>
      <c r="BL67" s="567">
        <f>BH67-BG67</f>
        <v>14</v>
      </c>
      <c r="BM67" s="567">
        <f>BI67-BH67</f>
        <v>-225</v>
      </c>
      <c r="BP67" s="515"/>
      <c r="BQ67" s="290"/>
      <c r="BR67" s="320"/>
    </row>
    <row r="68" spans="1:70" ht="13.5" customHeight="1">
      <c r="A68" s="115"/>
      <c r="G68" s="310"/>
      <c r="H68" s="310"/>
      <c r="I68" s="310"/>
      <c r="J68" s="310"/>
      <c r="K68" s="310"/>
      <c r="L68" s="557"/>
      <c r="M68" s="310"/>
      <c r="N68" s="310"/>
      <c r="O68" s="310"/>
      <c r="P68" s="310"/>
      <c r="Q68" s="310"/>
      <c r="R68" s="310"/>
      <c r="S68" s="310"/>
      <c r="T68" s="310"/>
      <c r="U68" s="310"/>
      <c r="V68" s="557"/>
      <c r="W68" s="310"/>
      <c r="X68" s="310"/>
      <c r="Y68" s="310"/>
      <c r="Z68" s="310"/>
      <c r="AA68" s="310"/>
      <c r="AB68" s="310"/>
      <c r="AC68" s="310"/>
      <c r="AD68" s="310"/>
      <c r="AE68" s="310"/>
      <c r="AF68" s="557"/>
      <c r="AG68" s="310"/>
      <c r="AH68" s="310"/>
      <c r="AI68" s="310"/>
      <c r="AJ68" s="310"/>
      <c r="AK68" s="310"/>
      <c r="AL68" s="310"/>
      <c r="AM68" s="310"/>
      <c r="AN68" s="310"/>
      <c r="AO68" s="310"/>
      <c r="AP68" s="557"/>
      <c r="AQ68" s="310"/>
      <c r="AR68" s="310"/>
      <c r="AS68" s="310"/>
      <c r="AT68" s="310"/>
      <c r="AU68" s="310"/>
      <c r="AV68" s="310"/>
      <c r="AW68" s="310"/>
      <c r="AX68" s="310"/>
      <c r="AY68" s="310"/>
      <c r="AZ68" s="310"/>
      <c r="BA68" s="310"/>
      <c r="BB68" s="310"/>
      <c r="BC68" s="310"/>
      <c r="BD68" s="310"/>
      <c r="BE68" s="310"/>
      <c r="BF68" s="557"/>
      <c r="BG68" s="557"/>
      <c r="BH68" s="557"/>
      <c r="BI68" s="557"/>
      <c r="BJ68" s="410"/>
      <c r="BK68" s="410"/>
      <c r="BL68" s="564"/>
      <c r="BM68" s="564"/>
      <c r="BP68" s="515"/>
      <c r="BQ68" s="320"/>
      <c r="BR68" s="320"/>
    </row>
    <row r="69" spans="1:70" ht="11.25" customHeight="1">
      <c r="A69" s="119" t="s">
        <v>162</v>
      </c>
      <c r="B69" s="695" t="s">
        <v>3</v>
      </c>
      <c r="C69" s="17" t="s">
        <v>3</v>
      </c>
      <c r="D69" s="17" t="s">
        <v>3</v>
      </c>
      <c r="E69" s="17" t="s">
        <v>3</v>
      </c>
      <c r="F69" s="17" t="s">
        <v>3</v>
      </c>
      <c r="G69" s="17" t="s">
        <v>3</v>
      </c>
      <c r="H69" s="17" t="s">
        <v>3</v>
      </c>
      <c r="I69" s="17" t="s">
        <v>3</v>
      </c>
      <c r="J69" s="17" t="s">
        <v>3</v>
      </c>
      <c r="K69" s="17" t="s">
        <v>3</v>
      </c>
      <c r="L69" s="695" t="s">
        <v>3</v>
      </c>
      <c r="M69" s="17" t="s">
        <v>3</v>
      </c>
      <c r="N69" s="17" t="s">
        <v>3</v>
      </c>
      <c r="O69" s="17" t="s">
        <v>3</v>
      </c>
      <c r="P69" s="17" t="s">
        <v>3</v>
      </c>
      <c r="Q69" s="17" t="s">
        <v>3</v>
      </c>
      <c r="R69" s="17" t="s">
        <v>3</v>
      </c>
      <c r="S69" s="17" t="s">
        <v>3</v>
      </c>
      <c r="T69" s="17" t="s">
        <v>3</v>
      </c>
      <c r="U69" s="17" t="s">
        <v>3</v>
      </c>
      <c r="V69" s="695" t="s">
        <v>3</v>
      </c>
      <c r="W69" s="17" t="s">
        <v>3</v>
      </c>
      <c r="X69" s="17" t="s">
        <v>3</v>
      </c>
      <c r="Y69" s="17" t="s">
        <v>3</v>
      </c>
      <c r="Z69" s="17" t="s">
        <v>3</v>
      </c>
      <c r="AA69" s="17" t="s">
        <v>3</v>
      </c>
      <c r="AB69" s="17" t="s">
        <v>3</v>
      </c>
      <c r="AC69" s="17" t="s">
        <v>3</v>
      </c>
      <c r="AD69" s="17" t="s">
        <v>3</v>
      </c>
      <c r="AE69" s="17" t="s">
        <v>3</v>
      </c>
      <c r="AF69" s="695" t="s">
        <v>3</v>
      </c>
      <c r="AG69" s="17" t="s">
        <v>3</v>
      </c>
      <c r="AH69" s="17" t="s">
        <v>3</v>
      </c>
      <c r="AI69" s="17" t="s">
        <v>3</v>
      </c>
      <c r="AJ69" s="17" t="s">
        <v>3</v>
      </c>
      <c r="AK69" s="17" t="s">
        <v>3</v>
      </c>
      <c r="AL69" s="23">
        <v>105</v>
      </c>
      <c r="AM69" s="63">
        <v>130</v>
      </c>
      <c r="AN69" s="63">
        <v>129</v>
      </c>
      <c r="AO69" s="63">
        <v>131</v>
      </c>
      <c r="AP69" s="696">
        <f>126+9</f>
        <v>135</v>
      </c>
      <c r="AQ69" s="63">
        <f>126+9</f>
        <v>135</v>
      </c>
      <c r="AR69" s="63">
        <v>143</v>
      </c>
      <c r="AS69" s="63">
        <v>137</v>
      </c>
      <c r="AT69" s="63">
        <v>135</v>
      </c>
      <c r="AU69" s="25">
        <v>134</v>
      </c>
      <c r="AV69" s="27">
        <v>137</v>
      </c>
      <c r="AW69" s="27">
        <v>136</v>
      </c>
      <c r="AX69" s="60">
        <v>138</v>
      </c>
      <c r="AY69" s="153">
        <v>141</v>
      </c>
      <c r="AZ69" s="153">
        <v>149</v>
      </c>
      <c r="BA69" s="283">
        <v>140</v>
      </c>
      <c r="BB69" s="283">
        <v>134</v>
      </c>
      <c r="BC69" s="283">
        <f>131+5</f>
        <v>136</v>
      </c>
      <c r="BD69" s="370">
        <v>131</v>
      </c>
      <c r="BE69" s="370">
        <v>137</v>
      </c>
      <c r="BF69" s="370">
        <v>136</v>
      </c>
      <c r="BG69" s="370">
        <v>130</v>
      </c>
      <c r="BH69" s="370">
        <v>142</v>
      </c>
      <c r="BI69" s="370">
        <v>142</v>
      </c>
      <c r="BJ69" s="410">
        <f>(BH69-BG69)/BG69</f>
        <v>9.2307692307692313E-2</v>
      </c>
      <c r="BK69" s="410">
        <f>(BI69-BH69)/BH69</f>
        <v>0</v>
      </c>
      <c r="BL69" s="564">
        <f t="shared" ref="BL69" si="27">(BH69-BG69)</f>
        <v>12</v>
      </c>
      <c r="BM69" s="564">
        <f t="shared" ref="BM69" si="28">(BI69-BH69)</f>
        <v>0</v>
      </c>
      <c r="BP69" s="515"/>
      <c r="BQ69" s="320"/>
      <c r="BR69" s="320"/>
    </row>
    <row r="70" spans="1:70" ht="6" customHeight="1">
      <c r="A70" s="115"/>
      <c r="L70" s="596"/>
      <c r="M70" s="11"/>
      <c r="N70" s="11"/>
      <c r="O70" s="11"/>
      <c r="P70" s="11"/>
      <c r="Q70" s="11"/>
      <c r="R70" s="11"/>
      <c r="S70" s="11"/>
      <c r="T70" s="11"/>
      <c r="U70" s="11"/>
      <c r="V70" s="596"/>
      <c r="W70" s="11"/>
      <c r="X70" s="11"/>
      <c r="Y70" s="11"/>
      <c r="Z70" s="11"/>
      <c r="AA70" s="11"/>
      <c r="AB70" s="11"/>
      <c r="AC70" s="11"/>
      <c r="AD70" s="11"/>
      <c r="AE70" s="11"/>
      <c r="AF70" s="596"/>
      <c r="AG70" s="11"/>
      <c r="AH70" s="11"/>
      <c r="AI70" s="11"/>
      <c r="AJ70" s="11"/>
      <c r="AK70" s="11"/>
      <c r="AM70" s="63"/>
      <c r="AN70" s="63"/>
      <c r="AO70" s="63"/>
      <c r="AP70" s="696"/>
      <c r="AQ70" s="63"/>
      <c r="AR70" s="49"/>
      <c r="AS70" s="63"/>
      <c r="AT70" s="63"/>
      <c r="AU70" s="63"/>
      <c r="AV70" s="147"/>
      <c r="AW70" s="202"/>
      <c r="AX70" s="232"/>
      <c r="AY70" s="202"/>
      <c r="AZ70" s="301"/>
      <c r="BA70" s="283"/>
      <c r="BB70" s="283"/>
      <c r="BC70" s="283"/>
      <c r="BD70" s="302"/>
      <c r="BE70" s="302"/>
      <c r="BF70" s="302"/>
      <c r="BG70" s="302"/>
      <c r="BH70" s="302"/>
      <c r="BI70" s="302"/>
      <c r="BJ70" s="410"/>
      <c r="BK70" s="410"/>
      <c r="BL70" s="566"/>
      <c r="BM70" s="566"/>
      <c r="BP70" s="515"/>
      <c r="BQ70" s="320"/>
      <c r="BR70" s="320"/>
    </row>
    <row r="71" spans="1:70" ht="11.25" customHeight="1">
      <c r="A71" s="115" t="s">
        <v>22</v>
      </c>
      <c r="B71" s="238" t="s">
        <v>3</v>
      </c>
      <c r="C71" s="153" t="s">
        <v>3</v>
      </c>
      <c r="D71" s="153" t="s">
        <v>3</v>
      </c>
      <c r="E71" s="153" t="s">
        <v>3</v>
      </c>
      <c r="F71" s="153" t="s">
        <v>3</v>
      </c>
      <c r="G71" s="153" t="s">
        <v>3</v>
      </c>
      <c r="H71" s="153" t="s">
        <v>3</v>
      </c>
      <c r="I71" s="153" t="s">
        <v>3</v>
      </c>
      <c r="J71" s="153" t="s">
        <v>3</v>
      </c>
      <c r="K71" s="153" t="s">
        <v>3</v>
      </c>
      <c r="L71" s="686">
        <v>279</v>
      </c>
      <c r="M71" s="13">
        <v>272</v>
      </c>
      <c r="N71" s="13">
        <v>281</v>
      </c>
      <c r="O71" s="13">
        <v>275</v>
      </c>
      <c r="P71" s="13">
        <v>277</v>
      </c>
      <c r="Q71" s="13">
        <v>288</v>
      </c>
      <c r="R71" s="13">
        <v>303</v>
      </c>
      <c r="S71" s="13">
        <v>357</v>
      </c>
      <c r="T71" s="13">
        <v>388</v>
      </c>
      <c r="U71" s="13">
        <v>375</v>
      </c>
      <c r="V71" s="686">
        <v>387</v>
      </c>
      <c r="W71" s="13">
        <v>370</v>
      </c>
      <c r="X71" s="13">
        <v>305</v>
      </c>
      <c r="Y71" s="13">
        <v>314</v>
      </c>
      <c r="Z71" s="13">
        <v>331</v>
      </c>
      <c r="AA71" s="13">
        <v>336</v>
      </c>
      <c r="AB71" s="13">
        <v>323</v>
      </c>
      <c r="AC71" s="13">
        <v>324</v>
      </c>
      <c r="AD71" s="13">
        <v>324</v>
      </c>
      <c r="AE71" s="13">
        <v>324</v>
      </c>
      <c r="AF71" s="686">
        <v>325</v>
      </c>
      <c r="AG71" s="13">
        <v>344</v>
      </c>
      <c r="AH71" s="13">
        <v>352</v>
      </c>
      <c r="AI71" s="13">
        <v>373</v>
      </c>
      <c r="AJ71" s="13">
        <v>356</v>
      </c>
      <c r="AK71" s="13">
        <v>354</v>
      </c>
      <c r="AL71" s="13">
        <v>360</v>
      </c>
      <c r="AM71" s="67">
        <v>368</v>
      </c>
      <c r="AN71" s="67">
        <v>414</v>
      </c>
      <c r="AO71" s="67">
        <v>439</v>
      </c>
      <c r="AP71" s="774">
        <v>421</v>
      </c>
      <c r="AQ71" s="67">
        <v>418</v>
      </c>
      <c r="AR71" s="38">
        <v>424</v>
      </c>
      <c r="AS71" s="67">
        <v>422</v>
      </c>
      <c r="AT71" s="67">
        <v>418</v>
      </c>
      <c r="AU71" s="29">
        <v>417</v>
      </c>
      <c r="AV71" s="41">
        <v>387</v>
      </c>
      <c r="AW71" s="225">
        <v>377</v>
      </c>
      <c r="AX71" s="228">
        <v>388</v>
      </c>
      <c r="AY71" s="238">
        <v>393</v>
      </c>
      <c r="AZ71" s="238">
        <v>384</v>
      </c>
      <c r="BA71" s="370">
        <v>403</v>
      </c>
      <c r="BB71" s="370">
        <v>412</v>
      </c>
      <c r="BC71" s="370">
        <v>412</v>
      </c>
      <c r="BD71" s="370">
        <v>402</v>
      </c>
      <c r="BE71" s="370">
        <v>418</v>
      </c>
      <c r="BF71" s="370">
        <v>419</v>
      </c>
      <c r="BG71" s="370">
        <v>414</v>
      </c>
      <c r="BH71" s="370">
        <v>413</v>
      </c>
      <c r="BI71" s="370">
        <v>418</v>
      </c>
      <c r="BJ71" s="410">
        <f>(BH71-BG71)/BG71</f>
        <v>-2.4154589371980675E-3</v>
      </c>
      <c r="BK71" s="410">
        <f>(BI71-BH71)/BH71</f>
        <v>1.2106537530266344E-2</v>
      </c>
      <c r="BL71" s="564">
        <f t="shared" ref="BL71" si="29">(BH71-BG71)</f>
        <v>-1</v>
      </c>
      <c r="BM71" s="564">
        <f t="shared" ref="BM71" si="30">(BI71-BH71)</f>
        <v>5</v>
      </c>
      <c r="BP71" s="515"/>
      <c r="BQ71" s="320"/>
      <c r="BR71" s="320"/>
    </row>
    <row r="72" spans="1:70" ht="16" thickBot="1">
      <c r="A72" s="393" t="s">
        <v>60</v>
      </c>
      <c r="B72" s="650">
        <f t="shared" ref="B72:K72" si="31">SUM(B67:B71)</f>
        <v>3928</v>
      </c>
      <c r="C72" s="139">
        <f t="shared" si="31"/>
        <v>6043</v>
      </c>
      <c r="D72" s="139">
        <f t="shared" si="31"/>
        <v>6756</v>
      </c>
      <c r="E72" s="139">
        <f t="shared" si="31"/>
        <v>7254</v>
      </c>
      <c r="F72" s="139">
        <f t="shared" si="31"/>
        <v>7365</v>
      </c>
      <c r="G72" s="139">
        <f t="shared" si="31"/>
        <v>7205</v>
      </c>
      <c r="H72" s="139">
        <f t="shared" si="31"/>
        <v>6950</v>
      </c>
      <c r="I72" s="139">
        <f t="shared" si="31"/>
        <v>7080</v>
      </c>
      <c r="J72" s="139">
        <f t="shared" si="31"/>
        <v>7796</v>
      </c>
      <c r="K72" s="139">
        <f t="shared" si="31"/>
        <v>7804</v>
      </c>
      <c r="L72" s="650">
        <f>SUM(L67:L71)</f>
        <v>7788</v>
      </c>
      <c r="M72" s="139">
        <f t="shared" ref="M72:AT72" si="32">SUM(M67:M71)</f>
        <v>8676</v>
      </c>
      <c r="N72" s="139">
        <f t="shared" si="32"/>
        <v>8333</v>
      </c>
      <c r="O72" s="139">
        <f t="shared" si="32"/>
        <v>8724</v>
      </c>
      <c r="P72" s="139">
        <f t="shared" si="32"/>
        <v>8379</v>
      </c>
      <c r="Q72" s="139">
        <f t="shared" si="32"/>
        <v>8271</v>
      </c>
      <c r="R72" s="139">
        <f t="shared" si="32"/>
        <v>8380</v>
      </c>
      <c r="S72" s="139">
        <f t="shared" si="32"/>
        <v>8303</v>
      </c>
      <c r="T72" s="139">
        <f t="shared" si="32"/>
        <v>8368</v>
      </c>
      <c r="U72" s="139">
        <f t="shared" si="32"/>
        <v>8403</v>
      </c>
      <c r="V72" s="650">
        <f t="shared" si="32"/>
        <v>8401</v>
      </c>
      <c r="W72" s="139">
        <f t="shared" si="32"/>
        <v>7622</v>
      </c>
      <c r="X72" s="139">
        <f t="shared" si="32"/>
        <v>6584</v>
      </c>
      <c r="Y72" s="139">
        <f t="shared" si="32"/>
        <v>6161</v>
      </c>
      <c r="Z72" s="139">
        <f t="shared" si="32"/>
        <v>6173</v>
      </c>
      <c r="AA72" s="139">
        <f t="shared" si="32"/>
        <v>6099</v>
      </c>
      <c r="AB72" s="139">
        <f t="shared" si="32"/>
        <v>6247</v>
      </c>
      <c r="AC72" s="139">
        <f t="shared" si="32"/>
        <v>6599</v>
      </c>
      <c r="AD72" s="139">
        <f t="shared" si="32"/>
        <v>6959</v>
      </c>
      <c r="AE72" s="139">
        <f t="shared" si="32"/>
        <v>7551</v>
      </c>
      <c r="AF72" s="650">
        <f t="shared" si="32"/>
        <v>7550</v>
      </c>
      <c r="AG72" s="139">
        <f t="shared" si="32"/>
        <v>7612</v>
      </c>
      <c r="AH72" s="139">
        <f t="shared" si="32"/>
        <v>8436</v>
      </c>
      <c r="AI72" s="139">
        <f t="shared" si="32"/>
        <v>8542</v>
      </c>
      <c r="AJ72" s="139">
        <f t="shared" si="32"/>
        <v>8200</v>
      </c>
      <c r="AK72" s="139">
        <f t="shared" si="32"/>
        <v>7699</v>
      </c>
      <c r="AL72" s="139">
        <f t="shared" si="32"/>
        <v>8675</v>
      </c>
      <c r="AM72" s="139">
        <f t="shared" si="32"/>
        <v>8458</v>
      </c>
      <c r="AN72" s="139">
        <f t="shared" si="32"/>
        <v>8906</v>
      </c>
      <c r="AO72" s="139">
        <f t="shared" si="32"/>
        <v>9140</v>
      </c>
      <c r="AP72" s="650">
        <f t="shared" si="32"/>
        <v>9040.8085608358615</v>
      </c>
      <c r="AQ72" s="139">
        <f t="shared" si="32"/>
        <v>8937.8769943997322</v>
      </c>
      <c r="AR72" s="139">
        <f t="shared" si="32"/>
        <v>9642.1294503675999</v>
      </c>
      <c r="AS72" s="139">
        <f t="shared" si="32"/>
        <v>8999.5391849529769</v>
      </c>
      <c r="AT72" s="139">
        <f t="shared" si="32"/>
        <v>8693.3738317757015</v>
      </c>
      <c r="AU72" s="139">
        <f t="shared" ref="AU72:BA72" si="33">SUM(AU67:AU71)</f>
        <v>8451</v>
      </c>
      <c r="AV72" s="248">
        <f t="shared" si="33"/>
        <v>8543</v>
      </c>
      <c r="AW72" s="248">
        <f t="shared" si="33"/>
        <v>8410</v>
      </c>
      <c r="AX72" s="248">
        <f t="shared" si="33"/>
        <v>8847</v>
      </c>
      <c r="AY72" s="248">
        <f t="shared" si="33"/>
        <v>9300</v>
      </c>
      <c r="AZ72" s="254">
        <f t="shared" si="33"/>
        <v>9543</v>
      </c>
      <c r="BA72" s="386">
        <f t="shared" si="33"/>
        <v>9604</v>
      </c>
      <c r="BB72" s="386">
        <f t="shared" ref="BB72:BI72" si="34">SUM(BB67:BB71)</f>
        <v>9471</v>
      </c>
      <c r="BC72" s="386">
        <f t="shared" si="34"/>
        <v>9376</v>
      </c>
      <c r="BD72" s="521">
        <f t="shared" si="34"/>
        <v>8842</v>
      </c>
      <c r="BE72" s="521">
        <f t="shared" si="34"/>
        <v>8960</v>
      </c>
      <c r="BF72" s="521">
        <f t="shared" si="34"/>
        <v>9093</v>
      </c>
      <c r="BG72" s="521">
        <f t="shared" si="34"/>
        <v>9260</v>
      </c>
      <c r="BH72" s="521">
        <f t="shared" si="34"/>
        <v>9285</v>
      </c>
      <c r="BI72" s="521">
        <f t="shared" si="34"/>
        <v>9065</v>
      </c>
      <c r="BJ72" s="875">
        <f>(BH72-BG72)/BG72</f>
        <v>2.6997840172786176E-3</v>
      </c>
      <c r="BK72" s="875">
        <f>(BI72-BH72)/BH72</f>
        <v>-2.3694130317716746E-2</v>
      </c>
      <c r="BL72" s="569">
        <f>BH72-BG72</f>
        <v>25</v>
      </c>
      <c r="BM72" s="569">
        <f>BI72-BH72</f>
        <v>-220</v>
      </c>
      <c r="BP72" s="515"/>
      <c r="BQ72" s="320"/>
      <c r="BR72" s="320"/>
    </row>
    <row r="73" spans="1:70" ht="11.25" customHeight="1">
      <c r="A73" s="115"/>
      <c r="L73" s="596"/>
      <c r="M73" s="11"/>
      <c r="N73" s="11"/>
      <c r="O73" s="11"/>
      <c r="P73" s="11"/>
      <c r="Q73" s="11"/>
      <c r="R73" s="11"/>
      <c r="S73" s="11"/>
      <c r="T73" s="11"/>
      <c r="U73" s="11"/>
      <c r="V73" s="596"/>
      <c r="W73" s="11"/>
      <c r="X73" s="11"/>
      <c r="Y73" s="11"/>
      <c r="Z73" s="11"/>
      <c r="AA73" s="11"/>
      <c r="AB73" s="11"/>
      <c r="AC73" s="11"/>
      <c r="AD73" s="11"/>
      <c r="AE73" s="11"/>
      <c r="AF73" s="596"/>
      <c r="AG73" s="11"/>
      <c r="AH73" s="11"/>
      <c r="AI73" s="11"/>
      <c r="AJ73" s="11"/>
      <c r="AK73" s="11"/>
      <c r="AM73" s="63"/>
      <c r="AN73" s="63"/>
      <c r="AO73" s="63"/>
      <c r="AP73" s="696"/>
      <c r="AQ73" s="63"/>
      <c r="AR73" s="63"/>
      <c r="AS73" s="63"/>
      <c r="AT73" s="63"/>
      <c r="AU73" s="63"/>
      <c r="AV73" s="147"/>
      <c r="AW73" s="249"/>
      <c r="AX73" s="232"/>
      <c r="AY73" s="202"/>
      <c r="AZ73" s="301"/>
      <c r="BA73" s="283"/>
      <c r="BB73" s="283"/>
      <c r="BC73" s="283"/>
      <c r="BD73" s="302"/>
      <c r="BE73" s="302"/>
      <c r="BF73" s="302"/>
      <c r="BG73" s="302"/>
      <c r="BH73" s="302"/>
      <c r="BI73" s="302"/>
      <c r="BJ73" s="874"/>
      <c r="BK73" s="874"/>
      <c r="BP73" s="515"/>
      <c r="BQ73" s="320"/>
      <c r="BR73" s="320"/>
    </row>
    <row r="74" spans="1:70" ht="15.75" customHeight="1">
      <c r="A74" s="159" t="s">
        <v>83</v>
      </c>
      <c r="L74" s="177"/>
      <c r="M74"/>
      <c r="N74"/>
      <c r="O74"/>
      <c r="P74"/>
      <c r="Q74"/>
      <c r="R74"/>
      <c r="S74"/>
      <c r="T74"/>
      <c r="U74"/>
      <c r="V74" s="177"/>
      <c r="W74"/>
      <c r="X74"/>
      <c r="Y74"/>
      <c r="Z74"/>
      <c r="AA74"/>
      <c r="AB74"/>
      <c r="AC74"/>
      <c r="AD74"/>
      <c r="AE74"/>
      <c r="AF74" s="177"/>
      <c r="AG74"/>
      <c r="AH74"/>
      <c r="AI74"/>
      <c r="AJ74"/>
      <c r="AK74"/>
      <c r="AL74"/>
      <c r="AM74"/>
      <c r="AN74"/>
      <c r="AO74"/>
      <c r="AP74" s="177"/>
      <c r="AQ74"/>
      <c r="AR74"/>
      <c r="AS74"/>
      <c r="AT74"/>
      <c r="AU74"/>
      <c r="AV74"/>
      <c r="AX74"/>
      <c r="BA74"/>
      <c r="BB74"/>
      <c r="BC74"/>
      <c r="BD74"/>
      <c r="BE74"/>
      <c r="BF74" s="177"/>
      <c r="BG74" s="177"/>
      <c r="BH74" s="177"/>
      <c r="BI74" s="177"/>
      <c r="BJ74" s="874"/>
      <c r="BK74" s="874"/>
      <c r="BP74" s="515"/>
      <c r="BQ74" s="320"/>
      <c r="BR74" s="320"/>
    </row>
    <row r="75" spans="1:70" ht="6" customHeight="1">
      <c r="A75" s="115"/>
      <c r="L75" s="596"/>
      <c r="M75" s="11"/>
      <c r="N75" s="11"/>
      <c r="O75" s="11"/>
      <c r="P75" s="11"/>
      <c r="Q75" s="11"/>
      <c r="R75" s="11"/>
      <c r="S75" s="11"/>
      <c r="T75" s="11"/>
      <c r="U75" s="11"/>
      <c r="V75" s="596"/>
      <c r="W75" s="11"/>
      <c r="X75" s="11"/>
      <c r="Y75" s="11"/>
      <c r="Z75" s="11"/>
      <c r="AA75" s="11"/>
      <c r="AB75" s="11"/>
      <c r="AC75" s="11"/>
      <c r="AD75" s="11"/>
      <c r="AE75" s="11"/>
      <c r="AF75" s="596"/>
      <c r="AG75" s="11"/>
      <c r="AH75" s="11"/>
      <c r="AI75" s="11"/>
      <c r="AJ75" s="11"/>
      <c r="AK75" s="11"/>
      <c r="AM75" s="63"/>
      <c r="AN75" s="63"/>
      <c r="AO75" s="63"/>
      <c r="AP75" s="696"/>
      <c r="AQ75" s="63"/>
      <c r="AR75" s="63"/>
      <c r="AS75" s="63"/>
      <c r="AT75" s="63"/>
      <c r="AU75" s="63"/>
      <c r="AV75" s="147"/>
      <c r="AW75" s="249"/>
      <c r="AX75" s="232"/>
      <c r="AY75" s="202"/>
      <c r="AZ75" s="301"/>
      <c r="BA75" s="283"/>
      <c r="BB75" s="283"/>
      <c r="BC75" s="464"/>
      <c r="BD75" s="302"/>
      <c r="BE75" s="302"/>
      <c r="BF75" s="302"/>
      <c r="BG75" s="302"/>
      <c r="BH75" s="302"/>
      <c r="BI75" s="302"/>
      <c r="BJ75" s="874"/>
      <c r="BK75" s="874"/>
      <c r="BP75" s="515"/>
      <c r="BQ75" s="320"/>
      <c r="BR75" s="320"/>
    </row>
    <row r="76" spans="1:70" ht="11.25" customHeight="1">
      <c r="A76" s="116" t="s">
        <v>38</v>
      </c>
      <c r="L76" s="596"/>
      <c r="M76" s="11"/>
      <c r="N76" s="11"/>
      <c r="O76" s="11"/>
      <c r="P76" s="11"/>
      <c r="Q76" s="11"/>
      <c r="R76" s="11"/>
      <c r="S76" s="11"/>
      <c r="T76" s="11"/>
      <c r="U76" s="11"/>
      <c r="V76" s="596"/>
      <c r="W76" s="11"/>
      <c r="X76" s="11"/>
      <c r="Y76" s="11"/>
      <c r="Z76" s="11"/>
      <c r="AA76" s="11"/>
      <c r="AB76" s="11"/>
      <c r="AC76" s="11"/>
      <c r="AD76" s="11"/>
      <c r="AE76" s="11"/>
      <c r="AF76" s="596"/>
      <c r="AG76" s="11"/>
      <c r="AH76" s="11"/>
      <c r="AI76" s="11"/>
      <c r="AJ76" s="11"/>
      <c r="AK76" s="11"/>
      <c r="AM76" s="63"/>
      <c r="AN76" s="63"/>
      <c r="AO76" s="63"/>
      <c r="AP76" s="696"/>
      <c r="AQ76" s="63"/>
      <c r="AR76" s="63"/>
      <c r="AS76" s="63"/>
      <c r="AT76" s="25"/>
      <c r="AU76" s="25"/>
      <c r="AV76" s="27"/>
      <c r="AW76" s="250"/>
      <c r="AX76" s="60"/>
      <c r="AY76" s="153"/>
      <c r="AZ76" s="301"/>
      <c r="BA76" s="283"/>
      <c r="BB76" s="283"/>
      <c r="BC76" s="464"/>
      <c r="BD76" s="302"/>
      <c r="BE76" s="302"/>
      <c r="BF76" s="302"/>
      <c r="BG76" s="302"/>
      <c r="BH76" s="302"/>
      <c r="BI76" s="302"/>
      <c r="BJ76" s="874"/>
      <c r="BK76" s="874"/>
      <c r="BP76" s="515"/>
      <c r="BQ76" s="320"/>
      <c r="BR76" s="320"/>
    </row>
    <row r="77" spans="1:70" ht="11.25" customHeight="1">
      <c r="A77" s="119" t="s">
        <v>120</v>
      </c>
      <c r="B77" s="593">
        <v>1685</v>
      </c>
      <c r="C77" s="25">
        <v>1679</v>
      </c>
      <c r="D77" s="25">
        <v>2139</v>
      </c>
      <c r="E77" s="25">
        <v>2211</v>
      </c>
      <c r="F77" s="25">
        <v>2189</v>
      </c>
      <c r="G77" s="25">
        <v>2184</v>
      </c>
      <c r="H77" s="25">
        <v>2163</v>
      </c>
      <c r="I77" s="25">
        <v>2258</v>
      </c>
      <c r="J77" s="25">
        <v>2439</v>
      </c>
      <c r="K77" s="25">
        <v>2631</v>
      </c>
      <c r="L77" s="596">
        <v>2135</v>
      </c>
      <c r="M77" s="11">
        <v>1426</v>
      </c>
      <c r="N77" s="11">
        <v>1922</v>
      </c>
      <c r="O77" s="11">
        <v>1443</v>
      </c>
      <c r="P77" s="11">
        <v>1609</v>
      </c>
      <c r="Q77" s="11">
        <v>1715</v>
      </c>
      <c r="R77" s="11">
        <v>1831</v>
      </c>
      <c r="S77" s="11">
        <v>1933</v>
      </c>
      <c r="T77" s="11">
        <v>2168</v>
      </c>
      <c r="U77" s="11">
        <v>3417</v>
      </c>
      <c r="V77" s="596">
        <v>3372</v>
      </c>
      <c r="W77" s="11">
        <v>2963</v>
      </c>
      <c r="X77" s="11">
        <v>2375</v>
      </c>
      <c r="Y77" s="11">
        <v>2404</v>
      </c>
      <c r="Z77" s="11">
        <v>2232</v>
      </c>
      <c r="AA77" s="11">
        <v>2307</v>
      </c>
      <c r="AB77" s="11">
        <v>2377</v>
      </c>
      <c r="AC77" s="11">
        <v>2294</v>
      </c>
      <c r="AD77" s="11">
        <v>2341</v>
      </c>
      <c r="AE77" s="11">
        <v>2410</v>
      </c>
      <c r="AF77" s="596">
        <v>2335</v>
      </c>
      <c r="AG77" s="11">
        <v>2208</v>
      </c>
      <c r="AH77" s="11">
        <v>2139</v>
      </c>
      <c r="AI77" s="11">
        <v>2070</v>
      </c>
      <c r="AJ77" s="11">
        <v>2035</v>
      </c>
      <c r="AK77" s="11">
        <v>2148</v>
      </c>
      <c r="AL77" s="11">
        <v>2352</v>
      </c>
      <c r="AM77" s="63">
        <v>2444</v>
      </c>
      <c r="AN77" s="63">
        <v>2131</v>
      </c>
      <c r="AO77" s="63">
        <v>2125</v>
      </c>
      <c r="AP77" s="696">
        <v>2210.5026737967914</v>
      </c>
      <c r="AQ77" s="63">
        <v>2219.168246445498</v>
      </c>
      <c r="AR77" s="84">
        <v>2211</v>
      </c>
      <c r="AS77" s="84">
        <v>2111</v>
      </c>
      <c r="AT77" s="84">
        <v>2018</v>
      </c>
      <c r="AU77" s="84">
        <v>1919</v>
      </c>
      <c r="AV77" s="251">
        <v>1901</v>
      </c>
      <c r="AW77" s="252">
        <v>1899.8815489749429</v>
      </c>
      <c r="AX77" s="228">
        <v>1926.520738081213</v>
      </c>
      <c r="AY77" s="228">
        <v>1968</v>
      </c>
      <c r="AZ77" s="228">
        <v>2500</v>
      </c>
      <c r="BA77" s="360">
        <v>2152</v>
      </c>
      <c r="BB77" s="360" t="s">
        <v>3</v>
      </c>
      <c r="BC77" s="360" t="s">
        <v>3</v>
      </c>
      <c r="BD77" s="417" t="s">
        <v>3</v>
      </c>
      <c r="BE77" s="417" t="s">
        <v>3</v>
      </c>
      <c r="BF77" s="306" t="s">
        <v>3</v>
      </c>
      <c r="BG77" s="306" t="s">
        <v>3</v>
      </c>
      <c r="BH77" s="306" t="s">
        <v>3</v>
      </c>
      <c r="BI77" s="306" t="s">
        <v>3</v>
      </c>
      <c r="BJ77" s="874" t="s">
        <v>10</v>
      </c>
      <c r="BK77" s="874" t="s">
        <v>10</v>
      </c>
      <c r="BL77" s="568" t="s">
        <v>10</v>
      </c>
      <c r="BM77" s="568" t="s">
        <v>10</v>
      </c>
      <c r="BP77" s="515"/>
      <c r="BQ77" s="320"/>
      <c r="BR77" s="320"/>
    </row>
    <row r="78" spans="1:70" ht="11.25" customHeight="1">
      <c r="A78" s="286" t="s">
        <v>108</v>
      </c>
      <c r="B78" s="227" t="s">
        <v>3</v>
      </c>
      <c r="C78" s="27" t="s">
        <v>3</v>
      </c>
      <c r="D78" s="27" t="s">
        <v>3</v>
      </c>
      <c r="E78" s="27" t="s">
        <v>3</v>
      </c>
      <c r="F78" s="27" t="s">
        <v>3</v>
      </c>
      <c r="G78" s="27" t="s">
        <v>3</v>
      </c>
      <c r="H78" s="27" t="s">
        <v>3</v>
      </c>
      <c r="I78" s="27" t="s">
        <v>3</v>
      </c>
      <c r="J78" s="27" t="s">
        <v>3</v>
      </c>
      <c r="K78" s="27" t="s">
        <v>3</v>
      </c>
      <c r="L78" s="227" t="s">
        <v>3</v>
      </c>
      <c r="M78" s="27" t="s">
        <v>3</v>
      </c>
      <c r="N78" s="27" t="s">
        <v>3</v>
      </c>
      <c r="O78" s="27" t="s">
        <v>3</v>
      </c>
      <c r="P78" s="27" t="s">
        <v>3</v>
      </c>
      <c r="Q78" s="27" t="s">
        <v>3</v>
      </c>
      <c r="R78" s="27" t="s">
        <v>3</v>
      </c>
      <c r="S78" s="27" t="s">
        <v>3</v>
      </c>
      <c r="T78" s="27" t="s">
        <v>3</v>
      </c>
      <c r="U78" s="27" t="s">
        <v>3</v>
      </c>
      <c r="V78" s="227" t="s">
        <v>3</v>
      </c>
      <c r="W78" s="27" t="s">
        <v>3</v>
      </c>
      <c r="X78" s="27" t="s">
        <v>3</v>
      </c>
      <c r="Y78" s="27" t="s">
        <v>3</v>
      </c>
      <c r="Z78" s="27" t="s">
        <v>3</v>
      </c>
      <c r="AA78" s="27" t="s">
        <v>3</v>
      </c>
      <c r="AB78" s="27" t="s">
        <v>3</v>
      </c>
      <c r="AC78" s="27" t="s">
        <v>3</v>
      </c>
      <c r="AD78" s="27" t="s">
        <v>3</v>
      </c>
      <c r="AE78" s="27" t="s">
        <v>3</v>
      </c>
      <c r="AF78" s="227" t="s">
        <v>3</v>
      </c>
      <c r="AG78" s="27" t="s">
        <v>3</v>
      </c>
      <c r="AH78" s="27" t="s">
        <v>3</v>
      </c>
      <c r="AI78" s="27" t="s">
        <v>3</v>
      </c>
      <c r="AJ78" s="27" t="s">
        <v>3</v>
      </c>
      <c r="AK78" s="27" t="s">
        <v>3</v>
      </c>
      <c r="AL78" s="27" t="s">
        <v>3</v>
      </c>
      <c r="AM78" s="27" t="s">
        <v>3</v>
      </c>
      <c r="AN78" s="27" t="s">
        <v>3</v>
      </c>
      <c r="AO78" s="27" t="s">
        <v>3</v>
      </c>
      <c r="AP78" s="227" t="s">
        <v>3</v>
      </c>
      <c r="AQ78" s="27" t="s">
        <v>3</v>
      </c>
      <c r="AR78" s="27" t="s">
        <v>3</v>
      </c>
      <c r="AS78" s="27" t="s">
        <v>3</v>
      </c>
      <c r="AT78" s="27" t="s">
        <v>3</v>
      </c>
      <c r="AU78" s="27" t="s">
        <v>3</v>
      </c>
      <c r="AV78" s="27" t="s">
        <v>3</v>
      </c>
      <c r="AW78" s="27" t="s">
        <v>3</v>
      </c>
      <c r="AX78" s="27" t="s">
        <v>3</v>
      </c>
      <c r="AY78" s="27" t="s">
        <v>3</v>
      </c>
      <c r="AZ78" s="27" t="s">
        <v>3</v>
      </c>
      <c r="BA78" s="305" t="s">
        <v>3</v>
      </c>
      <c r="BB78" s="335">
        <v>1809</v>
      </c>
      <c r="BC78" s="335">
        <v>1799</v>
      </c>
      <c r="BD78" s="305">
        <f>1332+395</f>
        <v>1727</v>
      </c>
      <c r="BE78" s="305">
        <f>1367+376</f>
        <v>1743</v>
      </c>
      <c r="BF78" s="390">
        <v>1359</v>
      </c>
      <c r="BG78" s="390">
        <v>1359</v>
      </c>
      <c r="BH78" s="390">
        <v>1404</v>
      </c>
      <c r="BI78" s="390">
        <v>1393</v>
      </c>
      <c r="BJ78" s="410">
        <f>(BH78-BG78)/BG78</f>
        <v>3.3112582781456956E-2</v>
      </c>
      <c r="BK78" s="410">
        <f>(BI78-BH78)/BH78</f>
        <v>-7.8347578347578353E-3</v>
      </c>
      <c r="BL78" s="564">
        <f t="shared" ref="BL78:BL79" si="35">(BH78-BG78)</f>
        <v>45</v>
      </c>
      <c r="BM78" s="564">
        <f t="shared" ref="BM78:BM79" si="36">(BI78-BH78)</f>
        <v>-11</v>
      </c>
      <c r="BP78" s="515"/>
      <c r="BQ78" s="320"/>
      <c r="BR78" s="320"/>
    </row>
    <row r="79" spans="1:70" ht="11.25" customHeight="1">
      <c r="A79" s="119" t="s">
        <v>107</v>
      </c>
      <c r="B79" s="227" t="s">
        <v>3</v>
      </c>
      <c r="C79" s="27" t="s">
        <v>3</v>
      </c>
      <c r="D79" s="27" t="s">
        <v>3</v>
      </c>
      <c r="E79" s="27" t="s">
        <v>3</v>
      </c>
      <c r="F79" s="27" t="s">
        <v>3</v>
      </c>
      <c r="G79" s="27" t="s">
        <v>3</v>
      </c>
      <c r="H79" s="27" t="s">
        <v>3</v>
      </c>
      <c r="I79" s="27" t="s">
        <v>3</v>
      </c>
      <c r="J79" s="27" t="s">
        <v>3</v>
      </c>
      <c r="K79" s="27" t="s">
        <v>3</v>
      </c>
      <c r="L79" s="227" t="s">
        <v>3</v>
      </c>
      <c r="M79" s="27" t="s">
        <v>3</v>
      </c>
      <c r="N79" s="27" t="s">
        <v>3</v>
      </c>
      <c r="O79" s="27" t="s">
        <v>3</v>
      </c>
      <c r="P79" s="27" t="s">
        <v>3</v>
      </c>
      <c r="Q79" s="27" t="s">
        <v>3</v>
      </c>
      <c r="R79" s="27" t="s">
        <v>3</v>
      </c>
      <c r="S79" s="27" t="s">
        <v>3</v>
      </c>
      <c r="T79" s="27" t="s">
        <v>3</v>
      </c>
      <c r="U79" s="27" t="s">
        <v>3</v>
      </c>
      <c r="V79" s="227" t="s">
        <v>3</v>
      </c>
      <c r="W79" s="27" t="s">
        <v>3</v>
      </c>
      <c r="X79" s="27" t="s">
        <v>3</v>
      </c>
      <c r="Y79" s="27" t="s">
        <v>3</v>
      </c>
      <c r="Z79" s="27" t="s">
        <v>3</v>
      </c>
      <c r="AA79" s="27" t="s">
        <v>3</v>
      </c>
      <c r="AB79" s="27" t="s">
        <v>3</v>
      </c>
      <c r="AC79" s="27" t="s">
        <v>3</v>
      </c>
      <c r="AD79" s="27" t="s">
        <v>3</v>
      </c>
      <c r="AE79" s="27" t="s">
        <v>3</v>
      </c>
      <c r="AF79" s="227" t="s">
        <v>3</v>
      </c>
      <c r="AG79" s="27" t="s">
        <v>3</v>
      </c>
      <c r="AH79" s="27" t="s">
        <v>3</v>
      </c>
      <c r="AI79" s="27" t="s">
        <v>3</v>
      </c>
      <c r="AJ79" s="27" t="s">
        <v>3</v>
      </c>
      <c r="AK79" s="27" t="s">
        <v>3</v>
      </c>
      <c r="AL79" s="27" t="s">
        <v>3</v>
      </c>
      <c r="AM79" s="27" t="s">
        <v>3</v>
      </c>
      <c r="AN79" s="27" t="s">
        <v>3</v>
      </c>
      <c r="AO79" s="27" t="s">
        <v>3</v>
      </c>
      <c r="AP79" s="227" t="s">
        <v>3</v>
      </c>
      <c r="AQ79" s="27" t="s">
        <v>3</v>
      </c>
      <c r="AR79" s="27" t="s">
        <v>3</v>
      </c>
      <c r="AS79" s="27" t="s">
        <v>3</v>
      </c>
      <c r="AT79" s="27" t="s">
        <v>3</v>
      </c>
      <c r="AU79" s="27" t="s">
        <v>3</v>
      </c>
      <c r="AV79" s="27" t="s">
        <v>3</v>
      </c>
      <c r="AW79" s="27" t="s">
        <v>3</v>
      </c>
      <c r="AX79" s="27" t="s">
        <v>3</v>
      </c>
      <c r="AY79" s="27" t="s">
        <v>3</v>
      </c>
      <c r="AZ79" s="27" t="s">
        <v>3</v>
      </c>
      <c r="BA79" s="305" t="s">
        <v>3</v>
      </c>
      <c r="BB79" s="305">
        <v>743</v>
      </c>
      <c r="BC79" s="305">
        <v>726</v>
      </c>
      <c r="BD79" s="305">
        <v>683</v>
      </c>
      <c r="BE79" s="305">
        <v>620</v>
      </c>
      <c r="BF79" s="305">
        <v>581</v>
      </c>
      <c r="BG79" s="305">
        <v>563</v>
      </c>
      <c r="BH79" s="305">
        <v>525</v>
      </c>
      <c r="BI79" s="305">
        <v>450</v>
      </c>
      <c r="BJ79" s="410">
        <f>(BH79-BG79)/BG79</f>
        <v>-6.7495559502664296E-2</v>
      </c>
      <c r="BK79" s="410">
        <f>(BI79-BH79)/BH79</f>
        <v>-0.14285714285714285</v>
      </c>
      <c r="BL79" s="564">
        <f t="shared" si="35"/>
        <v>-38</v>
      </c>
      <c r="BM79" s="564">
        <f t="shared" si="36"/>
        <v>-75</v>
      </c>
      <c r="BP79" s="515"/>
      <c r="BQ79" s="320"/>
      <c r="BR79" s="320"/>
    </row>
    <row r="80" spans="1:70" ht="11.25" customHeight="1">
      <c r="A80" s="119" t="s">
        <v>106</v>
      </c>
      <c r="B80" s="227" t="s">
        <v>3</v>
      </c>
      <c r="C80" s="27" t="s">
        <v>3</v>
      </c>
      <c r="D80" s="27" t="s">
        <v>3</v>
      </c>
      <c r="E80" s="25">
        <v>744</v>
      </c>
      <c r="F80" s="25">
        <v>743</v>
      </c>
      <c r="G80" s="25">
        <v>721</v>
      </c>
      <c r="H80" s="25">
        <v>701</v>
      </c>
      <c r="I80" s="25">
        <v>682</v>
      </c>
      <c r="J80" s="25">
        <v>664</v>
      </c>
      <c r="K80" s="25">
        <v>680</v>
      </c>
      <c r="L80" s="596">
        <v>877</v>
      </c>
      <c r="M80" s="11">
        <v>866</v>
      </c>
      <c r="N80" s="11">
        <v>1030</v>
      </c>
      <c r="O80" s="11">
        <v>1011</v>
      </c>
      <c r="P80" s="11">
        <v>964</v>
      </c>
      <c r="Q80" s="11">
        <v>1102</v>
      </c>
      <c r="R80" s="11">
        <v>1246</v>
      </c>
      <c r="S80" s="11">
        <v>1484</v>
      </c>
      <c r="T80" s="11">
        <v>1345</v>
      </c>
      <c r="U80" s="11">
        <v>1403</v>
      </c>
      <c r="V80" s="596">
        <v>1330</v>
      </c>
      <c r="W80" s="11">
        <v>1224</v>
      </c>
      <c r="X80" s="11">
        <v>1062</v>
      </c>
      <c r="Y80" s="11">
        <v>1022</v>
      </c>
      <c r="Z80" s="11">
        <v>1027</v>
      </c>
      <c r="AA80" s="11">
        <v>979</v>
      </c>
      <c r="AB80" s="11">
        <v>934</v>
      </c>
      <c r="AC80" s="11">
        <v>955</v>
      </c>
      <c r="AD80" s="11">
        <v>975</v>
      </c>
      <c r="AE80" s="11">
        <v>975</v>
      </c>
      <c r="AF80" s="596">
        <v>980</v>
      </c>
      <c r="AG80" s="11">
        <v>460</v>
      </c>
      <c r="AH80" s="11">
        <v>430</v>
      </c>
      <c r="AI80" s="11">
        <v>381</v>
      </c>
      <c r="AJ80" s="11">
        <v>391</v>
      </c>
      <c r="AK80" s="11">
        <v>358</v>
      </c>
      <c r="AL80" s="11">
        <v>12</v>
      </c>
      <c r="AM80" s="77" t="s">
        <v>3</v>
      </c>
      <c r="AN80" s="77" t="s">
        <v>3</v>
      </c>
      <c r="AO80" s="77" t="s">
        <v>3</v>
      </c>
      <c r="AP80" s="971" t="s">
        <v>3</v>
      </c>
      <c r="AQ80" s="77" t="s">
        <v>3</v>
      </c>
      <c r="AR80" s="77" t="s">
        <v>3</v>
      </c>
      <c r="AS80" s="77" t="s">
        <v>3</v>
      </c>
      <c r="AT80" s="212" t="s">
        <v>3</v>
      </c>
      <c r="AU80" s="212" t="s">
        <v>3</v>
      </c>
      <c r="AV80" s="212" t="s">
        <v>3</v>
      </c>
      <c r="AW80" s="27" t="s">
        <v>3</v>
      </c>
      <c r="AX80" s="60" t="s">
        <v>3</v>
      </c>
      <c r="AY80" s="60" t="s">
        <v>3</v>
      </c>
      <c r="AZ80" s="60" t="s">
        <v>3</v>
      </c>
      <c r="BA80" s="284" t="s">
        <v>3</v>
      </c>
      <c r="BB80" s="284" t="s">
        <v>3</v>
      </c>
      <c r="BC80" s="360" t="s">
        <v>3</v>
      </c>
      <c r="BD80" s="417" t="s">
        <v>3</v>
      </c>
      <c r="BE80" s="417" t="s">
        <v>3</v>
      </c>
      <c r="BF80" s="417" t="s">
        <v>3</v>
      </c>
      <c r="BG80" s="417" t="s">
        <v>3</v>
      </c>
      <c r="BH80" s="417" t="s">
        <v>3</v>
      </c>
      <c r="BI80" s="417" t="s">
        <v>3</v>
      </c>
      <c r="BJ80" s="874" t="s">
        <v>10</v>
      </c>
      <c r="BK80" s="874" t="s">
        <v>10</v>
      </c>
      <c r="BL80" s="886" t="s">
        <v>10</v>
      </c>
      <c r="BM80" s="886" t="s">
        <v>10</v>
      </c>
      <c r="BP80" s="515"/>
      <c r="BQ80" s="320"/>
      <c r="BR80" s="320"/>
    </row>
    <row r="81" spans="1:259" ht="11.25" customHeight="1">
      <c r="A81" s="119" t="s">
        <v>109</v>
      </c>
      <c r="B81" s="695" t="s">
        <v>3</v>
      </c>
      <c r="C81" s="17" t="s">
        <v>3</v>
      </c>
      <c r="D81" s="17" t="s">
        <v>3</v>
      </c>
      <c r="E81" s="17" t="s">
        <v>3</v>
      </c>
      <c r="F81" s="17" t="s">
        <v>3</v>
      </c>
      <c r="G81" s="17" t="s">
        <v>3</v>
      </c>
      <c r="H81" s="17" t="s">
        <v>3</v>
      </c>
      <c r="I81" s="17" t="s">
        <v>3</v>
      </c>
      <c r="J81" s="17" t="s">
        <v>3</v>
      </c>
      <c r="K81" s="17" t="s">
        <v>3</v>
      </c>
      <c r="L81" s="695" t="s">
        <v>3</v>
      </c>
      <c r="M81" s="17" t="s">
        <v>3</v>
      </c>
      <c r="N81" s="17" t="s">
        <v>3</v>
      </c>
      <c r="O81" s="17" t="s">
        <v>3</v>
      </c>
      <c r="P81" s="17" t="s">
        <v>3</v>
      </c>
      <c r="Q81" s="17" t="s">
        <v>3</v>
      </c>
      <c r="R81" s="17" t="s">
        <v>3</v>
      </c>
      <c r="S81" s="17" t="s">
        <v>3</v>
      </c>
      <c r="T81" s="17" t="s">
        <v>3</v>
      </c>
      <c r="U81" s="17" t="s">
        <v>3</v>
      </c>
      <c r="V81" s="695" t="s">
        <v>3</v>
      </c>
      <c r="W81" s="17" t="s">
        <v>3</v>
      </c>
      <c r="X81" s="17" t="s">
        <v>3</v>
      </c>
      <c r="Y81" s="17" t="s">
        <v>3</v>
      </c>
      <c r="Z81" s="17" t="s">
        <v>3</v>
      </c>
      <c r="AA81" s="17" t="s">
        <v>3</v>
      </c>
      <c r="AB81" s="17" t="s">
        <v>3</v>
      </c>
      <c r="AC81" s="17" t="s">
        <v>3</v>
      </c>
      <c r="AD81" s="17" t="s">
        <v>3</v>
      </c>
      <c r="AE81" s="17" t="s">
        <v>3</v>
      </c>
      <c r="AF81" s="695" t="s">
        <v>3</v>
      </c>
      <c r="AG81" s="11">
        <v>552</v>
      </c>
      <c r="AH81" s="11">
        <v>580</v>
      </c>
      <c r="AI81" s="11">
        <v>582</v>
      </c>
      <c r="AJ81" s="11">
        <v>575</v>
      </c>
      <c r="AK81" s="11">
        <v>571</v>
      </c>
      <c r="AL81" s="11">
        <v>566</v>
      </c>
      <c r="AM81" s="63">
        <v>606</v>
      </c>
      <c r="AN81" s="63">
        <v>664</v>
      </c>
      <c r="AO81" s="63">
        <v>703</v>
      </c>
      <c r="AP81" s="696">
        <v>747</v>
      </c>
      <c r="AQ81" s="63">
        <v>773</v>
      </c>
      <c r="AR81" s="63">
        <v>848</v>
      </c>
      <c r="AS81" s="63">
        <v>878</v>
      </c>
      <c r="AT81" s="25">
        <v>841</v>
      </c>
      <c r="AU81" s="25">
        <v>827</v>
      </c>
      <c r="AV81" s="27">
        <v>840</v>
      </c>
      <c r="AW81" s="27">
        <v>829</v>
      </c>
      <c r="AX81" s="60">
        <v>837</v>
      </c>
      <c r="AY81" s="60">
        <v>852</v>
      </c>
      <c r="AZ81" s="60">
        <v>921</v>
      </c>
      <c r="BA81" s="284">
        <v>912</v>
      </c>
      <c r="BB81" s="284">
        <v>931</v>
      </c>
      <c r="BC81" s="284">
        <v>977</v>
      </c>
      <c r="BD81" s="305">
        <v>963</v>
      </c>
      <c r="BE81" s="305">
        <v>962</v>
      </c>
      <c r="BF81" s="305">
        <v>946</v>
      </c>
      <c r="BG81" s="305">
        <v>913</v>
      </c>
      <c r="BH81" s="305">
        <v>860</v>
      </c>
      <c r="BI81" s="305">
        <v>875</v>
      </c>
      <c r="BJ81" s="410">
        <f t="shared" ref="BJ81:BK84" si="37">(BH81-BG81)/BG81</f>
        <v>-5.8050383351588172E-2</v>
      </c>
      <c r="BK81" s="410">
        <f t="shared" si="37"/>
        <v>1.7441860465116279E-2</v>
      </c>
      <c r="BL81" s="564">
        <f t="shared" ref="BL81:BL83" si="38">(BH81-BG81)</f>
        <v>-53</v>
      </c>
      <c r="BM81" s="564">
        <f t="shared" ref="BM81:BM83" si="39">(BI81-BH81)</f>
        <v>15</v>
      </c>
      <c r="BP81" s="515"/>
      <c r="BQ81" s="320"/>
      <c r="BR81" s="320"/>
    </row>
    <row r="82" spans="1:259" ht="11.25" customHeight="1">
      <c r="A82" s="119" t="s">
        <v>110</v>
      </c>
      <c r="B82" s="593">
        <v>690</v>
      </c>
      <c r="C82" s="25">
        <v>763</v>
      </c>
      <c r="D82" s="25">
        <v>755</v>
      </c>
      <c r="E82" s="25">
        <v>788</v>
      </c>
      <c r="F82" s="25">
        <v>788</v>
      </c>
      <c r="G82" s="25">
        <v>814</v>
      </c>
      <c r="H82" s="25">
        <v>784</v>
      </c>
      <c r="I82" s="25">
        <v>797</v>
      </c>
      <c r="J82" s="25">
        <v>830</v>
      </c>
      <c r="K82" s="17">
        <v>857</v>
      </c>
      <c r="L82" s="596">
        <v>1401</v>
      </c>
      <c r="M82" s="11">
        <v>1869</v>
      </c>
      <c r="N82" s="11">
        <v>3450</v>
      </c>
      <c r="O82" s="11">
        <v>2444</v>
      </c>
      <c r="P82" s="11">
        <v>2548</v>
      </c>
      <c r="Q82" s="11">
        <v>2800</v>
      </c>
      <c r="R82" s="11">
        <v>3053</v>
      </c>
      <c r="S82" s="11">
        <v>3312</v>
      </c>
      <c r="T82" s="11">
        <v>3502</v>
      </c>
      <c r="U82" s="11">
        <v>3811</v>
      </c>
      <c r="V82" s="596">
        <v>3700</v>
      </c>
      <c r="W82" s="11">
        <v>3570</v>
      </c>
      <c r="X82" s="11">
        <v>3128</v>
      </c>
      <c r="Y82" s="11">
        <v>3172</v>
      </c>
      <c r="Z82" s="11">
        <v>3090</v>
      </c>
      <c r="AA82" s="11">
        <v>2964</v>
      </c>
      <c r="AB82" s="11">
        <v>2807</v>
      </c>
      <c r="AC82" s="11">
        <v>2764</v>
      </c>
      <c r="AD82" s="11">
        <v>2799</v>
      </c>
      <c r="AE82" s="11">
        <v>2671</v>
      </c>
      <c r="AF82" s="596">
        <v>2679</v>
      </c>
      <c r="AG82" s="11">
        <v>2532</v>
      </c>
      <c r="AH82" s="11">
        <v>2563</v>
      </c>
      <c r="AI82" s="11">
        <v>2365</v>
      </c>
      <c r="AJ82" s="11">
        <v>2518</v>
      </c>
      <c r="AK82" s="11">
        <v>2378</v>
      </c>
      <c r="AL82" s="11">
        <v>2258</v>
      </c>
      <c r="AM82" s="63">
        <v>2182</v>
      </c>
      <c r="AN82" s="63">
        <v>2145</v>
      </c>
      <c r="AO82" s="63">
        <v>2202</v>
      </c>
      <c r="AP82" s="696">
        <v>2202</v>
      </c>
      <c r="AQ82" s="63">
        <v>2254</v>
      </c>
      <c r="AR82" s="63">
        <v>2205</v>
      </c>
      <c r="AS82" s="63">
        <v>2197</v>
      </c>
      <c r="AT82" s="25">
        <v>2172</v>
      </c>
      <c r="AU82" s="25">
        <v>2109</v>
      </c>
      <c r="AV82" s="27">
        <v>2078</v>
      </c>
      <c r="AW82" s="27">
        <v>2161</v>
      </c>
      <c r="AX82" s="228">
        <v>2271</v>
      </c>
      <c r="AY82" s="228">
        <v>2374</v>
      </c>
      <c r="AZ82" s="228">
        <v>2362</v>
      </c>
      <c r="BA82" s="305">
        <v>2308</v>
      </c>
      <c r="BB82" s="305">
        <v>2357</v>
      </c>
      <c r="BC82" s="305">
        <v>2374</v>
      </c>
      <c r="BD82" s="305">
        <v>2286</v>
      </c>
      <c r="BE82" s="305">
        <v>2257</v>
      </c>
      <c r="BF82" s="305">
        <v>2250</v>
      </c>
      <c r="BG82" s="305">
        <v>2150</v>
      </c>
      <c r="BH82" s="305">
        <v>2053</v>
      </c>
      <c r="BI82" s="305">
        <v>2065</v>
      </c>
      <c r="BJ82" s="410">
        <f t="shared" si="37"/>
        <v>-4.5116279069767444E-2</v>
      </c>
      <c r="BK82" s="410">
        <f t="shared" si="37"/>
        <v>5.8451047247929854E-3</v>
      </c>
      <c r="BL82" s="564">
        <f t="shared" si="38"/>
        <v>-97</v>
      </c>
      <c r="BM82" s="564">
        <f t="shared" si="39"/>
        <v>12</v>
      </c>
      <c r="BP82" s="515"/>
      <c r="BQ82" s="320"/>
      <c r="BR82" s="320"/>
    </row>
    <row r="83" spans="1:259" ht="11.25" customHeight="1">
      <c r="A83" s="115" t="s">
        <v>17</v>
      </c>
      <c r="B83" s="695" t="s">
        <v>3</v>
      </c>
      <c r="C83" s="17" t="s">
        <v>3</v>
      </c>
      <c r="D83" s="17" t="s">
        <v>3</v>
      </c>
      <c r="E83" s="17" t="s">
        <v>3</v>
      </c>
      <c r="F83" s="17" t="s">
        <v>3</v>
      </c>
      <c r="G83" s="17" t="s">
        <v>3</v>
      </c>
      <c r="H83" s="17" t="s">
        <v>3</v>
      </c>
      <c r="I83" s="17" t="s">
        <v>3</v>
      </c>
      <c r="J83" s="17" t="s">
        <v>3</v>
      </c>
      <c r="K83" s="17" t="s">
        <v>3</v>
      </c>
      <c r="L83" s="973" t="s">
        <v>3</v>
      </c>
      <c r="M83" s="78" t="s">
        <v>3</v>
      </c>
      <c r="N83" s="78" t="s">
        <v>3</v>
      </c>
      <c r="O83" s="13">
        <v>1502</v>
      </c>
      <c r="P83" s="13">
        <v>1613</v>
      </c>
      <c r="Q83" s="13">
        <v>1910</v>
      </c>
      <c r="R83" s="13">
        <v>2240</v>
      </c>
      <c r="S83" s="13">
        <v>2555</v>
      </c>
      <c r="T83" s="13">
        <v>2831</v>
      </c>
      <c r="U83" s="13">
        <v>2911</v>
      </c>
      <c r="V83" s="686">
        <v>2950</v>
      </c>
      <c r="W83" s="13">
        <v>2734</v>
      </c>
      <c r="X83" s="13">
        <v>2314</v>
      </c>
      <c r="Y83" s="13">
        <v>2238</v>
      </c>
      <c r="Z83" s="13">
        <v>2289</v>
      </c>
      <c r="AA83" s="13">
        <v>2205</v>
      </c>
      <c r="AB83" s="13">
        <v>2199</v>
      </c>
      <c r="AC83" s="13">
        <v>2167</v>
      </c>
      <c r="AD83" s="13">
        <v>2344</v>
      </c>
      <c r="AE83" s="13">
        <v>2410</v>
      </c>
      <c r="AF83" s="686">
        <v>2431</v>
      </c>
      <c r="AG83" s="13">
        <v>2472</v>
      </c>
      <c r="AH83" s="13">
        <v>2473</v>
      </c>
      <c r="AI83" s="13">
        <v>2571</v>
      </c>
      <c r="AJ83" s="13">
        <v>2295</v>
      </c>
      <c r="AK83" s="13">
        <v>2196</v>
      </c>
      <c r="AL83" s="13">
        <v>2069</v>
      </c>
      <c r="AM83" s="63">
        <v>2118</v>
      </c>
      <c r="AN83" s="67">
        <v>2171</v>
      </c>
      <c r="AO83" s="67">
        <v>2154</v>
      </c>
      <c r="AP83" s="774">
        <f>2148+12</f>
        <v>2160</v>
      </c>
      <c r="AQ83" s="67">
        <f>2167+10</f>
        <v>2177</v>
      </c>
      <c r="AR83" s="67">
        <v>2257</v>
      </c>
      <c r="AS83" s="67">
        <v>2286</v>
      </c>
      <c r="AT83" s="29">
        <v>2227</v>
      </c>
      <c r="AU83" s="29">
        <v>2155</v>
      </c>
      <c r="AV83" s="41">
        <v>2096</v>
      </c>
      <c r="AW83" s="225">
        <f>(2055+3+1)</f>
        <v>2059</v>
      </c>
      <c r="AX83" s="60">
        <v>2089</v>
      </c>
      <c r="AY83" s="60">
        <v>2055</v>
      </c>
      <c r="AZ83" s="60">
        <v>2189</v>
      </c>
      <c r="BA83" s="284">
        <v>2273</v>
      </c>
      <c r="BB83" s="284">
        <v>2242</v>
      </c>
      <c r="BC83" s="284">
        <f>2223+3</f>
        <v>2226</v>
      </c>
      <c r="BD83" s="305">
        <v>2170</v>
      </c>
      <c r="BE83" s="305">
        <v>2135</v>
      </c>
      <c r="BF83" s="305">
        <v>2049</v>
      </c>
      <c r="BG83" s="305">
        <v>2015</v>
      </c>
      <c r="BH83" s="305">
        <v>1957</v>
      </c>
      <c r="BI83" s="305">
        <v>2028</v>
      </c>
      <c r="BJ83" s="410">
        <f t="shared" si="37"/>
        <v>-2.8784119106699754E-2</v>
      </c>
      <c r="BK83" s="410">
        <f t="shared" si="37"/>
        <v>3.6280020439448134E-2</v>
      </c>
      <c r="BL83" s="564">
        <f t="shared" si="38"/>
        <v>-58</v>
      </c>
      <c r="BM83" s="564">
        <f t="shared" si="39"/>
        <v>71</v>
      </c>
      <c r="BP83" s="515"/>
      <c r="BQ83" s="320"/>
      <c r="BR83" s="320"/>
    </row>
    <row r="84" spans="1:259" ht="11.25" customHeight="1">
      <c r="A84" s="118" t="s">
        <v>31</v>
      </c>
      <c r="B84" s="970">
        <f t="shared" ref="B84:K84" si="40">SUM(B77:B83)</f>
        <v>2375</v>
      </c>
      <c r="C84" s="86">
        <f t="shared" si="40"/>
        <v>2442</v>
      </c>
      <c r="D84" s="86">
        <f t="shared" si="40"/>
        <v>2894</v>
      </c>
      <c r="E84" s="86">
        <f t="shared" si="40"/>
        <v>3743</v>
      </c>
      <c r="F84" s="86">
        <f t="shared" si="40"/>
        <v>3720</v>
      </c>
      <c r="G84" s="86">
        <f t="shared" si="40"/>
        <v>3719</v>
      </c>
      <c r="H84" s="86">
        <f t="shared" si="40"/>
        <v>3648</v>
      </c>
      <c r="I84" s="86">
        <f t="shared" si="40"/>
        <v>3737</v>
      </c>
      <c r="J84" s="86">
        <f t="shared" si="40"/>
        <v>3933</v>
      </c>
      <c r="K84" s="86">
        <f t="shared" si="40"/>
        <v>4168</v>
      </c>
      <c r="L84" s="970">
        <f>SUM(L77:L83)</f>
        <v>4413</v>
      </c>
      <c r="M84" s="86">
        <f t="shared" ref="M84:U84" si="41">SUM(M77:M83)</f>
        <v>4161</v>
      </c>
      <c r="N84" s="86">
        <f t="shared" si="41"/>
        <v>6402</v>
      </c>
      <c r="O84" s="86">
        <f t="shared" si="41"/>
        <v>6400</v>
      </c>
      <c r="P84" s="86">
        <f t="shared" si="41"/>
        <v>6734</v>
      </c>
      <c r="Q84" s="86">
        <f t="shared" si="41"/>
        <v>7527</v>
      </c>
      <c r="R84" s="86">
        <f t="shared" si="41"/>
        <v>8370</v>
      </c>
      <c r="S84" s="86">
        <f t="shared" si="41"/>
        <v>9284</v>
      </c>
      <c r="T84" s="86">
        <f t="shared" si="41"/>
        <v>9846</v>
      </c>
      <c r="U84" s="86">
        <f t="shared" si="41"/>
        <v>11542</v>
      </c>
      <c r="V84" s="970">
        <f t="shared" ref="V84:AE84" si="42">SUM(V77:V83)</f>
        <v>11352</v>
      </c>
      <c r="W84" s="86">
        <f t="shared" si="42"/>
        <v>10491</v>
      </c>
      <c r="X84" s="86">
        <f t="shared" si="42"/>
        <v>8879</v>
      </c>
      <c r="Y84" s="86">
        <f t="shared" si="42"/>
        <v>8836</v>
      </c>
      <c r="Z84" s="86">
        <f t="shared" si="42"/>
        <v>8638</v>
      </c>
      <c r="AA84" s="86">
        <f t="shared" si="42"/>
        <v>8455</v>
      </c>
      <c r="AB84" s="86">
        <f t="shared" si="42"/>
        <v>8317</v>
      </c>
      <c r="AC84" s="86">
        <f t="shared" si="42"/>
        <v>8180</v>
      </c>
      <c r="AD84" s="86">
        <f t="shared" si="42"/>
        <v>8459</v>
      </c>
      <c r="AE84" s="86">
        <f t="shared" si="42"/>
        <v>8466</v>
      </c>
      <c r="AF84" s="970">
        <f t="shared" ref="AF84:AS84" si="43">SUM(AF77:AF83)</f>
        <v>8425</v>
      </c>
      <c r="AG84" s="86">
        <f t="shared" si="43"/>
        <v>8224</v>
      </c>
      <c r="AH84" s="86">
        <f t="shared" si="43"/>
        <v>8185</v>
      </c>
      <c r="AI84" s="86">
        <f t="shared" si="43"/>
        <v>7969</v>
      </c>
      <c r="AJ84" s="86">
        <f t="shared" si="43"/>
        <v>7814</v>
      </c>
      <c r="AK84" s="86">
        <f t="shared" si="43"/>
        <v>7651</v>
      </c>
      <c r="AL84" s="86">
        <f t="shared" si="43"/>
        <v>7257</v>
      </c>
      <c r="AM84" s="86">
        <f t="shared" si="43"/>
        <v>7350</v>
      </c>
      <c r="AN84" s="86">
        <f t="shared" si="43"/>
        <v>7111</v>
      </c>
      <c r="AO84" s="86">
        <f t="shared" si="43"/>
        <v>7184</v>
      </c>
      <c r="AP84" s="970">
        <f t="shared" si="43"/>
        <v>7319.502673796791</v>
      </c>
      <c r="AQ84" s="86">
        <f t="shared" si="43"/>
        <v>7423.168246445498</v>
      </c>
      <c r="AR84" s="86">
        <f t="shared" si="43"/>
        <v>7521</v>
      </c>
      <c r="AS84" s="86">
        <f t="shared" si="43"/>
        <v>7472</v>
      </c>
      <c r="AT84" s="168">
        <f>SUM(AT76:AT83)</f>
        <v>7258</v>
      </c>
      <c r="AU84" s="168">
        <f t="shared" ref="AU84:BA84" si="44">SUM(AU77:AU83)</f>
        <v>7010</v>
      </c>
      <c r="AV84" s="141">
        <f t="shared" si="44"/>
        <v>6915</v>
      </c>
      <c r="AW84" s="141">
        <f t="shared" si="44"/>
        <v>6948.8815489749431</v>
      </c>
      <c r="AX84" s="141">
        <f t="shared" si="44"/>
        <v>7123.5207380812135</v>
      </c>
      <c r="AY84" s="191">
        <f t="shared" si="44"/>
        <v>7249</v>
      </c>
      <c r="AZ84" s="191">
        <f t="shared" si="44"/>
        <v>7972</v>
      </c>
      <c r="BA84" s="387">
        <f t="shared" si="44"/>
        <v>7645</v>
      </c>
      <c r="BB84" s="387">
        <f t="shared" ref="BB84:BI84" si="45">SUM(BB77:BB83)</f>
        <v>8082</v>
      </c>
      <c r="BC84" s="387">
        <f t="shared" si="45"/>
        <v>8102</v>
      </c>
      <c r="BD84" s="522">
        <f t="shared" si="45"/>
        <v>7829</v>
      </c>
      <c r="BE84" s="522">
        <f t="shared" si="45"/>
        <v>7717</v>
      </c>
      <c r="BF84" s="522">
        <f t="shared" si="45"/>
        <v>7185</v>
      </c>
      <c r="BG84" s="522">
        <f t="shared" si="45"/>
        <v>7000</v>
      </c>
      <c r="BH84" s="522">
        <f t="shared" si="45"/>
        <v>6799</v>
      </c>
      <c r="BI84" s="522">
        <f t="shared" si="45"/>
        <v>6811</v>
      </c>
      <c r="BJ84" s="872">
        <f t="shared" si="37"/>
        <v>-2.8714285714285713E-2</v>
      </c>
      <c r="BK84" s="872">
        <f t="shared" si="37"/>
        <v>1.7649654360935431E-3</v>
      </c>
      <c r="BL84" s="567">
        <f>BH84-BG84</f>
        <v>-201</v>
      </c>
      <c r="BM84" s="567">
        <f>BI84-BH84</f>
        <v>12</v>
      </c>
      <c r="BP84" s="515"/>
      <c r="BQ84" s="320"/>
      <c r="BR84" s="320"/>
    </row>
    <row r="85" spans="1:259" ht="6" customHeight="1">
      <c r="A85" s="115"/>
      <c r="L85" s="596"/>
      <c r="M85" s="11"/>
      <c r="N85" s="11"/>
      <c r="O85" s="11"/>
      <c r="P85" s="11"/>
      <c r="Q85" s="11"/>
      <c r="R85" s="11"/>
      <c r="S85" s="11"/>
      <c r="T85" s="11"/>
      <c r="U85" s="11"/>
      <c r="V85" s="596"/>
      <c r="W85" s="11"/>
      <c r="X85" s="11"/>
      <c r="Y85" s="11"/>
      <c r="Z85" s="11"/>
      <c r="AA85" s="11"/>
      <c r="AB85" s="11"/>
      <c r="AC85" s="11"/>
      <c r="AD85" s="11"/>
      <c r="AE85" s="11"/>
      <c r="AF85" s="596"/>
      <c r="AG85" s="11"/>
      <c r="AH85" s="11"/>
      <c r="AI85" s="11"/>
      <c r="AJ85" s="11"/>
      <c r="AK85" s="11"/>
      <c r="AM85" s="63"/>
      <c r="AN85" s="63"/>
      <c r="AO85" s="63"/>
      <c r="AP85" s="696"/>
      <c r="AQ85" s="63"/>
      <c r="AR85" s="63"/>
      <c r="AS85" s="63"/>
      <c r="AT85" s="63"/>
      <c r="AU85" s="63"/>
      <c r="AV85" s="147"/>
      <c r="AW85" s="249"/>
      <c r="AX85" s="232"/>
      <c r="AY85" s="202"/>
      <c r="AZ85" s="301"/>
      <c r="BA85" s="283"/>
      <c r="BB85" s="283"/>
      <c r="BC85" s="464"/>
      <c r="BD85" s="302"/>
      <c r="BE85" s="302"/>
      <c r="BF85" s="302"/>
      <c r="BG85" s="302"/>
      <c r="BH85" s="302"/>
      <c r="BI85" s="302"/>
      <c r="BJ85" s="410"/>
      <c r="BK85" s="410"/>
      <c r="BL85" s="564"/>
      <c r="BM85" s="564"/>
      <c r="BP85" s="515"/>
      <c r="BQ85" s="320"/>
      <c r="BR85" s="320"/>
    </row>
    <row r="86" spans="1:259" ht="11.25" customHeight="1">
      <c r="A86" s="119" t="s">
        <v>103</v>
      </c>
      <c r="B86" s="557"/>
      <c r="C86" s="310"/>
      <c r="D86" s="310"/>
      <c r="E86" s="310"/>
      <c r="F86" s="310"/>
      <c r="G86" s="310"/>
      <c r="H86" s="310"/>
      <c r="I86" s="310"/>
      <c r="J86" s="310"/>
      <c r="K86" s="310"/>
      <c r="L86" s="557"/>
      <c r="M86" s="310"/>
      <c r="N86" s="310"/>
      <c r="O86" s="310"/>
      <c r="P86" s="310"/>
      <c r="Q86" s="310"/>
      <c r="R86" s="310"/>
      <c r="S86" s="310"/>
      <c r="T86" s="310"/>
      <c r="U86" s="310"/>
      <c r="V86" s="557"/>
      <c r="W86" s="310"/>
      <c r="X86" s="310"/>
      <c r="Y86" s="310"/>
      <c r="Z86" s="310"/>
      <c r="AA86" s="310"/>
      <c r="AB86" s="310"/>
      <c r="AC86" s="310"/>
      <c r="AD86" s="310"/>
      <c r="AE86" s="310"/>
      <c r="AF86" s="557"/>
      <c r="AG86" s="310"/>
      <c r="AH86" s="310"/>
      <c r="AI86" s="310"/>
      <c r="AJ86" s="310"/>
      <c r="AK86" s="310"/>
      <c r="AL86" s="310"/>
      <c r="AM86" s="310"/>
      <c r="AN86" s="310"/>
      <c r="AO86" s="310"/>
      <c r="AP86" s="557"/>
      <c r="AQ86" s="310"/>
      <c r="AR86" s="310"/>
      <c r="AS86" s="310"/>
      <c r="AT86" s="310"/>
      <c r="AU86" s="310"/>
      <c r="AV86" s="310"/>
      <c r="AW86" s="310"/>
      <c r="AX86" s="310"/>
      <c r="AY86" s="310"/>
      <c r="AZ86" s="310"/>
      <c r="BA86" s="310"/>
      <c r="BB86" s="310"/>
      <c r="BC86" s="310"/>
      <c r="BD86" s="310"/>
      <c r="BE86" s="310"/>
      <c r="BF86" s="557"/>
      <c r="BG86" s="557"/>
      <c r="BH86" s="557"/>
      <c r="BI86" s="557"/>
      <c r="BJ86" s="410"/>
      <c r="BK86" s="410"/>
      <c r="BL86" s="564"/>
      <c r="BM86" s="564"/>
      <c r="BP86" s="515"/>
      <c r="BQ86" s="320"/>
      <c r="BR86" s="320"/>
    </row>
    <row r="87" spans="1:259" ht="10.5" customHeight="1">
      <c r="A87" s="119" t="s">
        <v>104</v>
      </c>
      <c r="B87" s="695" t="s">
        <v>3</v>
      </c>
      <c r="C87" s="17" t="s">
        <v>3</v>
      </c>
      <c r="D87" s="17" t="s">
        <v>3</v>
      </c>
      <c r="E87" s="17" t="s">
        <v>3</v>
      </c>
      <c r="F87" s="17" t="s">
        <v>3</v>
      </c>
      <c r="G87" s="17" t="s">
        <v>3</v>
      </c>
      <c r="H87" s="17" t="s">
        <v>3</v>
      </c>
      <c r="I87" s="17" t="s">
        <v>3</v>
      </c>
      <c r="J87" s="17" t="s">
        <v>3</v>
      </c>
      <c r="K87" s="17" t="s">
        <v>3</v>
      </c>
      <c r="L87" s="695" t="s">
        <v>3</v>
      </c>
      <c r="M87" s="17" t="s">
        <v>3</v>
      </c>
      <c r="N87" s="17" t="s">
        <v>3</v>
      </c>
      <c r="O87" s="17" t="s">
        <v>3</v>
      </c>
      <c r="P87" s="17" t="s">
        <v>3</v>
      </c>
      <c r="Q87" s="17" t="s">
        <v>3</v>
      </c>
      <c r="R87" s="17" t="s">
        <v>3</v>
      </c>
      <c r="S87" s="17" t="s">
        <v>3</v>
      </c>
      <c r="T87" s="17" t="s">
        <v>3</v>
      </c>
      <c r="U87" s="17" t="s">
        <v>3</v>
      </c>
      <c r="V87" s="695" t="s">
        <v>3</v>
      </c>
      <c r="W87" s="17" t="s">
        <v>3</v>
      </c>
      <c r="X87" s="17" t="s">
        <v>3</v>
      </c>
      <c r="Y87" s="17" t="s">
        <v>3</v>
      </c>
      <c r="Z87" s="17" t="s">
        <v>3</v>
      </c>
      <c r="AA87" s="17" t="s">
        <v>3</v>
      </c>
      <c r="AB87" s="17" t="s">
        <v>3</v>
      </c>
      <c r="AC87" s="17" t="s">
        <v>3</v>
      </c>
      <c r="AD87" s="17" t="s">
        <v>3</v>
      </c>
      <c r="AE87" s="17" t="s">
        <v>3</v>
      </c>
      <c r="AF87" s="695" t="s">
        <v>3</v>
      </c>
      <c r="AG87" s="17" t="s">
        <v>3</v>
      </c>
      <c r="AH87" s="17" t="s">
        <v>3</v>
      </c>
      <c r="AI87" s="17" t="s">
        <v>3</v>
      </c>
      <c r="AJ87" s="17" t="s">
        <v>3</v>
      </c>
      <c r="AK87" s="17" t="s">
        <v>3</v>
      </c>
      <c r="AL87" s="6">
        <v>79</v>
      </c>
      <c r="AM87" s="11">
        <v>72</v>
      </c>
      <c r="AN87" s="11">
        <v>61</v>
      </c>
      <c r="AO87" s="11">
        <v>62</v>
      </c>
      <c r="AP87" s="596">
        <v>63</v>
      </c>
      <c r="AQ87" s="11">
        <v>65</v>
      </c>
      <c r="AR87" s="11">
        <v>59</v>
      </c>
      <c r="AS87" s="11">
        <v>57</v>
      </c>
      <c r="AT87" s="11">
        <v>58</v>
      </c>
      <c r="AU87" s="11">
        <v>59</v>
      </c>
      <c r="AV87" s="17">
        <v>53</v>
      </c>
      <c r="AW87" s="283">
        <v>46</v>
      </c>
      <c r="AX87" s="284">
        <v>42</v>
      </c>
      <c r="AY87" s="283">
        <v>43</v>
      </c>
      <c r="AZ87" s="153">
        <v>42</v>
      </c>
      <c r="BA87" s="283">
        <v>40</v>
      </c>
      <c r="BB87" s="283">
        <v>41</v>
      </c>
      <c r="BC87" s="283">
        <v>41</v>
      </c>
      <c r="BD87" s="370">
        <v>39</v>
      </c>
      <c r="BE87" s="370">
        <v>39</v>
      </c>
      <c r="BF87" s="370">
        <v>43</v>
      </c>
      <c r="BG87" s="370">
        <v>42</v>
      </c>
      <c r="BH87" s="370">
        <v>52</v>
      </c>
      <c r="BI87" s="370">
        <v>52</v>
      </c>
      <c r="BJ87" s="410">
        <f>(BH87-BG87)/BG87</f>
        <v>0.23809523809523808</v>
      </c>
      <c r="BK87" s="410">
        <f>(BI87-BH87)/BH87</f>
        <v>0</v>
      </c>
      <c r="BL87" s="564">
        <f t="shared" ref="BL87" si="46">(BH87-BG87)</f>
        <v>10</v>
      </c>
      <c r="BM87" s="564">
        <f t="shared" ref="BM87" si="47">(BI87-BH87)</f>
        <v>0</v>
      </c>
      <c r="BP87" s="515"/>
      <c r="BQ87" s="443"/>
      <c r="BR87" s="320"/>
    </row>
    <row r="88" spans="1:259" ht="8.25" customHeight="1">
      <c r="A88" s="115"/>
      <c r="L88" s="596"/>
      <c r="M88" s="11"/>
      <c r="N88" s="11"/>
      <c r="O88" s="11"/>
      <c r="P88" s="11"/>
      <c r="Q88" s="11"/>
      <c r="R88" s="11"/>
      <c r="S88" s="11"/>
      <c r="T88" s="11"/>
      <c r="U88" s="11"/>
      <c r="V88" s="596"/>
      <c r="W88" s="11"/>
      <c r="X88" s="11"/>
      <c r="Y88" s="11"/>
      <c r="Z88" s="11"/>
      <c r="AA88" s="11"/>
      <c r="AB88" s="11"/>
      <c r="AC88" s="11"/>
      <c r="AD88" s="11"/>
      <c r="AE88" s="11"/>
      <c r="AF88" s="596"/>
      <c r="AG88" s="11"/>
      <c r="AH88" s="11"/>
      <c r="AI88" s="11"/>
      <c r="AJ88" s="11"/>
      <c r="AK88" s="11"/>
      <c r="AM88" s="63"/>
      <c r="AN88" s="63"/>
      <c r="AO88" s="63"/>
      <c r="AP88" s="696"/>
      <c r="AQ88" s="63"/>
      <c r="AR88" s="63"/>
      <c r="AS88" s="63"/>
      <c r="AT88" s="63"/>
      <c r="AU88" s="63"/>
      <c r="AV88" s="147"/>
      <c r="AW88" s="249"/>
      <c r="AX88" s="232"/>
      <c r="AY88" s="202"/>
      <c r="AZ88" s="301"/>
      <c r="BA88" s="283"/>
      <c r="BB88" s="283"/>
      <c r="BC88" s="464"/>
      <c r="BD88" s="302"/>
      <c r="BE88" s="302"/>
      <c r="BF88" s="302"/>
      <c r="BG88" s="302"/>
      <c r="BH88" s="302"/>
      <c r="BI88" s="302"/>
      <c r="BJ88" s="410"/>
      <c r="BK88" s="410"/>
      <c r="BL88" s="566"/>
      <c r="BM88" s="566"/>
      <c r="BP88" s="515"/>
      <c r="BQ88" s="320"/>
      <c r="BR88" s="320"/>
    </row>
    <row r="89" spans="1:259" ht="11.25" customHeight="1">
      <c r="A89" s="119" t="s">
        <v>125</v>
      </c>
      <c r="B89" s="695" t="s">
        <v>3</v>
      </c>
      <c r="C89" s="17" t="s">
        <v>3</v>
      </c>
      <c r="D89" s="17" t="s">
        <v>3</v>
      </c>
      <c r="E89" s="17" t="s">
        <v>3</v>
      </c>
      <c r="F89" s="17" t="s">
        <v>3</v>
      </c>
      <c r="G89" s="17" t="s">
        <v>3</v>
      </c>
      <c r="H89" s="17" t="s">
        <v>3</v>
      </c>
      <c r="I89" s="17" t="s">
        <v>3</v>
      </c>
      <c r="J89" s="17" t="s">
        <v>3</v>
      </c>
      <c r="K89" s="17" t="s">
        <v>3</v>
      </c>
      <c r="L89" s="695" t="s">
        <v>3</v>
      </c>
      <c r="M89" s="17" t="s">
        <v>3</v>
      </c>
      <c r="N89" s="17" t="s">
        <v>3</v>
      </c>
      <c r="O89" s="17" t="s">
        <v>3</v>
      </c>
      <c r="P89" s="17" t="s">
        <v>3</v>
      </c>
      <c r="Q89" s="17" t="s">
        <v>3</v>
      </c>
      <c r="R89" s="17" t="s">
        <v>3</v>
      </c>
      <c r="S89" s="17" t="s">
        <v>3</v>
      </c>
      <c r="T89" s="17" t="s">
        <v>3</v>
      </c>
      <c r="U89" s="17" t="s">
        <v>3</v>
      </c>
      <c r="V89" s="695" t="s">
        <v>3</v>
      </c>
      <c r="W89" s="17" t="s">
        <v>3</v>
      </c>
      <c r="X89" s="11">
        <v>24</v>
      </c>
      <c r="Y89" s="11">
        <v>25</v>
      </c>
      <c r="Z89" s="11">
        <v>25</v>
      </c>
      <c r="AA89" s="11">
        <v>26</v>
      </c>
      <c r="AB89" s="11">
        <v>26</v>
      </c>
      <c r="AC89" s="11">
        <v>25</v>
      </c>
      <c r="AD89" s="11">
        <v>26</v>
      </c>
      <c r="AE89" s="11">
        <v>27</v>
      </c>
      <c r="AF89" s="596">
        <v>27</v>
      </c>
      <c r="AG89" s="11">
        <v>29</v>
      </c>
      <c r="AH89" s="11">
        <v>31</v>
      </c>
      <c r="AI89" s="11">
        <v>36</v>
      </c>
      <c r="AJ89" s="11">
        <v>35</v>
      </c>
      <c r="AK89" s="11">
        <v>30</v>
      </c>
      <c r="AL89" s="11">
        <v>29</v>
      </c>
      <c r="AM89" s="63">
        <v>30</v>
      </c>
      <c r="AN89" s="63">
        <v>30</v>
      </c>
      <c r="AO89" s="63">
        <v>31</v>
      </c>
      <c r="AP89" s="696">
        <v>30</v>
      </c>
      <c r="AQ89" s="63">
        <v>31</v>
      </c>
      <c r="AR89" s="63">
        <v>30</v>
      </c>
      <c r="AS89" s="63">
        <v>29</v>
      </c>
      <c r="AT89" s="63">
        <v>28</v>
      </c>
      <c r="AU89" s="63">
        <v>27</v>
      </c>
      <c r="AV89" s="147">
        <v>27</v>
      </c>
      <c r="AW89" s="27">
        <v>27</v>
      </c>
      <c r="AX89" s="60">
        <v>29</v>
      </c>
      <c r="AY89" s="153">
        <v>28</v>
      </c>
      <c r="AZ89" s="153">
        <v>28</v>
      </c>
      <c r="BA89" s="283">
        <v>27</v>
      </c>
      <c r="BB89" s="283">
        <v>29</v>
      </c>
      <c r="BC89" s="283">
        <v>30</v>
      </c>
      <c r="BD89" s="370">
        <v>29</v>
      </c>
      <c r="BE89" s="370">
        <v>29</v>
      </c>
      <c r="BF89" s="370">
        <v>29</v>
      </c>
      <c r="BG89" s="370">
        <v>29</v>
      </c>
      <c r="BH89" s="370">
        <v>34</v>
      </c>
      <c r="BI89" s="370">
        <v>34</v>
      </c>
      <c r="BJ89" s="410">
        <f>(BH89-BG89)/BG89</f>
        <v>0.17241379310344829</v>
      </c>
      <c r="BK89" s="410">
        <f>(BI89-BH89)/BH89</f>
        <v>0</v>
      </c>
      <c r="BL89" s="564">
        <f t="shared" ref="BL89" si="48">(BH89-BG89)</f>
        <v>5</v>
      </c>
      <c r="BM89" s="564">
        <f t="shared" ref="BM89" si="49">(BI89-BH89)</f>
        <v>0</v>
      </c>
      <c r="BP89" s="515"/>
      <c r="BQ89" s="320"/>
      <c r="BR89" s="320"/>
    </row>
    <row r="90" spans="1:259" ht="6" customHeight="1">
      <c r="A90" s="115"/>
      <c r="B90" s="972"/>
      <c r="C90" s="148"/>
      <c r="D90" s="148"/>
      <c r="E90" s="148"/>
      <c r="F90" s="17"/>
      <c r="G90" s="148"/>
      <c r="H90" s="148"/>
      <c r="I90" s="148"/>
      <c r="J90" s="148"/>
      <c r="K90" s="148"/>
      <c r="L90" s="596"/>
      <c r="M90" s="11"/>
      <c r="N90" s="11"/>
      <c r="O90" s="11"/>
      <c r="P90" s="11"/>
      <c r="Q90" s="11"/>
      <c r="R90" s="11"/>
      <c r="S90" s="11"/>
      <c r="T90" s="11"/>
      <c r="U90" s="11"/>
      <c r="V90" s="596"/>
      <c r="W90" s="11"/>
      <c r="X90" s="11"/>
      <c r="Y90" s="11"/>
      <c r="Z90" s="11"/>
      <c r="AA90" s="11"/>
      <c r="AB90" s="11"/>
      <c r="AC90" s="11"/>
      <c r="AD90" s="11"/>
      <c r="AE90" s="11"/>
      <c r="AF90" s="596"/>
      <c r="AG90" s="11"/>
      <c r="AH90" s="11"/>
      <c r="AI90" s="11"/>
      <c r="AJ90" s="11"/>
      <c r="AK90" s="11"/>
      <c r="AM90" s="63"/>
      <c r="AN90" s="63"/>
      <c r="AO90" s="63"/>
      <c r="AP90" s="696"/>
      <c r="AQ90" s="63"/>
      <c r="AR90" s="63"/>
      <c r="AS90" s="63"/>
      <c r="AT90" s="63"/>
      <c r="AU90" s="63"/>
      <c r="AV90" s="147"/>
      <c r="AW90" s="250"/>
      <c r="AX90" s="60"/>
      <c r="AY90" s="153"/>
      <c r="AZ90" s="301"/>
      <c r="BA90" s="283"/>
      <c r="BB90" s="283"/>
      <c r="BC90" s="464"/>
      <c r="BD90" s="302"/>
      <c r="BE90" s="302"/>
      <c r="BF90" s="302"/>
      <c r="BG90" s="302"/>
      <c r="BH90" s="302"/>
      <c r="BI90" s="302"/>
      <c r="BJ90" s="871"/>
      <c r="BK90" s="871"/>
      <c r="BL90" s="565"/>
      <c r="BM90" s="565"/>
      <c r="BP90" s="515"/>
      <c r="BQ90" s="320"/>
      <c r="BR90" s="320"/>
    </row>
    <row r="91" spans="1:259" ht="11.25" customHeight="1">
      <c r="A91" s="119" t="s">
        <v>16</v>
      </c>
      <c r="B91" s="695" t="s">
        <v>3</v>
      </c>
      <c r="C91" s="17" t="s">
        <v>3</v>
      </c>
      <c r="D91" s="17" t="s">
        <v>3</v>
      </c>
      <c r="E91" s="17" t="s">
        <v>3</v>
      </c>
      <c r="F91" s="17" t="s">
        <v>3</v>
      </c>
      <c r="G91" s="25">
        <v>190</v>
      </c>
      <c r="H91" s="25">
        <v>330</v>
      </c>
      <c r="I91" s="25">
        <v>376</v>
      </c>
      <c r="J91" s="25">
        <v>459</v>
      </c>
      <c r="K91" s="25">
        <v>649</v>
      </c>
      <c r="L91" s="596">
        <v>845</v>
      </c>
      <c r="M91" s="11">
        <v>787</v>
      </c>
      <c r="N91" s="11">
        <v>1059</v>
      </c>
      <c r="O91" s="11">
        <v>1434</v>
      </c>
      <c r="P91" s="11">
        <v>1870</v>
      </c>
      <c r="Q91" s="11">
        <v>2218</v>
      </c>
      <c r="R91" s="11">
        <v>2189</v>
      </c>
      <c r="S91" s="11">
        <v>2400</v>
      </c>
      <c r="T91" s="11">
        <v>2409</v>
      </c>
      <c r="U91" s="11">
        <v>2819</v>
      </c>
      <c r="V91" s="596">
        <v>3496</v>
      </c>
      <c r="W91" s="11">
        <v>3358</v>
      </c>
      <c r="X91" s="11">
        <v>3166</v>
      </c>
      <c r="Y91" s="11">
        <v>3084</v>
      </c>
      <c r="Z91" s="11">
        <v>3044</v>
      </c>
      <c r="AA91" s="11">
        <v>3097</v>
      </c>
      <c r="AB91" s="11">
        <v>3017</v>
      </c>
      <c r="AC91" s="11">
        <v>2941</v>
      </c>
      <c r="AD91" s="11">
        <v>3168</v>
      </c>
      <c r="AE91" s="11">
        <v>2970</v>
      </c>
      <c r="AF91" s="596">
        <v>2853</v>
      </c>
      <c r="AG91" s="11">
        <v>2796</v>
      </c>
      <c r="AH91" s="11">
        <v>2791</v>
      </c>
      <c r="AI91" s="11">
        <v>2831</v>
      </c>
      <c r="AJ91" s="11">
        <v>2832</v>
      </c>
      <c r="AK91" s="11">
        <v>2813</v>
      </c>
      <c r="AL91" s="11">
        <v>2676</v>
      </c>
      <c r="AM91" s="63">
        <v>2586</v>
      </c>
      <c r="AN91" s="63">
        <v>2554</v>
      </c>
      <c r="AO91" s="63">
        <v>2593</v>
      </c>
      <c r="AP91" s="696">
        <v>2852</v>
      </c>
      <c r="AQ91" s="63">
        <v>2704</v>
      </c>
      <c r="AR91" s="63">
        <v>2783</v>
      </c>
      <c r="AS91" s="63">
        <v>2617</v>
      </c>
      <c r="AT91" s="63">
        <v>2442</v>
      </c>
      <c r="AU91" s="63">
        <v>2361</v>
      </c>
      <c r="AV91" s="147">
        <v>2226</v>
      </c>
      <c r="AW91" s="27">
        <v>2137</v>
      </c>
      <c r="AX91" s="60">
        <v>2159</v>
      </c>
      <c r="AY91" s="60">
        <v>2178</v>
      </c>
      <c r="AZ91" s="60">
        <v>2371</v>
      </c>
      <c r="BA91" s="284">
        <v>2491</v>
      </c>
      <c r="BB91" s="284">
        <v>2332</v>
      </c>
      <c r="BC91" s="284">
        <v>2133</v>
      </c>
      <c r="BD91" s="305">
        <v>2084</v>
      </c>
      <c r="BE91" s="305">
        <v>2177</v>
      </c>
      <c r="BF91" s="305">
        <v>2188</v>
      </c>
      <c r="BG91" s="305">
        <v>2068</v>
      </c>
      <c r="BH91" s="305">
        <v>2041</v>
      </c>
      <c r="BI91" s="305">
        <v>2025</v>
      </c>
      <c r="BJ91" s="410">
        <f>(BH91-BG91)/BG91</f>
        <v>-1.3056092843326886E-2</v>
      </c>
      <c r="BK91" s="410">
        <f>(BI91-BH91)/BH91</f>
        <v>-7.839294463498285E-3</v>
      </c>
      <c r="BL91" s="564">
        <f t="shared" ref="BL91" si="50">(BH91-BG91)</f>
        <v>-27</v>
      </c>
      <c r="BM91" s="564">
        <f t="shared" ref="BM91" si="51">(BI91-BH91)</f>
        <v>-16</v>
      </c>
      <c r="BP91" s="515"/>
      <c r="BQ91" s="320"/>
      <c r="BR91" s="320"/>
    </row>
    <row r="92" spans="1:259" ht="6" customHeight="1">
      <c r="A92" s="115"/>
      <c r="B92" s="593"/>
      <c r="C92" s="25"/>
      <c r="D92" s="25"/>
      <c r="E92" s="25"/>
      <c r="F92" s="25"/>
      <c r="G92" s="25"/>
      <c r="H92" s="25"/>
      <c r="I92" s="25"/>
      <c r="J92" s="25"/>
      <c r="K92" s="25"/>
      <c r="L92" s="596"/>
      <c r="M92" s="11"/>
      <c r="N92" s="11"/>
      <c r="O92" s="11"/>
      <c r="P92" s="11"/>
      <c r="Q92" s="11"/>
      <c r="R92" s="11"/>
      <c r="S92" s="11"/>
      <c r="T92" s="11"/>
      <c r="U92" s="11"/>
      <c r="V92" s="596"/>
      <c r="W92" s="11"/>
      <c r="X92" s="11"/>
      <c r="Y92" s="11"/>
      <c r="Z92" s="11"/>
      <c r="AA92" s="11"/>
      <c r="AB92" s="11"/>
      <c r="AC92" s="11"/>
      <c r="AD92" s="11"/>
      <c r="AE92" s="11"/>
      <c r="AF92" s="596"/>
      <c r="AG92" s="11"/>
      <c r="AH92" s="11"/>
      <c r="AI92" s="11"/>
      <c r="AJ92" s="11"/>
      <c r="AK92" s="11"/>
      <c r="AM92" s="63"/>
      <c r="AN92" s="63"/>
      <c r="AO92" s="63"/>
      <c r="AP92" s="696"/>
      <c r="AQ92" s="63"/>
      <c r="AR92" s="63"/>
      <c r="AS92" s="63"/>
      <c r="AT92" s="63"/>
      <c r="AU92" s="63"/>
      <c r="AV92" s="147"/>
      <c r="AW92" s="250"/>
      <c r="AX92" s="60"/>
      <c r="AY92" s="153"/>
      <c r="AZ92" s="301"/>
      <c r="BA92" s="283"/>
      <c r="BB92" s="283"/>
      <c r="BC92" s="464"/>
      <c r="BD92" s="302"/>
      <c r="BE92" s="302"/>
      <c r="BF92" s="302"/>
      <c r="BG92" s="302"/>
      <c r="BH92" s="302"/>
      <c r="BI92" s="302"/>
      <c r="BJ92" s="410"/>
      <c r="BK92" s="410"/>
      <c r="BL92" s="566"/>
      <c r="BM92" s="566"/>
      <c r="BP92" s="515"/>
      <c r="BQ92" s="320"/>
      <c r="BR92" s="320"/>
    </row>
    <row r="93" spans="1:259" ht="11.25" customHeight="1">
      <c r="A93" s="115" t="s">
        <v>13</v>
      </c>
      <c r="B93" s="593">
        <v>1776</v>
      </c>
      <c r="C93" s="25">
        <v>1816</v>
      </c>
      <c r="D93" s="25">
        <v>1991</v>
      </c>
      <c r="E93" s="25">
        <v>2061</v>
      </c>
      <c r="F93" s="25">
        <v>2069</v>
      </c>
      <c r="G93" s="25">
        <v>2254</v>
      </c>
      <c r="H93" s="25">
        <v>2310</v>
      </c>
      <c r="I93" s="25">
        <v>2338</v>
      </c>
      <c r="J93" s="25">
        <v>2452</v>
      </c>
      <c r="K93" s="25">
        <v>2396</v>
      </c>
      <c r="L93" s="596">
        <v>2313</v>
      </c>
      <c r="M93" s="11">
        <v>2168</v>
      </c>
      <c r="N93" s="11">
        <v>2385</v>
      </c>
      <c r="O93" s="11">
        <v>2388</v>
      </c>
      <c r="P93" s="11">
        <v>2428</v>
      </c>
      <c r="Q93" s="11">
        <v>2427</v>
      </c>
      <c r="R93" s="11">
        <v>2520</v>
      </c>
      <c r="S93" s="11">
        <v>2750</v>
      </c>
      <c r="T93" s="11">
        <v>2875</v>
      </c>
      <c r="U93" s="11">
        <v>2953</v>
      </c>
      <c r="V93" s="596">
        <v>2898</v>
      </c>
      <c r="W93" s="11">
        <v>2828</v>
      </c>
      <c r="X93" s="11">
        <v>2680</v>
      </c>
      <c r="Y93" s="11">
        <v>2677</v>
      </c>
      <c r="Z93" s="11">
        <v>2694</v>
      </c>
      <c r="AA93" s="11">
        <v>2571</v>
      </c>
      <c r="AB93" s="11">
        <v>2421</v>
      </c>
      <c r="AC93" s="11">
        <v>2256</v>
      </c>
      <c r="AD93" s="11">
        <v>2271</v>
      </c>
      <c r="AE93" s="11">
        <v>2273</v>
      </c>
      <c r="AF93" s="596">
        <v>2227</v>
      </c>
      <c r="AG93" s="11">
        <v>2138</v>
      </c>
      <c r="AH93" s="11">
        <v>2123</v>
      </c>
      <c r="AI93" s="11">
        <v>2086</v>
      </c>
      <c r="AJ93" s="11">
        <v>2063</v>
      </c>
      <c r="AK93" s="11">
        <v>2025</v>
      </c>
      <c r="AL93" s="11">
        <v>1925</v>
      </c>
      <c r="AM93" s="63">
        <v>1930</v>
      </c>
      <c r="AN93" s="63">
        <v>1880</v>
      </c>
      <c r="AO93" s="63">
        <v>1823</v>
      </c>
      <c r="AP93" s="696">
        <v>1876</v>
      </c>
      <c r="AQ93" s="63">
        <v>1993</v>
      </c>
      <c r="AR93" s="63">
        <v>1946</v>
      </c>
      <c r="AS93" s="63">
        <v>1873</v>
      </c>
      <c r="AT93" s="63">
        <v>1888</v>
      </c>
      <c r="AU93" s="63">
        <v>1826</v>
      </c>
      <c r="AV93" s="147">
        <v>1788</v>
      </c>
      <c r="AW93" s="27">
        <v>1729</v>
      </c>
      <c r="AX93" s="60">
        <v>1628</v>
      </c>
      <c r="AY93" s="60">
        <v>1592</v>
      </c>
      <c r="AZ93" s="60">
        <v>1632</v>
      </c>
      <c r="BA93" s="284">
        <v>1679</v>
      </c>
      <c r="BB93" s="284">
        <v>1640</v>
      </c>
      <c r="BC93" s="284">
        <v>1597</v>
      </c>
      <c r="BD93" s="305">
        <v>1543</v>
      </c>
      <c r="BE93" s="305">
        <v>1587</v>
      </c>
      <c r="BF93" s="305">
        <v>1526</v>
      </c>
      <c r="BG93" s="305">
        <v>1476</v>
      </c>
      <c r="BH93" s="305">
        <v>1320</v>
      </c>
      <c r="BI93" s="305">
        <v>1225</v>
      </c>
      <c r="BJ93" s="410">
        <f>(BH93-BG93)/BG93</f>
        <v>-0.10569105691056911</v>
      </c>
      <c r="BK93" s="410">
        <f>(BI93-BH93)/BH93</f>
        <v>-7.1969696969696975E-2</v>
      </c>
      <c r="BL93" s="564">
        <f t="shared" ref="BL93" si="52">(BH93-BG93)</f>
        <v>-156</v>
      </c>
      <c r="BM93" s="564">
        <f t="shared" ref="BM93" si="53">(BI93-BH93)</f>
        <v>-95</v>
      </c>
      <c r="BP93" s="515"/>
      <c r="BQ93" s="320"/>
      <c r="BR93" s="320"/>
      <c r="IY93">
        <v>175</v>
      </c>
    </row>
    <row r="94" spans="1:259" ht="6" customHeight="1">
      <c r="A94" s="115"/>
      <c r="B94" s="972"/>
      <c r="C94" s="148"/>
      <c r="D94" s="148"/>
      <c r="E94" s="148"/>
      <c r="F94" s="148"/>
      <c r="G94" s="148"/>
      <c r="H94" s="148"/>
      <c r="I94" s="148"/>
      <c r="J94" s="148"/>
      <c r="K94" s="148"/>
      <c r="L94" s="596"/>
      <c r="M94" s="11"/>
      <c r="N94" s="11"/>
      <c r="O94" s="11"/>
      <c r="P94" s="11"/>
      <c r="Q94" s="11"/>
      <c r="R94" s="11"/>
      <c r="S94" s="11"/>
      <c r="T94" s="11"/>
      <c r="U94" s="11"/>
      <c r="V94" s="596"/>
      <c r="W94" s="11"/>
      <c r="X94" s="11"/>
      <c r="Y94" s="11"/>
      <c r="Z94" s="11"/>
      <c r="AA94" s="11"/>
      <c r="AB94" s="11"/>
      <c r="AC94" s="11"/>
      <c r="AD94" s="11"/>
      <c r="AE94" s="11"/>
      <c r="AF94" s="596"/>
      <c r="AG94" s="11"/>
      <c r="AH94" s="11"/>
      <c r="AI94" s="11"/>
      <c r="AJ94" s="11"/>
      <c r="AK94" s="11"/>
      <c r="AM94" s="63"/>
      <c r="AN94" s="63"/>
      <c r="AO94" s="63"/>
      <c r="AP94" s="696"/>
      <c r="AQ94" s="63"/>
      <c r="AR94" s="63"/>
      <c r="AS94" s="63"/>
      <c r="AT94" s="63"/>
      <c r="AU94" s="63"/>
      <c r="AV94" s="147"/>
      <c r="AW94" s="250"/>
      <c r="AX94" s="60"/>
      <c r="AY94" s="153"/>
      <c r="AZ94" s="301"/>
      <c r="BA94" s="283"/>
      <c r="BB94" s="283"/>
      <c r="BC94" s="464"/>
      <c r="BD94" s="302"/>
      <c r="BE94" s="302"/>
      <c r="BF94" s="302"/>
      <c r="BG94" s="302"/>
      <c r="BH94" s="302"/>
      <c r="BI94" s="302"/>
      <c r="BJ94" s="871"/>
      <c r="BK94" s="871"/>
      <c r="BL94" s="565"/>
      <c r="BM94" s="565"/>
      <c r="BP94" s="515"/>
      <c r="BQ94" s="320"/>
      <c r="BR94" s="320"/>
    </row>
    <row r="95" spans="1:259" ht="11.25" customHeight="1">
      <c r="A95" s="115" t="s">
        <v>62</v>
      </c>
      <c r="B95" s="444" t="s">
        <v>3</v>
      </c>
      <c r="C95" s="76" t="s">
        <v>3</v>
      </c>
      <c r="D95" s="76" t="s">
        <v>3</v>
      </c>
      <c r="E95" s="76" t="s">
        <v>3</v>
      </c>
      <c r="F95" s="76" t="s">
        <v>3</v>
      </c>
      <c r="G95" s="76" t="s">
        <v>3</v>
      </c>
      <c r="H95" s="76" t="s">
        <v>3</v>
      </c>
      <c r="I95" s="76" t="s">
        <v>3</v>
      </c>
      <c r="J95" s="76" t="s">
        <v>3</v>
      </c>
      <c r="K95" s="76" t="s">
        <v>3</v>
      </c>
      <c r="L95" s="444" t="s">
        <v>3</v>
      </c>
      <c r="M95" s="75">
        <v>1</v>
      </c>
      <c r="N95" s="75">
        <v>33</v>
      </c>
      <c r="O95" s="75">
        <v>0</v>
      </c>
      <c r="P95" s="75">
        <v>161</v>
      </c>
      <c r="Q95" s="75">
        <v>162</v>
      </c>
      <c r="R95" s="75">
        <v>180</v>
      </c>
      <c r="S95" s="75">
        <v>180</v>
      </c>
      <c r="T95" s="75">
        <v>183</v>
      </c>
      <c r="U95" s="75">
        <v>181</v>
      </c>
      <c r="V95" s="648">
        <v>148</v>
      </c>
      <c r="W95" s="75">
        <v>168</v>
      </c>
      <c r="X95" s="75">
        <v>126</v>
      </c>
      <c r="Y95" s="75">
        <v>109</v>
      </c>
      <c r="Z95" s="75">
        <v>92</v>
      </c>
      <c r="AA95" s="75">
        <v>80</v>
      </c>
      <c r="AB95" s="75">
        <v>78</v>
      </c>
      <c r="AC95" s="75">
        <v>73</v>
      </c>
      <c r="AD95" s="75">
        <v>69</v>
      </c>
      <c r="AE95" s="75">
        <v>74</v>
      </c>
      <c r="AF95" s="648">
        <v>78</v>
      </c>
      <c r="AG95" s="75">
        <v>76</v>
      </c>
      <c r="AH95" s="75">
        <v>77</v>
      </c>
      <c r="AI95" s="75">
        <v>74</v>
      </c>
      <c r="AJ95" s="75">
        <v>73</v>
      </c>
      <c r="AK95" s="75">
        <v>73</v>
      </c>
      <c r="AL95" s="75">
        <v>69</v>
      </c>
      <c r="AM95" s="66">
        <v>67</v>
      </c>
      <c r="AN95" s="66">
        <v>63</v>
      </c>
      <c r="AO95" s="66">
        <v>65</v>
      </c>
      <c r="AP95" s="697">
        <v>63</v>
      </c>
      <c r="AQ95" s="66">
        <v>67</v>
      </c>
      <c r="AR95" s="66">
        <v>60</v>
      </c>
      <c r="AS95" s="66">
        <v>61</v>
      </c>
      <c r="AT95" s="66">
        <v>57</v>
      </c>
      <c r="AU95" s="66">
        <v>55</v>
      </c>
      <c r="AV95" s="193">
        <v>58</v>
      </c>
      <c r="AW95" s="225">
        <v>60</v>
      </c>
      <c r="AX95" s="60">
        <v>58</v>
      </c>
      <c r="AY95" s="153">
        <v>54</v>
      </c>
      <c r="AZ95" s="153">
        <v>60</v>
      </c>
      <c r="BA95" s="283">
        <v>58</v>
      </c>
      <c r="BB95" s="283">
        <v>59</v>
      </c>
      <c r="BC95" s="283">
        <v>56</v>
      </c>
      <c r="BD95" s="370">
        <v>56</v>
      </c>
      <c r="BE95" s="370">
        <v>53</v>
      </c>
      <c r="BF95" s="370">
        <v>55</v>
      </c>
      <c r="BG95" s="370">
        <v>54</v>
      </c>
      <c r="BH95" s="370">
        <v>62</v>
      </c>
      <c r="BI95" s="370">
        <v>62</v>
      </c>
      <c r="BJ95" s="410">
        <f>(BH95-BG95)/BG95</f>
        <v>0.14814814814814814</v>
      </c>
      <c r="BK95" s="410">
        <f>(BI95-BH95)/BH95</f>
        <v>0</v>
      </c>
      <c r="BL95" s="564">
        <f t="shared" ref="BL95" si="54">(BH95-BG95)</f>
        <v>8</v>
      </c>
      <c r="BM95" s="564">
        <f t="shared" ref="BM95" si="55">(BI95-BH95)</f>
        <v>0</v>
      </c>
      <c r="BP95" s="515"/>
      <c r="BQ95" s="320"/>
      <c r="BR95" s="320"/>
    </row>
    <row r="96" spans="1:259" ht="4.5" customHeight="1">
      <c r="A96" s="115"/>
      <c r="L96" s="596"/>
      <c r="M96" s="11"/>
      <c r="N96" s="11"/>
      <c r="O96" s="11"/>
      <c r="P96" s="11"/>
      <c r="Q96" s="11"/>
      <c r="R96" s="11"/>
      <c r="S96" s="11"/>
      <c r="T96" s="11"/>
      <c r="U96" s="11"/>
      <c r="V96" s="596"/>
      <c r="W96" s="11"/>
      <c r="X96" s="11"/>
      <c r="Y96" s="11"/>
      <c r="Z96" s="11"/>
      <c r="AA96" s="11"/>
      <c r="AB96" s="11"/>
      <c r="AC96" s="11"/>
      <c r="AD96" s="11"/>
      <c r="AE96" s="11"/>
      <c r="AF96" s="596"/>
      <c r="AG96" s="11"/>
      <c r="AH96" s="11"/>
      <c r="AI96" s="11"/>
      <c r="AJ96" s="11"/>
      <c r="AK96" s="11"/>
      <c r="AM96" s="66"/>
      <c r="AN96" s="66"/>
      <c r="AO96" s="66"/>
      <c r="AP96" s="697"/>
      <c r="AQ96" s="66"/>
      <c r="AR96" s="66"/>
      <c r="AS96" s="66"/>
      <c r="AT96" s="66"/>
      <c r="AU96" s="66"/>
      <c r="AV96" s="193"/>
      <c r="AW96" s="250"/>
      <c r="AX96" s="60"/>
      <c r="AY96" s="153"/>
      <c r="AZ96" s="153"/>
      <c r="BA96" s="283"/>
      <c r="BB96" s="283"/>
      <c r="BC96" s="283"/>
      <c r="BD96" s="370"/>
      <c r="BE96" s="370"/>
      <c r="BF96" s="370"/>
      <c r="BG96" s="370"/>
      <c r="BH96" s="370"/>
      <c r="BI96" s="370"/>
      <c r="BJ96" s="410"/>
      <c r="BK96" s="410"/>
      <c r="BL96" s="564"/>
      <c r="BM96" s="564"/>
      <c r="BP96" s="515"/>
      <c r="BQ96" s="320"/>
      <c r="BR96" s="320"/>
    </row>
    <row r="97" spans="1:70" ht="12" customHeight="1" thickBot="1">
      <c r="A97" s="118" t="s">
        <v>82</v>
      </c>
      <c r="B97" s="650">
        <f t="shared" ref="B97:AU97" si="56">SUM(B84:B95)</f>
        <v>4151</v>
      </c>
      <c r="C97" s="139">
        <f t="shared" si="56"/>
        <v>4258</v>
      </c>
      <c r="D97" s="139">
        <f t="shared" si="56"/>
        <v>4885</v>
      </c>
      <c r="E97" s="139">
        <f t="shared" si="56"/>
        <v>5804</v>
      </c>
      <c r="F97" s="139">
        <f t="shared" si="56"/>
        <v>5789</v>
      </c>
      <c r="G97" s="139">
        <f t="shared" si="56"/>
        <v>6163</v>
      </c>
      <c r="H97" s="139">
        <f t="shared" si="56"/>
        <v>6288</v>
      </c>
      <c r="I97" s="139">
        <f t="shared" si="56"/>
        <v>6451</v>
      </c>
      <c r="J97" s="139">
        <f t="shared" si="56"/>
        <v>6844</v>
      </c>
      <c r="K97" s="139">
        <f t="shared" si="56"/>
        <v>7213</v>
      </c>
      <c r="L97" s="650">
        <f t="shared" si="56"/>
        <v>7571</v>
      </c>
      <c r="M97" s="139">
        <f t="shared" si="56"/>
        <v>7117</v>
      </c>
      <c r="N97" s="139">
        <f t="shared" si="56"/>
        <v>9879</v>
      </c>
      <c r="O97" s="139">
        <f t="shared" si="56"/>
        <v>10222</v>
      </c>
      <c r="P97" s="139">
        <f t="shared" si="56"/>
        <v>11193</v>
      </c>
      <c r="Q97" s="139">
        <f t="shared" si="56"/>
        <v>12334</v>
      </c>
      <c r="R97" s="139">
        <f t="shared" si="56"/>
        <v>13259</v>
      </c>
      <c r="S97" s="139">
        <f t="shared" si="56"/>
        <v>14614</v>
      </c>
      <c r="T97" s="139">
        <f t="shared" si="56"/>
        <v>15313</v>
      </c>
      <c r="U97" s="139">
        <f t="shared" si="56"/>
        <v>17495</v>
      </c>
      <c r="V97" s="650">
        <f t="shared" si="56"/>
        <v>17894</v>
      </c>
      <c r="W97" s="139">
        <f t="shared" si="56"/>
        <v>16845</v>
      </c>
      <c r="X97" s="139">
        <f t="shared" si="56"/>
        <v>14875</v>
      </c>
      <c r="Y97" s="139">
        <f t="shared" si="56"/>
        <v>14731</v>
      </c>
      <c r="Z97" s="139">
        <f t="shared" si="56"/>
        <v>14493</v>
      </c>
      <c r="AA97" s="139">
        <f t="shared" si="56"/>
        <v>14229</v>
      </c>
      <c r="AB97" s="139">
        <f t="shared" si="56"/>
        <v>13859</v>
      </c>
      <c r="AC97" s="139">
        <f t="shared" si="56"/>
        <v>13475</v>
      </c>
      <c r="AD97" s="139">
        <f t="shared" si="56"/>
        <v>13993</v>
      </c>
      <c r="AE97" s="139">
        <f t="shared" si="56"/>
        <v>13810</v>
      </c>
      <c r="AF97" s="650">
        <f t="shared" si="56"/>
        <v>13610</v>
      </c>
      <c r="AG97" s="139">
        <f t="shared" si="56"/>
        <v>13263</v>
      </c>
      <c r="AH97" s="139">
        <f t="shared" si="56"/>
        <v>13207</v>
      </c>
      <c r="AI97" s="139">
        <f t="shared" si="56"/>
        <v>12996</v>
      </c>
      <c r="AJ97" s="139">
        <f t="shared" si="56"/>
        <v>12817</v>
      </c>
      <c r="AK97" s="139">
        <f t="shared" si="56"/>
        <v>12592</v>
      </c>
      <c r="AL97" s="139">
        <f t="shared" si="56"/>
        <v>12035</v>
      </c>
      <c r="AM97" s="139">
        <f t="shared" si="56"/>
        <v>12035</v>
      </c>
      <c r="AN97" s="139">
        <f t="shared" si="56"/>
        <v>11699</v>
      </c>
      <c r="AO97" s="139">
        <f t="shared" si="56"/>
        <v>11758</v>
      </c>
      <c r="AP97" s="650">
        <f t="shared" si="56"/>
        <v>12203.502673796791</v>
      </c>
      <c r="AQ97" s="139">
        <f t="shared" si="56"/>
        <v>12283.168246445497</v>
      </c>
      <c r="AR97" s="139">
        <f t="shared" si="56"/>
        <v>12399</v>
      </c>
      <c r="AS97" s="139">
        <f t="shared" si="56"/>
        <v>12109</v>
      </c>
      <c r="AT97" s="139">
        <f t="shared" si="56"/>
        <v>11731</v>
      </c>
      <c r="AU97" s="139">
        <f t="shared" si="56"/>
        <v>11338</v>
      </c>
      <c r="AV97" s="253">
        <f t="shared" ref="AV97:BI97" si="57">SUM(AV84:AV96)</f>
        <v>11067</v>
      </c>
      <c r="AW97" s="254">
        <f t="shared" si="57"/>
        <v>10947.881548974943</v>
      </c>
      <c r="AX97" s="254">
        <f t="shared" si="57"/>
        <v>11039.520738081213</v>
      </c>
      <c r="AY97" s="233">
        <f t="shared" si="57"/>
        <v>11144</v>
      </c>
      <c r="AZ97" s="233">
        <f t="shared" si="57"/>
        <v>12105</v>
      </c>
      <c r="BA97" s="388">
        <f t="shared" si="57"/>
        <v>11940</v>
      </c>
      <c r="BB97" s="388">
        <f t="shared" si="57"/>
        <v>12183</v>
      </c>
      <c r="BC97" s="388">
        <f t="shared" si="57"/>
        <v>11959</v>
      </c>
      <c r="BD97" s="468">
        <f t="shared" si="57"/>
        <v>11580</v>
      </c>
      <c r="BE97" s="468">
        <f t="shared" si="57"/>
        <v>11602</v>
      </c>
      <c r="BF97" s="468">
        <f t="shared" si="57"/>
        <v>11026</v>
      </c>
      <c r="BG97" s="468">
        <f t="shared" si="57"/>
        <v>10669</v>
      </c>
      <c r="BH97" s="468">
        <f t="shared" si="57"/>
        <v>10308</v>
      </c>
      <c r="BI97" s="468">
        <f t="shared" si="57"/>
        <v>10209</v>
      </c>
      <c r="BJ97" s="875">
        <f>(BH97-BG97)/BG97</f>
        <v>-3.3836348298809632E-2</v>
      </c>
      <c r="BK97" s="875">
        <f>(BI97-BH97)/BH97</f>
        <v>-9.6041909196740403E-3</v>
      </c>
      <c r="BL97" s="569">
        <f>BH97-BG97</f>
        <v>-361</v>
      </c>
      <c r="BM97" s="569">
        <f>BI97-BH97</f>
        <v>-99</v>
      </c>
      <c r="BP97" s="515"/>
      <c r="BQ97" s="320"/>
      <c r="BR97" s="320"/>
    </row>
    <row r="98" spans="1:70" ht="11.25" customHeight="1">
      <c r="L98" s="596"/>
      <c r="M98" s="11"/>
      <c r="N98" s="11"/>
      <c r="O98" s="11"/>
      <c r="P98" s="11"/>
      <c r="Q98" s="11"/>
      <c r="R98" s="11"/>
      <c r="S98" s="11"/>
      <c r="T98" s="11"/>
      <c r="U98" s="11"/>
      <c r="V98" s="596"/>
      <c r="W98" s="11"/>
      <c r="X98" s="11"/>
      <c r="Y98" s="11"/>
      <c r="Z98" s="11"/>
      <c r="AA98" s="11"/>
      <c r="AB98" s="11"/>
      <c r="AC98" s="11"/>
      <c r="AD98" s="11"/>
      <c r="AE98" s="11"/>
      <c r="AF98" s="596"/>
      <c r="AG98" s="11"/>
      <c r="AH98" s="11"/>
      <c r="AI98" s="11"/>
      <c r="AJ98" s="11"/>
      <c r="AK98" s="11"/>
      <c r="AM98" s="63"/>
      <c r="AN98" s="63"/>
      <c r="AO98" s="63"/>
      <c r="AP98" s="696"/>
      <c r="AQ98" s="63"/>
      <c r="AR98" s="63"/>
      <c r="AS98" s="63"/>
      <c r="AT98" s="63"/>
      <c r="AU98" s="63"/>
      <c r="AV98" s="147"/>
      <c r="AW98" s="250"/>
      <c r="AX98" s="60"/>
      <c r="AY98" s="153"/>
      <c r="AZ98" s="301"/>
      <c r="BA98" s="283"/>
      <c r="BB98" s="283"/>
      <c r="BC98" s="464"/>
      <c r="BD98" s="302"/>
      <c r="BE98" s="302"/>
      <c r="BF98" s="302"/>
      <c r="BG98" s="302"/>
      <c r="BH98" s="302"/>
      <c r="BI98" s="302"/>
      <c r="BJ98" s="410"/>
      <c r="BK98" s="410"/>
      <c r="BL98" s="564"/>
      <c r="BM98" s="564"/>
      <c r="BP98" s="515"/>
      <c r="BQ98" s="320"/>
      <c r="BR98" s="320"/>
    </row>
    <row r="99" spans="1:70" ht="15.75" customHeight="1">
      <c r="A99" s="120" t="s">
        <v>115</v>
      </c>
      <c r="L99" s="177"/>
      <c r="M99"/>
      <c r="N99"/>
      <c r="O99"/>
      <c r="P99"/>
      <c r="Q99"/>
      <c r="R99"/>
      <c r="S99"/>
      <c r="T99"/>
      <c r="U99"/>
      <c r="V99" s="177"/>
      <c r="W99"/>
      <c r="X99"/>
      <c r="Y99"/>
      <c r="Z99"/>
      <c r="AA99"/>
      <c r="AB99"/>
      <c r="AC99"/>
      <c r="AD99"/>
      <c r="AE99"/>
      <c r="AF99" s="177"/>
      <c r="AG99"/>
      <c r="AH99"/>
      <c r="AI99"/>
      <c r="AJ99"/>
      <c r="AK99"/>
      <c r="AL99"/>
      <c r="AM99"/>
      <c r="AN99"/>
      <c r="AO99"/>
      <c r="AP99" s="177"/>
      <c r="AQ99"/>
      <c r="AR99"/>
      <c r="AS99"/>
      <c r="AT99"/>
      <c r="AU99"/>
      <c r="AV99"/>
      <c r="AX99"/>
      <c r="BA99"/>
      <c r="BB99"/>
      <c r="BC99"/>
      <c r="BD99"/>
      <c r="BE99"/>
      <c r="BF99" s="177"/>
      <c r="BG99" s="177"/>
      <c r="BH99" s="177"/>
      <c r="BI99" s="177"/>
      <c r="BJ99" s="177"/>
      <c r="BK99" s="177"/>
      <c r="BL99" s="953"/>
      <c r="BM99" s="953"/>
      <c r="BP99" s="515"/>
      <c r="BQ99" s="320"/>
      <c r="BR99" s="320"/>
    </row>
    <row r="100" spans="1:70" ht="6" customHeight="1">
      <c r="A100" s="115"/>
      <c r="L100" s="596"/>
      <c r="M100" s="11"/>
      <c r="N100" s="11"/>
      <c r="O100" s="11"/>
      <c r="P100" s="11"/>
      <c r="Q100" s="11"/>
      <c r="R100" s="11"/>
      <c r="S100" s="11"/>
      <c r="T100" s="11"/>
      <c r="U100" s="11"/>
      <c r="V100" s="596"/>
      <c r="W100" s="11"/>
      <c r="X100" s="11"/>
      <c r="Y100" s="11"/>
      <c r="Z100" s="11"/>
      <c r="AA100" s="11"/>
      <c r="AB100" s="11"/>
      <c r="AC100" s="11"/>
      <c r="AD100" s="11"/>
      <c r="AE100" s="11"/>
      <c r="AF100" s="596"/>
      <c r="AG100" s="11"/>
      <c r="AH100" s="11"/>
      <c r="AI100" s="11"/>
      <c r="AJ100" s="11"/>
      <c r="AK100" s="11"/>
      <c r="AM100" s="63"/>
      <c r="AN100" s="63"/>
      <c r="AO100" s="63"/>
      <c r="AP100" s="696"/>
      <c r="AQ100" s="63"/>
      <c r="AR100" s="63"/>
      <c r="AS100" s="63"/>
      <c r="AT100" s="63"/>
      <c r="AU100" s="63"/>
      <c r="AV100" s="147"/>
      <c r="AW100" s="250"/>
      <c r="AX100" s="60"/>
      <c r="AY100" s="153"/>
      <c r="AZ100" s="301"/>
      <c r="BA100" s="283"/>
      <c r="BB100" s="283"/>
      <c r="BC100" s="464"/>
      <c r="BD100" s="302"/>
      <c r="BE100" s="302"/>
      <c r="BF100" s="302"/>
      <c r="BG100" s="302"/>
      <c r="BH100" s="302"/>
      <c r="BI100" s="302"/>
      <c r="BJ100" s="410"/>
      <c r="BK100" s="410"/>
      <c r="BL100" s="564"/>
      <c r="BM100" s="564"/>
      <c r="BP100" s="515"/>
      <c r="BQ100" s="320"/>
      <c r="BR100" s="320"/>
    </row>
    <row r="101" spans="1:70" ht="11.25" customHeight="1">
      <c r="A101" s="115" t="s">
        <v>18</v>
      </c>
      <c r="B101" s="695" t="s">
        <v>59</v>
      </c>
      <c r="C101" s="17" t="s">
        <v>59</v>
      </c>
      <c r="D101" s="17" t="s">
        <v>59</v>
      </c>
      <c r="E101" s="17" t="s">
        <v>59</v>
      </c>
      <c r="F101" s="17" t="s">
        <v>59</v>
      </c>
      <c r="G101" s="17" t="s">
        <v>59</v>
      </c>
      <c r="H101" s="17" t="s">
        <v>59</v>
      </c>
      <c r="I101" s="17" t="s">
        <v>59</v>
      </c>
      <c r="J101" s="17" t="s">
        <v>59</v>
      </c>
      <c r="K101" s="17" t="s">
        <v>59</v>
      </c>
      <c r="L101" s="695" t="s">
        <v>59</v>
      </c>
      <c r="M101" s="11">
        <v>43</v>
      </c>
      <c r="N101" s="11">
        <v>63</v>
      </c>
      <c r="O101" s="11">
        <v>68</v>
      </c>
      <c r="P101" s="11">
        <v>54</v>
      </c>
      <c r="Q101" s="11">
        <v>60</v>
      </c>
      <c r="R101" s="11">
        <v>56</v>
      </c>
      <c r="S101" s="11">
        <v>57</v>
      </c>
      <c r="T101" s="11">
        <v>53</v>
      </c>
      <c r="U101" s="11">
        <v>49</v>
      </c>
      <c r="V101" s="596">
        <v>49</v>
      </c>
      <c r="W101" s="11">
        <v>25</v>
      </c>
      <c r="X101" s="11">
        <v>15</v>
      </c>
      <c r="Y101" s="11">
        <v>13</v>
      </c>
      <c r="Z101" s="11">
        <v>11</v>
      </c>
      <c r="AA101" s="11">
        <v>11</v>
      </c>
      <c r="AB101" s="11">
        <v>13</v>
      </c>
      <c r="AC101" s="11">
        <v>13</v>
      </c>
      <c r="AD101" s="11">
        <v>13</v>
      </c>
      <c r="AE101" s="11">
        <v>10</v>
      </c>
      <c r="AF101" s="596">
        <v>15</v>
      </c>
      <c r="AG101" s="11">
        <v>23</v>
      </c>
      <c r="AH101" s="11">
        <v>27</v>
      </c>
      <c r="AI101" s="11">
        <v>22</v>
      </c>
      <c r="AJ101" s="11">
        <v>3</v>
      </c>
      <c r="AK101" s="11">
        <v>14</v>
      </c>
      <c r="AL101" s="11">
        <v>16</v>
      </c>
      <c r="AM101" s="63">
        <v>18</v>
      </c>
      <c r="AN101" s="63">
        <v>18</v>
      </c>
      <c r="AO101" s="63">
        <v>18</v>
      </c>
      <c r="AP101" s="696">
        <v>20</v>
      </c>
      <c r="AQ101" s="63">
        <v>19</v>
      </c>
      <c r="AR101" s="63">
        <v>19</v>
      </c>
      <c r="AS101" s="63">
        <v>20</v>
      </c>
      <c r="AT101" s="63">
        <v>22</v>
      </c>
      <c r="AU101" s="63">
        <v>21</v>
      </c>
      <c r="AV101" s="147">
        <v>19</v>
      </c>
      <c r="AW101" s="27">
        <v>17</v>
      </c>
      <c r="AX101" s="60">
        <v>18</v>
      </c>
      <c r="AY101" s="60">
        <v>20</v>
      </c>
      <c r="AZ101" s="60">
        <v>23</v>
      </c>
      <c r="BA101" s="284">
        <v>23</v>
      </c>
      <c r="BB101" s="284">
        <v>22</v>
      </c>
      <c r="BC101" s="284">
        <v>22</v>
      </c>
      <c r="BD101" s="305">
        <v>21</v>
      </c>
      <c r="BE101" s="305">
        <v>22</v>
      </c>
      <c r="BF101" s="305">
        <v>19</v>
      </c>
      <c r="BG101" s="305">
        <v>12</v>
      </c>
      <c r="BH101" s="305">
        <v>24</v>
      </c>
      <c r="BI101" s="305">
        <v>24</v>
      </c>
      <c r="BJ101" s="410">
        <f>(BH101-BG101)/BG101</f>
        <v>1</v>
      </c>
      <c r="BK101" s="410">
        <f>(BI101-BH101)/BH101</f>
        <v>0</v>
      </c>
      <c r="BL101" s="564">
        <f t="shared" ref="BL101" si="58">(BH101-BG101)</f>
        <v>12</v>
      </c>
      <c r="BM101" s="564">
        <f t="shared" ref="BM101" si="59">(BI101-BH101)</f>
        <v>0</v>
      </c>
      <c r="BP101" s="515"/>
      <c r="BQ101" s="320"/>
      <c r="BR101" s="320"/>
    </row>
    <row r="102" spans="1:70" ht="6" customHeight="1">
      <c r="A102" s="115"/>
      <c r="B102" s="972"/>
      <c r="C102" s="148"/>
      <c r="D102" s="148"/>
      <c r="E102" s="148"/>
      <c r="F102" s="148"/>
      <c r="G102" s="148"/>
      <c r="H102" s="148"/>
      <c r="I102" s="148"/>
      <c r="J102" s="148"/>
      <c r="K102" s="148"/>
      <c r="L102" s="695"/>
      <c r="M102" s="11"/>
      <c r="N102" s="11"/>
      <c r="O102" s="11"/>
      <c r="P102" s="11"/>
      <c r="Q102" s="11"/>
      <c r="R102" s="11"/>
      <c r="S102" s="11"/>
      <c r="T102" s="11"/>
      <c r="U102" s="11"/>
      <c r="V102" s="596"/>
      <c r="W102" s="11"/>
      <c r="X102" s="11"/>
      <c r="Y102" s="11"/>
      <c r="Z102" s="11"/>
      <c r="AA102" s="11"/>
      <c r="AB102" s="11"/>
      <c r="AC102" s="11"/>
      <c r="AD102" s="11"/>
      <c r="AE102" s="11"/>
      <c r="AF102" s="596"/>
      <c r="AG102" s="11"/>
      <c r="AH102" s="11"/>
      <c r="AI102" s="11"/>
      <c r="AJ102" s="11"/>
      <c r="AK102" s="11"/>
      <c r="AM102" s="63"/>
      <c r="AN102" s="63"/>
      <c r="AO102" s="63"/>
      <c r="AP102" s="696"/>
      <c r="AQ102" s="63"/>
      <c r="AR102" s="63"/>
      <c r="AS102" s="63"/>
      <c r="AT102" s="63"/>
      <c r="AU102" s="63"/>
      <c r="AV102" s="147"/>
      <c r="AW102" s="250"/>
      <c r="AX102" s="60"/>
      <c r="AY102" s="60"/>
      <c r="AZ102" s="299"/>
      <c r="BA102" s="284"/>
      <c r="BB102" s="284"/>
      <c r="BC102" s="461"/>
      <c r="BD102" s="300"/>
      <c r="BE102" s="300"/>
      <c r="BF102" s="300"/>
      <c r="BG102" s="300"/>
      <c r="BH102" s="300"/>
      <c r="BI102" s="300"/>
      <c r="BJ102" s="871"/>
      <c r="BK102" s="871"/>
      <c r="BL102" s="565"/>
      <c r="BM102" s="565"/>
      <c r="BP102" s="515"/>
      <c r="BQ102" s="320"/>
      <c r="BR102" s="320"/>
    </row>
    <row r="103" spans="1:70" ht="10.5" customHeight="1">
      <c r="A103" s="122" t="s">
        <v>29</v>
      </c>
      <c r="B103" s="972"/>
      <c r="C103" s="148"/>
      <c r="D103" s="148"/>
      <c r="E103" s="148"/>
      <c r="F103" s="148"/>
      <c r="G103" s="148"/>
      <c r="H103" s="148"/>
      <c r="I103" s="148"/>
      <c r="J103" s="148"/>
      <c r="K103" s="148"/>
      <c r="L103" s="695"/>
      <c r="M103" s="11"/>
      <c r="N103" s="11"/>
      <c r="O103" s="11"/>
      <c r="P103" s="11"/>
      <c r="Q103" s="11"/>
      <c r="R103" s="11"/>
      <c r="S103" s="11"/>
      <c r="T103" s="11"/>
      <c r="U103" s="11"/>
      <c r="V103" s="596"/>
      <c r="W103" s="11"/>
      <c r="X103" s="11"/>
      <c r="Y103" s="11"/>
      <c r="Z103" s="11"/>
      <c r="AA103" s="11"/>
      <c r="AB103" s="11"/>
      <c r="AC103" s="11"/>
      <c r="AD103" s="11"/>
      <c r="AE103" s="11"/>
      <c r="AF103" s="596"/>
      <c r="AG103" s="11"/>
      <c r="AH103" s="11"/>
      <c r="AI103" s="11"/>
      <c r="AJ103" s="11"/>
      <c r="AK103" s="11"/>
      <c r="AM103" s="63"/>
      <c r="AN103" s="63"/>
      <c r="AO103" s="63"/>
      <c r="AP103" s="696"/>
      <c r="AQ103" s="63"/>
      <c r="AR103" s="63"/>
      <c r="AS103" s="63"/>
      <c r="AT103" s="63"/>
      <c r="AU103" s="63"/>
      <c r="AV103" s="147"/>
      <c r="AW103" s="250"/>
      <c r="AX103" s="60"/>
      <c r="AY103" s="60"/>
      <c r="AZ103" s="299"/>
      <c r="BA103" s="284"/>
      <c r="BB103" s="284"/>
      <c r="BC103" s="461"/>
      <c r="BD103" s="300"/>
      <c r="BE103" s="300"/>
      <c r="BF103" s="300"/>
      <c r="BG103" s="300"/>
      <c r="BH103" s="300"/>
      <c r="BI103" s="300"/>
      <c r="BJ103" s="410"/>
      <c r="BK103" s="410"/>
      <c r="BL103" s="566"/>
      <c r="BM103" s="566"/>
      <c r="BP103" s="515"/>
      <c r="BQ103" s="320"/>
      <c r="BR103" s="320"/>
    </row>
    <row r="104" spans="1:70" ht="12" customHeight="1">
      <c r="A104" s="119" t="s">
        <v>126</v>
      </c>
      <c r="B104" s="695" t="s">
        <v>59</v>
      </c>
      <c r="C104" s="17" t="s">
        <v>59</v>
      </c>
      <c r="D104" s="17" t="s">
        <v>59</v>
      </c>
      <c r="E104" s="17" t="s">
        <v>59</v>
      </c>
      <c r="F104" s="17" t="s">
        <v>59</v>
      </c>
      <c r="G104" s="17" t="s">
        <v>59</v>
      </c>
      <c r="H104" s="17" t="s">
        <v>59</v>
      </c>
      <c r="I104" s="17" t="s">
        <v>59</v>
      </c>
      <c r="J104" s="17" t="s">
        <v>59</v>
      </c>
      <c r="K104" s="17" t="s">
        <v>59</v>
      </c>
      <c r="L104" s="695" t="s">
        <v>59</v>
      </c>
      <c r="M104" s="17" t="s">
        <v>59</v>
      </c>
      <c r="N104" s="17" t="s">
        <v>59</v>
      </c>
      <c r="O104" s="17" t="s">
        <v>59</v>
      </c>
      <c r="P104" s="17" t="s">
        <v>59</v>
      </c>
      <c r="Q104" s="17" t="s">
        <v>59</v>
      </c>
      <c r="R104" s="17" t="s">
        <v>59</v>
      </c>
      <c r="S104" s="17" t="s">
        <v>59</v>
      </c>
      <c r="T104" s="17" t="s">
        <v>59</v>
      </c>
      <c r="U104" s="17" t="s">
        <v>59</v>
      </c>
      <c r="V104" s="695" t="s">
        <v>59</v>
      </c>
      <c r="W104" s="17" t="s">
        <v>59</v>
      </c>
      <c r="X104" s="17" t="s">
        <v>59</v>
      </c>
      <c r="Y104" s="17" t="s">
        <v>59</v>
      </c>
      <c r="Z104" s="17" t="s">
        <v>59</v>
      </c>
      <c r="AA104" s="17" t="s">
        <v>59</v>
      </c>
      <c r="AB104" s="17" t="s">
        <v>59</v>
      </c>
      <c r="AC104" s="17" t="s">
        <v>59</v>
      </c>
      <c r="AD104" s="17" t="s">
        <v>59</v>
      </c>
      <c r="AE104" s="17" t="s">
        <v>59</v>
      </c>
      <c r="AF104" s="695" t="s">
        <v>59</v>
      </c>
      <c r="AG104" s="17" t="s">
        <v>59</v>
      </c>
      <c r="AH104" s="17" t="s">
        <v>59</v>
      </c>
      <c r="AI104" s="17" t="s">
        <v>59</v>
      </c>
      <c r="AJ104" s="17" t="s">
        <v>59</v>
      </c>
      <c r="AK104" s="17" t="s">
        <v>59</v>
      </c>
      <c r="AL104" s="17" t="s">
        <v>59</v>
      </c>
      <c r="AM104" s="17" t="s">
        <v>59</v>
      </c>
      <c r="AN104" s="17" t="s">
        <v>59</v>
      </c>
      <c r="AO104" s="17" t="s">
        <v>59</v>
      </c>
      <c r="AP104" s="696">
        <v>2340</v>
      </c>
      <c r="AQ104" s="63">
        <v>2509</v>
      </c>
      <c r="AR104" s="63">
        <f>2384+110</f>
        <v>2494</v>
      </c>
      <c r="AS104" s="63">
        <v>2914</v>
      </c>
      <c r="AT104" s="63">
        <v>2730</v>
      </c>
      <c r="AU104" s="63">
        <v>2699</v>
      </c>
      <c r="AV104" s="147">
        <f>2145+141</f>
        <v>2286</v>
      </c>
      <c r="AW104" s="27">
        <f>2283+117</f>
        <v>2400</v>
      </c>
      <c r="AX104" s="60">
        <v>2140</v>
      </c>
      <c r="AY104" s="60">
        <v>2296</v>
      </c>
      <c r="AZ104" s="60">
        <v>2289</v>
      </c>
      <c r="BA104" s="284">
        <v>2241</v>
      </c>
      <c r="BB104" s="284">
        <f>2069+95</f>
        <v>2164</v>
      </c>
      <c r="BC104" s="284">
        <f>1933+84</f>
        <v>2017</v>
      </c>
      <c r="BD104" s="305">
        <f>1859+79</f>
        <v>1938</v>
      </c>
      <c r="BE104" s="305">
        <f>1810+73</f>
        <v>1883</v>
      </c>
      <c r="BF104" s="305">
        <f>1749+76</f>
        <v>1825</v>
      </c>
      <c r="BG104" s="305">
        <f>1744+83</f>
        <v>1827</v>
      </c>
      <c r="BH104" s="305">
        <f>BG104</f>
        <v>1827</v>
      </c>
      <c r="BI104" s="305">
        <f>1183</f>
        <v>1183</v>
      </c>
      <c r="BJ104" s="410">
        <f>(BH104-BG104)/BG104</f>
        <v>0</v>
      </c>
      <c r="BK104" s="410">
        <f>(BI104-BH104)/BH104</f>
        <v>-0.35249042145593867</v>
      </c>
      <c r="BL104" s="564">
        <f t="shared" ref="BL104" si="60">(BH104-BG104)</f>
        <v>0</v>
      </c>
      <c r="BM104" s="564">
        <f t="shared" ref="BM104" si="61">(BI104-BH104)</f>
        <v>-644</v>
      </c>
      <c r="BP104" s="515"/>
      <c r="BQ104" s="320"/>
      <c r="BR104" s="320"/>
    </row>
    <row r="105" spans="1:70" ht="6" customHeight="1">
      <c r="A105" s="115"/>
      <c r="B105" s="972"/>
      <c r="C105" s="148"/>
      <c r="D105" s="148"/>
      <c r="E105" s="148"/>
      <c r="F105" s="148"/>
      <c r="G105" s="148"/>
      <c r="H105" s="148"/>
      <c r="I105" s="148"/>
      <c r="J105" s="148"/>
      <c r="K105" s="148"/>
      <c r="L105" s="695"/>
      <c r="M105" s="11"/>
      <c r="N105" s="11"/>
      <c r="O105" s="11"/>
      <c r="P105" s="11"/>
      <c r="Q105" s="11"/>
      <c r="R105" s="11"/>
      <c r="S105" s="11"/>
      <c r="T105" s="11"/>
      <c r="U105" s="11"/>
      <c r="V105" s="596"/>
      <c r="W105" s="11"/>
      <c r="X105" s="11"/>
      <c r="Y105" s="11"/>
      <c r="Z105" s="11"/>
      <c r="AA105" s="11"/>
      <c r="AB105" s="11"/>
      <c r="AC105" s="11"/>
      <c r="AD105" s="11"/>
      <c r="AE105" s="11"/>
      <c r="AF105" s="596"/>
      <c r="AG105" s="11"/>
      <c r="AH105" s="11"/>
      <c r="AI105" s="11"/>
      <c r="AJ105" s="11"/>
      <c r="AK105" s="11"/>
      <c r="AM105" s="63"/>
      <c r="AN105" s="63"/>
      <c r="AO105" s="63"/>
      <c r="AP105" s="696"/>
      <c r="AQ105" s="63"/>
      <c r="AR105" s="63"/>
      <c r="AS105" s="63"/>
      <c r="AT105" s="63"/>
      <c r="AU105" s="63"/>
      <c r="AV105" s="147"/>
      <c r="AW105" s="250"/>
      <c r="AX105" s="60"/>
      <c r="AY105" s="60"/>
      <c r="AZ105" s="299"/>
      <c r="BA105" s="284"/>
      <c r="BB105" s="284"/>
      <c r="BC105" s="461"/>
      <c r="BD105" s="300"/>
      <c r="BE105" s="300"/>
      <c r="BF105" s="300"/>
      <c r="BG105" s="300"/>
      <c r="BH105" s="300"/>
      <c r="BI105" s="300"/>
      <c r="BJ105" s="871"/>
      <c r="BK105" s="871"/>
      <c r="BL105" s="565"/>
      <c r="BM105" s="565"/>
      <c r="BP105" s="515"/>
      <c r="BQ105" s="320"/>
      <c r="BR105" s="320"/>
    </row>
    <row r="106" spans="1:70" ht="11.25" customHeight="1">
      <c r="A106" s="116" t="s">
        <v>39</v>
      </c>
      <c r="B106" s="972"/>
      <c r="C106" s="148"/>
      <c r="D106" s="148"/>
      <c r="E106" s="148"/>
      <c r="F106" s="148"/>
      <c r="G106" s="148"/>
      <c r="H106" s="148"/>
      <c r="I106" s="148"/>
      <c r="J106" s="148"/>
      <c r="K106" s="148"/>
      <c r="L106" s="695"/>
      <c r="M106" s="11"/>
      <c r="N106" s="11"/>
      <c r="O106" s="11"/>
      <c r="P106" s="11"/>
      <c r="Q106" s="11"/>
      <c r="R106" s="11"/>
      <c r="S106" s="11"/>
      <c r="T106" s="11"/>
      <c r="U106" s="11"/>
      <c r="V106" s="596"/>
      <c r="W106" s="11"/>
      <c r="X106" s="11"/>
      <c r="Y106" s="11"/>
      <c r="Z106" s="11"/>
      <c r="AA106" s="11"/>
      <c r="AB106" s="11"/>
      <c r="AC106" s="11"/>
      <c r="AD106" s="11"/>
      <c r="AE106" s="11"/>
      <c r="AF106" s="596"/>
      <c r="AG106" s="11"/>
      <c r="AH106" s="11"/>
      <c r="AI106" s="11"/>
      <c r="AJ106" s="11"/>
      <c r="AK106" s="11"/>
      <c r="AM106" s="63"/>
      <c r="AN106" s="63"/>
      <c r="AO106" s="63"/>
      <c r="AP106" s="696"/>
      <c r="AQ106" s="63"/>
      <c r="AR106" s="63"/>
      <c r="AS106" s="63"/>
      <c r="AT106" s="63"/>
      <c r="AU106" s="63"/>
      <c r="AV106" s="147"/>
      <c r="AW106" s="250"/>
      <c r="AX106" s="60"/>
      <c r="AY106" s="60"/>
      <c r="AZ106" s="299"/>
      <c r="BA106" s="284"/>
      <c r="BB106" s="284"/>
      <c r="BC106" s="461"/>
      <c r="BD106" s="300"/>
      <c r="BE106" s="300"/>
      <c r="BF106" s="300"/>
      <c r="BG106" s="300"/>
      <c r="BH106" s="300"/>
      <c r="BI106" s="300"/>
      <c r="BJ106" s="871"/>
      <c r="BK106" s="871"/>
      <c r="BL106" s="565"/>
      <c r="BM106" s="565"/>
      <c r="BP106" s="515"/>
      <c r="BQ106" s="320"/>
      <c r="BR106" s="320"/>
    </row>
    <row r="107" spans="1:70" ht="11.25" customHeight="1">
      <c r="A107" s="119" t="s">
        <v>127</v>
      </c>
      <c r="B107" s="695" t="s">
        <v>59</v>
      </c>
      <c r="C107" s="17" t="s">
        <v>59</v>
      </c>
      <c r="D107" s="17" t="s">
        <v>59</v>
      </c>
      <c r="E107" s="17" t="s">
        <v>59</v>
      </c>
      <c r="F107" s="17" t="s">
        <v>59</v>
      </c>
      <c r="G107" s="17" t="s">
        <v>59</v>
      </c>
      <c r="H107" s="17" t="s">
        <v>59</v>
      </c>
      <c r="I107" s="17" t="s">
        <v>59</v>
      </c>
      <c r="J107" s="17" t="s">
        <v>59</v>
      </c>
      <c r="K107" s="17" t="s">
        <v>59</v>
      </c>
      <c r="L107" s="695" t="s">
        <v>59</v>
      </c>
      <c r="M107" s="11">
        <v>398</v>
      </c>
      <c r="N107" s="11">
        <v>437</v>
      </c>
      <c r="O107" s="11">
        <v>566</v>
      </c>
      <c r="P107" s="11">
        <v>437</v>
      </c>
      <c r="Q107" s="11">
        <v>546</v>
      </c>
      <c r="R107" s="11">
        <v>670</v>
      </c>
      <c r="S107" s="11">
        <v>737</v>
      </c>
      <c r="T107" s="11">
        <v>754</v>
      </c>
      <c r="U107" s="11">
        <v>800</v>
      </c>
      <c r="V107" s="596">
        <v>800</v>
      </c>
      <c r="W107" s="11">
        <v>800</v>
      </c>
      <c r="X107" s="11">
        <v>830</v>
      </c>
      <c r="Y107" s="11">
        <v>860</v>
      </c>
      <c r="Z107" s="11">
        <v>900</v>
      </c>
      <c r="AA107" s="11">
        <v>905</v>
      </c>
      <c r="AB107" s="11">
        <v>913</v>
      </c>
      <c r="AC107" s="11">
        <v>890</v>
      </c>
      <c r="AD107" s="11">
        <v>968</v>
      </c>
      <c r="AE107" s="11">
        <v>1113</v>
      </c>
      <c r="AF107" s="596">
        <v>1201</v>
      </c>
      <c r="AG107" s="11">
        <v>1201</v>
      </c>
      <c r="AH107" s="11">
        <v>1305</v>
      </c>
      <c r="AI107" s="11">
        <v>1359</v>
      </c>
      <c r="AJ107" s="11">
        <v>1389</v>
      </c>
      <c r="AK107" s="11">
        <v>1407</v>
      </c>
      <c r="AL107" s="11">
        <v>1382</v>
      </c>
      <c r="AM107" s="63">
        <v>1312</v>
      </c>
      <c r="AN107" s="63">
        <v>1543</v>
      </c>
      <c r="AO107" s="63">
        <v>1372</v>
      </c>
      <c r="AP107" s="696">
        <v>1354</v>
      </c>
      <c r="AQ107" s="63">
        <v>1404</v>
      </c>
      <c r="AR107" s="63">
        <v>1447</v>
      </c>
      <c r="AS107" s="63">
        <v>1465</v>
      </c>
      <c r="AT107" s="63">
        <v>1448</v>
      </c>
      <c r="AU107" s="63">
        <v>1383</v>
      </c>
      <c r="AV107" s="147">
        <v>1357</v>
      </c>
      <c r="AW107" s="27">
        <v>1374</v>
      </c>
      <c r="AX107" s="60">
        <v>1402</v>
      </c>
      <c r="AY107" s="60">
        <v>1470</v>
      </c>
      <c r="AZ107" s="60">
        <v>1604</v>
      </c>
      <c r="BA107" s="284">
        <v>1486</v>
      </c>
      <c r="BB107" s="284">
        <f>1379+77</f>
        <v>1456</v>
      </c>
      <c r="BC107" s="284">
        <f>1384+25</f>
        <v>1409</v>
      </c>
      <c r="BD107" s="305">
        <f>1343+25</f>
        <v>1368</v>
      </c>
      <c r="BE107" s="305">
        <f>1395+32</f>
        <v>1427</v>
      </c>
      <c r="BF107" s="305">
        <f>1473+34</f>
        <v>1507</v>
      </c>
      <c r="BG107" s="305">
        <f>1399+46</f>
        <v>1445</v>
      </c>
      <c r="BH107" s="305">
        <f>1475+46</f>
        <v>1521</v>
      </c>
      <c r="BI107" s="305">
        <f>1475+46</f>
        <v>1521</v>
      </c>
      <c r="BJ107" s="410">
        <f>(BH107-BG107)/BG107</f>
        <v>5.2595155709342561E-2</v>
      </c>
      <c r="BK107" s="410">
        <f>(BI107-BH107)/BH107</f>
        <v>0</v>
      </c>
      <c r="BL107" s="564">
        <f t="shared" ref="BL107" si="62">(BH107-BG107)</f>
        <v>76</v>
      </c>
      <c r="BM107" s="564">
        <f t="shared" ref="BM107" si="63">(BI107-BH107)</f>
        <v>0</v>
      </c>
      <c r="BP107" s="515"/>
      <c r="BQ107" s="320"/>
      <c r="BR107" s="320"/>
    </row>
    <row r="108" spans="1:70" ht="6" customHeight="1">
      <c r="A108" s="115"/>
      <c r="B108" s="972"/>
      <c r="C108" s="148"/>
      <c r="D108" s="148"/>
      <c r="E108" s="148"/>
      <c r="F108" s="148"/>
      <c r="G108" s="148"/>
      <c r="H108" s="148"/>
      <c r="I108" s="148"/>
      <c r="J108" s="148"/>
      <c r="K108" s="148"/>
      <c r="L108" s="984"/>
      <c r="M108" s="79"/>
      <c r="N108" s="11"/>
      <c r="O108" s="11"/>
      <c r="P108" s="11"/>
      <c r="Q108" s="11"/>
      <c r="R108" s="11"/>
      <c r="S108" s="11"/>
      <c r="T108" s="11"/>
      <c r="U108" s="11"/>
      <c r="V108" s="596"/>
      <c r="W108" s="11"/>
      <c r="X108" s="11"/>
      <c r="Y108" s="11"/>
      <c r="Z108" s="11"/>
      <c r="AA108" s="11"/>
      <c r="AB108" s="11"/>
      <c r="AC108" s="11"/>
      <c r="AD108" s="11"/>
      <c r="AE108" s="11"/>
      <c r="AF108" s="596"/>
      <c r="AG108" s="11"/>
      <c r="AH108" s="11"/>
      <c r="AI108" s="11"/>
      <c r="AJ108" s="11"/>
      <c r="AK108" s="11"/>
      <c r="AM108" s="63"/>
      <c r="AN108" s="63"/>
      <c r="AO108" s="63"/>
      <c r="AP108" s="696"/>
      <c r="AQ108" s="63"/>
      <c r="AR108" s="63"/>
      <c r="AS108" s="63"/>
      <c r="AT108" s="63"/>
      <c r="AU108" s="63"/>
      <c r="AV108" s="147"/>
      <c r="AW108" s="250"/>
      <c r="AX108" s="60"/>
      <c r="AY108" s="60"/>
      <c r="AZ108" s="299"/>
      <c r="BA108" s="284"/>
      <c r="BB108" s="284"/>
      <c r="BC108" s="461"/>
      <c r="BD108" s="300"/>
      <c r="BE108" s="300"/>
      <c r="BF108" s="300"/>
      <c r="BG108" s="300"/>
      <c r="BH108" s="300"/>
      <c r="BI108" s="300"/>
      <c r="BJ108" s="871"/>
      <c r="BK108" s="871"/>
      <c r="BL108" s="565"/>
      <c r="BM108" s="565"/>
      <c r="BP108" s="515"/>
      <c r="BQ108" s="320"/>
      <c r="BR108" s="320"/>
    </row>
    <row r="109" spans="1:70" ht="11.25" customHeight="1">
      <c r="A109" s="116" t="s">
        <v>40</v>
      </c>
      <c r="B109" s="972"/>
      <c r="C109" s="148"/>
      <c r="D109" s="148"/>
      <c r="E109" s="148"/>
      <c r="F109" s="148"/>
      <c r="G109" s="148"/>
      <c r="H109" s="148"/>
      <c r="I109" s="148"/>
      <c r="J109" s="148"/>
      <c r="K109" s="148"/>
      <c r="L109" s="596"/>
      <c r="M109" s="11"/>
      <c r="N109" s="11"/>
      <c r="O109" s="11"/>
      <c r="P109" s="11"/>
      <c r="Q109" s="11"/>
      <c r="R109" s="11"/>
      <c r="S109" s="11"/>
      <c r="T109" s="11"/>
      <c r="U109" s="11"/>
      <c r="V109" s="596"/>
      <c r="W109" s="11"/>
      <c r="X109" s="11"/>
      <c r="Y109" s="11"/>
      <c r="Z109" s="11"/>
      <c r="AA109" s="11"/>
      <c r="AB109" s="11"/>
      <c r="AC109" s="11"/>
      <c r="AD109" s="11"/>
      <c r="AE109" s="11"/>
      <c r="AF109" s="596"/>
      <c r="AG109" s="11"/>
      <c r="AH109" s="11"/>
      <c r="AI109" s="11"/>
      <c r="AJ109" s="11"/>
      <c r="AK109" s="11"/>
      <c r="AM109" s="63"/>
      <c r="AN109" s="63"/>
      <c r="AO109" s="63"/>
      <c r="AP109" s="696"/>
      <c r="AQ109" s="63"/>
      <c r="AR109" s="63"/>
      <c r="AS109" s="63"/>
      <c r="AT109" s="63"/>
      <c r="AU109" s="63"/>
      <c r="AV109" s="147"/>
      <c r="AW109" s="250"/>
      <c r="AX109" s="60"/>
      <c r="AY109" s="60"/>
      <c r="AZ109" s="299"/>
      <c r="BA109" s="284"/>
      <c r="BB109" s="284"/>
      <c r="BC109" s="461"/>
      <c r="BD109" s="300"/>
      <c r="BE109" s="300"/>
      <c r="BF109" s="300"/>
      <c r="BG109" s="300"/>
      <c r="BH109" s="300"/>
      <c r="BI109" s="300"/>
      <c r="BJ109" s="871"/>
      <c r="BK109" s="871"/>
      <c r="BL109" s="565"/>
      <c r="BM109" s="565"/>
      <c r="BP109" s="515"/>
      <c r="BQ109" s="320"/>
      <c r="BR109" s="320"/>
    </row>
    <row r="110" spans="1:70" s="711" customFormat="1" ht="11.25" customHeight="1">
      <c r="A110" s="707" t="s">
        <v>128</v>
      </c>
      <c r="B110" s="593">
        <v>368</v>
      </c>
      <c r="C110" s="716">
        <v>410</v>
      </c>
      <c r="D110" s="716">
        <v>418</v>
      </c>
      <c r="E110" s="716">
        <v>473</v>
      </c>
      <c r="F110" s="716">
        <v>486</v>
      </c>
      <c r="G110" s="716">
        <v>446</v>
      </c>
      <c r="H110" s="716">
        <v>419</v>
      </c>
      <c r="I110" s="716">
        <v>427</v>
      </c>
      <c r="J110" s="716">
        <v>430</v>
      </c>
      <c r="K110" s="716">
        <v>455</v>
      </c>
      <c r="L110" s="596">
        <v>452</v>
      </c>
      <c r="M110" s="717">
        <v>415</v>
      </c>
      <c r="N110" s="717">
        <v>627</v>
      </c>
      <c r="O110" s="717">
        <v>687</v>
      </c>
      <c r="P110" s="717">
        <v>723</v>
      </c>
      <c r="Q110" s="717">
        <v>861</v>
      </c>
      <c r="R110" s="717">
        <v>1262</v>
      </c>
      <c r="S110" s="717">
        <v>1325</v>
      </c>
      <c r="T110" s="717">
        <v>1591</v>
      </c>
      <c r="U110" s="717">
        <v>1614</v>
      </c>
      <c r="V110" s="596">
        <v>1913</v>
      </c>
      <c r="W110" s="717">
        <v>1788</v>
      </c>
      <c r="X110" s="717">
        <v>1630</v>
      </c>
      <c r="Y110" s="717">
        <v>1343</v>
      </c>
      <c r="Z110" s="717">
        <v>1299</v>
      </c>
      <c r="AA110" s="717">
        <v>1437</v>
      </c>
      <c r="AB110" s="717">
        <v>1777</v>
      </c>
      <c r="AC110" s="717">
        <v>1873</v>
      </c>
      <c r="AD110" s="717">
        <v>1856</v>
      </c>
      <c r="AE110" s="717">
        <v>1988</v>
      </c>
      <c r="AF110" s="596">
        <v>2059</v>
      </c>
      <c r="AG110" s="717">
        <v>2337</v>
      </c>
      <c r="AH110" s="717">
        <v>2519</v>
      </c>
      <c r="AI110" s="717">
        <v>2860</v>
      </c>
      <c r="AJ110" s="717">
        <v>3014</v>
      </c>
      <c r="AK110" s="717">
        <v>2268</v>
      </c>
      <c r="AL110" s="717">
        <v>1993</v>
      </c>
      <c r="AM110" s="718">
        <v>2099</v>
      </c>
      <c r="AN110" s="718">
        <v>1508</v>
      </c>
      <c r="AO110" s="718">
        <v>1894</v>
      </c>
      <c r="AP110" s="696">
        <v>1848.2326869806095</v>
      </c>
      <c r="AQ110" s="718">
        <v>1831.8203309692669</v>
      </c>
      <c r="AR110" s="718">
        <v>1956</v>
      </c>
      <c r="AS110" s="718">
        <v>2014</v>
      </c>
      <c r="AT110" s="718">
        <v>2139</v>
      </c>
      <c r="AU110" s="718">
        <v>2156</v>
      </c>
      <c r="AV110" s="738">
        <v>2416</v>
      </c>
      <c r="AW110" s="739">
        <v>2259.6741359984831</v>
      </c>
      <c r="AX110" s="735">
        <v>2220.339895887746</v>
      </c>
      <c r="AY110" s="735">
        <v>1930</v>
      </c>
      <c r="AZ110" s="735">
        <v>2548</v>
      </c>
      <c r="BA110" s="736">
        <v>2696</v>
      </c>
      <c r="BB110" s="736">
        <v>2204</v>
      </c>
      <c r="BC110" s="736">
        <v>2053</v>
      </c>
      <c r="BD110" s="736">
        <v>1875</v>
      </c>
      <c r="BE110" s="736">
        <v>1124</v>
      </c>
      <c r="BF110" s="736">
        <v>1586</v>
      </c>
      <c r="BG110" s="305">
        <v>1652</v>
      </c>
      <c r="BH110" s="305">
        <v>1612</v>
      </c>
      <c r="BI110" s="305">
        <v>1588</v>
      </c>
      <c r="BJ110" s="410">
        <f t="shared" ref="BJ110:BK116" si="64">(BH110-BG110)/BG110</f>
        <v>-2.4213075060532687E-2</v>
      </c>
      <c r="BK110" s="410">
        <f t="shared" si="64"/>
        <v>-1.488833746898263E-2</v>
      </c>
      <c r="BL110" s="564">
        <f t="shared" ref="BL110:BL115" si="65">(BH110-BG110)</f>
        <v>-40</v>
      </c>
      <c r="BM110" s="564">
        <f t="shared" ref="BM110:BM115" si="66">(BI110-BH110)</f>
        <v>-24</v>
      </c>
      <c r="BN110" s="722"/>
      <c r="BO110" s="722"/>
      <c r="BP110" s="723"/>
      <c r="BQ110" s="710"/>
      <c r="BR110" s="710"/>
    </row>
    <row r="111" spans="1:70" s="309" customFormat="1" ht="10.5" customHeight="1">
      <c r="A111" s="413" t="s">
        <v>129</v>
      </c>
      <c r="B111" s="417" t="s">
        <v>59</v>
      </c>
      <c r="C111" s="360" t="s">
        <v>59</v>
      </c>
      <c r="D111" s="360" t="s">
        <v>59</v>
      </c>
      <c r="E111" s="360" t="s">
        <v>59</v>
      </c>
      <c r="F111" s="360" t="s">
        <v>59</v>
      </c>
      <c r="G111" s="360" t="s">
        <v>59</v>
      </c>
      <c r="H111" s="360" t="s">
        <v>59</v>
      </c>
      <c r="I111" s="360" t="s">
        <v>59</v>
      </c>
      <c r="J111" s="360" t="s">
        <v>59</v>
      </c>
      <c r="K111" s="360" t="s">
        <v>59</v>
      </c>
      <c r="L111" s="417" t="s">
        <v>59</v>
      </c>
      <c r="M111" s="360" t="s">
        <v>59</v>
      </c>
      <c r="N111" s="360" t="s">
        <v>59</v>
      </c>
      <c r="O111" s="360" t="s">
        <v>59</v>
      </c>
      <c r="P111" s="360" t="s">
        <v>59</v>
      </c>
      <c r="Q111" s="360" t="s">
        <v>59</v>
      </c>
      <c r="R111" s="360" t="s">
        <v>59</v>
      </c>
      <c r="S111" s="360" t="s">
        <v>59</v>
      </c>
      <c r="T111" s="360" t="s">
        <v>59</v>
      </c>
      <c r="U111" s="360" t="s">
        <v>59</v>
      </c>
      <c r="V111" s="417" t="s">
        <v>59</v>
      </c>
      <c r="W111" s="360" t="s">
        <v>59</v>
      </c>
      <c r="X111" s="360" t="s">
        <v>59</v>
      </c>
      <c r="Y111" s="359">
        <f>2313+47</f>
        <v>2360</v>
      </c>
      <c r="Z111" s="359">
        <f>1976+39</f>
        <v>2015</v>
      </c>
      <c r="AA111" s="359">
        <f>2081+25</f>
        <v>2106</v>
      </c>
      <c r="AB111" s="359">
        <f>2066+11</f>
        <v>2077</v>
      </c>
      <c r="AC111" s="359">
        <f>2019+9</f>
        <v>2028</v>
      </c>
      <c r="AD111" s="359">
        <f>2009+10</f>
        <v>2019</v>
      </c>
      <c r="AE111" s="359">
        <v>2066</v>
      </c>
      <c r="AF111" s="509">
        <f>2058+6</f>
        <v>2064</v>
      </c>
      <c r="AG111" s="359">
        <f>2020+8</f>
        <v>2028</v>
      </c>
      <c r="AH111" s="359">
        <f>2059+9</f>
        <v>2068</v>
      </c>
      <c r="AI111" s="359">
        <f>1977+6+8</f>
        <v>1991</v>
      </c>
      <c r="AJ111" s="359">
        <f>1907+5+1</f>
        <v>1913</v>
      </c>
      <c r="AK111" s="359">
        <f>1748+5</f>
        <v>1753</v>
      </c>
      <c r="AL111" s="359">
        <f>1655+68+5</f>
        <v>1728</v>
      </c>
      <c r="AM111" s="359">
        <f>1454+225</f>
        <v>1679</v>
      </c>
      <c r="AN111" s="359">
        <f>1334+336</f>
        <v>1670</v>
      </c>
      <c r="AO111" s="359">
        <f>1357+365</f>
        <v>1722</v>
      </c>
      <c r="AP111" s="509">
        <f>1383+365</f>
        <v>1748</v>
      </c>
      <c r="AQ111" s="359">
        <f>1669+51</f>
        <v>1720</v>
      </c>
      <c r="AR111" s="359">
        <f>1647+62</f>
        <v>1709</v>
      </c>
      <c r="AS111" s="359">
        <v>1596</v>
      </c>
      <c r="AT111" s="359">
        <v>1599</v>
      </c>
      <c r="AU111" s="359">
        <v>1609</v>
      </c>
      <c r="AV111" s="360">
        <f>1474+145</f>
        <v>1619</v>
      </c>
      <c r="AW111" s="360">
        <f>1462+120</f>
        <v>1582</v>
      </c>
      <c r="AX111" s="284">
        <v>1560</v>
      </c>
      <c r="AY111" s="284">
        <v>1603</v>
      </c>
      <c r="AZ111" s="284">
        <f>1531+130</f>
        <v>1661</v>
      </c>
      <c r="BA111" s="284">
        <v>1723</v>
      </c>
      <c r="BB111" s="284">
        <f>453+107</f>
        <v>560</v>
      </c>
      <c r="BC111" s="284">
        <v>543</v>
      </c>
      <c r="BD111" s="305">
        <v>543</v>
      </c>
      <c r="BE111" s="305">
        <v>566</v>
      </c>
      <c r="BF111" s="305">
        <v>570</v>
      </c>
      <c r="BG111" s="305">
        <v>580</v>
      </c>
      <c r="BH111" s="305">
        <v>580</v>
      </c>
      <c r="BI111" s="305">
        <v>582</v>
      </c>
      <c r="BJ111" s="410">
        <f t="shared" si="64"/>
        <v>0</v>
      </c>
      <c r="BK111" s="410">
        <f t="shared" si="64"/>
        <v>3.4482758620689655E-3</v>
      </c>
      <c r="BL111" s="564">
        <f t="shared" si="65"/>
        <v>0</v>
      </c>
      <c r="BM111" s="564">
        <f t="shared" si="66"/>
        <v>2</v>
      </c>
      <c r="BN111" s="443"/>
      <c r="BO111" s="443"/>
      <c r="BP111" s="515"/>
    </row>
    <row r="112" spans="1:70" s="309" customFormat="1" ht="10.5" customHeight="1">
      <c r="A112" s="364" t="s">
        <v>112</v>
      </c>
      <c r="B112" s="370" t="s">
        <v>3</v>
      </c>
      <c r="C112" s="283" t="s">
        <v>3</v>
      </c>
      <c r="D112" s="283" t="s">
        <v>3</v>
      </c>
      <c r="E112" s="283" t="s">
        <v>3</v>
      </c>
      <c r="F112" s="283" t="s">
        <v>3</v>
      </c>
      <c r="G112" s="283" t="s">
        <v>3</v>
      </c>
      <c r="H112" s="283" t="s">
        <v>3</v>
      </c>
      <c r="I112" s="283" t="s">
        <v>3</v>
      </c>
      <c r="J112" s="283" t="s">
        <v>3</v>
      </c>
      <c r="K112" s="283" t="s">
        <v>3</v>
      </c>
      <c r="L112" s="370" t="s">
        <v>3</v>
      </c>
      <c r="M112" s="283" t="s">
        <v>3</v>
      </c>
      <c r="N112" s="283" t="s">
        <v>3</v>
      </c>
      <c r="O112" s="283" t="s">
        <v>3</v>
      </c>
      <c r="P112" s="283" t="s">
        <v>3</v>
      </c>
      <c r="Q112" s="283" t="s">
        <v>3</v>
      </c>
      <c r="R112" s="283" t="s">
        <v>3</v>
      </c>
      <c r="S112" s="283" t="s">
        <v>3</v>
      </c>
      <c r="T112" s="283" t="s">
        <v>3</v>
      </c>
      <c r="U112" s="283" t="s">
        <v>3</v>
      </c>
      <c r="V112" s="370" t="s">
        <v>3</v>
      </c>
      <c r="W112" s="283" t="s">
        <v>3</v>
      </c>
      <c r="X112" s="283" t="s">
        <v>3</v>
      </c>
      <c r="Y112" s="283" t="s">
        <v>3</v>
      </c>
      <c r="Z112" s="283" t="s">
        <v>3</v>
      </c>
      <c r="AA112" s="283" t="s">
        <v>3</v>
      </c>
      <c r="AB112" s="283" t="s">
        <v>3</v>
      </c>
      <c r="AC112" s="283" t="s">
        <v>3</v>
      </c>
      <c r="AD112" s="283" t="s">
        <v>3</v>
      </c>
      <c r="AE112" s="283" t="s">
        <v>3</v>
      </c>
      <c r="AF112" s="370" t="s">
        <v>3</v>
      </c>
      <c r="AG112" s="283" t="s">
        <v>3</v>
      </c>
      <c r="AH112" s="283" t="s">
        <v>3</v>
      </c>
      <c r="AI112" s="283" t="s">
        <v>3</v>
      </c>
      <c r="AJ112" s="283" t="s">
        <v>3</v>
      </c>
      <c r="AK112" s="283" t="s">
        <v>3</v>
      </c>
      <c r="AL112" s="283" t="s">
        <v>3</v>
      </c>
      <c r="AM112" s="283" t="s">
        <v>3</v>
      </c>
      <c r="AN112" s="283" t="s">
        <v>3</v>
      </c>
      <c r="AO112" s="283" t="s">
        <v>3</v>
      </c>
      <c r="AP112" s="370" t="s">
        <v>3</v>
      </c>
      <c r="AQ112" s="283" t="s">
        <v>3</v>
      </c>
      <c r="AR112" s="283" t="s">
        <v>3</v>
      </c>
      <c r="AS112" s="283" t="s">
        <v>3</v>
      </c>
      <c r="AT112" s="283" t="s">
        <v>3</v>
      </c>
      <c r="AU112" s="283" t="s">
        <v>3</v>
      </c>
      <c r="AV112" s="375" t="s">
        <v>3</v>
      </c>
      <c r="AW112" s="375" t="s">
        <v>3</v>
      </c>
      <c r="AX112" s="283" t="s">
        <v>3</v>
      </c>
      <c r="AY112" s="283" t="s">
        <v>3</v>
      </c>
      <c r="AZ112" s="283" t="s">
        <v>3</v>
      </c>
      <c r="BA112" s="283" t="s">
        <v>3</v>
      </c>
      <c r="BB112" s="309">
        <f>386+212</f>
        <v>598</v>
      </c>
      <c r="BC112" s="309">
        <f>583+120</f>
        <v>703</v>
      </c>
      <c r="BD112" s="365">
        <f>645+112</f>
        <v>757</v>
      </c>
      <c r="BE112" s="365">
        <f>657+111</f>
        <v>768</v>
      </c>
      <c r="BF112" s="365">
        <f>696+116</f>
        <v>812</v>
      </c>
      <c r="BG112" s="365">
        <f>731+118</f>
        <v>849</v>
      </c>
      <c r="BH112" s="365">
        <f>734+125</f>
        <v>859</v>
      </c>
      <c r="BI112" s="365">
        <f>734+125</f>
        <v>859</v>
      </c>
      <c r="BJ112" s="410">
        <f t="shared" si="64"/>
        <v>1.1778563015312132E-2</v>
      </c>
      <c r="BK112" s="410">
        <f t="shared" si="64"/>
        <v>0</v>
      </c>
      <c r="BL112" s="564">
        <f t="shared" si="65"/>
        <v>10</v>
      </c>
      <c r="BM112" s="564">
        <f t="shared" si="66"/>
        <v>0</v>
      </c>
      <c r="BN112" s="443"/>
      <c r="BO112" s="443"/>
      <c r="BP112" s="515"/>
    </row>
    <row r="113" spans="1:259" s="364" customFormat="1" ht="10.5" customHeight="1">
      <c r="A113" s="364" t="s">
        <v>113</v>
      </c>
      <c r="B113" s="370" t="s">
        <v>3</v>
      </c>
      <c r="C113" s="283" t="s">
        <v>3</v>
      </c>
      <c r="D113" s="283" t="s">
        <v>3</v>
      </c>
      <c r="E113" s="283" t="s">
        <v>3</v>
      </c>
      <c r="F113" s="283" t="s">
        <v>3</v>
      </c>
      <c r="G113" s="283" t="s">
        <v>3</v>
      </c>
      <c r="H113" s="283" t="s">
        <v>3</v>
      </c>
      <c r="I113" s="283" t="s">
        <v>3</v>
      </c>
      <c r="J113" s="283" t="s">
        <v>3</v>
      </c>
      <c r="K113" s="283" t="s">
        <v>3</v>
      </c>
      <c r="L113" s="370" t="s">
        <v>3</v>
      </c>
      <c r="M113" s="283" t="s">
        <v>3</v>
      </c>
      <c r="N113" s="283" t="s">
        <v>3</v>
      </c>
      <c r="O113" s="283" t="s">
        <v>3</v>
      </c>
      <c r="P113" s="283" t="s">
        <v>3</v>
      </c>
      <c r="Q113" s="283" t="s">
        <v>3</v>
      </c>
      <c r="R113" s="283" t="s">
        <v>3</v>
      </c>
      <c r="S113" s="283" t="s">
        <v>3</v>
      </c>
      <c r="T113" s="283" t="s">
        <v>3</v>
      </c>
      <c r="U113" s="283" t="s">
        <v>3</v>
      </c>
      <c r="V113" s="370" t="s">
        <v>3</v>
      </c>
      <c r="W113" s="283" t="s">
        <v>3</v>
      </c>
      <c r="X113" s="283" t="s">
        <v>3</v>
      </c>
      <c r="Y113" s="283" t="s">
        <v>3</v>
      </c>
      <c r="Z113" s="283" t="s">
        <v>3</v>
      </c>
      <c r="AA113" s="283" t="s">
        <v>3</v>
      </c>
      <c r="AB113" s="283" t="s">
        <v>3</v>
      </c>
      <c r="AC113" s="283" t="s">
        <v>3</v>
      </c>
      <c r="AD113" s="283" t="s">
        <v>3</v>
      </c>
      <c r="AE113" s="283" t="s">
        <v>3</v>
      </c>
      <c r="AF113" s="370" t="s">
        <v>3</v>
      </c>
      <c r="AG113" s="283" t="s">
        <v>3</v>
      </c>
      <c r="AH113" s="283" t="s">
        <v>3</v>
      </c>
      <c r="AI113" s="309">
        <v>10</v>
      </c>
      <c r="AJ113" s="309">
        <v>10</v>
      </c>
      <c r="AK113" s="309">
        <v>26</v>
      </c>
      <c r="AL113" s="309">
        <v>26</v>
      </c>
      <c r="AM113" s="309">
        <v>26</v>
      </c>
      <c r="AN113" s="309">
        <v>23</v>
      </c>
      <c r="AO113" s="309">
        <v>23</v>
      </c>
      <c r="AP113" s="365">
        <v>23</v>
      </c>
      <c r="AQ113" s="309">
        <v>23</v>
      </c>
      <c r="AR113" s="309">
        <v>23</v>
      </c>
      <c r="AS113" s="309">
        <v>22</v>
      </c>
      <c r="AT113" s="309">
        <v>22</v>
      </c>
      <c r="AU113" s="309">
        <v>22</v>
      </c>
      <c r="AV113" s="309">
        <v>22</v>
      </c>
      <c r="AW113" s="309">
        <v>18</v>
      </c>
      <c r="AX113" s="309">
        <v>18</v>
      </c>
      <c r="AY113" s="309">
        <v>18</v>
      </c>
      <c r="AZ113" s="309">
        <v>18</v>
      </c>
      <c r="BA113" s="309">
        <v>15</v>
      </c>
      <c r="BB113" s="309">
        <v>17</v>
      </c>
      <c r="BC113" s="309">
        <v>19</v>
      </c>
      <c r="BD113" s="365">
        <v>16</v>
      </c>
      <c r="BE113" s="365">
        <v>17</v>
      </c>
      <c r="BF113" s="365">
        <v>17</v>
      </c>
      <c r="BG113" s="365">
        <v>20</v>
      </c>
      <c r="BH113" s="365">
        <v>22</v>
      </c>
      <c r="BI113" s="365">
        <v>22</v>
      </c>
      <c r="BJ113" s="410">
        <f t="shared" si="64"/>
        <v>0.1</v>
      </c>
      <c r="BK113" s="410">
        <f t="shared" si="64"/>
        <v>0</v>
      </c>
      <c r="BL113" s="564">
        <f t="shared" si="65"/>
        <v>2</v>
      </c>
      <c r="BM113" s="564">
        <f t="shared" si="66"/>
        <v>0</v>
      </c>
      <c r="BN113" s="443"/>
      <c r="BO113" s="443"/>
      <c r="BP113" s="515"/>
      <c r="BQ113" s="343"/>
      <c r="BR113" s="343"/>
    </row>
    <row r="114" spans="1:259" ht="11.25" customHeight="1">
      <c r="A114" s="119" t="s">
        <v>130</v>
      </c>
      <c r="B114" s="444" t="s">
        <v>3</v>
      </c>
      <c r="C114" s="76" t="s">
        <v>3</v>
      </c>
      <c r="D114" s="76" t="s">
        <v>3</v>
      </c>
      <c r="E114" s="76" t="s">
        <v>3</v>
      </c>
      <c r="F114" s="76" t="s">
        <v>3</v>
      </c>
      <c r="G114" s="76" t="s">
        <v>3</v>
      </c>
      <c r="H114" s="76" t="s">
        <v>3</v>
      </c>
      <c r="I114" s="76" t="s">
        <v>3</v>
      </c>
      <c r="J114" s="76" t="s">
        <v>3</v>
      </c>
      <c r="K114" s="76" t="s">
        <v>3</v>
      </c>
      <c r="L114" s="444" t="s">
        <v>3</v>
      </c>
      <c r="M114" s="76" t="s">
        <v>3</v>
      </c>
      <c r="N114" s="76" t="s">
        <v>3</v>
      </c>
      <c r="O114" s="76" t="s">
        <v>3</v>
      </c>
      <c r="P114" s="76" t="s">
        <v>3</v>
      </c>
      <c r="Q114" s="76" t="s">
        <v>3</v>
      </c>
      <c r="R114" s="76" t="s">
        <v>3</v>
      </c>
      <c r="S114" s="76" t="s">
        <v>3</v>
      </c>
      <c r="T114" s="75">
        <v>87</v>
      </c>
      <c r="U114" s="75">
        <v>829</v>
      </c>
      <c r="V114" s="648">
        <v>1186</v>
      </c>
      <c r="W114" s="75">
        <v>1158</v>
      </c>
      <c r="X114" s="75">
        <v>923</v>
      </c>
      <c r="Y114" s="75">
        <v>879</v>
      </c>
      <c r="Z114" s="75">
        <v>947</v>
      </c>
      <c r="AA114" s="75">
        <v>1111</v>
      </c>
      <c r="AB114" s="75">
        <v>1150</v>
      </c>
      <c r="AC114" s="75">
        <v>1185</v>
      </c>
      <c r="AD114" s="75">
        <v>1247</v>
      </c>
      <c r="AE114" s="75">
        <v>1246</v>
      </c>
      <c r="AF114" s="648">
        <v>1195</v>
      </c>
      <c r="AG114" s="75">
        <v>1150</v>
      </c>
      <c r="AH114" s="75">
        <v>1153</v>
      </c>
      <c r="AI114" s="75">
        <v>1122</v>
      </c>
      <c r="AJ114" s="75">
        <v>997</v>
      </c>
      <c r="AK114" s="75">
        <v>922</v>
      </c>
      <c r="AL114" s="75">
        <v>665</v>
      </c>
      <c r="AM114" s="63">
        <v>632</v>
      </c>
      <c r="AN114" s="63">
        <v>621</v>
      </c>
      <c r="AO114" s="63">
        <v>631</v>
      </c>
      <c r="AP114" s="998">
        <v>636</v>
      </c>
      <c r="AQ114" s="90">
        <v>627</v>
      </c>
      <c r="AR114" s="74">
        <v>617</v>
      </c>
      <c r="AS114" s="74">
        <v>595</v>
      </c>
      <c r="AT114" s="74">
        <v>567</v>
      </c>
      <c r="AU114" s="74">
        <v>542</v>
      </c>
      <c r="AV114" s="229">
        <f>343+185</f>
        <v>528</v>
      </c>
      <c r="AW114" s="230">
        <f>341+2+185</f>
        <v>528</v>
      </c>
      <c r="AX114" s="228">
        <f>339+2+184</f>
        <v>525</v>
      </c>
      <c r="AY114" s="228">
        <v>516</v>
      </c>
      <c r="AZ114" s="228">
        <v>521</v>
      </c>
      <c r="BA114" s="305">
        <v>504</v>
      </c>
      <c r="BB114" s="305">
        <v>345</v>
      </c>
      <c r="BC114" s="305">
        <v>314</v>
      </c>
      <c r="BD114" s="305">
        <v>296</v>
      </c>
      <c r="BE114" s="305">
        <v>294</v>
      </c>
      <c r="BF114" s="305">
        <v>299</v>
      </c>
      <c r="BG114" s="305">
        <v>302</v>
      </c>
      <c r="BH114" s="305">
        <v>300</v>
      </c>
      <c r="BI114" s="305">
        <v>281</v>
      </c>
      <c r="BJ114" s="410">
        <f t="shared" si="64"/>
        <v>-6.6225165562913907E-3</v>
      </c>
      <c r="BK114" s="410">
        <f t="shared" si="64"/>
        <v>-6.3333333333333339E-2</v>
      </c>
      <c r="BL114" s="564">
        <f t="shared" si="65"/>
        <v>-2</v>
      </c>
      <c r="BM114" s="564">
        <f t="shared" si="66"/>
        <v>-19</v>
      </c>
      <c r="BP114" s="515"/>
      <c r="BQ114" s="320"/>
      <c r="BR114" s="320"/>
    </row>
    <row r="115" spans="1:259" s="711" customFormat="1" ht="11.25" customHeight="1">
      <c r="A115" s="728" t="s">
        <v>131</v>
      </c>
      <c r="B115" s="973" t="s">
        <v>3</v>
      </c>
      <c r="C115" s="729" t="s">
        <v>3</v>
      </c>
      <c r="D115" s="729" t="s">
        <v>3</v>
      </c>
      <c r="E115" s="729" t="s">
        <v>3</v>
      </c>
      <c r="F115" s="729" t="s">
        <v>3</v>
      </c>
      <c r="G115" s="729" t="s">
        <v>3</v>
      </c>
      <c r="H115" s="729" t="s">
        <v>3</v>
      </c>
      <c r="I115" s="729" t="s">
        <v>3</v>
      </c>
      <c r="J115" s="729" t="s">
        <v>3</v>
      </c>
      <c r="K115" s="729" t="s">
        <v>3</v>
      </c>
      <c r="L115" s="985" t="s">
        <v>3</v>
      </c>
      <c r="M115" s="730" t="s">
        <v>3</v>
      </c>
      <c r="N115" s="730" t="s">
        <v>3</v>
      </c>
      <c r="O115" s="730" t="s">
        <v>3</v>
      </c>
      <c r="P115" s="730" t="s">
        <v>3</v>
      </c>
      <c r="Q115" s="730" t="s">
        <v>3</v>
      </c>
      <c r="R115" s="730" t="s">
        <v>3</v>
      </c>
      <c r="S115" s="730" t="s">
        <v>3</v>
      </c>
      <c r="T115" s="730" t="s">
        <v>3</v>
      </c>
      <c r="U115" s="730" t="s">
        <v>3</v>
      </c>
      <c r="V115" s="985" t="s">
        <v>3</v>
      </c>
      <c r="W115" s="730" t="s">
        <v>3</v>
      </c>
      <c r="X115" s="730" t="s">
        <v>3</v>
      </c>
      <c r="Y115" s="730" t="s">
        <v>3</v>
      </c>
      <c r="Z115" s="730" t="s">
        <v>3</v>
      </c>
      <c r="AA115" s="730" t="s">
        <v>3</v>
      </c>
      <c r="AB115" s="730" t="s">
        <v>3</v>
      </c>
      <c r="AC115" s="730" t="s">
        <v>3</v>
      </c>
      <c r="AD115" s="730" t="s">
        <v>3</v>
      </c>
      <c r="AE115" s="730" t="s">
        <v>3</v>
      </c>
      <c r="AF115" s="985" t="s">
        <v>3</v>
      </c>
      <c r="AG115" s="730" t="s">
        <v>3</v>
      </c>
      <c r="AH115" s="730" t="s">
        <v>3</v>
      </c>
      <c r="AI115" s="730" t="s">
        <v>3</v>
      </c>
      <c r="AJ115" s="730" t="s">
        <v>3</v>
      </c>
      <c r="AK115" s="731">
        <v>1785</v>
      </c>
      <c r="AL115" s="731">
        <v>1884</v>
      </c>
      <c r="AM115" s="718">
        <v>1784</v>
      </c>
      <c r="AN115" s="732">
        <v>1835</v>
      </c>
      <c r="AO115" s="732">
        <v>1848</v>
      </c>
      <c r="AP115" s="774">
        <v>1528</v>
      </c>
      <c r="AQ115" s="732">
        <v>1644</v>
      </c>
      <c r="AR115" s="732">
        <v>1710</v>
      </c>
      <c r="AS115" s="732">
        <v>1675</v>
      </c>
      <c r="AT115" s="732">
        <v>1715</v>
      </c>
      <c r="AU115" s="732">
        <v>1598</v>
      </c>
      <c r="AV115" s="733">
        <v>1058</v>
      </c>
      <c r="AW115" s="734">
        <v>1002</v>
      </c>
      <c r="AX115" s="735">
        <v>1506.6578947368421</v>
      </c>
      <c r="AY115" s="735">
        <v>1314</v>
      </c>
      <c r="AZ115" s="736">
        <v>1510</v>
      </c>
      <c r="BA115" s="736">
        <v>1355</v>
      </c>
      <c r="BB115" s="736">
        <v>1285</v>
      </c>
      <c r="BC115" s="736">
        <v>1237</v>
      </c>
      <c r="BD115" s="736">
        <v>1155</v>
      </c>
      <c r="BE115" s="737">
        <v>1176.5499008592201</v>
      </c>
      <c r="BF115" s="737">
        <v>1184</v>
      </c>
      <c r="BG115" s="962">
        <v>1184</v>
      </c>
      <c r="BH115" s="962">
        <v>1201</v>
      </c>
      <c r="BI115" s="962">
        <v>921</v>
      </c>
      <c r="BJ115" s="410">
        <f t="shared" si="64"/>
        <v>1.4358108108108109E-2</v>
      </c>
      <c r="BK115" s="410">
        <f t="shared" si="64"/>
        <v>-0.2331390507910075</v>
      </c>
      <c r="BL115" s="564">
        <f t="shared" si="65"/>
        <v>17</v>
      </c>
      <c r="BM115" s="564">
        <f t="shared" si="66"/>
        <v>-280</v>
      </c>
      <c r="BN115" s="722"/>
      <c r="BO115" s="722"/>
      <c r="BP115" s="723"/>
      <c r="BQ115" s="710"/>
      <c r="BR115" s="710"/>
    </row>
    <row r="116" spans="1:259" ht="11.25" customHeight="1">
      <c r="A116" s="118" t="s">
        <v>31</v>
      </c>
      <c r="B116" s="970">
        <f t="shared" ref="B116:S116" si="67">SUM(B109:B111)</f>
        <v>368</v>
      </c>
      <c r="C116" s="86">
        <f t="shared" si="67"/>
        <v>410</v>
      </c>
      <c r="D116" s="86">
        <f t="shared" si="67"/>
        <v>418</v>
      </c>
      <c r="E116" s="86">
        <f t="shared" si="67"/>
        <v>473</v>
      </c>
      <c r="F116" s="86">
        <f t="shared" si="67"/>
        <v>486</v>
      </c>
      <c r="G116" s="86">
        <f t="shared" si="67"/>
        <v>446</v>
      </c>
      <c r="H116" s="86">
        <f t="shared" si="67"/>
        <v>419</v>
      </c>
      <c r="I116" s="86">
        <f t="shared" si="67"/>
        <v>427</v>
      </c>
      <c r="J116" s="86">
        <f t="shared" si="67"/>
        <v>430</v>
      </c>
      <c r="K116" s="86">
        <f t="shared" si="67"/>
        <v>455</v>
      </c>
      <c r="L116" s="970">
        <f t="shared" si="67"/>
        <v>452</v>
      </c>
      <c r="M116" s="86">
        <f t="shared" si="67"/>
        <v>415</v>
      </c>
      <c r="N116" s="86">
        <f t="shared" si="67"/>
        <v>627</v>
      </c>
      <c r="O116" s="86">
        <f t="shared" si="67"/>
        <v>687</v>
      </c>
      <c r="P116" s="86">
        <f t="shared" si="67"/>
        <v>723</v>
      </c>
      <c r="Q116" s="86">
        <f t="shared" si="67"/>
        <v>861</v>
      </c>
      <c r="R116" s="86">
        <f t="shared" si="67"/>
        <v>1262</v>
      </c>
      <c r="S116" s="86">
        <f t="shared" si="67"/>
        <v>1325</v>
      </c>
      <c r="T116" s="86">
        <f t="shared" ref="T116:AJ116" si="68">SUM(T109:T114)</f>
        <v>1678</v>
      </c>
      <c r="U116" s="86">
        <f t="shared" si="68"/>
        <v>2443</v>
      </c>
      <c r="V116" s="970">
        <f t="shared" si="68"/>
        <v>3099</v>
      </c>
      <c r="W116" s="86">
        <f t="shared" si="68"/>
        <v>2946</v>
      </c>
      <c r="X116" s="86">
        <f t="shared" si="68"/>
        <v>2553</v>
      </c>
      <c r="Y116" s="86">
        <f t="shared" si="68"/>
        <v>4582</v>
      </c>
      <c r="Z116" s="86">
        <f t="shared" si="68"/>
        <v>4261</v>
      </c>
      <c r="AA116" s="86">
        <f t="shared" si="68"/>
        <v>4654</v>
      </c>
      <c r="AB116" s="86">
        <f t="shared" si="68"/>
        <v>5004</v>
      </c>
      <c r="AC116" s="86">
        <f t="shared" si="68"/>
        <v>5086</v>
      </c>
      <c r="AD116" s="86">
        <f t="shared" si="68"/>
        <v>5122</v>
      </c>
      <c r="AE116" s="86">
        <f t="shared" si="68"/>
        <v>5300</v>
      </c>
      <c r="AF116" s="970">
        <f t="shared" si="68"/>
        <v>5318</v>
      </c>
      <c r="AG116" s="86">
        <f t="shared" si="68"/>
        <v>5515</v>
      </c>
      <c r="AH116" s="86">
        <f t="shared" si="68"/>
        <v>5740</v>
      </c>
      <c r="AI116" s="86">
        <f t="shared" si="68"/>
        <v>5983</v>
      </c>
      <c r="AJ116" s="86">
        <f t="shared" si="68"/>
        <v>5934</v>
      </c>
      <c r="AK116" s="86">
        <f t="shared" ref="AK116:AU116" si="69">SUM(AK109:AK115)</f>
        <v>6754</v>
      </c>
      <c r="AL116" s="86">
        <f t="shared" si="69"/>
        <v>6296</v>
      </c>
      <c r="AM116" s="86">
        <f t="shared" si="69"/>
        <v>6220</v>
      </c>
      <c r="AN116" s="86">
        <f t="shared" si="69"/>
        <v>5657</v>
      </c>
      <c r="AO116" s="86">
        <f t="shared" si="69"/>
        <v>6118</v>
      </c>
      <c r="AP116" s="970">
        <f t="shared" si="69"/>
        <v>5783.2326869806093</v>
      </c>
      <c r="AQ116" s="86">
        <f t="shared" si="69"/>
        <v>5845.8203309692672</v>
      </c>
      <c r="AR116" s="86">
        <f t="shared" si="69"/>
        <v>6015</v>
      </c>
      <c r="AS116" s="86">
        <f t="shared" si="69"/>
        <v>5902</v>
      </c>
      <c r="AT116" s="86">
        <f t="shared" si="69"/>
        <v>6042</v>
      </c>
      <c r="AU116" s="86">
        <f t="shared" si="69"/>
        <v>5927</v>
      </c>
      <c r="AV116" s="140">
        <f t="shared" ref="AV116:BA116" si="70">SUM(AV110:AV115)</f>
        <v>5643</v>
      </c>
      <c r="AW116" s="141">
        <f t="shared" si="70"/>
        <v>5389.6741359984826</v>
      </c>
      <c r="AX116" s="141">
        <f t="shared" si="70"/>
        <v>5829.9977906245877</v>
      </c>
      <c r="AY116" s="191">
        <f t="shared" si="70"/>
        <v>5381</v>
      </c>
      <c r="AZ116" s="191">
        <f t="shared" si="70"/>
        <v>6258</v>
      </c>
      <c r="BA116" s="387">
        <f t="shared" si="70"/>
        <v>6293</v>
      </c>
      <c r="BB116" s="387">
        <f t="shared" ref="BB116:BI116" si="71">SUM(BB110:BB115)</f>
        <v>5009</v>
      </c>
      <c r="BC116" s="387">
        <f t="shared" si="71"/>
        <v>4869</v>
      </c>
      <c r="BD116" s="522">
        <f t="shared" si="71"/>
        <v>4642</v>
      </c>
      <c r="BE116" s="522">
        <f t="shared" si="71"/>
        <v>3945.5499008592201</v>
      </c>
      <c r="BF116" s="522">
        <f t="shared" si="71"/>
        <v>4468</v>
      </c>
      <c r="BG116" s="522">
        <f t="shared" si="71"/>
        <v>4587</v>
      </c>
      <c r="BH116" s="522">
        <f t="shared" si="71"/>
        <v>4574</v>
      </c>
      <c r="BI116" s="522">
        <f t="shared" si="71"/>
        <v>4253</v>
      </c>
      <c r="BJ116" s="872">
        <f t="shared" si="64"/>
        <v>-2.8340963592762155E-3</v>
      </c>
      <c r="BK116" s="872">
        <f t="shared" si="64"/>
        <v>-7.0179274158285967E-2</v>
      </c>
      <c r="BL116" s="567">
        <f>BH116-BG116</f>
        <v>-13</v>
      </c>
      <c r="BM116" s="567">
        <f>BI116-BH116</f>
        <v>-321</v>
      </c>
      <c r="BP116" s="515"/>
      <c r="BQ116" s="320"/>
      <c r="BR116" s="320"/>
    </row>
    <row r="117" spans="1:259" ht="6" customHeight="1">
      <c r="A117" s="115"/>
      <c r="L117" s="596"/>
      <c r="M117" s="11"/>
      <c r="N117" s="11"/>
      <c r="O117" s="11"/>
      <c r="P117" s="11"/>
      <c r="Q117" s="11"/>
      <c r="R117" s="11"/>
      <c r="S117" s="11"/>
      <c r="T117" s="11"/>
      <c r="U117" s="11"/>
      <c r="V117" s="596"/>
      <c r="W117" s="11"/>
      <c r="X117" s="11"/>
      <c r="Y117" s="11"/>
      <c r="Z117" s="11"/>
      <c r="AA117" s="11"/>
      <c r="AB117" s="11"/>
      <c r="AC117" s="11"/>
      <c r="AD117" s="11"/>
      <c r="AE117" s="11"/>
      <c r="AF117" s="596"/>
      <c r="AG117" s="11"/>
      <c r="AH117" s="11"/>
      <c r="AI117" s="11"/>
      <c r="AJ117" s="11"/>
      <c r="AK117" s="11"/>
      <c r="AM117" s="63"/>
      <c r="AN117" s="63"/>
      <c r="AO117" s="63"/>
      <c r="AP117" s="696"/>
      <c r="AQ117" s="63"/>
      <c r="AR117" s="63"/>
      <c r="AS117" s="63"/>
      <c r="AT117" s="63"/>
      <c r="AU117" s="63"/>
      <c r="AV117" s="147"/>
      <c r="AW117" s="250"/>
      <c r="AX117" s="60"/>
      <c r="AY117" s="60"/>
      <c r="AZ117" s="299"/>
      <c r="BA117" s="284"/>
      <c r="BB117" s="284"/>
      <c r="BC117" s="461"/>
      <c r="BD117" s="300"/>
      <c r="BE117" s="300"/>
      <c r="BF117" s="300"/>
      <c r="BG117" s="300"/>
      <c r="BH117" s="300"/>
      <c r="BI117" s="300"/>
      <c r="BJ117" s="871"/>
      <c r="BK117" s="871"/>
      <c r="BL117" s="565"/>
      <c r="BM117" s="565"/>
      <c r="BP117" s="515"/>
      <c r="BQ117" s="320"/>
      <c r="BR117" s="320"/>
    </row>
    <row r="118" spans="1:259" ht="11.25" customHeight="1">
      <c r="A118" s="116" t="s">
        <v>41</v>
      </c>
      <c r="B118" s="557"/>
      <c r="C118" s="310"/>
      <c r="D118" s="310"/>
      <c r="E118" s="310"/>
      <c r="F118" s="310"/>
      <c r="G118" s="310"/>
      <c r="H118" s="310"/>
      <c r="I118" s="310"/>
      <c r="J118" s="310"/>
      <c r="K118" s="310"/>
      <c r="L118" s="557"/>
      <c r="M118" s="310"/>
      <c r="N118" s="310"/>
      <c r="O118" s="310"/>
      <c r="P118" s="310"/>
      <c r="Q118" s="310"/>
      <c r="R118" s="310"/>
      <c r="S118" s="310"/>
      <c r="T118" s="310"/>
      <c r="U118" s="310"/>
      <c r="V118" s="557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557"/>
      <c r="AG118" s="310"/>
      <c r="AH118" s="310"/>
      <c r="AI118" s="310"/>
      <c r="AJ118" s="310"/>
      <c r="AK118" s="310"/>
      <c r="AL118" s="310"/>
      <c r="AM118" s="310"/>
      <c r="AN118" s="310"/>
      <c r="AO118" s="310"/>
      <c r="AP118" s="557"/>
      <c r="AQ118" s="310"/>
      <c r="AR118" s="310"/>
      <c r="AS118" s="310"/>
      <c r="AT118" s="310"/>
      <c r="AU118" s="310"/>
      <c r="AV118" s="310"/>
      <c r="AW118" s="310"/>
      <c r="AX118" s="310"/>
      <c r="AY118" s="310"/>
      <c r="AZ118" s="310"/>
      <c r="BA118" s="310"/>
      <c r="BB118" s="310"/>
      <c r="BC118" s="310"/>
      <c r="BD118" s="310"/>
      <c r="BE118" s="310"/>
      <c r="BF118" s="557"/>
      <c r="BG118" s="557"/>
      <c r="BH118" s="557"/>
      <c r="BI118" s="557"/>
      <c r="BJ118" s="871"/>
      <c r="BK118" s="871"/>
      <c r="BL118" s="565"/>
      <c r="BM118" s="565"/>
      <c r="BP118" s="515"/>
      <c r="BQ118" s="320"/>
      <c r="BR118" s="320"/>
    </row>
    <row r="119" spans="1:259" s="711" customFormat="1" ht="11.25" customHeight="1">
      <c r="A119" s="707" t="s">
        <v>132</v>
      </c>
      <c r="B119" s="695" t="s">
        <v>3</v>
      </c>
      <c r="C119" s="750" t="s">
        <v>3</v>
      </c>
      <c r="D119" s="750" t="s">
        <v>3</v>
      </c>
      <c r="E119" s="750" t="s">
        <v>3</v>
      </c>
      <c r="F119" s="750" t="s">
        <v>3</v>
      </c>
      <c r="G119" s="750" t="s">
        <v>3</v>
      </c>
      <c r="H119" s="750" t="s">
        <v>3</v>
      </c>
      <c r="I119" s="750" t="s">
        <v>3</v>
      </c>
      <c r="J119" s="750" t="s">
        <v>3</v>
      </c>
      <c r="K119" s="750" t="s">
        <v>3</v>
      </c>
      <c r="L119" s="695" t="s">
        <v>3</v>
      </c>
      <c r="M119" s="750" t="s">
        <v>3</v>
      </c>
      <c r="N119" s="750" t="s">
        <v>3</v>
      </c>
      <c r="O119" s="750" t="s">
        <v>3</v>
      </c>
      <c r="P119" s="750" t="s">
        <v>3</v>
      </c>
      <c r="Q119" s="750" t="s">
        <v>3</v>
      </c>
      <c r="R119" s="750" t="s">
        <v>3</v>
      </c>
      <c r="S119" s="750" t="s">
        <v>3</v>
      </c>
      <c r="T119" s="750" t="s">
        <v>3</v>
      </c>
      <c r="U119" s="750" t="s">
        <v>3</v>
      </c>
      <c r="V119" s="695" t="s">
        <v>3</v>
      </c>
      <c r="W119" s="717">
        <v>1324</v>
      </c>
      <c r="X119" s="717">
        <v>208</v>
      </c>
      <c r="Y119" s="717">
        <v>157</v>
      </c>
      <c r="Z119" s="717">
        <v>124</v>
      </c>
      <c r="AA119" s="717">
        <v>105</v>
      </c>
      <c r="AB119" s="717">
        <v>78</v>
      </c>
      <c r="AC119" s="717">
        <v>87</v>
      </c>
      <c r="AD119" s="717">
        <v>93</v>
      </c>
      <c r="AE119" s="717">
        <v>96</v>
      </c>
      <c r="AF119" s="596">
        <f>5+96</f>
        <v>101</v>
      </c>
      <c r="AG119" s="717">
        <f>4+94</f>
        <v>98</v>
      </c>
      <c r="AH119" s="717">
        <f>7+96</f>
        <v>103</v>
      </c>
      <c r="AI119" s="717">
        <f>5+93</f>
        <v>98</v>
      </c>
      <c r="AJ119" s="717">
        <v>112</v>
      </c>
      <c r="AK119" s="717">
        <v>119</v>
      </c>
      <c r="AL119" s="717">
        <v>117</v>
      </c>
      <c r="AM119" s="718">
        <v>99</v>
      </c>
      <c r="AN119" s="718">
        <v>117</v>
      </c>
      <c r="AO119" s="718">
        <v>132</v>
      </c>
      <c r="AP119" s="696">
        <v>122</v>
      </c>
      <c r="AQ119" s="718">
        <v>90.969494949494944</v>
      </c>
      <c r="AR119" s="718">
        <v>155</v>
      </c>
      <c r="AS119" s="718">
        <v>107</v>
      </c>
      <c r="AT119" s="718">
        <v>92</v>
      </c>
      <c r="AU119" s="718">
        <v>88</v>
      </c>
      <c r="AV119" s="738">
        <v>82</v>
      </c>
      <c r="AW119" s="739">
        <v>80.996463478021596</v>
      </c>
      <c r="AX119" s="735">
        <v>84.583333333333343</v>
      </c>
      <c r="AY119" s="735">
        <v>105</v>
      </c>
      <c r="AZ119" s="735">
        <v>115</v>
      </c>
      <c r="BA119" s="736">
        <v>122</v>
      </c>
      <c r="BB119" s="736">
        <v>112</v>
      </c>
      <c r="BC119" s="736">
        <v>79</v>
      </c>
      <c r="BD119" s="736">
        <v>114</v>
      </c>
      <c r="BE119" s="736">
        <v>99</v>
      </c>
      <c r="BF119" s="736">
        <v>89</v>
      </c>
      <c r="BG119" s="305">
        <v>81</v>
      </c>
      <c r="BH119" s="305">
        <v>89</v>
      </c>
      <c r="BI119" s="305">
        <v>111</v>
      </c>
      <c r="BJ119" s="410">
        <f>(BH119-BG119)/BG119</f>
        <v>9.8765432098765427E-2</v>
      </c>
      <c r="BK119" s="410">
        <f>(BI119-BH119)/BH119</f>
        <v>0.24719101123595505</v>
      </c>
      <c r="BL119" s="564">
        <f t="shared" ref="BL119" si="72">(BH119-BG119)</f>
        <v>8</v>
      </c>
      <c r="BM119" s="564">
        <f t="shared" ref="BM119" si="73">(BI119-BH119)</f>
        <v>22</v>
      </c>
      <c r="BN119" s="722"/>
      <c r="BO119" s="722"/>
      <c r="BP119" s="723"/>
      <c r="BQ119" s="710"/>
      <c r="BR119" s="710"/>
      <c r="BS119" s="771"/>
      <c r="BT119" s="771"/>
      <c r="BU119" s="771"/>
      <c r="BV119" s="771"/>
      <c r="BW119" s="771"/>
      <c r="BX119" s="771"/>
      <c r="BY119" s="771"/>
      <c r="BZ119" s="771"/>
      <c r="CA119" s="771"/>
      <c r="CB119" s="771"/>
      <c r="CC119" s="771"/>
      <c r="CD119" s="771"/>
      <c r="CE119" s="771"/>
      <c r="CF119" s="771"/>
      <c r="CG119" s="771"/>
      <c r="CH119" s="771"/>
      <c r="CI119" s="771"/>
      <c r="CJ119" s="771"/>
      <c r="CK119" s="771"/>
      <c r="CL119" s="771"/>
      <c r="CM119" s="771"/>
      <c r="CN119" s="771"/>
      <c r="CO119" s="771"/>
      <c r="CP119" s="771"/>
      <c r="CQ119" s="771"/>
      <c r="CR119" s="771"/>
      <c r="CS119" s="771"/>
      <c r="CT119" s="771"/>
      <c r="CU119" s="771"/>
      <c r="CV119" s="771"/>
      <c r="CW119" s="771"/>
      <c r="CX119" s="771"/>
      <c r="CY119" s="771"/>
      <c r="CZ119" s="771"/>
      <c r="DA119" s="771"/>
      <c r="DB119" s="771"/>
      <c r="DC119" s="771"/>
      <c r="DD119" s="771"/>
      <c r="DE119" s="771"/>
      <c r="DF119" s="771"/>
      <c r="DG119" s="771"/>
      <c r="DH119" s="771"/>
      <c r="DI119" s="771"/>
      <c r="DJ119" s="771"/>
      <c r="DK119" s="771"/>
      <c r="DL119" s="771"/>
      <c r="DM119" s="771"/>
      <c r="DN119" s="771"/>
      <c r="DO119" s="771"/>
      <c r="DP119" s="771"/>
      <c r="DQ119" s="771"/>
      <c r="DR119" s="771"/>
      <c r="DS119" s="771"/>
      <c r="DT119" s="771"/>
      <c r="DU119" s="771"/>
      <c r="DV119" s="771"/>
      <c r="DW119" s="771"/>
      <c r="DX119" s="771"/>
      <c r="DY119" s="771"/>
      <c r="DZ119" s="771"/>
      <c r="EA119" s="771"/>
      <c r="EB119" s="771"/>
      <c r="EC119" s="771"/>
      <c r="ED119" s="771"/>
      <c r="EE119" s="771"/>
      <c r="EF119" s="771"/>
      <c r="EG119" s="771"/>
      <c r="EH119" s="771"/>
      <c r="EI119" s="771"/>
      <c r="EJ119" s="771"/>
      <c r="EK119" s="771"/>
      <c r="EL119" s="771"/>
      <c r="EM119" s="771"/>
      <c r="EN119" s="771"/>
      <c r="EO119" s="771"/>
      <c r="EP119" s="771"/>
      <c r="EQ119" s="771"/>
      <c r="ER119" s="771"/>
      <c r="ES119" s="771"/>
      <c r="ET119" s="771"/>
      <c r="EU119" s="771"/>
      <c r="EV119" s="771"/>
      <c r="EW119" s="771"/>
      <c r="EX119" s="771"/>
      <c r="EY119" s="771"/>
      <c r="EZ119" s="771"/>
      <c r="FA119" s="771"/>
      <c r="FB119" s="771"/>
      <c r="FC119" s="771"/>
      <c r="FD119" s="771"/>
      <c r="FE119" s="771"/>
      <c r="FF119" s="771"/>
      <c r="FG119" s="771"/>
      <c r="FH119" s="771"/>
      <c r="FI119" s="771"/>
      <c r="FJ119" s="771"/>
      <c r="FK119" s="771"/>
      <c r="FL119" s="771"/>
      <c r="FM119" s="771"/>
      <c r="FN119" s="771"/>
      <c r="FO119" s="771"/>
      <c r="FP119" s="771"/>
      <c r="FQ119" s="771"/>
      <c r="FR119" s="771"/>
      <c r="FS119" s="771"/>
      <c r="FT119" s="771"/>
      <c r="FU119" s="771"/>
      <c r="FV119" s="771"/>
      <c r="FW119" s="771"/>
      <c r="FX119" s="771"/>
      <c r="FY119" s="771"/>
      <c r="FZ119" s="771"/>
      <c r="GA119" s="771"/>
      <c r="GB119" s="771"/>
      <c r="GC119" s="771"/>
      <c r="GD119" s="771"/>
      <c r="GE119" s="771"/>
      <c r="GF119" s="771"/>
      <c r="GG119" s="771"/>
      <c r="GH119" s="771"/>
      <c r="GI119" s="771"/>
      <c r="GJ119" s="771"/>
      <c r="GK119" s="771"/>
      <c r="GL119" s="771"/>
      <c r="GM119" s="771"/>
      <c r="GN119" s="771"/>
      <c r="GO119" s="771"/>
      <c r="GP119" s="771"/>
      <c r="GQ119" s="771"/>
      <c r="GR119" s="771"/>
      <c r="GS119" s="771"/>
      <c r="GT119" s="771"/>
      <c r="GU119" s="771"/>
      <c r="GV119" s="771"/>
      <c r="GW119" s="771"/>
      <c r="GX119" s="771"/>
      <c r="GY119" s="771"/>
      <c r="GZ119" s="771"/>
      <c r="HA119" s="771"/>
      <c r="HB119" s="771"/>
      <c r="HC119" s="771"/>
      <c r="HD119" s="771"/>
      <c r="HE119" s="771"/>
      <c r="HF119" s="771"/>
      <c r="HG119" s="771"/>
      <c r="HH119" s="771"/>
      <c r="HI119" s="771"/>
      <c r="HJ119" s="771"/>
      <c r="HK119" s="771"/>
      <c r="HL119" s="771"/>
      <c r="HM119" s="771"/>
      <c r="HN119" s="771"/>
      <c r="HO119" s="771"/>
      <c r="HP119" s="771"/>
      <c r="HQ119" s="771"/>
      <c r="HR119" s="771"/>
      <c r="HS119" s="771"/>
      <c r="HT119" s="771"/>
      <c r="HU119" s="771"/>
      <c r="HV119" s="771"/>
      <c r="HW119" s="771"/>
      <c r="HX119" s="771"/>
      <c r="HY119" s="771"/>
      <c r="HZ119" s="771"/>
      <c r="IA119" s="771"/>
      <c r="IB119" s="771"/>
      <c r="IC119" s="771"/>
      <c r="ID119" s="771"/>
      <c r="IE119" s="771"/>
      <c r="IF119" s="771"/>
      <c r="IG119" s="771"/>
      <c r="IH119" s="771"/>
      <c r="II119" s="771"/>
      <c r="IJ119" s="771"/>
      <c r="IK119" s="771"/>
      <c r="IL119" s="771"/>
      <c r="IM119" s="771"/>
      <c r="IN119" s="771"/>
      <c r="IO119" s="771"/>
      <c r="IP119" s="771"/>
      <c r="IQ119" s="771"/>
      <c r="IR119" s="771"/>
      <c r="IS119" s="771"/>
      <c r="IT119" s="771"/>
      <c r="IU119" s="771"/>
      <c r="IV119" s="771"/>
      <c r="IW119" s="771"/>
      <c r="IX119" s="771"/>
      <c r="IY119" s="771"/>
    </row>
    <row r="120" spans="1:259" ht="11.25" customHeight="1">
      <c r="A120" s="286" t="s">
        <v>134</v>
      </c>
      <c r="B120" s="274" t="s">
        <v>3</v>
      </c>
      <c r="C120" s="274" t="s">
        <v>3</v>
      </c>
      <c r="D120" s="274" t="s">
        <v>3</v>
      </c>
      <c r="E120" s="274" t="s">
        <v>3</v>
      </c>
      <c r="F120" s="274" t="s">
        <v>3</v>
      </c>
      <c r="G120" s="274" t="s">
        <v>3</v>
      </c>
      <c r="H120" s="274" t="s">
        <v>3</v>
      </c>
      <c r="I120" s="274" t="s">
        <v>3</v>
      </c>
      <c r="J120" s="274" t="s">
        <v>3</v>
      </c>
      <c r="K120" s="274" t="s">
        <v>3</v>
      </c>
      <c r="L120" s="274" t="s">
        <v>3</v>
      </c>
      <c r="M120" s="274" t="s">
        <v>3</v>
      </c>
      <c r="N120" s="274" t="s">
        <v>3</v>
      </c>
      <c r="O120" s="274" t="s">
        <v>3</v>
      </c>
      <c r="P120" s="274" t="s">
        <v>3</v>
      </c>
      <c r="Q120" s="274" t="s">
        <v>3</v>
      </c>
      <c r="R120" s="274" t="s">
        <v>3</v>
      </c>
      <c r="S120" s="274" t="s">
        <v>3</v>
      </c>
      <c r="T120" s="274" t="s">
        <v>3</v>
      </c>
      <c r="U120" s="274" t="s">
        <v>3</v>
      </c>
      <c r="V120" s="275">
        <v>64</v>
      </c>
      <c r="W120" s="275">
        <v>136</v>
      </c>
      <c r="X120" s="275">
        <v>145</v>
      </c>
      <c r="Y120" s="275">
        <v>64</v>
      </c>
      <c r="Z120" s="275">
        <v>22</v>
      </c>
      <c r="AA120" s="275">
        <v>1</v>
      </c>
      <c r="AB120" s="275">
        <v>1</v>
      </c>
      <c r="AC120" s="275">
        <v>1</v>
      </c>
      <c r="AD120" s="275">
        <v>1</v>
      </c>
      <c r="AE120" s="275">
        <v>1</v>
      </c>
      <c r="AF120" s="275">
        <v>1</v>
      </c>
      <c r="AG120" s="275">
        <v>1</v>
      </c>
      <c r="AH120" s="444" t="s">
        <v>3</v>
      </c>
      <c r="AI120" s="274" t="s">
        <v>3</v>
      </c>
      <c r="AJ120" s="274" t="s">
        <v>3</v>
      </c>
      <c r="AK120" s="274" t="s">
        <v>3</v>
      </c>
      <c r="AL120" s="274" t="s">
        <v>3</v>
      </c>
      <c r="AM120" s="274" t="s">
        <v>3</v>
      </c>
      <c r="AN120" s="274" t="s">
        <v>3</v>
      </c>
      <c r="AO120" s="274" t="s">
        <v>3</v>
      </c>
      <c r="AP120" s="274" t="s">
        <v>3</v>
      </c>
      <c r="AQ120" s="274" t="s">
        <v>3</v>
      </c>
      <c r="AR120" s="274" t="s">
        <v>3</v>
      </c>
      <c r="AS120" s="274" t="s">
        <v>3</v>
      </c>
      <c r="AT120" s="274" t="s">
        <v>3</v>
      </c>
      <c r="AU120" s="274" t="s">
        <v>3</v>
      </c>
      <c r="AV120" s="274" t="s">
        <v>3</v>
      </c>
      <c r="AW120" s="272">
        <v>1</v>
      </c>
      <c r="AX120" s="273">
        <v>6</v>
      </c>
      <c r="AY120" s="273">
        <v>7</v>
      </c>
      <c r="AZ120" s="228">
        <v>10</v>
      </c>
      <c r="BA120" s="305">
        <v>11</v>
      </c>
      <c r="BB120" s="305">
        <v>8</v>
      </c>
      <c r="BC120" s="305">
        <v>6</v>
      </c>
      <c r="BD120" s="305">
        <v>4</v>
      </c>
      <c r="BE120" s="305">
        <v>1</v>
      </c>
      <c r="BF120" s="417" t="s">
        <v>3</v>
      </c>
      <c r="BG120" s="417" t="s">
        <v>3</v>
      </c>
      <c r="BH120" s="417" t="s">
        <v>3</v>
      </c>
      <c r="BI120" s="417"/>
      <c r="BJ120" s="874" t="s">
        <v>10</v>
      </c>
      <c r="BK120" s="874" t="s">
        <v>10</v>
      </c>
      <c r="BL120" s="568" t="s">
        <v>10</v>
      </c>
      <c r="BM120" s="568" t="s">
        <v>10</v>
      </c>
      <c r="BP120" s="515"/>
      <c r="BQ120" s="320"/>
      <c r="BR120" s="320"/>
    </row>
    <row r="121" spans="1:259" ht="11.25" customHeight="1">
      <c r="A121" s="119" t="s">
        <v>133</v>
      </c>
      <c r="B121" s="444" t="s">
        <v>3</v>
      </c>
      <c r="C121" s="76" t="s">
        <v>3</v>
      </c>
      <c r="D121" s="76" t="s">
        <v>3</v>
      </c>
      <c r="E121" s="76" t="s">
        <v>3</v>
      </c>
      <c r="F121" s="76" t="s">
        <v>3</v>
      </c>
      <c r="G121" s="76" t="s">
        <v>3</v>
      </c>
      <c r="H121" s="76" t="s">
        <v>3</v>
      </c>
      <c r="I121" s="76" t="s">
        <v>3</v>
      </c>
      <c r="J121" s="76" t="s">
        <v>3</v>
      </c>
      <c r="K121" s="76" t="s">
        <v>3</v>
      </c>
      <c r="L121" s="444" t="s">
        <v>3</v>
      </c>
      <c r="M121" s="76" t="s">
        <v>3</v>
      </c>
      <c r="N121" s="76" t="s">
        <v>3</v>
      </c>
      <c r="O121" s="76" t="s">
        <v>3</v>
      </c>
      <c r="P121" s="76" t="s">
        <v>3</v>
      </c>
      <c r="Q121" s="76" t="s">
        <v>3</v>
      </c>
      <c r="R121" s="76" t="s">
        <v>3</v>
      </c>
      <c r="S121" s="76" t="s">
        <v>3</v>
      </c>
      <c r="T121" s="76" t="s">
        <v>3</v>
      </c>
      <c r="U121" s="76">
        <v>47</v>
      </c>
      <c r="V121" s="648">
        <v>47</v>
      </c>
      <c r="W121" s="75">
        <v>118</v>
      </c>
      <c r="X121" s="75">
        <v>43</v>
      </c>
      <c r="Y121" s="75">
        <v>24</v>
      </c>
      <c r="Z121" s="75">
        <v>33</v>
      </c>
      <c r="AA121" s="75">
        <v>28</v>
      </c>
      <c r="AB121" s="75">
        <v>27</v>
      </c>
      <c r="AC121" s="75">
        <v>26</v>
      </c>
      <c r="AD121" s="75">
        <v>30</v>
      </c>
      <c r="AE121" s="75">
        <v>26</v>
      </c>
      <c r="AF121" s="648">
        <v>31</v>
      </c>
      <c r="AG121" s="75">
        <v>38</v>
      </c>
      <c r="AH121" s="76">
        <v>37</v>
      </c>
      <c r="AI121" s="76">
        <v>41</v>
      </c>
      <c r="AJ121" s="76">
        <v>54</v>
      </c>
      <c r="AK121" s="76">
        <v>76</v>
      </c>
      <c r="AL121" s="76">
        <v>78</v>
      </c>
      <c r="AM121" s="76">
        <v>65</v>
      </c>
      <c r="AN121" s="76">
        <v>53</v>
      </c>
      <c r="AO121" s="76">
        <v>57</v>
      </c>
      <c r="AP121" s="444">
        <v>66</v>
      </c>
      <c r="AQ121" s="76">
        <v>67</v>
      </c>
      <c r="AR121" s="76">
        <v>51</v>
      </c>
      <c r="AS121" s="76">
        <v>47</v>
      </c>
      <c r="AT121" s="103">
        <v>26</v>
      </c>
      <c r="AU121" s="103">
        <v>31</v>
      </c>
      <c r="AV121" s="82">
        <v>23</v>
      </c>
      <c r="AW121" s="213">
        <v>32</v>
      </c>
      <c r="AX121" s="60">
        <v>29</v>
      </c>
      <c r="AY121" s="60">
        <v>40</v>
      </c>
      <c r="AZ121" s="60">
        <v>64</v>
      </c>
      <c r="BA121" s="284">
        <v>83</v>
      </c>
      <c r="BB121" s="284">
        <v>80</v>
      </c>
      <c r="BC121" s="284">
        <v>75</v>
      </c>
      <c r="BD121" s="305">
        <v>68</v>
      </c>
      <c r="BE121" s="305">
        <v>56</v>
      </c>
      <c r="BF121" s="305">
        <v>60</v>
      </c>
      <c r="BG121" s="305">
        <v>56</v>
      </c>
      <c r="BH121" s="305">
        <v>39</v>
      </c>
      <c r="BI121" s="305">
        <v>40</v>
      </c>
      <c r="BJ121" s="410">
        <f>(BH121-BG121)/BG121</f>
        <v>-0.30357142857142855</v>
      </c>
      <c r="BK121" s="410">
        <f>(BI121-BH121)/BH121</f>
        <v>2.564102564102564E-2</v>
      </c>
      <c r="BL121" s="564">
        <f t="shared" ref="BL121" si="74">(BH121-BG121)</f>
        <v>-17</v>
      </c>
      <c r="BM121" s="564">
        <f t="shared" ref="BM121" si="75">(BI121-BH121)</f>
        <v>1</v>
      </c>
      <c r="BP121" s="515"/>
      <c r="BQ121" s="320"/>
      <c r="BR121" s="320"/>
    </row>
    <row r="122" spans="1:259" ht="11.25" customHeight="1">
      <c r="A122" s="118" t="s">
        <v>31</v>
      </c>
      <c r="B122" s="974" t="s">
        <v>3</v>
      </c>
      <c r="C122" s="140" t="s">
        <v>3</v>
      </c>
      <c r="D122" s="140" t="s">
        <v>3</v>
      </c>
      <c r="E122" s="140" t="s">
        <v>3</v>
      </c>
      <c r="F122" s="140" t="s">
        <v>3</v>
      </c>
      <c r="G122" s="140" t="s">
        <v>3</v>
      </c>
      <c r="H122" s="140" t="s">
        <v>3</v>
      </c>
      <c r="I122" s="140" t="s">
        <v>3</v>
      </c>
      <c r="J122" s="140" t="s">
        <v>3</v>
      </c>
      <c r="K122" s="140" t="s">
        <v>3</v>
      </c>
      <c r="L122" s="974" t="s">
        <v>3</v>
      </c>
      <c r="M122" s="140" t="s">
        <v>3</v>
      </c>
      <c r="N122" s="140" t="s">
        <v>3</v>
      </c>
      <c r="O122" s="140" t="s">
        <v>3</v>
      </c>
      <c r="P122" s="140" t="s">
        <v>3</v>
      </c>
      <c r="Q122" s="140" t="s">
        <v>3</v>
      </c>
      <c r="R122" s="140" t="s">
        <v>3</v>
      </c>
      <c r="S122" s="140" t="s">
        <v>3</v>
      </c>
      <c r="T122" s="140" t="s">
        <v>3</v>
      </c>
      <c r="U122" s="86">
        <f>SUM(U121)</f>
        <v>47</v>
      </c>
      <c r="V122" s="970">
        <f t="shared" ref="V122:AJ122" si="76">SUM(V119:V121)</f>
        <v>111</v>
      </c>
      <c r="W122" s="86">
        <f t="shared" si="76"/>
        <v>1578</v>
      </c>
      <c r="X122" s="86">
        <f t="shared" si="76"/>
        <v>396</v>
      </c>
      <c r="Y122" s="86">
        <f t="shared" si="76"/>
        <v>245</v>
      </c>
      <c r="Z122" s="86">
        <f t="shared" si="76"/>
        <v>179</v>
      </c>
      <c r="AA122" s="86">
        <f t="shared" si="76"/>
        <v>134</v>
      </c>
      <c r="AB122" s="86">
        <f t="shared" si="76"/>
        <v>106</v>
      </c>
      <c r="AC122" s="86">
        <f t="shared" si="76"/>
        <v>114</v>
      </c>
      <c r="AD122" s="86">
        <f t="shared" si="76"/>
        <v>124</v>
      </c>
      <c r="AE122" s="86">
        <f t="shared" si="76"/>
        <v>123</v>
      </c>
      <c r="AF122" s="970">
        <f t="shared" si="76"/>
        <v>133</v>
      </c>
      <c r="AG122" s="86">
        <f t="shared" si="76"/>
        <v>137</v>
      </c>
      <c r="AH122" s="86">
        <f t="shared" si="76"/>
        <v>140</v>
      </c>
      <c r="AI122" s="86">
        <f t="shared" si="76"/>
        <v>139</v>
      </c>
      <c r="AJ122" s="86">
        <f t="shared" si="76"/>
        <v>166</v>
      </c>
      <c r="AK122" s="86">
        <f t="shared" ref="AK122:AS122" si="77">SUM(AK119:AK121)</f>
        <v>195</v>
      </c>
      <c r="AL122" s="86">
        <f t="shared" si="77"/>
        <v>195</v>
      </c>
      <c r="AM122" s="86">
        <f t="shared" si="77"/>
        <v>164</v>
      </c>
      <c r="AN122" s="86">
        <f t="shared" si="77"/>
        <v>170</v>
      </c>
      <c r="AO122" s="86">
        <f t="shared" si="77"/>
        <v>189</v>
      </c>
      <c r="AP122" s="970">
        <f t="shared" si="77"/>
        <v>188</v>
      </c>
      <c r="AQ122" s="86">
        <f t="shared" si="77"/>
        <v>157.96949494949496</v>
      </c>
      <c r="AR122" s="86">
        <f t="shared" si="77"/>
        <v>206</v>
      </c>
      <c r="AS122" s="86">
        <f t="shared" si="77"/>
        <v>154</v>
      </c>
      <c r="AT122" s="86">
        <f t="shared" ref="AT122:BA122" si="78">SUM(AT119:AT121)</f>
        <v>118</v>
      </c>
      <c r="AU122" s="86">
        <f t="shared" si="78"/>
        <v>119</v>
      </c>
      <c r="AV122" s="140">
        <f t="shared" si="78"/>
        <v>105</v>
      </c>
      <c r="AW122" s="140">
        <f t="shared" si="78"/>
        <v>113.9964634780216</v>
      </c>
      <c r="AX122" s="140">
        <f t="shared" si="78"/>
        <v>119.58333333333334</v>
      </c>
      <c r="AY122" s="140">
        <f t="shared" si="78"/>
        <v>152</v>
      </c>
      <c r="AZ122" s="141">
        <f t="shared" si="78"/>
        <v>189</v>
      </c>
      <c r="BA122" s="383">
        <f t="shared" si="78"/>
        <v>216</v>
      </c>
      <c r="BB122" s="383">
        <f t="shared" ref="BB122:BI122" si="79">SUM(BB119:BB121)</f>
        <v>200</v>
      </c>
      <c r="BC122" s="383">
        <f t="shared" si="79"/>
        <v>160</v>
      </c>
      <c r="BD122" s="384">
        <f t="shared" si="79"/>
        <v>186</v>
      </c>
      <c r="BE122" s="384">
        <f t="shared" si="79"/>
        <v>156</v>
      </c>
      <c r="BF122" s="384">
        <f t="shared" si="79"/>
        <v>149</v>
      </c>
      <c r="BG122" s="384">
        <f t="shared" si="79"/>
        <v>137</v>
      </c>
      <c r="BH122" s="384">
        <f t="shared" si="79"/>
        <v>128</v>
      </c>
      <c r="BI122" s="384">
        <f t="shared" si="79"/>
        <v>151</v>
      </c>
      <c r="BJ122" s="872">
        <f>(BH122-BG122)/BG122</f>
        <v>-6.569343065693431E-2</v>
      </c>
      <c r="BK122" s="872">
        <f>(BI122-BH122)/BH122</f>
        <v>0.1796875</v>
      </c>
      <c r="BL122" s="567">
        <f>BH122-BG122</f>
        <v>-9</v>
      </c>
      <c r="BM122" s="567">
        <f>BI122-BH122</f>
        <v>23</v>
      </c>
      <c r="BP122" s="515"/>
      <c r="BQ122" s="320"/>
      <c r="BR122" s="320"/>
    </row>
    <row r="123" spans="1:259" ht="12" customHeight="1">
      <c r="A123" s="118"/>
      <c r="B123" s="444"/>
      <c r="C123" s="76"/>
      <c r="D123" s="76"/>
      <c r="E123" s="76"/>
      <c r="F123" s="76"/>
      <c r="G123" s="76"/>
      <c r="H123" s="76"/>
      <c r="I123" s="76"/>
      <c r="J123" s="76"/>
      <c r="K123" s="76"/>
      <c r="L123" s="444"/>
      <c r="M123" s="76"/>
      <c r="N123" s="76"/>
      <c r="O123" s="76"/>
      <c r="P123" s="76"/>
      <c r="Q123" s="76"/>
      <c r="R123" s="76"/>
      <c r="S123" s="76"/>
      <c r="T123" s="76"/>
      <c r="U123" s="75"/>
      <c r="V123" s="648"/>
      <c r="W123" s="75"/>
      <c r="X123" s="75"/>
      <c r="Y123" s="75"/>
      <c r="Z123" s="75"/>
      <c r="AA123" s="75"/>
      <c r="AB123" s="75"/>
      <c r="AC123" s="75"/>
      <c r="AD123" s="75"/>
      <c r="AE123" s="75"/>
      <c r="AF123" s="648"/>
      <c r="AG123" s="75"/>
      <c r="AH123" s="75"/>
      <c r="AI123" s="75"/>
      <c r="AJ123" s="75"/>
      <c r="AK123" s="75"/>
      <c r="AL123" s="75"/>
      <c r="AM123" s="75"/>
      <c r="AN123" s="75"/>
      <c r="AO123" s="75"/>
      <c r="AP123" s="648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648"/>
      <c r="BG123" s="648"/>
      <c r="BH123" s="648"/>
      <c r="BI123" s="648"/>
      <c r="BJ123" s="877"/>
      <c r="BK123" s="877"/>
      <c r="BL123" s="571"/>
      <c r="BM123" s="571"/>
      <c r="BP123" s="515"/>
      <c r="BQ123" s="320"/>
      <c r="BR123" s="320"/>
    </row>
    <row r="124" spans="1:259" ht="11.25" customHeight="1" thickBot="1">
      <c r="A124" s="119" t="s">
        <v>135</v>
      </c>
      <c r="B124" s="805">
        <v>35</v>
      </c>
      <c r="C124" s="94">
        <v>36</v>
      </c>
      <c r="D124" s="94">
        <v>51</v>
      </c>
      <c r="E124" s="94">
        <v>74</v>
      </c>
      <c r="F124" s="94">
        <v>93</v>
      </c>
      <c r="G124" s="94">
        <v>95</v>
      </c>
      <c r="H124" s="94">
        <v>77</v>
      </c>
      <c r="I124" s="94">
        <v>105</v>
      </c>
      <c r="J124" s="94">
        <v>122</v>
      </c>
      <c r="K124" s="94">
        <v>156</v>
      </c>
      <c r="L124" s="648">
        <v>220</v>
      </c>
      <c r="M124" s="75">
        <v>182</v>
      </c>
      <c r="N124" s="75">
        <v>218</v>
      </c>
      <c r="O124" s="75">
        <v>186</v>
      </c>
      <c r="P124" s="75">
        <v>1483</v>
      </c>
      <c r="Q124" s="75">
        <v>1897</v>
      </c>
      <c r="R124" s="75">
        <v>2589</v>
      </c>
      <c r="S124" s="75">
        <v>2641</v>
      </c>
      <c r="T124" s="75">
        <v>2864</v>
      </c>
      <c r="U124" s="75">
        <v>2850</v>
      </c>
      <c r="V124" s="648">
        <v>3114</v>
      </c>
      <c r="W124" s="75">
        <v>3329</v>
      </c>
      <c r="X124" s="75">
        <v>3468</v>
      </c>
      <c r="Y124" s="75">
        <v>3403</v>
      </c>
      <c r="Z124" s="75">
        <v>3441</v>
      </c>
      <c r="AA124" s="75">
        <v>3498</v>
      </c>
      <c r="AB124" s="75">
        <v>3445</v>
      </c>
      <c r="AC124" s="75">
        <v>3376</v>
      </c>
      <c r="AD124" s="75">
        <v>3268</v>
      </c>
      <c r="AE124" s="75">
        <v>3209</v>
      </c>
      <c r="AF124" s="648">
        <v>3160</v>
      </c>
      <c r="AG124" s="75">
        <v>3208</v>
      </c>
      <c r="AH124" s="75">
        <v>3353</v>
      </c>
      <c r="AI124" s="75">
        <v>3329</v>
      </c>
      <c r="AJ124" s="75">
        <v>3240</v>
      </c>
      <c r="AK124" s="75">
        <v>3122</v>
      </c>
      <c r="AL124" s="75">
        <v>3020</v>
      </c>
      <c r="AM124" s="75">
        <v>2981</v>
      </c>
      <c r="AN124" s="75">
        <v>2909</v>
      </c>
      <c r="AO124" s="75">
        <v>2796</v>
      </c>
      <c r="AP124" s="648">
        <v>2735</v>
      </c>
      <c r="AQ124" s="75">
        <v>2739</v>
      </c>
      <c r="AR124" s="75">
        <v>2771</v>
      </c>
      <c r="AS124" s="75">
        <v>2894</v>
      </c>
      <c r="AT124" s="75">
        <v>2987</v>
      </c>
      <c r="AU124" s="75">
        <v>3095</v>
      </c>
      <c r="AV124" s="76">
        <v>3150</v>
      </c>
      <c r="AW124" s="225">
        <f>3429+8</f>
        <v>3437</v>
      </c>
      <c r="AX124" s="225">
        <v>3667</v>
      </c>
      <c r="AY124" s="331">
        <v>3930</v>
      </c>
      <c r="AZ124" s="331">
        <v>3976</v>
      </c>
      <c r="BA124" s="284">
        <v>3956</v>
      </c>
      <c r="BB124" s="284">
        <v>3788</v>
      </c>
      <c r="BC124" s="284">
        <f>3659+14</f>
        <v>3673</v>
      </c>
      <c r="BD124" s="305">
        <v>3746</v>
      </c>
      <c r="BE124" s="305">
        <f>3649+7</f>
        <v>3656</v>
      </c>
      <c r="BF124" s="305">
        <v>3487</v>
      </c>
      <c r="BG124" s="305">
        <v>3180</v>
      </c>
      <c r="BH124" s="305">
        <v>3342</v>
      </c>
      <c r="BI124" s="305">
        <v>3192</v>
      </c>
      <c r="BJ124" s="410">
        <f>(BH124-BG124)/BG124</f>
        <v>5.0943396226415097E-2</v>
      </c>
      <c r="BK124" s="410">
        <f>(BI124-BH124)/BH124</f>
        <v>-4.4883303411131059E-2</v>
      </c>
      <c r="BL124" s="569">
        <f>BH124-BG124</f>
        <v>162</v>
      </c>
      <c r="BM124" s="569">
        <f>BI124-BH124</f>
        <v>-150</v>
      </c>
      <c r="BP124" s="515"/>
      <c r="BQ124" s="320"/>
      <c r="BR124" s="320"/>
    </row>
    <row r="125" spans="1:259" ht="11.25" customHeight="1">
      <c r="A125" s="119"/>
      <c r="B125" s="593"/>
      <c r="C125" s="25"/>
      <c r="D125" s="25"/>
      <c r="E125" s="25"/>
      <c r="F125" s="25"/>
      <c r="G125" s="25"/>
      <c r="H125" s="25"/>
      <c r="I125" s="25"/>
      <c r="J125" s="25"/>
      <c r="K125" s="25"/>
      <c r="L125" s="648"/>
      <c r="M125" s="75"/>
      <c r="N125" s="75"/>
      <c r="O125" s="75"/>
      <c r="P125" s="75"/>
      <c r="Q125" s="75"/>
      <c r="R125" s="75"/>
      <c r="S125" s="75"/>
      <c r="T125" s="75"/>
      <c r="U125" s="75"/>
      <c r="V125" s="648"/>
      <c r="W125" s="75"/>
      <c r="X125" s="75"/>
      <c r="Y125" s="75"/>
      <c r="Z125" s="75"/>
      <c r="AA125" s="75"/>
      <c r="AB125" s="75"/>
      <c r="AC125" s="75"/>
      <c r="AD125" s="75"/>
      <c r="AE125" s="75"/>
      <c r="AF125" s="648"/>
      <c r="AG125" s="75"/>
      <c r="AH125" s="75"/>
      <c r="AI125" s="75"/>
      <c r="AJ125" s="75"/>
      <c r="AK125" s="75"/>
      <c r="AL125" s="75"/>
      <c r="AM125" s="75"/>
      <c r="AN125" s="75"/>
      <c r="AO125" s="75"/>
      <c r="AP125" s="648"/>
      <c r="AQ125" s="75"/>
      <c r="AR125" s="75"/>
      <c r="AS125" s="75"/>
      <c r="AT125" s="75"/>
      <c r="AU125" s="75"/>
      <c r="AV125" s="76"/>
      <c r="AW125" s="225"/>
      <c r="AX125" s="225"/>
      <c r="AY125" s="163"/>
      <c r="AZ125" s="163"/>
      <c r="BA125" s="445"/>
      <c r="BB125" s="445"/>
      <c r="BC125" s="465"/>
      <c r="BD125" s="524"/>
      <c r="BE125" s="524"/>
      <c r="BF125" s="524"/>
      <c r="BG125" s="524"/>
      <c r="BH125" s="524"/>
      <c r="BI125" s="524"/>
      <c r="BJ125" s="410"/>
      <c r="BK125" s="410"/>
      <c r="BL125" s="564"/>
      <c r="BM125" s="564"/>
      <c r="BP125" s="515"/>
      <c r="BQ125" s="320"/>
      <c r="BR125" s="320"/>
    </row>
    <row r="126" spans="1:259" s="770" customFormat="1" ht="11.25" customHeight="1" thickBot="1">
      <c r="A126" s="764" t="s">
        <v>136</v>
      </c>
      <c r="B126" s="805">
        <v>862</v>
      </c>
      <c r="C126" s="744">
        <v>1386</v>
      </c>
      <c r="D126" s="744">
        <v>2050</v>
      </c>
      <c r="E126" s="744">
        <v>2038</v>
      </c>
      <c r="F126" s="744">
        <v>2279</v>
      </c>
      <c r="G126" s="744">
        <v>2836</v>
      </c>
      <c r="H126" s="744">
        <v>3290</v>
      </c>
      <c r="I126" s="744">
        <v>3923</v>
      </c>
      <c r="J126" s="744">
        <v>5058</v>
      </c>
      <c r="K126" s="744">
        <v>4740</v>
      </c>
      <c r="L126" s="648">
        <v>4424</v>
      </c>
      <c r="M126" s="731">
        <v>5945</v>
      </c>
      <c r="N126" s="731">
        <v>8358</v>
      </c>
      <c r="O126" s="731">
        <v>9127</v>
      </c>
      <c r="P126" s="731">
        <v>9743</v>
      </c>
      <c r="Q126" s="731">
        <v>10440</v>
      </c>
      <c r="R126" s="731">
        <v>10705</v>
      </c>
      <c r="S126" s="731">
        <v>11315</v>
      </c>
      <c r="T126" s="731">
        <v>11986</v>
      </c>
      <c r="U126" s="731">
        <v>12236</v>
      </c>
      <c r="V126" s="648">
        <v>13045</v>
      </c>
      <c r="W126" s="731">
        <v>12720</v>
      </c>
      <c r="X126" s="731">
        <v>11402</v>
      </c>
      <c r="Y126" s="731">
        <v>10940</v>
      </c>
      <c r="Z126" s="731">
        <v>11562</v>
      </c>
      <c r="AA126" s="731">
        <v>12590</v>
      </c>
      <c r="AB126" s="731">
        <v>13115</v>
      </c>
      <c r="AC126" s="731">
        <v>13649</v>
      </c>
      <c r="AD126" s="731">
        <v>14078</v>
      </c>
      <c r="AE126" s="731">
        <v>14539</v>
      </c>
      <c r="AF126" s="648">
        <v>15587</v>
      </c>
      <c r="AG126" s="731">
        <v>16241</v>
      </c>
      <c r="AH126" s="731">
        <v>16874</v>
      </c>
      <c r="AI126" s="731">
        <v>18131</v>
      </c>
      <c r="AJ126" s="731">
        <v>17414</v>
      </c>
      <c r="AK126" s="731">
        <v>17326</v>
      </c>
      <c r="AL126" s="731">
        <v>17028</v>
      </c>
      <c r="AM126" s="746">
        <v>16789</v>
      </c>
      <c r="AN126" s="746">
        <v>17510</v>
      </c>
      <c r="AO126" s="746">
        <v>17875</v>
      </c>
      <c r="AP126" s="845">
        <v>17310</v>
      </c>
      <c r="AQ126" s="765">
        <v>17262</v>
      </c>
      <c r="AR126" s="765">
        <v>17216</v>
      </c>
      <c r="AS126" s="765">
        <v>17354</v>
      </c>
      <c r="AT126" s="765">
        <v>18736</v>
      </c>
      <c r="AU126" s="765">
        <v>17235</v>
      </c>
      <c r="AV126" s="766">
        <v>17029</v>
      </c>
      <c r="AW126" s="720">
        <v>16739</v>
      </c>
      <c r="AX126" s="720">
        <v>16575</v>
      </c>
      <c r="AY126" s="720">
        <v>16693</v>
      </c>
      <c r="AZ126" s="721">
        <v>16857</v>
      </c>
      <c r="BA126" s="721">
        <v>16999</v>
      </c>
      <c r="BB126" s="721">
        <v>16738</v>
      </c>
      <c r="BC126" s="721">
        <v>15591</v>
      </c>
      <c r="BD126" s="721">
        <v>15406</v>
      </c>
      <c r="BE126" s="721">
        <v>14715</v>
      </c>
      <c r="BF126" s="721">
        <v>14947</v>
      </c>
      <c r="BG126" s="390">
        <v>14804</v>
      </c>
      <c r="BH126" s="390">
        <v>15450</v>
      </c>
      <c r="BI126" s="390">
        <v>11612</v>
      </c>
      <c r="BJ126" s="676">
        <f>(BH126-BG126)/BG126</f>
        <v>4.363685490407998E-2</v>
      </c>
      <c r="BK126" s="676">
        <f>(BI126-BH126)/BH126</f>
        <v>-0.24841423948220065</v>
      </c>
      <c r="BL126" s="569">
        <f>BH126-BG126</f>
        <v>646</v>
      </c>
      <c r="BM126" s="569">
        <f>BI126-BH126</f>
        <v>-3838</v>
      </c>
      <c r="BN126" s="767"/>
      <c r="BO126" s="767"/>
      <c r="BP126" s="768"/>
      <c r="BQ126" s="769"/>
      <c r="BR126" s="769"/>
    </row>
    <row r="127" spans="1:259" s="792" customFormat="1" ht="14.25" customHeight="1" thickBot="1">
      <c r="A127" s="154" t="s">
        <v>116</v>
      </c>
      <c r="B127" s="970">
        <f t="shared" ref="B127:L127" si="80">SUM(B116+B124+B126)</f>
        <v>1265</v>
      </c>
      <c r="C127" s="86">
        <f t="shared" si="80"/>
        <v>1832</v>
      </c>
      <c r="D127" s="86">
        <f t="shared" si="80"/>
        <v>2519</v>
      </c>
      <c r="E127" s="86">
        <f t="shared" si="80"/>
        <v>2585</v>
      </c>
      <c r="F127" s="86">
        <f t="shared" si="80"/>
        <v>2858</v>
      </c>
      <c r="G127" s="86">
        <f t="shared" si="80"/>
        <v>3377</v>
      </c>
      <c r="H127" s="86">
        <f t="shared" si="80"/>
        <v>3786</v>
      </c>
      <c r="I127" s="86">
        <f t="shared" si="80"/>
        <v>4455</v>
      </c>
      <c r="J127" s="86">
        <f t="shared" si="80"/>
        <v>5610</v>
      </c>
      <c r="K127" s="86">
        <f t="shared" si="80"/>
        <v>5351</v>
      </c>
      <c r="L127" s="970">
        <f t="shared" si="80"/>
        <v>5096</v>
      </c>
      <c r="M127" s="86">
        <f t="shared" ref="M127:T127" si="81">SUM(M101+M107+M116+M124+M126)</f>
        <v>6983</v>
      </c>
      <c r="N127" s="86">
        <f t="shared" si="81"/>
        <v>9703</v>
      </c>
      <c r="O127" s="86">
        <f t="shared" si="81"/>
        <v>10634</v>
      </c>
      <c r="P127" s="86">
        <f t="shared" si="81"/>
        <v>12440</v>
      </c>
      <c r="Q127" s="86">
        <f t="shared" si="81"/>
        <v>13804</v>
      </c>
      <c r="R127" s="86">
        <f t="shared" si="81"/>
        <v>15282</v>
      </c>
      <c r="S127" s="86">
        <f t="shared" si="81"/>
        <v>16075</v>
      </c>
      <c r="T127" s="86">
        <f t="shared" si="81"/>
        <v>17335</v>
      </c>
      <c r="U127" s="86">
        <f t="shared" ref="U127:AO127" si="82">SUM(U101+U107+U116+U122+U124+U126)</f>
        <v>18425</v>
      </c>
      <c r="V127" s="970">
        <f t="shared" si="82"/>
        <v>20218</v>
      </c>
      <c r="W127" s="86">
        <f t="shared" si="82"/>
        <v>21398</v>
      </c>
      <c r="X127" s="86">
        <f t="shared" si="82"/>
        <v>18664</v>
      </c>
      <c r="Y127" s="86">
        <f t="shared" si="82"/>
        <v>20043</v>
      </c>
      <c r="Z127" s="86">
        <f t="shared" si="82"/>
        <v>20354</v>
      </c>
      <c r="AA127" s="86">
        <f t="shared" si="82"/>
        <v>21792</v>
      </c>
      <c r="AB127" s="86">
        <f t="shared" si="82"/>
        <v>22596</v>
      </c>
      <c r="AC127" s="86">
        <f t="shared" si="82"/>
        <v>23128</v>
      </c>
      <c r="AD127" s="86">
        <f t="shared" si="82"/>
        <v>23573</v>
      </c>
      <c r="AE127" s="86">
        <f t="shared" si="82"/>
        <v>24294</v>
      </c>
      <c r="AF127" s="970">
        <f t="shared" si="82"/>
        <v>25414</v>
      </c>
      <c r="AG127" s="86">
        <f t="shared" si="82"/>
        <v>26325</v>
      </c>
      <c r="AH127" s="86">
        <f t="shared" si="82"/>
        <v>27439</v>
      </c>
      <c r="AI127" s="86">
        <f t="shared" si="82"/>
        <v>28963</v>
      </c>
      <c r="AJ127" s="86">
        <f t="shared" si="82"/>
        <v>28146</v>
      </c>
      <c r="AK127" s="86">
        <f t="shared" si="82"/>
        <v>28818</v>
      </c>
      <c r="AL127" s="86">
        <f t="shared" si="82"/>
        <v>27937</v>
      </c>
      <c r="AM127" s="86">
        <f t="shared" si="82"/>
        <v>27484</v>
      </c>
      <c r="AN127" s="86">
        <f t="shared" si="82"/>
        <v>27807</v>
      </c>
      <c r="AO127" s="86">
        <f t="shared" si="82"/>
        <v>28368</v>
      </c>
      <c r="AP127" s="970">
        <f t="shared" ref="AP127:BC127" si="83">SUM(AP101+AP104+AP107+AP116+AP122+AP124+AP126)</f>
        <v>29730.232686980609</v>
      </c>
      <c r="AQ127" s="86">
        <f t="shared" si="83"/>
        <v>29936.789825918764</v>
      </c>
      <c r="AR127" s="86">
        <f t="shared" si="83"/>
        <v>30168</v>
      </c>
      <c r="AS127" s="86">
        <f t="shared" si="83"/>
        <v>30703</v>
      </c>
      <c r="AT127" s="86">
        <f t="shared" si="83"/>
        <v>32083</v>
      </c>
      <c r="AU127" s="86">
        <f t="shared" si="83"/>
        <v>30479</v>
      </c>
      <c r="AV127" s="86">
        <f t="shared" si="83"/>
        <v>29589</v>
      </c>
      <c r="AW127" s="86">
        <f t="shared" si="83"/>
        <v>29470.670599476503</v>
      </c>
      <c r="AX127" s="86">
        <f t="shared" si="83"/>
        <v>29751.58112395792</v>
      </c>
      <c r="AY127" s="86">
        <f t="shared" si="83"/>
        <v>29942</v>
      </c>
      <c r="AZ127" s="86">
        <f t="shared" si="83"/>
        <v>31196</v>
      </c>
      <c r="BA127" s="787">
        <f t="shared" si="83"/>
        <v>31214</v>
      </c>
      <c r="BB127" s="787">
        <f t="shared" si="83"/>
        <v>29377</v>
      </c>
      <c r="BC127" s="787">
        <f t="shared" si="83"/>
        <v>27741</v>
      </c>
      <c r="BD127" s="788">
        <f>SUM(BD101+BD104+BD107+BD116+BD122+BD124+BD126)</f>
        <v>27307</v>
      </c>
      <c r="BE127" s="788">
        <f t="shared" ref="BE127:BG127" si="84">SUM(BE101+BE104+BE107+BE116+BE122+BE124+BE126)</f>
        <v>25804.54990085922</v>
      </c>
      <c r="BF127" s="788">
        <f t="shared" si="84"/>
        <v>26402</v>
      </c>
      <c r="BG127" s="788">
        <f t="shared" si="84"/>
        <v>25992</v>
      </c>
      <c r="BH127" s="788">
        <f t="shared" ref="BH127:BI127" si="85">SUM(BH101+BH104+BH107+BH116+BH122+BH124+BH126)</f>
        <v>26866</v>
      </c>
      <c r="BI127" s="788">
        <f t="shared" si="85"/>
        <v>21936</v>
      </c>
      <c r="BJ127" s="872">
        <f>(BH127-BG127)/BG127</f>
        <v>3.3625730994152045E-2</v>
      </c>
      <c r="BK127" s="872">
        <f>(BI127-BH127)/BH127</f>
        <v>-0.18350331273728876</v>
      </c>
      <c r="BL127" s="569">
        <f>BH127-BG127</f>
        <v>874</v>
      </c>
      <c r="BM127" s="569">
        <f>BI127-BH127</f>
        <v>-4930</v>
      </c>
      <c r="BN127" s="789"/>
      <c r="BO127" s="789"/>
      <c r="BP127" s="790"/>
      <c r="BQ127" s="791"/>
      <c r="BR127" s="791"/>
    </row>
    <row r="128" spans="1:259" ht="8.25" customHeight="1">
      <c r="A128" s="115"/>
      <c r="L128" s="596"/>
      <c r="M128" s="11"/>
      <c r="N128" s="11"/>
      <c r="O128" s="11"/>
      <c r="P128" s="11"/>
      <c r="Q128" s="11"/>
      <c r="R128" s="11"/>
      <c r="S128" s="11"/>
      <c r="T128" s="11"/>
      <c r="U128" s="11"/>
      <c r="V128" s="596"/>
      <c r="W128" s="11"/>
      <c r="X128" s="11"/>
      <c r="Y128" s="11"/>
      <c r="Z128" s="11"/>
      <c r="AA128" s="11"/>
      <c r="AB128" s="11"/>
      <c r="AC128" s="11"/>
      <c r="AD128" s="11"/>
      <c r="AE128" s="11"/>
      <c r="AF128" s="596"/>
      <c r="AG128" s="11"/>
      <c r="AH128" s="11"/>
      <c r="AI128" s="11"/>
      <c r="AJ128" s="11"/>
      <c r="AK128" s="11"/>
      <c r="AM128" s="63"/>
      <c r="AN128" s="63"/>
      <c r="AO128" s="63"/>
      <c r="AP128" s="696"/>
      <c r="AQ128" s="63"/>
      <c r="AR128" s="63"/>
      <c r="AS128" s="63"/>
      <c r="AT128" s="63"/>
      <c r="AU128" s="63"/>
      <c r="AV128" s="147"/>
      <c r="AW128" s="250"/>
      <c r="AX128" s="60"/>
      <c r="AY128" s="60"/>
      <c r="AZ128" s="299"/>
      <c r="BA128" s="284"/>
      <c r="BB128" s="284"/>
      <c r="BC128" s="284"/>
      <c r="BD128" s="305"/>
      <c r="BE128" s="305"/>
      <c r="BF128" s="305"/>
      <c r="BG128" s="305"/>
      <c r="BH128" s="305"/>
      <c r="BI128" s="305"/>
      <c r="BJ128" s="871"/>
      <c r="BK128" s="871"/>
      <c r="BL128" s="572"/>
      <c r="BM128" s="572"/>
      <c r="BP128" s="515"/>
      <c r="BQ128" s="320"/>
      <c r="BR128" s="320"/>
    </row>
    <row r="129" spans="1:259" ht="12" customHeight="1" thickBot="1">
      <c r="A129" s="399" t="s">
        <v>42</v>
      </c>
      <c r="B129" s="677">
        <f t="shared" ref="B129:AG129" si="86">SUM(B45+B56+B72+B97+B127)</f>
        <v>38819</v>
      </c>
      <c r="C129" s="254">
        <f t="shared" si="86"/>
        <v>42669</v>
      </c>
      <c r="D129" s="254">
        <f t="shared" si="86"/>
        <v>46459</v>
      </c>
      <c r="E129" s="254">
        <f t="shared" si="86"/>
        <v>49157</v>
      </c>
      <c r="F129" s="254">
        <f t="shared" si="86"/>
        <v>50008</v>
      </c>
      <c r="G129" s="254">
        <f t="shared" si="86"/>
        <v>48925</v>
      </c>
      <c r="H129" s="254">
        <f t="shared" si="86"/>
        <v>51231</v>
      </c>
      <c r="I129" s="254">
        <f t="shared" si="86"/>
        <v>51726</v>
      </c>
      <c r="J129" s="254">
        <f t="shared" si="86"/>
        <v>54460</v>
      </c>
      <c r="K129" s="254">
        <f t="shared" si="86"/>
        <v>54208</v>
      </c>
      <c r="L129" s="677">
        <f t="shared" si="86"/>
        <v>57685</v>
      </c>
      <c r="M129" s="254">
        <f t="shared" si="86"/>
        <v>67546</v>
      </c>
      <c r="N129" s="254">
        <f t="shared" si="86"/>
        <v>87601</v>
      </c>
      <c r="O129" s="254">
        <f t="shared" si="86"/>
        <v>93549</v>
      </c>
      <c r="P129" s="254">
        <f t="shared" si="86"/>
        <v>92630</v>
      </c>
      <c r="Q129" s="254">
        <f t="shared" si="86"/>
        <v>92984</v>
      </c>
      <c r="R129" s="254">
        <f t="shared" si="86"/>
        <v>98435</v>
      </c>
      <c r="S129" s="254">
        <f t="shared" si="86"/>
        <v>109744</v>
      </c>
      <c r="T129" s="254">
        <f t="shared" si="86"/>
        <v>111858</v>
      </c>
      <c r="U129" s="254">
        <f t="shared" si="86"/>
        <v>120195</v>
      </c>
      <c r="V129" s="677">
        <f t="shared" si="86"/>
        <v>115047</v>
      </c>
      <c r="W129" s="254">
        <f t="shared" si="86"/>
        <v>115528</v>
      </c>
      <c r="X129" s="254">
        <f t="shared" si="86"/>
        <v>103781</v>
      </c>
      <c r="Y129" s="254">
        <f t="shared" si="86"/>
        <v>99997</v>
      </c>
      <c r="Z129" s="254">
        <f t="shared" si="86"/>
        <v>99974</v>
      </c>
      <c r="AA129" s="254">
        <f t="shared" si="86"/>
        <v>100818</v>
      </c>
      <c r="AB129" s="254">
        <f t="shared" si="86"/>
        <v>99961</v>
      </c>
      <c r="AC129" s="254">
        <f t="shared" si="86"/>
        <v>103347</v>
      </c>
      <c r="AD129" s="254">
        <f t="shared" si="86"/>
        <v>108145</v>
      </c>
      <c r="AE129" s="254">
        <f t="shared" si="86"/>
        <v>115568</v>
      </c>
      <c r="AF129" s="677">
        <f t="shared" si="86"/>
        <v>119475</v>
      </c>
      <c r="AG129" s="254">
        <f t="shared" si="86"/>
        <v>123531</v>
      </c>
      <c r="AH129" s="254">
        <f t="shared" ref="AH129:BG129" si="87">SUM(AH45+AH56+AH72+AH97+AH127)</f>
        <v>130815</v>
      </c>
      <c r="AI129" s="254">
        <f t="shared" si="87"/>
        <v>135913</v>
      </c>
      <c r="AJ129" s="254">
        <f t="shared" si="87"/>
        <v>133589</v>
      </c>
      <c r="AK129" s="254">
        <f t="shared" si="87"/>
        <v>136147</v>
      </c>
      <c r="AL129" s="254">
        <f t="shared" si="87"/>
        <v>137135</v>
      </c>
      <c r="AM129" s="254">
        <f t="shared" si="87"/>
        <v>133356</v>
      </c>
      <c r="AN129" s="254">
        <f t="shared" si="87"/>
        <v>139977</v>
      </c>
      <c r="AO129" s="254">
        <f t="shared" si="87"/>
        <v>139978</v>
      </c>
      <c r="AP129" s="677">
        <f t="shared" si="87"/>
        <v>143231.54392161325</v>
      </c>
      <c r="AQ129" s="254">
        <f t="shared" si="87"/>
        <v>140703.83506676398</v>
      </c>
      <c r="AR129" s="254">
        <f t="shared" si="87"/>
        <v>152762.12945036759</v>
      </c>
      <c r="AS129" s="254">
        <f t="shared" si="87"/>
        <v>210489.53918495297</v>
      </c>
      <c r="AT129" s="254">
        <f t="shared" si="87"/>
        <v>202372.37383177571</v>
      </c>
      <c r="AU129" s="254">
        <f t="shared" si="87"/>
        <v>203589</v>
      </c>
      <c r="AV129" s="254">
        <f t="shared" si="87"/>
        <v>201646</v>
      </c>
      <c r="AW129" s="254">
        <f t="shared" si="87"/>
        <v>204600.55214845145</v>
      </c>
      <c r="AX129" s="254">
        <f t="shared" si="87"/>
        <v>215367.10186203913</v>
      </c>
      <c r="AY129" s="254">
        <f t="shared" si="87"/>
        <v>225972</v>
      </c>
      <c r="AZ129" s="254">
        <f t="shared" si="87"/>
        <v>233564</v>
      </c>
      <c r="BA129" s="386">
        <f t="shared" si="87"/>
        <v>237110</v>
      </c>
      <c r="BB129" s="386">
        <f t="shared" si="87"/>
        <v>237768</v>
      </c>
      <c r="BC129" s="386">
        <f t="shared" si="87"/>
        <v>232731</v>
      </c>
      <c r="BD129" s="521">
        <f t="shared" si="87"/>
        <v>234214</v>
      </c>
      <c r="BE129" s="521">
        <f t="shared" si="87"/>
        <v>225966.54990085922</v>
      </c>
      <c r="BF129" s="521">
        <f t="shared" si="87"/>
        <v>231693</v>
      </c>
      <c r="BG129" s="521">
        <f t="shared" si="87"/>
        <v>231916</v>
      </c>
      <c r="BH129" s="521">
        <f t="shared" ref="BH129:BI129" si="88">SUM(BH45+BH56+BH72+BH97+BH127)</f>
        <v>234936</v>
      </c>
      <c r="BI129" s="521">
        <f t="shared" si="88"/>
        <v>234056</v>
      </c>
      <c r="BJ129" s="875">
        <f>(BH129-BG129)/BG129</f>
        <v>1.3021956225529933E-2</v>
      </c>
      <c r="BK129" s="875">
        <f>(BI129-BH129)/BH129</f>
        <v>-3.7457009568563353E-3</v>
      </c>
      <c r="BL129" s="569">
        <f>BH129-BG129</f>
        <v>3020</v>
      </c>
      <c r="BM129" s="569">
        <f>BI129-BH129</f>
        <v>-880</v>
      </c>
      <c r="BP129" s="515"/>
      <c r="BQ129" s="320"/>
      <c r="BR129" s="32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  <c r="DS129" s="80"/>
      <c r="DT129" s="80"/>
      <c r="DU129" s="80"/>
      <c r="DV129" s="80"/>
      <c r="DW129" s="80"/>
      <c r="DX129" s="80"/>
      <c r="DY129" s="80"/>
      <c r="DZ129" s="80"/>
      <c r="EA129" s="80"/>
      <c r="EB129" s="80"/>
      <c r="EC129" s="80"/>
      <c r="ED129" s="80"/>
      <c r="EE129" s="80"/>
      <c r="EF129" s="80"/>
      <c r="EG129" s="80"/>
      <c r="EH129" s="80"/>
      <c r="EI129" s="80"/>
      <c r="EJ129" s="80"/>
      <c r="EK129" s="80"/>
      <c r="EL129" s="80"/>
      <c r="EM129" s="80"/>
      <c r="EN129" s="80"/>
      <c r="EO129" s="80"/>
      <c r="EP129" s="80"/>
      <c r="EQ129" s="80"/>
      <c r="ER129" s="80"/>
      <c r="ES129" s="80"/>
      <c r="ET129" s="80"/>
      <c r="EU129" s="80"/>
      <c r="EV129" s="80"/>
      <c r="EW129" s="80"/>
      <c r="EX129" s="80"/>
      <c r="EY129" s="80"/>
      <c r="EZ129" s="80"/>
      <c r="FA129" s="80"/>
      <c r="FB129" s="80"/>
      <c r="FC129" s="80"/>
      <c r="FD129" s="80"/>
      <c r="FE129" s="80"/>
      <c r="FF129" s="80"/>
      <c r="FG129" s="80"/>
      <c r="FH129" s="80"/>
      <c r="FI129" s="80"/>
      <c r="FJ129" s="80"/>
      <c r="FK129" s="80"/>
      <c r="FL129" s="80"/>
      <c r="FM129" s="80"/>
      <c r="FN129" s="80"/>
      <c r="FO129" s="80"/>
      <c r="FP129" s="80"/>
      <c r="FQ129" s="80"/>
      <c r="FR129" s="80"/>
      <c r="FS129" s="80"/>
      <c r="FT129" s="80"/>
      <c r="FU129" s="80"/>
      <c r="FV129" s="80"/>
      <c r="FW129" s="80"/>
      <c r="FX129" s="80"/>
      <c r="FY129" s="80"/>
      <c r="FZ129" s="80"/>
      <c r="GA129" s="80"/>
      <c r="GB129" s="80"/>
      <c r="GC129" s="80"/>
      <c r="GD129" s="80"/>
      <c r="GE129" s="80"/>
      <c r="GF129" s="80"/>
      <c r="GG129" s="80"/>
      <c r="GH129" s="80"/>
      <c r="GI129" s="80"/>
      <c r="GJ129" s="80"/>
      <c r="GK129" s="80"/>
      <c r="GL129" s="80"/>
      <c r="GM129" s="80"/>
      <c r="GN129" s="80"/>
      <c r="GO129" s="80"/>
      <c r="GP129" s="80"/>
      <c r="GQ129" s="80"/>
      <c r="GR129" s="80"/>
      <c r="GS129" s="80"/>
      <c r="GT129" s="80"/>
      <c r="GU129" s="80"/>
      <c r="GV129" s="80"/>
      <c r="GW129" s="80"/>
      <c r="GX129" s="80"/>
      <c r="GY129" s="80"/>
      <c r="GZ129" s="80"/>
      <c r="HA129" s="80"/>
      <c r="HB129" s="80"/>
      <c r="HC129" s="80"/>
      <c r="HD129" s="80"/>
      <c r="HE129" s="80"/>
      <c r="HF129" s="80"/>
      <c r="HG129" s="80"/>
      <c r="HH129" s="80"/>
      <c r="HI129" s="80"/>
      <c r="HJ129" s="80"/>
      <c r="HK129" s="80"/>
      <c r="HL129" s="80"/>
      <c r="HM129" s="80"/>
      <c r="HN129" s="80"/>
      <c r="HO129" s="80"/>
      <c r="HP129" s="80"/>
      <c r="HQ129" s="80"/>
      <c r="HR129" s="80"/>
      <c r="HS129" s="80"/>
      <c r="HT129" s="80"/>
      <c r="HU129" s="80"/>
      <c r="HV129" s="80"/>
      <c r="HW129" s="80"/>
      <c r="HX129" s="80"/>
      <c r="HY129" s="80"/>
      <c r="HZ129" s="80"/>
      <c r="IA129" s="80"/>
      <c r="IB129" s="80"/>
      <c r="IC129" s="80"/>
      <c r="ID129" s="80"/>
      <c r="IE129" s="80"/>
      <c r="IF129" s="80"/>
      <c r="IG129" s="80"/>
      <c r="IH129" s="80"/>
      <c r="II129" s="80"/>
      <c r="IJ129" s="80"/>
      <c r="IK129" s="80"/>
      <c r="IL129" s="80"/>
      <c r="IM129" s="80"/>
      <c r="IN129" s="80"/>
      <c r="IO129" s="80"/>
      <c r="IP129" s="80"/>
      <c r="IQ129" s="80"/>
      <c r="IR129" s="80"/>
      <c r="IS129" s="80"/>
      <c r="IT129" s="80"/>
      <c r="IU129" s="80"/>
      <c r="IV129" s="80"/>
      <c r="IW129" s="80"/>
      <c r="IX129" s="80"/>
      <c r="IY129" s="80"/>
    </row>
    <row r="130" spans="1:259" ht="15.75" customHeight="1">
      <c r="A130" s="399"/>
      <c r="B130" s="649"/>
      <c r="C130" s="609"/>
      <c r="D130" s="609"/>
      <c r="E130" s="609"/>
      <c r="F130" s="609"/>
      <c r="G130" s="609"/>
      <c r="H130" s="609"/>
      <c r="I130" s="609"/>
      <c r="J130" s="609"/>
      <c r="K130" s="609"/>
      <c r="L130" s="649"/>
      <c r="M130" s="609"/>
      <c r="N130" s="609"/>
      <c r="O130" s="609"/>
      <c r="P130" s="609"/>
      <c r="Q130" s="609"/>
      <c r="R130" s="609"/>
      <c r="S130" s="609"/>
      <c r="T130" s="609"/>
      <c r="U130" s="609"/>
      <c r="V130" s="649"/>
      <c r="W130" s="609"/>
      <c r="X130" s="609"/>
      <c r="Y130" s="609"/>
      <c r="Z130" s="609"/>
      <c r="AA130" s="609"/>
      <c r="AB130" s="609"/>
      <c r="AC130" s="609"/>
      <c r="AD130" s="609"/>
      <c r="AE130" s="609"/>
      <c r="AF130" s="649"/>
      <c r="AG130" s="609"/>
      <c r="AH130" s="609"/>
      <c r="AI130" s="609"/>
      <c r="AJ130" s="609"/>
      <c r="AK130" s="609"/>
      <c r="AL130" s="609"/>
      <c r="AM130" s="609"/>
      <c r="AN130" s="609"/>
      <c r="AO130" s="609"/>
      <c r="AP130" s="649"/>
      <c r="AQ130" s="609"/>
      <c r="AR130" s="609"/>
      <c r="AS130" s="609"/>
      <c r="AT130" s="609"/>
      <c r="AU130" s="609"/>
      <c r="AV130" s="609"/>
      <c r="AW130" s="609"/>
      <c r="AX130" s="609"/>
      <c r="AY130" s="609"/>
      <c r="AZ130" s="609"/>
      <c r="BA130" s="609"/>
      <c r="BB130" s="609"/>
      <c r="BC130" s="609"/>
      <c r="BD130" s="609"/>
      <c r="BE130" s="609"/>
      <c r="BF130" s="649"/>
      <c r="BG130" s="963"/>
      <c r="BH130" s="963"/>
      <c r="BI130" s="963"/>
      <c r="BJ130" s="410"/>
      <c r="BK130" s="410"/>
      <c r="BL130" s="564"/>
      <c r="BM130" s="564"/>
      <c r="BP130" s="515"/>
      <c r="BQ130" s="320"/>
      <c r="BR130" s="32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  <c r="DS130" s="80"/>
      <c r="DT130" s="80"/>
      <c r="DU130" s="80"/>
      <c r="DV130" s="80"/>
      <c r="DW130" s="80"/>
      <c r="DX130" s="80"/>
      <c r="DY130" s="80"/>
      <c r="DZ130" s="80"/>
      <c r="EA130" s="80"/>
      <c r="EB130" s="80"/>
      <c r="EC130" s="80"/>
      <c r="ED130" s="80"/>
      <c r="EE130" s="80"/>
      <c r="EF130" s="80"/>
      <c r="EG130" s="80"/>
      <c r="EH130" s="80"/>
      <c r="EI130" s="80"/>
      <c r="EJ130" s="80"/>
      <c r="EK130" s="80"/>
      <c r="EL130" s="80"/>
      <c r="EM130" s="80"/>
      <c r="EN130" s="80"/>
      <c r="EO130" s="80"/>
      <c r="EP130" s="80"/>
      <c r="EQ130" s="80"/>
      <c r="ER130" s="80"/>
      <c r="ES130" s="80"/>
      <c r="ET130" s="80"/>
      <c r="EU130" s="80"/>
      <c r="EV130" s="80"/>
      <c r="EW130" s="80"/>
      <c r="EX130" s="80"/>
      <c r="EY130" s="80"/>
      <c r="EZ130" s="80"/>
      <c r="FA130" s="80"/>
      <c r="FB130" s="80"/>
      <c r="FC130" s="80"/>
      <c r="FD130" s="80"/>
      <c r="FE130" s="80"/>
      <c r="FF130" s="80"/>
      <c r="FG130" s="80"/>
      <c r="FH130" s="80"/>
      <c r="FI130" s="80"/>
      <c r="FJ130" s="80"/>
      <c r="FK130" s="80"/>
      <c r="FL130" s="80"/>
      <c r="FM130" s="80"/>
      <c r="FN130" s="80"/>
      <c r="FO130" s="80"/>
      <c r="FP130" s="80"/>
      <c r="FQ130" s="80"/>
      <c r="FR130" s="80"/>
      <c r="FS130" s="80"/>
      <c r="FT130" s="80"/>
      <c r="FU130" s="80"/>
      <c r="FV130" s="80"/>
      <c r="FW130" s="80"/>
      <c r="FX130" s="80"/>
      <c r="FY130" s="80"/>
      <c r="FZ130" s="80"/>
      <c r="GA130" s="80"/>
      <c r="GB130" s="80"/>
      <c r="GC130" s="80"/>
      <c r="GD130" s="80"/>
      <c r="GE130" s="80"/>
      <c r="GF130" s="80"/>
      <c r="GG130" s="80"/>
      <c r="GH130" s="80"/>
      <c r="GI130" s="80"/>
      <c r="GJ130" s="80"/>
      <c r="GK130" s="80"/>
      <c r="GL130" s="80"/>
      <c r="GM130" s="80"/>
      <c r="GN130" s="80"/>
      <c r="GO130" s="80"/>
      <c r="GP130" s="80"/>
      <c r="GQ130" s="80"/>
      <c r="GR130" s="80"/>
      <c r="GS130" s="80"/>
      <c r="GT130" s="80"/>
      <c r="GU130" s="80"/>
      <c r="GV130" s="80"/>
      <c r="GW130" s="80"/>
      <c r="GX130" s="80"/>
      <c r="GY130" s="80"/>
      <c r="GZ130" s="80"/>
      <c r="HA130" s="80"/>
      <c r="HB130" s="80"/>
      <c r="HC130" s="80"/>
      <c r="HD130" s="80"/>
      <c r="HE130" s="80"/>
      <c r="HF130" s="80"/>
      <c r="HG130" s="80"/>
      <c r="HH130" s="80"/>
      <c r="HI130" s="80"/>
      <c r="HJ130" s="80"/>
      <c r="HK130" s="80"/>
      <c r="HL130" s="80"/>
      <c r="HM130" s="80"/>
      <c r="HN130" s="80"/>
      <c r="HO130" s="80"/>
      <c r="HP130" s="80"/>
      <c r="HQ130" s="80"/>
      <c r="HR130" s="80"/>
      <c r="HS130" s="80"/>
      <c r="HT130" s="80"/>
      <c r="HU130" s="80"/>
      <c r="HV130" s="80"/>
      <c r="HW130" s="80"/>
      <c r="HX130" s="80"/>
      <c r="HY130" s="80"/>
      <c r="HZ130" s="80"/>
      <c r="IA130" s="80"/>
      <c r="IB130" s="80"/>
      <c r="IC130" s="80"/>
      <c r="ID130" s="80"/>
      <c r="IE130" s="80"/>
      <c r="IF130" s="80"/>
      <c r="IG130" s="80"/>
      <c r="IH130" s="80"/>
      <c r="II130" s="80"/>
      <c r="IJ130" s="80"/>
      <c r="IK130" s="80"/>
      <c r="IL130" s="80"/>
      <c r="IM130" s="80"/>
      <c r="IN130" s="80"/>
      <c r="IO130" s="80"/>
      <c r="IP130" s="80"/>
      <c r="IQ130" s="80"/>
      <c r="IR130" s="80"/>
      <c r="IS130" s="80"/>
      <c r="IT130" s="80"/>
      <c r="IU130" s="80"/>
      <c r="IV130" s="80"/>
      <c r="IW130" s="80"/>
      <c r="IX130" s="80"/>
      <c r="IY130" s="80"/>
    </row>
    <row r="131" spans="1:259" ht="15.75" customHeight="1">
      <c r="A131" s="115"/>
      <c r="B131" s="428"/>
      <c r="C131" s="343"/>
      <c r="D131" s="343"/>
      <c r="E131" s="343"/>
      <c r="F131" s="343"/>
      <c r="G131" s="343"/>
      <c r="H131" s="343"/>
      <c r="I131" s="343"/>
      <c r="J131" s="343"/>
      <c r="K131" s="343"/>
      <c r="L131" s="428"/>
      <c r="M131" s="343"/>
      <c r="N131" s="343"/>
      <c r="O131" s="343"/>
      <c r="P131" s="343"/>
      <c r="Q131" s="343"/>
      <c r="R131" s="343"/>
      <c r="S131" s="343"/>
      <c r="T131" s="343"/>
      <c r="U131" s="343"/>
      <c r="V131" s="428"/>
      <c r="W131" s="343"/>
      <c r="X131" s="343"/>
      <c r="Y131" s="343"/>
      <c r="Z131" s="343"/>
      <c r="AA131" s="343"/>
      <c r="AB131" s="343"/>
      <c r="AC131" s="343"/>
      <c r="AD131" s="343"/>
      <c r="AE131" s="343"/>
      <c r="AF131" s="428"/>
      <c r="AG131" s="343"/>
      <c r="AH131" s="343"/>
      <c r="AI131" s="343"/>
      <c r="AJ131" s="343"/>
      <c r="AK131" s="343"/>
      <c r="AL131" s="343"/>
      <c r="AM131" s="343"/>
      <c r="AN131" s="343"/>
      <c r="AO131" s="343"/>
      <c r="AP131" s="428"/>
      <c r="AQ131" s="343"/>
      <c r="AR131" s="343"/>
      <c r="AS131" s="343"/>
      <c r="AT131" s="343"/>
      <c r="AU131" s="343"/>
      <c r="AV131" s="343"/>
      <c r="AW131" s="343"/>
      <c r="AX131" s="343"/>
      <c r="AY131" s="343"/>
      <c r="AZ131" s="343"/>
      <c r="BC131" s="343"/>
      <c r="BD131" s="343"/>
      <c r="BE131" s="343"/>
      <c r="BF131" s="428"/>
      <c r="BG131" s="517"/>
      <c r="BH131" s="517"/>
      <c r="BI131" s="517"/>
      <c r="BJ131" s="410"/>
      <c r="BK131" s="410"/>
      <c r="BL131" s="564"/>
      <c r="BM131" s="564"/>
      <c r="BP131" s="515"/>
      <c r="BQ131" s="320"/>
      <c r="BR131" s="320"/>
    </row>
    <row r="132" spans="1:259" ht="11.25" customHeight="1">
      <c r="A132" s="160" t="s">
        <v>43</v>
      </c>
      <c r="L132" s="177"/>
      <c r="M132" s="81"/>
      <c r="N132" s="81"/>
      <c r="O132" s="81"/>
      <c r="P132" s="81"/>
      <c r="Q132" s="81"/>
      <c r="R132" s="81"/>
      <c r="S132" s="81"/>
      <c r="T132" s="81"/>
      <c r="U132" s="81"/>
      <c r="V132" s="992"/>
      <c r="W132" s="81"/>
      <c r="X132" s="81"/>
      <c r="Y132" s="81"/>
      <c r="Z132" s="11"/>
      <c r="AA132" s="11"/>
      <c r="AB132" s="11"/>
      <c r="AC132" s="11"/>
      <c r="AD132" s="11"/>
      <c r="AE132" s="11"/>
      <c r="AF132" s="596"/>
      <c r="AG132" s="11"/>
      <c r="AH132" s="11"/>
      <c r="AI132" s="11"/>
      <c r="AJ132" s="11"/>
      <c r="AK132" s="11"/>
      <c r="AM132" s="63"/>
      <c r="AN132" s="63"/>
      <c r="AO132" s="63"/>
      <c r="AP132" s="696"/>
      <c r="AQ132" s="63"/>
      <c r="AR132" s="63"/>
      <c r="AS132" s="63"/>
      <c r="AT132" s="63"/>
      <c r="AU132" s="63"/>
      <c r="AV132" s="147"/>
      <c r="AW132" s="250"/>
      <c r="AX132" s="60"/>
      <c r="AY132" s="60"/>
      <c r="AZ132" s="60"/>
      <c r="BA132" s="284"/>
      <c r="BB132" s="284"/>
      <c r="BC132" s="461"/>
      <c r="BD132" s="300"/>
      <c r="BE132" s="300"/>
      <c r="BF132" s="300"/>
      <c r="BG132" s="300"/>
      <c r="BH132" s="300"/>
      <c r="BI132" s="300"/>
      <c r="BJ132" s="410"/>
      <c r="BK132" s="410"/>
      <c r="BL132" s="564"/>
      <c r="BM132" s="564"/>
      <c r="BP132" s="515"/>
      <c r="BQ132" s="320"/>
      <c r="BR132" s="320"/>
    </row>
    <row r="133" spans="1:259" ht="11.25" customHeight="1">
      <c r="A133" s="160"/>
      <c r="L133" s="177"/>
      <c r="M133" s="81"/>
      <c r="N133" s="81"/>
      <c r="O133" s="81"/>
      <c r="P133" s="81"/>
      <c r="Q133" s="81"/>
      <c r="R133" s="81"/>
      <c r="S133" s="81"/>
      <c r="T133" s="81"/>
      <c r="U133" s="81"/>
      <c r="V133" s="992"/>
      <c r="W133" s="81"/>
      <c r="X133" s="81"/>
      <c r="Y133" s="81"/>
      <c r="Z133" s="11"/>
      <c r="AA133" s="11"/>
      <c r="AB133" s="11"/>
      <c r="AC133" s="11"/>
      <c r="AD133" s="11"/>
      <c r="AE133" s="11"/>
      <c r="AF133" s="596"/>
      <c r="AG133" s="11"/>
      <c r="AH133" s="11"/>
      <c r="AI133" s="11"/>
      <c r="AJ133" s="11"/>
      <c r="AK133" s="11"/>
      <c r="AM133" s="63"/>
      <c r="AN133" s="63"/>
      <c r="AO133" s="63"/>
      <c r="AP133" s="696"/>
      <c r="AQ133" s="63"/>
      <c r="AR133" s="63"/>
      <c r="AS133" s="63"/>
      <c r="AT133" s="63"/>
      <c r="AU133" s="63"/>
      <c r="AV133" s="147"/>
      <c r="AW133" s="250"/>
      <c r="AX133" s="331"/>
      <c r="AY133" s="331"/>
      <c r="AZ133" s="331"/>
      <c r="BA133" s="284"/>
      <c r="BB133" s="284"/>
      <c r="BC133" s="461"/>
      <c r="BD133" s="300"/>
      <c r="BE133" s="300"/>
      <c r="BF133" s="300"/>
      <c r="BG133" s="300"/>
      <c r="BH133" s="300"/>
      <c r="BI133" s="300"/>
      <c r="BJ133" s="410"/>
      <c r="BK133" s="410"/>
      <c r="BL133" s="564"/>
      <c r="BM133" s="564"/>
      <c r="BP133" s="515"/>
      <c r="BQ133" s="320"/>
      <c r="BR133" s="320"/>
    </row>
    <row r="134" spans="1:259" ht="15.75" customHeight="1">
      <c r="A134" s="120" t="s">
        <v>67</v>
      </c>
      <c r="L134" s="177"/>
      <c r="M134"/>
      <c r="N134"/>
      <c r="O134"/>
      <c r="P134"/>
      <c r="Q134"/>
      <c r="R134"/>
      <c r="S134"/>
      <c r="T134"/>
      <c r="U134"/>
      <c r="V134" s="177"/>
      <c r="W134"/>
      <c r="X134"/>
      <c r="Y134"/>
      <c r="Z134"/>
      <c r="AA134"/>
      <c r="AB134"/>
      <c r="AC134"/>
      <c r="AD134"/>
      <c r="AE134"/>
      <c r="AF134" s="177"/>
      <c r="AG134"/>
      <c r="AH134"/>
      <c r="AI134"/>
      <c r="AJ134"/>
      <c r="AK134"/>
      <c r="AL134"/>
      <c r="AM134"/>
      <c r="AN134"/>
      <c r="AO134"/>
      <c r="AP134" s="177"/>
      <c r="AQ134"/>
      <c r="AR134"/>
      <c r="AS134"/>
      <c r="AT134"/>
      <c r="AU134"/>
      <c r="AV134"/>
      <c r="AX134"/>
      <c r="BA134"/>
      <c r="BB134"/>
      <c r="BC134"/>
      <c r="BD134"/>
      <c r="BE134"/>
      <c r="BF134" s="177"/>
      <c r="BG134" s="177"/>
      <c r="BH134" s="177"/>
      <c r="BI134" s="177"/>
      <c r="BJ134" s="410"/>
      <c r="BK134" s="410"/>
      <c r="BL134" s="564"/>
      <c r="BM134" s="564"/>
      <c r="BP134" s="515"/>
      <c r="BQ134" s="320"/>
      <c r="BR134" s="320"/>
    </row>
    <row r="135" spans="1:259" ht="6" customHeight="1">
      <c r="A135" s="112"/>
      <c r="L135" s="596"/>
      <c r="M135" s="11"/>
      <c r="N135" s="11"/>
      <c r="O135" s="11"/>
      <c r="P135" s="11"/>
      <c r="Q135" s="11"/>
      <c r="R135" s="11"/>
      <c r="S135" s="11"/>
      <c r="T135" s="11"/>
      <c r="U135" s="11"/>
      <c r="V135" s="596"/>
      <c r="W135" s="11"/>
      <c r="X135" s="11"/>
      <c r="Y135" s="11"/>
      <c r="Z135" s="11"/>
      <c r="AA135" s="11"/>
      <c r="AB135" s="11"/>
      <c r="AC135" s="11"/>
      <c r="AD135" s="11"/>
      <c r="AE135" s="11"/>
      <c r="AF135" s="596"/>
      <c r="AG135" s="11"/>
      <c r="AH135" s="11"/>
      <c r="AI135" s="11"/>
      <c r="AJ135" s="11"/>
      <c r="AK135" s="11"/>
      <c r="AM135" s="63"/>
      <c r="AN135" s="63"/>
      <c r="AO135" s="63"/>
      <c r="AP135" s="696"/>
      <c r="AQ135" s="63"/>
      <c r="AR135" s="63"/>
      <c r="AS135" s="63"/>
      <c r="AT135" s="63"/>
      <c r="AU135" s="63"/>
      <c r="AV135" s="147"/>
      <c r="AW135" s="250"/>
      <c r="AX135" s="60"/>
      <c r="AY135" s="60"/>
      <c r="AZ135" s="60"/>
      <c r="BA135" s="284"/>
      <c r="BB135" s="284"/>
      <c r="BC135" s="461"/>
      <c r="BD135" s="300"/>
      <c r="BE135" s="300"/>
      <c r="BF135" s="300"/>
      <c r="BG135" s="300"/>
      <c r="BH135" s="300"/>
      <c r="BI135" s="300"/>
      <c r="BJ135" s="410"/>
      <c r="BK135" s="410"/>
      <c r="BL135" s="564"/>
      <c r="BM135" s="564"/>
      <c r="BP135" s="515"/>
      <c r="BQ135" s="320"/>
      <c r="BR135" s="320"/>
    </row>
    <row r="136" spans="1:259" ht="11.25" customHeight="1">
      <c r="A136" s="116" t="s">
        <v>44</v>
      </c>
      <c r="L136" s="596"/>
      <c r="M136" s="11"/>
      <c r="N136" s="11"/>
      <c r="O136" s="11"/>
      <c r="P136" s="11"/>
      <c r="Q136" s="11"/>
      <c r="R136" s="11"/>
      <c r="S136" s="11"/>
      <c r="T136" s="11"/>
      <c r="U136" s="11"/>
      <c r="V136" s="596"/>
      <c r="W136" s="11"/>
      <c r="X136" s="11"/>
      <c r="Y136" s="11"/>
      <c r="Z136" s="11"/>
      <c r="AA136" s="11"/>
      <c r="AB136" s="11"/>
      <c r="AC136" s="11"/>
      <c r="AD136" s="11"/>
      <c r="AE136" s="11"/>
      <c r="AF136" s="596"/>
      <c r="AG136" s="11"/>
      <c r="AH136" s="11"/>
      <c r="AI136" s="11"/>
      <c r="AJ136" s="11"/>
      <c r="AK136" s="11"/>
      <c r="AM136" s="63"/>
      <c r="AN136" s="63"/>
      <c r="AO136" s="63"/>
      <c r="AP136" s="696"/>
      <c r="AQ136" s="63"/>
      <c r="AR136" s="63"/>
      <c r="AS136" s="63"/>
      <c r="AT136" s="63"/>
      <c r="AU136" s="63"/>
      <c r="AV136" s="147"/>
      <c r="AW136" s="250"/>
      <c r="AX136" s="60"/>
      <c r="AY136" s="60"/>
      <c r="AZ136" s="60"/>
      <c r="BA136" s="284"/>
      <c r="BB136" s="284"/>
      <c r="BC136" s="461"/>
      <c r="BD136" s="300"/>
      <c r="BE136" s="300"/>
      <c r="BF136" s="300"/>
      <c r="BG136" s="300"/>
      <c r="BH136" s="300"/>
      <c r="BI136" s="300"/>
      <c r="BJ136" s="410"/>
      <c r="BK136" s="410"/>
      <c r="BL136" s="564"/>
      <c r="BM136" s="564"/>
      <c r="BP136" s="515"/>
      <c r="BQ136" s="320"/>
      <c r="BR136" s="320"/>
    </row>
    <row r="137" spans="1:259" ht="11.25" customHeight="1">
      <c r="A137" s="287" t="s">
        <v>137</v>
      </c>
      <c r="B137" s="593">
        <v>841</v>
      </c>
      <c r="C137" s="25">
        <v>978</v>
      </c>
      <c r="D137" s="25">
        <v>1138</v>
      </c>
      <c r="E137" s="25">
        <v>1324</v>
      </c>
      <c r="F137" s="25">
        <v>1540</v>
      </c>
      <c r="G137" s="25">
        <v>1661</v>
      </c>
      <c r="H137" s="25">
        <v>1707</v>
      </c>
      <c r="I137" s="25">
        <v>1772</v>
      </c>
      <c r="J137" s="25">
        <v>1830</v>
      </c>
      <c r="K137" s="25">
        <v>2013</v>
      </c>
      <c r="L137" s="596">
        <v>1957</v>
      </c>
      <c r="M137" s="11">
        <v>2143</v>
      </c>
      <c r="N137" s="11">
        <v>2136</v>
      </c>
      <c r="O137" s="11">
        <v>2249</v>
      </c>
      <c r="P137" s="11">
        <v>2457</v>
      </c>
      <c r="Q137" s="11">
        <v>2660</v>
      </c>
      <c r="R137" s="11">
        <v>2874</v>
      </c>
      <c r="S137" s="11">
        <v>2972</v>
      </c>
      <c r="T137" s="11">
        <v>3091</v>
      </c>
      <c r="U137" s="11">
        <v>3072</v>
      </c>
      <c r="V137" s="596">
        <v>3234</v>
      </c>
      <c r="W137" s="11">
        <v>3071</v>
      </c>
      <c r="X137" s="11">
        <v>2839</v>
      </c>
      <c r="Y137" s="11">
        <v>2846</v>
      </c>
      <c r="Z137" s="11">
        <v>2889</v>
      </c>
      <c r="AA137" s="11">
        <v>2913</v>
      </c>
      <c r="AB137" s="11">
        <v>2913</v>
      </c>
      <c r="AC137" s="11">
        <v>3053</v>
      </c>
      <c r="AD137" s="11">
        <v>3269</v>
      </c>
      <c r="AE137" s="11">
        <v>3223</v>
      </c>
      <c r="AF137" s="596">
        <v>3216</v>
      </c>
      <c r="AG137" s="11">
        <v>3298</v>
      </c>
      <c r="AH137" s="11">
        <v>3508</v>
      </c>
      <c r="AI137" s="11">
        <v>3950</v>
      </c>
      <c r="AJ137" s="11">
        <v>3966</v>
      </c>
      <c r="AK137" s="11">
        <v>3737</v>
      </c>
      <c r="AL137" s="11">
        <v>3456</v>
      </c>
      <c r="AM137" s="63">
        <v>2948</v>
      </c>
      <c r="AN137" s="63">
        <v>2785</v>
      </c>
      <c r="AO137" s="63">
        <v>2946</v>
      </c>
      <c r="AP137" s="696">
        <v>2920</v>
      </c>
      <c r="AQ137" s="63">
        <v>2837</v>
      </c>
      <c r="AR137" s="63">
        <v>2792</v>
      </c>
      <c r="AS137" s="63">
        <v>2761</v>
      </c>
      <c r="AT137" s="63">
        <v>2678</v>
      </c>
      <c r="AU137" s="63">
        <v>2686</v>
      </c>
      <c r="AV137" s="147">
        <v>2812</v>
      </c>
      <c r="AW137" s="27">
        <v>2954</v>
      </c>
      <c r="AX137" s="60">
        <v>3028</v>
      </c>
      <c r="AY137" s="60">
        <v>3104</v>
      </c>
      <c r="AZ137" s="60">
        <v>3101</v>
      </c>
      <c r="BA137" s="284">
        <v>3150</v>
      </c>
      <c r="BB137" s="284">
        <v>3656</v>
      </c>
      <c r="BC137" s="284">
        <v>3822</v>
      </c>
      <c r="BD137" s="305">
        <v>3891</v>
      </c>
      <c r="BE137" s="305">
        <v>3805</v>
      </c>
      <c r="BF137" s="305">
        <v>3845</v>
      </c>
      <c r="BG137" s="305">
        <v>3908</v>
      </c>
      <c r="BH137" s="305">
        <v>3945</v>
      </c>
      <c r="BI137" s="305">
        <v>3987</v>
      </c>
      <c r="BJ137" s="410">
        <f>(BH137-BG137)/BG137</f>
        <v>9.467758444216991E-3</v>
      </c>
      <c r="BK137" s="410">
        <f>(BI137-BH137)/BH137</f>
        <v>1.064638783269962E-2</v>
      </c>
      <c r="BL137" s="564">
        <f t="shared" ref="BL137:BL138" si="89">(BH137-BG137)</f>
        <v>37</v>
      </c>
      <c r="BM137" s="564">
        <f t="shared" ref="BM137:BM138" si="90">(BI137-BH137)</f>
        <v>42</v>
      </c>
      <c r="BP137" s="515"/>
      <c r="BQ137" s="320"/>
      <c r="BR137" s="320"/>
    </row>
    <row r="138" spans="1:259" ht="11.25" customHeight="1">
      <c r="A138" s="115" t="s">
        <v>78</v>
      </c>
      <c r="B138" s="695" t="s">
        <v>59</v>
      </c>
      <c r="C138" s="17" t="s">
        <v>59</v>
      </c>
      <c r="D138" s="17" t="s">
        <v>59</v>
      </c>
      <c r="E138" s="17" t="s">
        <v>59</v>
      </c>
      <c r="F138" s="17" t="s">
        <v>59</v>
      </c>
      <c r="G138" s="17" t="s">
        <v>59</v>
      </c>
      <c r="H138" s="17" t="s">
        <v>59</v>
      </c>
      <c r="I138" s="17" t="s">
        <v>59</v>
      </c>
      <c r="J138" s="17" t="s">
        <v>59</v>
      </c>
      <c r="K138" s="17" t="s">
        <v>59</v>
      </c>
      <c r="L138" s="695" t="s">
        <v>59</v>
      </c>
      <c r="M138" s="17" t="s">
        <v>59</v>
      </c>
      <c r="N138" s="17" t="s">
        <v>59</v>
      </c>
      <c r="O138" s="17" t="s">
        <v>59</v>
      </c>
      <c r="P138" s="17" t="s">
        <v>59</v>
      </c>
      <c r="Q138" s="17" t="s">
        <v>59</v>
      </c>
      <c r="R138" s="17" t="s">
        <v>59</v>
      </c>
      <c r="S138" s="17" t="s">
        <v>59</v>
      </c>
      <c r="T138" s="17" t="s">
        <v>59</v>
      </c>
      <c r="U138" s="17" t="s">
        <v>59</v>
      </c>
      <c r="V138" s="695" t="s">
        <v>59</v>
      </c>
      <c r="W138" s="17" t="s">
        <v>59</v>
      </c>
      <c r="X138" s="17" t="s">
        <v>59</v>
      </c>
      <c r="Y138" s="17" t="s">
        <v>59</v>
      </c>
      <c r="Z138" s="17" t="s">
        <v>59</v>
      </c>
      <c r="AA138" s="17" t="s">
        <v>59</v>
      </c>
      <c r="AB138" s="17" t="s">
        <v>59</v>
      </c>
      <c r="AC138" s="17" t="s">
        <v>59</v>
      </c>
      <c r="AD138" s="17" t="s">
        <v>59</v>
      </c>
      <c r="AE138" s="17" t="s">
        <v>59</v>
      </c>
      <c r="AF138" s="695" t="s">
        <v>59</v>
      </c>
      <c r="AG138" s="11">
        <v>118</v>
      </c>
      <c r="AH138" s="11">
        <v>145</v>
      </c>
      <c r="AI138" s="11">
        <v>152</v>
      </c>
      <c r="AJ138" s="11">
        <v>147</v>
      </c>
      <c r="AK138" s="11">
        <v>165</v>
      </c>
      <c r="AL138" s="11">
        <v>171</v>
      </c>
      <c r="AM138" s="63">
        <v>164</v>
      </c>
      <c r="AN138" s="63">
        <v>162</v>
      </c>
      <c r="AO138" s="63">
        <v>165</v>
      </c>
      <c r="AP138" s="696">
        <v>169</v>
      </c>
      <c r="AQ138" s="63">
        <v>178</v>
      </c>
      <c r="AR138" s="63">
        <v>205</v>
      </c>
      <c r="AS138" s="63">
        <v>230</v>
      </c>
      <c r="AT138" s="172">
        <v>250</v>
      </c>
      <c r="AU138" s="172">
        <v>268</v>
      </c>
      <c r="AV138" s="255">
        <v>297</v>
      </c>
      <c r="AW138" s="256">
        <v>302</v>
      </c>
      <c r="AX138" s="228">
        <v>312</v>
      </c>
      <c r="AY138" s="228">
        <v>313</v>
      </c>
      <c r="AZ138" s="228">
        <v>329</v>
      </c>
      <c r="BA138" s="305">
        <v>315</v>
      </c>
      <c r="BB138" s="305">
        <v>301</v>
      </c>
      <c r="BC138" s="305">
        <v>301</v>
      </c>
      <c r="BD138" s="305">
        <v>279</v>
      </c>
      <c r="BE138" s="305">
        <v>276</v>
      </c>
      <c r="BF138" s="305">
        <v>279</v>
      </c>
      <c r="BG138" s="305">
        <v>275</v>
      </c>
      <c r="BH138" s="305">
        <v>305</v>
      </c>
      <c r="BI138" s="305">
        <v>333</v>
      </c>
      <c r="BJ138" s="410">
        <f>(BH138-BG138)/BG138</f>
        <v>0.10909090909090909</v>
      </c>
      <c r="BK138" s="410">
        <f>(BI138-BH138)/BH138</f>
        <v>9.1803278688524587E-2</v>
      </c>
      <c r="BL138" s="564">
        <f t="shared" si="89"/>
        <v>30</v>
      </c>
      <c r="BM138" s="564">
        <f t="shared" si="90"/>
        <v>28</v>
      </c>
      <c r="BP138" s="515"/>
      <c r="BQ138" s="320"/>
      <c r="BR138" s="320"/>
    </row>
    <row r="139" spans="1:259" ht="11.25" customHeight="1">
      <c r="A139" s="119" t="s">
        <v>138</v>
      </c>
      <c r="B139" s="695" t="s">
        <v>59</v>
      </c>
      <c r="C139" s="17" t="s">
        <v>59</v>
      </c>
      <c r="D139" s="17" t="s">
        <v>59</v>
      </c>
      <c r="E139" s="17" t="s">
        <v>59</v>
      </c>
      <c r="F139" s="17" t="s">
        <v>59</v>
      </c>
      <c r="G139" s="17" t="s">
        <v>59</v>
      </c>
      <c r="H139" s="17" t="s">
        <v>59</v>
      </c>
      <c r="I139" s="17" t="s">
        <v>59</v>
      </c>
      <c r="J139" s="17" t="s">
        <v>59</v>
      </c>
      <c r="K139" s="17" t="s">
        <v>59</v>
      </c>
      <c r="L139" s="695" t="s">
        <v>59</v>
      </c>
      <c r="M139" s="17" t="s">
        <v>59</v>
      </c>
      <c r="N139" s="17" t="s">
        <v>59</v>
      </c>
      <c r="O139" s="17" t="s">
        <v>59</v>
      </c>
      <c r="P139" s="17" t="s">
        <v>59</v>
      </c>
      <c r="Q139" s="17" t="s">
        <v>59</v>
      </c>
      <c r="R139" s="17" t="s">
        <v>59</v>
      </c>
      <c r="S139" s="17" t="s">
        <v>59</v>
      </c>
      <c r="T139" s="17" t="s">
        <v>59</v>
      </c>
      <c r="U139" s="17" t="s">
        <v>59</v>
      </c>
      <c r="V139" s="695" t="s">
        <v>59</v>
      </c>
      <c r="W139" s="17" t="s">
        <v>59</v>
      </c>
      <c r="X139" s="17" t="s">
        <v>59</v>
      </c>
      <c r="Y139" s="17" t="s">
        <v>59</v>
      </c>
      <c r="Z139" s="17" t="s">
        <v>59</v>
      </c>
      <c r="AA139" s="17" t="s">
        <v>59</v>
      </c>
      <c r="AB139" s="17" t="s">
        <v>59</v>
      </c>
      <c r="AC139" s="17" t="s">
        <v>59</v>
      </c>
      <c r="AD139" s="17" t="s">
        <v>59</v>
      </c>
      <c r="AE139" s="75">
        <v>3570</v>
      </c>
      <c r="AF139" s="648">
        <v>3250</v>
      </c>
      <c r="AG139" s="75">
        <v>2853</v>
      </c>
      <c r="AH139" s="75">
        <v>2527</v>
      </c>
      <c r="AI139" s="75">
        <v>2238</v>
      </c>
      <c r="AJ139" s="75">
        <v>1781</v>
      </c>
      <c r="AK139" s="75">
        <v>1615</v>
      </c>
      <c r="AL139" s="75">
        <v>1424</v>
      </c>
      <c r="AM139" s="66">
        <v>1335</v>
      </c>
      <c r="AN139" s="66">
        <v>1269</v>
      </c>
      <c r="AO139" s="66">
        <v>1266</v>
      </c>
      <c r="AP139" s="697">
        <v>1254</v>
      </c>
      <c r="AQ139" s="66">
        <v>1211</v>
      </c>
      <c r="AR139" s="66">
        <v>1266</v>
      </c>
      <c r="AS139" s="66">
        <v>912</v>
      </c>
      <c r="AT139" s="63">
        <v>886</v>
      </c>
      <c r="AU139" s="63">
        <v>885</v>
      </c>
      <c r="AV139" s="147">
        <v>918</v>
      </c>
      <c r="AW139" s="27">
        <v>974</v>
      </c>
      <c r="AX139" s="60">
        <v>1029</v>
      </c>
      <c r="AY139" s="60">
        <v>1051</v>
      </c>
      <c r="AZ139" s="60">
        <v>1016</v>
      </c>
      <c r="BA139" s="284">
        <v>804</v>
      </c>
      <c r="BB139" s="305" t="s">
        <v>3</v>
      </c>
      <c r="BC139" s="305" t="s">
        <v>3</v>
      </c>
      <c r="BD139" s="305" t="s">
        <v>3</v>
      </c>
      <c r="BE139" s="305" t="s">
        <v>3</v>
      </c>
      <c r="BF139" s="305" t="s">
        <v>3</v>
      </c>
      <c r="BG139" s="305" t="s">
        <v>3</v>
      </c>
      <c r="BH139" s="305" t="s">
        <v>3</v>
      </c>
      <c r="BI139" s="305" t="s">
        <v>3</v>
      </c>
      <c r="BJ139" s="874" t="s">
        <v>10</v>
      </c>
      <c r="BK139" s="874" t="s">
        <v>10</v>
      </c>
      <c r="BL139" s="568" t="s">
        <v>10</v>
      </c>
      <c r="BM139" s="568" t="s">
        <v>10</v>
      </c>
      <c r="BP139" s="515"/>
      <c r="BQ139" s="320"/>
      <c r="BR139" s="320"/>
    </row>
    <row r="140" spans="1:259" ht="11.25" customHeight="1">
      <c r="A140" s="118" t="s">
        <v>31</v>
      </c>
      <c r="B140" s="974">
        <f t="shared" ref="B140:K140" si="91">SUM(B136:B139)</f>
        <v>841</v>
      </c>
      <c r="C140" s="140">
        <f t="shared" si="91"/>
        <v>978</v>
      </c>
      <c r="D140" s="140">
        <f t="shared" si="91"/>
        <v>1138</v>
      </c>
      <c r="E140" s="140">
        <f t="shared" si="91"/>
        <v>1324</v>
      </c>
      <c r="F140" s="140">
        <f t="shared" si="91"/>
        <v>1540</v>
      </c>
      <c r="G140" s="140">
        <f t="shared" si="91"/>
        <v>1661</v>
      </c>
      <c r="H140" s="140">
        <f t="shared" si="91"/>
        <v>1707</v>
      </c>
      <c r="I140" s="140">
        <f t="shared" si="91"/>
        <v>1772</v>
      </c>
      <c r="J140" s="140">
        <f t="shared" si="91"/>
        <v>1830</v>
      </c>
      <c r="K140" s="140">
        <f t="shared" si="91"/>
        <v>2013</v>
      </c>
      <c r="L140" s="974">
        <f>SUM(L136:L139)</f>
        <v>1957</v>
      </c>
      <c r="M140" s="140">
        <f t="shared" ref="M140:AU140" si="92">SUM(M136:M139)</f>
        <v>2143</v>
      </c>
      <c r="N140" s="140">
        <f t="shared" si="92"/>
        <v>2136</v>
      </c>
      <c r="O140" s="140">
        <f t="shared" si="92"/>
        <v>2249</v>
      </c>
      <c r="P140" s="140">
        <f t="shared" si="92"/>
        <v>2457</v>
      </c>
      <c r="Q140" s="140">
        <f t="shared" si="92"/>
        <v>2660</v>
      </c>
      <c r="R140" s="140">
        <f t="shared" si="92"/>
        <v>2874</v>
      </c>
      <c r="S140" s="140">
        <f t="shared" si="92"/>
        <v>2972</v>
      </c>
      <c r="T140" s="140">
        <f t="shared" si="92"/>
        <v>3091</v>
      </c>
      <c r="U140" s="140">
        <f t="shared" si="92"/>
        <v>3072</v>
      </c>
      <c r="V140" s="974">
        <f t="shared" si="92"/>
        <v>3234</v>
      </c>
      <c r="W140" s="140">
        <f t="shared" si="92"/>
        <v>3071</v>
      </c>
      <c r="X140" s="140">
        <f t="shared" si="92"/>
        <v>2839</v>
      </c>
      <c r="Y140" s="140">
        <f t="shared" si="92"/>
        <v>2846</v>
      </c>
      <c r="Z140" s="140">
        <f t="shared" si="92"/>
        <v>2889</v>
      </c>
      <c r="AA140" s="140">
        <f t="shared" si="92"/>
        <v>2913</v>
      </c>
      <c r="AB140" s="140">
        <f t="shared" si="92"/>
        <v>2913</v>
      </c>
      <c r="AC140" s="140">
        <f t="shared" si="92"/>
        <v>3053</v>
      </c>
      <c r="AD140" s="140">
        <f t="shared" si="92"/>
        <v>3269</v>
      </c>
      <c r="AE140" s="140">
        <f t="shared" si="92"/>
        <v>6793</v>
      </c>
      <c r="AF140" s="974">
        <f t="shared" si="92"/>
        <v>6466</v>
      </c>
      <c r="AG140" s="140">
        <f t="shared" si="92"/>
        <v>6269</v>
      </c>
      <c r="AH140" s="140">
        <f t="shared" si="92"/>
        <v>6180</v>
      </c>
      <c r="AI140" s="140">
        <f t="shared" si="92"/>
        <v>6340</v>
      </c>
      <c r="AJ140" s="140">
        <f t="shared" si="92"/>
        <v>5894</v>
      </c>
      <c r="AK140" s="140">
        <f t="shared" si="92"/>
        <v>5517</v>
      </c>
      <c r="AL140" s="140">
        <f t="shared" si="92"/>
        <v>5051</v>
      </c>
      <c r="AM140" s="140">
        <f t="shared" si="92"/>
        <v>4447</v>
      </c>
      <c r="AN140" s="140">
        <f t="shared" si="92"/>
        <v>4216</v>
      </c>
      <c r="AO140" s="140">
        <f t="shared" si="92"/>
        <v>4377</v>
      </c>
      <c r="AP140" s="974">
        <f t="shared" si="92"/>
        <v>4343</v>
      </c>
      <c r="AQ140" s="140">
        <f t="shared" si="92"/>
        <v>4226</v>
      </c>
      <c r="AR140" s="140">
        <f t="shared" si="92"/>
        <v>4263</v>
      </c>
      <c r="AS140" s="140">
        <f t="shared" si="92"/>
        <v>3903</v>
      </c>
      <c r="AT140" s="140">
        <f t="shared" si="92"/>
        <v>3814</v>
      </c>
      <c r="AU140" s="140">
        <f t="shared" si="92"/>
        <v>3839</v>
      </c>
      <c r="AV140" s="140">
        <f t="shared" ref="AV140:BA140" si="93">SUM(AV137:AV139)</f>
        <v>4027</v>
      </c>
      <c r="AW140" s="141">
        <f t="shared" si="93"/>
        <v>4230</v>
      </c>
      <c r="AX140" s="141">
        <f t="shared" si="93"/>
        <v>4369</v>
      </c>
      <c r="AY140" s="191">
        <f t="shared" si="93"/>
        <v>4468</v>
      </c>
      <c r="AZ140" s="191">
        <f t="shared" si="93"/>
        <v>4446</v>
      </c>
      <c r="BA140" s="387">
        <f t="shared" si="93"/>
        <v>4269</v>
      </c>
      <c r="BB140" s="387">
        <f t="shared" ref="BB140:BI140" si="94">SUM(BB137:BB139)</f>
        <v>3957</v>
      </c>
      <c r="BC140" s="387">
        <f t="shared" si="94"/>
        <v>4123</v>
      </c>
      <c r="BD140" s="522">
        <f t="shared" si="94"/>
        <v>4170</v>
      </c>
      <c r="BE140" s="522">
        <f t="shared" si="94"/>
        <v>4081</v>
      </c>
      <c r="BF140" s="522">
        <f t="shared" si="94"/>
        <v>4124</v>
      </c>
      <c r="BG140" s="522">
        <f t="shared" si="94"/>
        <v>4183</v>
      </c>
      <c r="BH140" s="522">
        <f t="shared" si="94"/>
        <v>4250</v>
      </c>
      <c r="BI140" s="522">
        <f t="shared" si="94"/>
        <v>4320</v>
      </c>
      <c r="BJ140" s="872">
        <f>(BH140-BG140)/BG140</f>
        <v>1.6017212526894573E-2</v>
      </c>
      <c r="BK140" s="872">
        <f>(BI140-BH140)/BH140</f>
        <v>1.6470588235294119E-2</v>
      </c>
      <c r="BL140" s="567">
        <f>BH140-BG140</f>
        <v>67</v>
      </c>
      <c r="BM140" s="567">
        <f>BI140-BH140</f>
        <v>70</v>
      </c>
      <c r="BP140" s="515"/>
      <c r="BQ140" s="320"/>
      <c r="BR140" s="320"/>
    </row>
    <row r="141" spans="1:259" ht="6" customHeight="1">
      <c r="A141" s="115"/>
      <c r="B141" s="975"/>
      <c r="C141" s="415"/>
      <c r="D141" s="415"/>
      <c r="E141" s="415"/>
      <c r="F141" s="415"/>
      <c r="G141" s="415"/>
      <c r="H141" s="415"/>
      <c r="I141" s="415"/>
      <c r="J141" s="415"/>
      <c r="K141" s="415"/>
      <c r="L141" s="509"/>
      <c r="M141" s="359"/>
      <c r="N141" s="359"/>
      <c r="O141" s="359"/>
      <c r="P141" s="359"/>
      <c r="Q141" s="359"/>
      <c r="R141" s="359"/>
      <c r="S141" s="359"/>
      <c r="T141" s="359"/>
      <c r="U141" s="359"/>
      <c r="V141" s="509"/>
      <c r="W141" s="359"/>
      <c r="X141" s="359"/>
      <c r="Y141" s="359"/>
      <c r="Z141" s="359"/>
      <c r="AA141" s="359"/>
      <c r="AB141" s="359"/>
      <c r="AC141" s="359"/>
      <c r="AD141" s="359"/>
      <c r="AE141" s="359"/>
      <c r="AF141" s="509"/>
      <c r="AG141" s="359"/>
      <c r="AH141" s="359"/>
      <c r="AI141" s="359"/>
      <c r="AJ141" s="359"/>
      <c r="AK141" s="359"/>
      <c r="AL141" s="343"/>
      <c r="AM141" s="359"/>
      <c r="AN141" s="359"/>
      <c r="AO141" s="359"/>
      <c r="AP141" s="509"/>
      <c r="AQ141" s="359"/>
      <c r="AR141" s="359"/>
      <c r="AS141" s="359"/>
      <c r="AT141" s="359"/>
      <c r="AU141" s="359"/>
      <c r="AV141" s="360"/>
      <c r="AW141" s="416"/>
      <c r="AX141" s="284"/>
      <c r="AY141" s="284"/>
      <c r="AZ141" s="284"/>
      <c r="BA141" s="284"/>
      <c r="BB141" s="284"/>
      <c r="BC141" s="461"/>
      <c r="BD141" s="300"/>
      <c r="BE141" s="300"/>
      <c r="BF141" s="300"/>
      <c r="BG141" s="300"/>
      <c r="BH141" s="300"/>
      <c r="BI141" s="300"/>
      <c r="BJ141" s="871"/>
      <c r="BK141" s="871"/>
      <c r="BL141" s="565"/>
      <c r="BM141" s="565"/>
      <c r="BP141" s="515"/>
      <c r="BQ141" s="320"/>
      <c r="BR141" s="320"/>
    </row>
    <row r="142" spans="1:259" ht="10.5" customHeight="1">
      <c r="A142" s="413" t="s">
        <v>111</v>
      </c>
      <c r="B142" s="306" t="s">
        <v>3</v>
      </c>
      <c r="C142" s="356" t="s">
        <v>3</v>
      </c>
      <c r="D142" s="356" t="s">
        <v>3</v>
      </c>
      <c r="E142" s="356" t="s">
        <v>3</v>
      </c>
      <c r="F142" s="356" t="s">
        <v>3</v>
      </c>
      <c r="G142" s="356" t="s">
        <v>3</v>
      </c>
      <c r="H142" s="356" t="s">
        <v>3</v>
      </c>
      <c r="I142" s="356" t="s">
        <v>3</v>
      </c>
      <c r="J142" s="356" t="s">
        <v>3</v>
      </c>
      <c r="K142" s="356" t="s">
        <v>3</v>
      </c>
      <c r="L142" s="306" t="s">
        <v>3</v>
      </c>
      <c r="M142" s="356" t="s">
        <v>3</v>
      </c>
      <c r="N142" s="356" t="s">
        <v>3</v>
      </c>
      <c r="O142" s="356" t="s">
        <v>3</v>
      </c>
      <c r="P142" s="356" t="s">
        <v>3</v>
      </c>
      <c r="Q142" s="356" t="s">
        <v>3</v>
      </c>
      <c r="R142" s="356" t="s">
        <v>3</v>
      </c>
      <c r="S142" s="356" t="s">
        <v>3</v>
      </c>
      <c r="T142" s="356" t="s">
        <v>3</v>
      </c>
      <c r="U142" s="356" t="s">
        <v>3</v>
      </c>
      <c r="V142" s="306" t="s">
        <v>3</v>
      </c>
      <c r="W142" s="356" t="s">
        <v>3</v>
      </c>
      <c r="X142" s="356" t="s">
        <v>3</v>
      </c>
      <c r="Y142" s="356" t="s">
        <v>3</v>
      </c>
      <c r="Z142" s="356" t="s">
        <v>3</v>
      </c>
      <c r="AA142" s="356" t="s">
        <v>3</v>
      </c>
      <c r="AB142" s="356" t="s">
        <v>3</v>
      </c>
      <c r="AC142" s="356" t="s">
        <v>3</v>
      </c>
      <c r="AD142" s="356" t="s">
        <v>3</v>
      </c>
      <c r="AE142" s="356" t="s">
        <v>3</v>
      </c>
      <c r="AF142" s="306" t="s">
        <v>3</v>
      </c>
      <c r="AG142" s="356" t="s">
        <v>3</v>
      </c>
      <c r="AH142" s="356" t="s">
        <v>3</v>
      </c>
      <c r="AI142" s="356" t="s">
        <v>3</v>
      </c>
      <c r="AJ142" s="356" t="s">
        <v>3</v>
      </c>
      <c r="AK142" s="356" t="s">
        <v>3</v>
      </c>
      <c r="AL142" s="356" t="s">
        <v>3</v>
      </c>
      <c r="AM142" s="356" t="s">
        <v>3</v>
      </c>
      <c r="AN142" s="356" t="s">
        <v>3</v>
      </c>
      <c r="AO142" s="356" t="s">
        <v>3</v>
      </c>
      <c r="AP142" s="306" t="s">
        <v>3</v>
      </c>
      <c r="AQ142" s="356" t="s">
        <v>3</v>
      </c>
      <c r="AR142" s="356" t="s">
        <v>3</v>
      </c>
      <c r="AS142" s="356" t="s">
        <v>3</v>
      </c>
      <c r="AT142" s="356" t="s">
        <v>3</v>
      </c>
      <c r="AU142" s="356" t="s">
        <v>3</v>
      </c>
      <c r="AV142" s="356" t="s">
        <v>3</v>
      </c>
      <c r="AW142" s="356" t="s">
        <v>3</v>
      </c>
      <c r="AX142" s="356" t="s">
        <v>3</v>
      </c>
      <c r="AY142" s="356" t="s">
        <v>3</v>
      </c>
      <c r="AZ142" s="356" t="s">
        <v>3</v>
      </c>
      <c r="BA142" s="348">
        <v>115</v>
      </c>
      <c r="BB142" s="348">
        <v>831</v>
      </c>
      <c r="BC142" s="348">
        <v>1162</v>
      </c>
      <c r="BD142" s="358">
        <v>1379</v>
      </c>
      <c r="BE142" s="358">
        <v>1464</v>
      </c>
      <c r="BF142" s="358">
        <v>1555</v>
      </c>
      <c r="BG142" s="358">
        <v>1668</v>
      </c>
      <c r="BH142" s="358">
        <v>1817</v>
      </c>
      <c r="BI142" s="358">
        <v>1833</v>
      </c>
      <c r="BJ142" s="410">
        <f>(BH142-BG142)/BG142</f>
        <v>8.9328537170263789E-2</v>
      </c>
      <c r="BK142" s="410">
        <f>(BI142-BH142)/BH142</f>
        <v>8.8057237204182716E-3</v>
      </c>
      <c r="BL142" s="564">
        <f t="shared" ref="BL142" si="95">(BH142-BG142)</f>
        <v>149</v>
      </c>
      <c r="BM142" s="564">
        <f t="shared" ref="BM142" si="96">(BI142-BH142)</f>
        <v>16</v>
      </c>
      <c r="BP142" s="515"/>
      <c r="BQ142" s="320"/>
      <c r="BR142" s="320"/>
    </row>
    <row r="143" spans="1:259" ht="6" customHeight="1">
      <c r="A143" s="115"/>
      <c r="B143" s="972"/>
      <c r="C143" s="148"/>
      <c r="D143" s="148"/>
      <c r="E143" s="148"/>
      <c r="F143" s="148"/>
      <c r="G143" s="148"/>
      <c r="H143" s="148"/>
      <c r="I143" s="148"/>
      <c r="J143" s="148"/>
      <c r="K143" s="148"/>
      <c r="L143" s="596"/>
      <c r="M143" s="11"/>
      <c r="N143" s="11"/>
      <c r="O143" s="11"/>
      <c r="P143" s="11"/>
      <c r="Q143" s="11"/>
      <c r="R143" s="11"/>
      <c r="S143" s="11"/>
      <c r="T143" s="11"/>
      <c r="U143" s="11"/>
      <c r="V143" s="596"/>
      <c r="W143" s="11"/>
      <c r="X143" s="11"/>
      <c r="Y143" s="11"/>
      <c r="Z143" s="11"/>
      <c r="AA143" s="11"/>
      <c r="AB143" s="11"/>
      <c r="AC143" s="11"/>
      <c r="AD143" s="11"/>
      <c r="AE143" s="11"/>
      <c r="AF143" s="596"/>
      <c r="AG143" s="11"/>
      <c r="AH143" s="11"/>
      <c r="AI143" s="11"/>
      <c r="AJ143" s="11"/>
      <c r="AK143" s="11"/>
      <c r="AM143" s="63"/>
      <c r="AN143" s="63"/>
      <c r="AO143" s="63"/>
      <c r="AP143" s="696"/>
      <c r="AQ143" s="63"/>
      <c r="AR143" s="63"/>
      <c r="AS143" s="63"/>
      <c r="AT143" s="63"/>
      <c r="AU143" s="63"/>
      <c r="AV143" s="147"/>
      <c r="AW143" s="250"/>
      <c r="AX143" s="60"/>
      <c r="AY143" s="60"/>
      <c r="AZ143" s="299"/>
      <c r="BA143" s="284"/>
      <c r="BB143" s="284"/>
      <c r="BC143" s="461"/>
      <c r="BD143" s="300"/>
      <c r="BE143" s="300"/>
      <c r="BF143" s="300"/>
      <c r="BG143" s="300"/>
      <c r="BH143" s="300"/>
      <c r="BI143" s="300"/>
      <c r="BJ143" s="871"/>
      <c r="BK143" s="871"/>
      <c r="BL143" s="565"/>
      <c r="BM143" s="565"/>
      <c r="BP143" s="515"/>
      <c r="BQ143" s="320"/>
      <c r="BR143" s="320"/>
    </row>
    <row r="144" spans="1:259" ht="11.25" customHeight="1">
      <c r="A144" s="115" t="s">
        <v>23</v>
      </c>
      <c r="B144" s="593">
        <v>251</v>
      </c>
      <c r="C144" s="25">
        <v>240</v>
      </c>
      <c r="D144" s="25">
        <v>233</v>
      </c>
      <c r="E144" s="25">
        <v>234</v>
      </c>
      <c r="F144" s="25">
        <v>234</v>
      </c>
      <c r="G144" s="25">
        <v>224</v>
      </c>
      <c r="H144" s="25">
        <v>227</v>
      </c>
      <c r="I144" s="25">
        <v>229</v>
      </c>
      <c r="J144" s="25">
        <v>231</v>
      </c>
      <c r="K144" s="25">
        <v>219</v>
      </c>
      <c r="L144" s="593">
        <v>232</v>
      </c>
      <c r="M144" s="11">
        <v>219</v>
      </c>
      <c r="N144" s="11">
        <v>229</v>
      </c>
      <c r="O144" s="11">
        <v>217</v>
      </c>
      <c r="P144" s="11">
        <v>200</v>
      </c>
      <c r="Q144" s="11">
        <v>211</v>
      </c>
      <c r="R144" s="11">
        <v>222</v>
      </c>
      <c r="S144" s="11">
        <v>241</v>
      </c>
      <c r="T144" s="11">
        <v>246</v>
      </c>
      <c r="U144" s="11">
        <v>251</v>
      </c>
      <c r="V144" s="596">
        <v>277</v>
      </c>
      <c r="W144" s="11">
        <v>281</v>
      </c>
      <c r="X144" s="11">
        <v>270</v>
      </c>
      <c r="Y144" s="11">
        <v>297</v>
      </c>
      <c r="Z144" s="11">
        <v>288</v>
      </c>
      <c r="AA144" s="11">
        <v>296</v>
      </c>
      <c r="AB144" s="11">
        <v>353</v>
      </c>
      <c r="AC144" s="11">
        <v>541</v>
      </c>
      <c r="AD144" s="11">
        <v>565</v>
      </c>
      <c r="AE144" s="11">
        <v>538</v>
      </c>
      <c r="AF144" s="596">
        <v>530</v>
      </c>
      <c r="AG144" s="11">
        <v>515</v>
      </c>
      <c r="AH144" s="11">
        <v>483</v>
      </c>
      <c r="AI144" s="11">
        <v>450</v>
      </c>
      <c r="AJ144" s="11">
        <v>425</v>
      </c>
      <c r="AK144" s="11">
        <v>392</v>
      </c>
      <c r="AL144" s="56">
        <v>362</v>
      </c>
      <c r="AM144" s="56">
        <v>318</v>
      </c>
      <c r="AN144" s="56">
        <v>299</v>
      </c>
      <c r="AO144" s="56">
        <v>295</v>
      </c>
      <c r="AP144" s="997">
        <v>287</v>
      </c>
      <c r="AQ144" s="56">
        <v>277</v>
      </c>
      <c r="AR144" s="56">
        <v>270</v>
      </c>
      <c r="AS144" s="56">
        <v>281</v>
      </c>
      <c r="AT144" s="56">
        <v>290</v>
      </c>
      <c r="AU144" s="56">
        <v>271</v>
      </c>
      <c r="AV144" s="257">
        <v>252</v>
      </c>
      <c r="AW144" s="258">
        <v>253</v>
      </c>
      <c r="AX144" s="60">
        <v>251</v>
      </c>
      <c r="AY144" s="60">
        <v>271</v>
      </c>
      <c r="AZ144" s="60">
        <v>277</v>
      </c>
      <c r="BA144" s="284">
        <v>286</v>
      </c>
      <c r="BB144" s="284">
        <v>288</v>
      </c>
      <c r="BC144" s="284">
        <v>273</v>
      </c>
      <c r="BD144" s="305">
        <v>278</v>
      </c>
      <c r="BE144" s="305">
        <v>277</v>
      </c>
      <c r="BF144" s="305">
        <v>290</v>
      </c>
      <c r="BG144" s="305">
        <v>296</v>
      </c>
      <c r="BH144" s="305">
        <v>307</v>
      </c>
      <c r="BI144" s="305">
        <v>306</v>
      </c>
      <c r="BJ144" s="410">
        <f>(BH144-BG144)/BG144</f>
        <v>3.7162162162162164E-2</v>
      </c>
      <c r="BK144" s="410">
        <f>(BI144-BH144)/BH144</f>
        <v>-3.2573289902280132E-3</v>
      </c>
      <c r="BL144" s="564">
        <f t="shared" ref="BL144" si="97">(BH144-BG144)</f>
        <v>11</v>
      </c>
      <c r="BM144" s="564">
        <f t="shared" ref="BM144" si="98">(BI144-BH144)</f>
        <v>-1</v>
      </c>
      <c r="BP144" s="515"/>
      <c r="BQ144" s="320"/>
      <c r="BR144" s="320"/>
    </row>
    <row r="145" spans="1:70" ht="6" customHeight="1">
      <c r="A145" s="115"/>
      <c r="B145" s="593"/>
      <c r="C145" s="25"/>
      <c r="D145" s="25"/>
      <c r="E145" s="25"/>
      <c r="F145" s="25"/>
      <c r="G145" s="25"/>
      <c r="H145" s="25"/>
      <c r="I145" s="25"/>
      <c r="J145" s="25"/>
      <c r="K145" s="25"/>
      <c r="L145" s="593"/>
      <c r="M145" s="11"/>
      <c r="N145" s="11"/>
      <c r="O145" s="11"/>
      <c r="P145" s="11"/>
      <c r="Q145" s="11"/>
      <c r="R145" s="11"/>
      <c r="S145" s="11"/>
      <c r="T145" s="11"/>
      <c r="U145" s="11"/>
      <c r="V145" s="596"/>
      <c r="W145" s="11"/>
      <c r="X145" s="11"/>
      <c r="Y145" s="11"/>
      <c r="Z145" s="11"/>
      <c r="AA145" s="11"/>
      <c r="AB145" s="11"/>
      <c r="AC145" s="11"/>
      <c r="AD145" s="11"/>
      <c r="AE145" s="11"/>
      <c r="AF145" s="596"/>
      <c r="AG145" s="11"/>
      <c r="AH145" s="11"/>
      <c r="AI145" s="11"/>
      <c r="AJ145" s="11"/>
      <c r="AK145" s="11"/>
      <c r="AM145" s="63"/>
      <c r="AN145" s="63"/>
      <c r="AO145" s="63"/>
      <c r="AP145" s="696"/>
      <c r="AQ145" s="63"/>
      <c r="AR145" s="63"/>
      <c r="AS145" s="63"/>
      <c r="AT145" s="63"/>
      <c r="AU145" s="63"/>
      <c r="AV145" s="147"/>
      <c r="AW145" s="250"/>
      <c r="AX145" s="60"/>
      <c r="AY145" s="60"/>
      <c r="AZ145" s="299"/>
      <c r="BA145" s="284"/>
      <c r="BB145" s="284"/>
      <c r="BC145" s="284"/>
      <c r="BD145" s="300"/>
      <c r="BE145" s="300"/>
      <c r="BF145" s="300"/>
      <c r="BG145" s="300"/>
      <c r="BH145" s="300"/>
      <c r="BI145" s="300"/>
      <c r="BJ145" s="871"/>
      <c r="BK145" s="871"/>
      <c r="BL145" s="565"/>
      <c r="BM145" s="565"/>
      <c r="BP145" s="515"/>
      <c r="BQ145" s="320"/>
      <c r="BR145" s="320"/>
    </row>
    <row r="146" spans="1:70" s="177" customFormat="1" ht="11.25" customHeight="1">
      <c r="A146" s="181" t="s">
        <v>5</v>
      </c>
      <c r="B146" s="593">
        <v>881</v>
      </c>
      <c r="C146" s="593">
        <v>984</v>
      </c>
      <c r="D146" s="593">
        <v>1099</v>
      </c>
      <c r="E146" s="593">
        <v>1227</v>
      </c>
      <c r="F146" s="593">
        <v>1370</v>
      </c>
      <c r="G146" s="593">
        <v>1489</v>
      </c>
      <c r="H146" s="593">
        <v>1641</v>
      </c>
      <c r="I146" s="593">
        <v>1933</v>
      </c>
      <c r="J146" s="593">
        <v>2305</v>
      </c>
      <c r="K146" s="593">
        <v>2571</v>
      </c>
      <c r="L146" s="593">
        <v>2705</v>
      </c>
      <c r="M146" s="596">
        <v>2491</v>
      </c>
      <c r="N146" s="596">
        <v>2537</v>
      </c>
      <c r="O146" s="596">
        <v>2574</v>
      </c>
      <c r="P146" s="596">
        <v>2607</v>
      </c>
      <c r="Q146" s="596">
        <v>2817</v>
      </c>
      <c r="R146" s="596">
        <v>3211</v>
      </c>
      <c r="S146" s="596">
        <v>3527</v>
      </c>
      <c r="T146" s="596">
        <v>3654</v>
      </c>
      <c r="U146" s="596">
        <v>3476</v>
      </c>
      <c r="V146" s="596">
        <v>3648</v>
      </c>
      <c r="W146" s="596">
        <v>3287</v>
      </c>
      <c r="X146" s="596">
        <v>3275</v>
      </c>
      <c r="Y146" s="596">
        <v>2728</v>
      </c>
      <c r="Z146" s="596">
        <v>2783</v>
      </c>
      <c r="AA146" s="596">
        <v>2921</v>
      </c>
      <c r="AB146" s="596">
        <v>3655</v>
      </c>
      <c r="AC146" s="596">
        <v>3199</v>
      </c>
      <c r="AD146" s="596">
        <v>3106</v>
      </c>
      <c r="AE146" s="596">
        <v>7532</v>
      </c>
      <c r="AF146" s="596">
        <v>4960</v>
      </c>
      <c r="AG146" s="596">
        <v>5231</v>
      </c>
      <c r="AH146" s="596">
        <v>7083</v>
      </c>
      <c r="AI146" s="594">
        <v>7278</v>
      </c>
      <c r="AJ146" s="596">
        <v>7097</v>
      </c>
      <c r="AK146" s="444">
        <v>7532</v>
      </c>
      <c r="AL146" s="444">
        <v>4960</v>
      </c>
      <c r="AM146" s="597">
        <v>4981</v>
      </c>
      <c r="AN146" s="597">
        <v>4347</v>
      </c>
      <c r="AO146" s="597">
        <v>4412</v>
      </c>
      <c r="AP146" s="597">
        <v>4236</v>
      </c>
      <c r="AQ146" s="597">
        <v>4155</v>
      </c>
      <c r="AR146" s="597">
        <v>3706</v>
      </c>
      <c r="AS146" s="597">
        <v>3554</v>
      </c>
      <c r="AT146" s="597">
        <v>3568</v>
      </c>
      <c r="AU146" s="597">
        <v>2961</v>
      </c>
      <c r="AV146" s="597">
        <v>2748</v>
      </c>
      <c r="AW146" s="213">
        <v>2857.9608561394002</v>
      </c>
      <c r="AX146" s="335">
        <v>2999</v>
      </c>
      <c r="AY146" s="335">
        <v>3530</v>
      </c>
      <c r="AZ146" s="335">
        <v>4560</v>
      </c>
      <c r="BA146" s="305">
        <v>5367</v>
      </c>
      <c r="BB146" s="305">
        <v>5243</v>
      </c>
      <c r="BC146" s="305">
        <v>4639</v>
      </c>
      <c r="BD146" s="305">
        <v>4696</v>
      </c>
      <c r="BE146" s="305">
        <v>4384</v>
      </c>
      <c r="BF146" s="305">
        <v>4219</v>
      </c>
      <c r="BG146" s="305">
        <v>3422</v>
      </c>
      <c r="BH146" s="305">
        <v>3752</v>
      </c>
      <c r="BI146" s="305">
        <v>3715</v>
      </c>
      <c r="BJ146" s="410">
        <f>(BH146-BG146)/BG146</f>
        <v>9.6434833430742259E-2</v>
      </c>
      <c r="BK146" s="410">
        <f>(BI146-BH146)/BH146</f>
        <v>-9.8614072494669514E-3</v>
      </c>
      <c r="BL146" s="564">
        <f t="shared" ref="BL146" si="99">(BH146-BG146)</f>
        <v>330</v>
      </c>
      <c r="BM146" s="564">
        <f t="shared" ref="BM146" si="100">(BI146-BH146)</f>
        <v>-37</v>
      </c>
      <c r="BN146" s="598"/>
      <c r="BO146" s="598"/>
      <c r="BP146" s="599"/>
      <c r="BQ146" s="365"/>
      <c r="BR146" s="391"/>
    </row>
    <row r="147" spans="1:70" ht="6" customHeight="1">
      <c r="A147" s="115"/>
      <c r="B147" s="593"/>
      <c r="C147" s="25"/>
      <c r="D147" s="25"/>
      <c r="E147" s="25"/>
      <c r="F147" s="25"/>
      <c r="G147" s="25"/>
      <c r="H147" s="25"/>
      <c r="I147" s="25"/>
      <c r="J147" s="25"/>
      <c r="K147" s="25"/>
      <c r="L147" s="593"/>
      <c r="M147" s="11"/>
      <c r="N147" s="11"/>
      <c r="O147" s="11"/>
      <c r="P147" s="11"/>
      <c r="Q147" s="11"/>
      <c r="R147" s="11"/>
      <c r="S147" s="11"/>
      <c r="T147" s="11"/>
      <c r="U147" s="11"/>
      <c r="V147" s="596"/>
      <c r="W147" s="11"/>
      <c r="X147" s="11"/>
      <c r="Y147" s="11"/>
      <c r="Z147" s="11"/>
      <c r="AA147" s="11"/>
      <c r="AB147" s="11"/>
      <c r="AC147" s="11"/>
      <c r="AD147" s="11"/>
      <c r="AE147" s="11"/>
      <c r="AF147" s="596"/>
      <c r="AG147" s="11"/>
      <c r="AH147" s="11"/>
      <c r="AI147" s="12"/>
      <c r="AJ147" s="11"/>
      <c r="AK147" s="76"/>
      <c r="AL147" s="76"/>
      <c r="AM147" s="82"/>
      <c r="AN147" s="82"/>
      <c r="AO147" s="82"/>
      <c r="AP147" s="597"/>
      <c r="AQ147" s="82"/>
      <c r="AR147" s="82"/>
      <c r="AS147" s="82"/>
      <c r="AT147" s="82"/>
      <c r="AU147" s="82"/>
      <c r="AV147" s="82"/>
      <c r="AW147" s="250"/>
      <c r="AX147" s="228"/>
      <c r="AY147" s="228"/>
      <c r="AZ147" s="300"/>
      <c r="BA147" s="305"/>
      <c r="BB147" s="305"/>
      <c r="BC147" s="463"/>
      <c r="BD147" s="300"/>
      <c r="BE147" s="300"/>
      <c r="BF147" s="300"/>
      <c r="BG147" s="300"/>
      <c r="BH147" s="300"/>
      <c r="BI147" s="300"/>
      <c r="BJ147" s="871"/>
      <c r="BK147" s="871"/>
      <c r="BL147" s="565"/>
      <c r="BM147" s="565"/>
      <c r="BP147" s="515"/>
      <c r="BQ147" s="320"/>
      <c r="BR147" s="320"/>
    </row>
    <row r="148" spans="1:70" ht="12" customHeight="1">
      <c r="A148" s="413" t="s">
        <v>114</v>
      </c>
      <c r="B148" s="335" t="s">
        <v>3</v>
      </c>
      <c r="C148" s="335" t="s">
        <v>3</v>
      </c>
      <c r="D148" s="335" t="s">
        <v>3</v>
      </c>
      <c r="E148" s="335" t="s">
        <v>3</v>
      </c>
      <c r="F148" s="335" t="s">
        <v>3</v>
      </c>
      <c r="G148" s="335" t="s">
        <v>3</v>
      </c>
      <c r="H148" s="335" t="s">
        <v>3</v>
      </c>
      <c r="I148" s="335" t="s">
        <v>3</v>
      </c>
      <c r="J148" s="335" t="s">
        <v>3</v>
      </c>
      <c r="K148" s="335" t="s">
        <v>3</v>
      </c>
      <c r="L148" s="335" t="s">
        <v>3</v>
      </c>
      <c r="M148" s="335" t="s">
        <v>3</v>
      </c>
      <c r="N148" s="335" t="s">
        <v>3</v>
      </c>
      <c r="O148" s="335" t="s">
        <v>3</v>
      </c>
      <c r="P148" s="335" t="s">
        <v>3</v>
      </c>
      <c r="Q148" s="335" t="s">
        <v>3</v>
      </c>
      <c r="R148" s="335" t="s">
        <v>3</v>
      </c>
      <c r="S148" s="335" t="s">
        <v>3</v>
      </c>
      <c r="T148" s="335" t="s">
        <v>3</v>
      </c>
      <c r="U148" s="335" t="s">
        <v>3</v>
      </c>
      <c r="V148" s="335" t="s">
        <v>3</v>
      </c>
      <c r="W148" s="335" t="s">
        <v>3</v>
      </c>
      <c r="X148" s="335" t="s">
        <v>3</v>
      </c>
      <c r="Y148" s="335" t="s">
        <v>3</v>
      </c>
      <c r="Z148" s="335" t="s">
        <v>3</v>
      </c>
      <c r="AA148" s="335" t="s">
        <v>3</v>
      </c>
      <c r="AB148" s="335" t="s">
        <v>3</v>
      </c>
      <c r="AC148" s="335" t="s">
        <v>3</v>
      </c>
      <c r="AD148" s="335" t="s">
        <v>3</v>
      </c>
      <c r="AE148" s="335" t="s">
        <v>3</v>
      </c>
      <c r="AF148" s="335" t="s">
        <v>3</v>
      </c>
      <c r="AG148" s="11">
        <v>1</v>
      </c>
      <c r="AH148" s="11">
        <v>9</v>
      </c>
      <c r="AI148" s="325">
        <v>9</v>
      </c>
      <c r="AJ148" s="11">
        <v>9</v>
      </c>
      <c r="AK148" s="76">
        <v>9</v>
      </c>
      <c r="AL148" s="76">
        <v>7</v>
      </c>
      <c r="AM148" s="326">
        <v>7</v>
      </c>
      <c r="AN148" s="326">
        <v>6</v>
      </c>
      <c r="AO148" s="326">
        <v>7</v>
      </c>
      <c r="AP148" s="597">
        <v>7</v>
      </c>
      <c r="AQ148" s="326">
        <v>7</v>
      </c>
      <c r="AR148" s="326">
        <v>7</v>
      </c>
      <c r="AS148" s="326">
        <v>7</v>
      </c>
      <c r="AT148" s="326">
        <v>7</v>
      </c>
      <c r="AU148" s="326">
        <v>7</v>
      </c>
      <c r="AV148" s="326">
        <v>7</v>
      </c>
      <c r="AW148" s="153">
        <v>18</v>
      </c>
      <c r="AX148" s="329">
        <v>18</v>
      </c>
      <c r="AY148" s="329">
        <v>9</v>
      </c>
      <c r="AZ148" s="305">
        <v>10</v>
      </c>
      <c r="BA148" s="305">
        <v>10</v>
      </c>
      <c r="BB148" s="305">
        <v>11</v>
      </c>
      <c r="BC148" s="305">
        <v>12</v>
      </c>
      <c r="BD148" s="305">
        <v>12</v>
      </c>
      <c r="BE148" s="305">
        <v>12</v>
      </c>
      <c r="BF148" s="305">
        <v>13</v>
      </c>
      <c r="BG148" s="305">
        <v>13</v>
      </c>
      <c r="BH148" s="305">
        <v>13</v>
      </c>
      <c r="BI148" s="305">
        <v>14</v>
      </c>
      <c r="BJ148" s="410">
        <f>(BH148-BG148)/BG148</f>
        <v>0</v>
      </c>
      <c r="BK148" s="410">
        <f>(BI148-BH148)/BH148</f>
        <v>7.6923076923076927E-2</v>
      </c>
      <c r="BL148" s="564">
        <f t="shared" ref="BL148" si="101">(BH148-BG148)</f>
        <v>0</v>
      </c>
      <c r="BM148" s="564">
        <f t="shared" ref="BM148" si="102">(BI148-BH148)</f>
        <v>1</v>
      </c>
      <c r="BP148" s="515"/>
      <c r="BQ148" s="320"/>
      <c r="BR148" s="320"/>
    </row>
    <row r="149" spans="1:70" ht="6" customHeight="1">
      <c r="A149" s="115"/>
      <c r="B149" s="593"/>
      <c r="C149" s="25"/>
      <c r="D149" s="25"/>
      <c r="E149" s="25"/>
      <c r="F149" s="25"/>
      <c r="G149" s="25"/>
      <c r="H149" s="25"/>
      <c r="I149" s="25"/>
      <c r="J149" s="25"/>
      <c r="K149" s="25"/>
      <c r="L149" s="593"/>
      <c r="M149" s="11"/>
      <c r="N149" s="11"/>
      <c r="O149" s="11"/>
      <c r="P149" s="11"/>
      <c r="Q149" s="11"/>
      <c r="R149" s="11"/>
      <c r="S149" s="11"/>
      <c r="T149" s="11"/>
      <c r="U149" s="11"/>
      <c r="V149" s="596"/>
      <c r="W149" s="11"/>
      <c r="X149" s="11"/>
      <c r="Y149" s="11"/>
      <c r="Z149" s="11"/>
      <c r="AA149" s="11"/>
      <c r="AB149" s="11"/>
      <c r="AC149" s="11"/>
      <c r="AD149" s="11"/>
      <c r="AE149" s="11"/>
      <c r="AF149" s="596"/>
      <c r="AG149" s="11"/>
      <c r="AH149" s="11"/>
      <c r="AI149" s="325"/>
      <c r="AJ149" s="11"/>
      <c r="AK149" s="76"/>
      <c r="AL149" s="76"/>
      <c r="AM149" s="326"/>
      <c r="AN149" s="326"/>
      <c r="AO149" s="326"/>
      <c r="AP149" s="597"/>
      <c r="AQ149" s="326"/>
      <c r="AR149" s="326"/>
      <c r="AS149" s="326"/>
      <c r="AT149" s="326"/>
      <c r="AU149" s="326"/>
      <c r="AV149" s="326"/>
      <c r="AW149" s="250"/>
      <c r="AX149" s="329"/>
      <c r="AY149" s="329"/>
      <c r="AZ149" s="305"/>
      <c r="BA149" s="305"/>
      <c r="BB149" s="305"/>
      <c r="BC149" s="463"/>
      <c r="BD149" s="300"/>
      <c r="BE149" s="300"/>
      <c r="BF149" s="300"/>
      <c r="BG149" s="300"/>
      <c r="BH149" s="300"/>
      <c r="BI149" s="300"/>
      <c r="BJ149" s="871"/>
      <c r="BK149" s="871"/>
      <c r="BL149" s="565"/>
      <c r="BM149" s="565"/>
      <c r="BP149" s="515"/>
      <c r="BQ149" s="320"/>
      <c r="BR149" s="320"/>
    </row>
    <row r="150" spans="1:70" ht="11.25" customHeight="1">
      <c r="A150" s="119" t="s">
        <v>139</v>
      </c>
      <c r="B150" s="227" t="s">
        <v>59</v>
      </c>
      <c r="C150" s="27" t="s">
        <v>59</v>
      </c>
      <c r="D150" s="27" t="s">
        <v>59</v>
      </c>
      <c r="E150" s="27" t="s">
        <v>59</v>
      </c>
      <c r="F150" s="27" t="s">
        <v>59</v>
      </c>
      <c r="G150" s="27" t="s">
        <v>59</v>
      </c>
      <c r="H150" s="27" t="s">
        <v>59</v>
      </c>
      <c r="I150" s="27" t="s">
        <v>59</v>
      </c>
      <c r="J150" s="27" t="s">
        <v>59</v>
      </c>
      <c r="K150" s="27" t="s">
        <v>59</v>
      </c>
      <c r="L150" s="227" t="s">
        <v>59</v>
      </c>
      <c r="M150" s="17" t="s">
        <v>59</v>
      </c>
      <c r="N150" s="17" t="s">
        <v>59</v>
      </c>
      <c r="O150" s="17" t="s">
        <v>59</v>
      </c>
      <c r="P150" s="17" t="s">
        <v>59</v>
      </c>
      <c r="Q150" s="17" t="s">
        <v>59</v>
      </c>
      <c r="R150" s="17" t="s">
        <v>59</v>
      </c>
      <c r="S150" s="17" t="s">
        <v>59</v>
      </c>
      <c r="T150" s="17" t="s">
        <v>59</v>
      </c>
      <c r="U150" s="17" t="s">
        <v>59</v>
      </c>
      <c r="V150" s="695" t="s">
        <v>59</v>
      </c>
      <c r="W150" s="17" t="s">
        <v>59</v>
      </c>
      <c r="X150" s="17" t="s">
        <v>59</v>
      </c>
      <c r="Y150" s="17" t="s">
        <v>59</v>
      </c>
      <c r="Z150" s="17" t="s">
        <v>59</v>
      </c>
      <c r="AA150" s="17" t="s">
        <v>59</v>
      </c>
      <c r="AB150" s="17" t="s">
        <v>59</v>
      </c>
      <c r="AC150" s="17" t="s">
        <v>59</v>
      </c>
      <c r="AD150" s="17" t="s">
        <v>59</v>
      </c>
      <c r="AE150" s="17" t="s">
        <v>59</v>
      </c>
      <c r="AF150" s="596">
        <v>54</v>
      </c>
      <c r="AG150" s="11">
        <v>88</v>
      </c>
      <c r="AH150" s="11">
        <v>118</v>
      </c>
      <c r="AI150" s="11">
        <v>114</v>
      </c>
      <c r="AJ150" s="11">
        <v>109</v>
      </c>
      <c r="AK150" s="11">
        <v>106</v>
      </c>
      <c r="AL150" s="23">
        <v>114</v>
      </c>
      <c r="AM150" s="63">
        <v>113</v>
      </c>
      <c r="AN150" s="63">
        <v>117</v>
      </c>
      <c r="AO150" s="63">
        <v>117</v>
      </c>
      <c r="AP150" s="696">
        <v>108</v>
      </c>
      <c r="AQ150" s="63">
        <v>105</v>
      </c>
      <c r="AR150" s="63">
        <v>112</v>
      </c>
      <c r="AS150" s="63">
        <v>105</v>
      </c>
      <c r="AT150" s="63">
        <v>109</v>
      </c>
      <c r="AU150" s="63">
        <v>122</v>
      </c>
      <c r="AV150" s="147">
        <v>133</v>
      </c>
      <c r="AW150" s="27">
        <v>133</v>
      </c>
      <c r="AX150" s="228">
        <v>138</v>
      </c>
      <c r="AY150" s="228">
        <v>109</v>
      </c>
      <c r="AZ150" s="305" t="s">
        <v>3</v>
      </c>
      <c r="BA150" s="305" t="s">
        <v>3</v>
      </c>
      <c r="BB150" s="305" t="s">
        <v>3</v>
      </c>
      <c r="BC150" s="305" t="s">
        <v>3</v>
      </c>
      <c r="BD150" s="305" t="s">
        <v>3</v>
      </c>
      <c r="BE150" s="305" t="s">
        <v>3</v>
      </c>
      <c r="BF150" s="305" t="s">
        <v>3</v>
      </c>
      <c r="BG150" s="305" t="s">
        <v>3</v>
      </c>
      <c r="BH150" s="305" t="s">
        <v>3</v>
      </c>
      <c r="BI150" s="305" t="s">
        <v>3</v>
      </c>
      <c r="BJ150" s="874" t="s">
        <v>10</v>
      </c>
      <c r="BK150" s="874" t="s">
        <v>10</v>
      </c>
      <c r="BL150" s="568" t="s">
        <v>10</v>
      </c>
      <c r="BM150" s="568" t="s">
        <v>10</v>
      </c>
      <c r="BP150" s="515"/>
      <c r="BQ150" s="320"/>
      <c r="BR150" s="320"/>
    </row>
    <row r="151" spans="1:70" ht="6" customHeight="1">
      <c r="A151" s="115"/>
      <c r="B151" s="593"/>
      <c r="C151" s="25"/>
      <c r="D151" s="25"/>
      <c r="E151" s="25"/>
      <c r="F151" s="25"/>
      <c r="G151" s="25"/>
      <c r="H151" s="25"/>
      <c r="I151" s="25"/>
      <c r="J151" s="25"/>
      <c r="K151" s="25"/>
      <c r="L151" s="593"/>
      <c r="M151" s="11"/>
      <c r="N151" s="11"/>
      <c r="O151" s="11"/>
      <c r="P151" s="11"/>
      <c r="Q151" s="11"/>
      <c r="R151" s="11"/>
      <c r="S151" s="11"/>
      <c r="T151" s="11"/>
      <c r="U151" s="11"/>
      <c r="V151" s="596"/>
      <c r="W151" s="11"/>
      <c r="X151" s="11"/>
      <c r="Y151" s="11"/>
      <c r="Z151" s="11"/>
      <c r="AA151" s="11"/>
      <c r="AB151" s="11"/>
      <c r="AC151" s="11"/>
      <c r="AD151" s="11"/>
      <c r="AE151" s="11"/>
      <c r="AF151" s="596"/>
      <c r="AG151" s="11"/>
      <c r="AH151" s="11"/>
      <c r="AI151" s="11"/>
      <c r="AJ151" s="11"/>
      <c r="AK151" s="11"/>
      <c r="AM151" s="63"/>
      <c r="AN151" s="63"/>
      <c r="AO151" s="63"/>
      <c r="AP151" s="696"/>
      <c r="AQ151" s="63"/>
      <c r="AR151" s="63"/>
      <c r="AS151" s="63"/>
      <c r="AT151" s="63"/>
      <c r="AU151" s="63"/>
      <c r="AV151" s="147"/>
      <c r="AW151" s="250"/>
      <c r="AX151" s="228"/>
      <c r="AY151" s="228"/>
      <c r="AZ151" s="305"/>
      <c r="BA151" s="305"/>
      <c r="BB151" s="305"/>
      <c r="BC151" s="463"/>
      <c r="BD151" s="300"/>
      <c r="BE151" s="300"/>
      <c r="BF151" s="300"/>
      <c r="BG151" s="300"/>
      <c r="BH151" s="300"/>
      <c r="BI151" s="300"/>
      <c r="BJ151" s="410"/>
      <c r="BK151" s="410"/>
      <c r="BL151" s="566"/>
      <c r="BM151" s="566"/>
      <c r="BP151" s="515"/>
      <c r="BQ151" s="320"/>
      <c r="BR151" s="320"/>
    </row>
    <row r="152" spans="1:70" ht="12" customHeight="1">
      <c r="A152" s="119" t="s">
        <v>140</v>
      </c>
      <c r="B152" s="335" t="s">
        <v>3</v>
      </c>
      <c r="C152" s="228" t="s">
        <v>3</v>
      </c>
      <c r="D152" s="228" t="s">
        <v>3</v>
      </c>
      <c r="E152" s="228" t="s">
        <v>3</v>
      </c>
      <c r="F152" s="228" t="s">
        <v>3</v>
      </c>
      <c r="G152" s="228" t="s">
        <v>3</v>
      </c>
      <c r="H152" s="228" t="s">
        <v>3</v>
      </c>
      <c r="I152" s="228" t="s">
        <v>3</v>
      </c>
      <c r="J152" s="228" t="s">
        <v>3</v>
      </c>
      <c r="K152" s="228" t="s">
        <v>3</v>
      </c>
      <c r="L152" s="335" t="s">
        <v>3</v>
      </c>
      <c r="M152" s="228" t="s">
        <v>3</v>
      </c>
      <c r="N152" s="228" t="s">
        <v>3</v>
      </c>
      <c r="O152" s="228" t="s">
        <v>3</v>
      </c>
      <c r="P152" s="228" t="s">
        <v>3</v>
      </c>
      <c r="Q152" s="228" t="s">
        <v>3</v>
      </c>
      <c r="R152" s="228" t="s">
        <v>3</v>
      </c>
      <c r="S152" s="228" t="s">
        <v>3</v>
      </c>
      <c r="T152" s="228" t="s">
        <v>3</v>
      </c>
      <c r="U152" s="228" t="s">
        <v>3</v>
      </c>
      <c r="V152" s="335" t="s">
        <v>3</v>
      </c>
      <c r="W152" s="228" t="s">
        <v>3</v>
      </c>
      <c r="X152" s="228" t="s">
        <v>3</v>
      </c>
      <c r="Y152" s="228" t="s">
        <v>3</v>
      </c>
      <c r="Z152" s="228" t="s">
        <v>3</v>
      </c>
      <c r="AA152" s="228" t="s">
        <v>3</v>
      </c>
      <c r="AB152" s="228" t="s">
        <v>3</v>
      </c>
      <c r="AC152" s="228" t="s">
        <v>3</v>
      </c>
      <c r="AD152" s="228" t="s">
        <v>3</v>
      </c>
      <c r="AE152" s="228" t="s">
        <v>3</v>
      </c>
      <c r="AF152" s="335" t="s">
        <v>3</v>
      </c>
      <c r="AG152" s="228" t="s">
        <v>3</v>
      </c>
      <c r="AH152" s="228" t="s">
        <v>3</v>
      </c>
      <c r="AI152" s="228" t="s">
        <v>3</v>
      </c>
      <c r="AJ152" s="228" t="s">
        <v>3</v>
      </c>
      <c r="AK152" s="228" t="s">
        <v>3</v>
      </c>
      <c r="AL152" s="228" t="s">
        <v>3</v>
      </c>
      <c r="AM152" s="228" t="s">
        <v>3</v>
      </c>
      <c r="AN152" s="228" t="s">
        <v>3</v>
      </c>
      <c r="AO152" s="228" t="s">
        <v>3</v>
      </c>
      <c r="AP152" s="335" t="s">
        <v>3</v>
      </c>
      <c r="AQ152" s="228" t="s">
        <v>3</v>
      </c>
      <c r="AR152" s="228" t="s">
        <v>3</v>
      </c>
      <c r="AS152" s="228" t="s">
        <v>3</v>
      </c>
      <c r="AT152" s="228" t="s">
        <v>3</v>
      </c>
      <c r="AU152" s="228" t="s">
        <v>3</v>
      </c>
      <c r="AV152" s="228" t="s">
        <v>3</v>
      </c>
      <c r="AW152" s="228" t="s">
        <v>3</v>
      </c>
      <c r="AX152" s="228" t="s">
        <v>3</v>
      </c>
      <c r="AY152" s="228">
        <v>83</v>
      </c>
      <c r="AZ152" s="305">
        <v>437</v>
      </c>
      <c r="BA152" s="305">
        <v>482</v>
      </c>
      <c r="BB152" s="305">
        <v>551</v>
      </c>
      <c r="BC152" s="305">
        <v>582</v>
      </c>
      <c r="BD152" s="305">
        <v>599</v>
      </c>
      <c r="BE152" s="305">
        <v>533</v>
      </c>
      <c r="BF152" s="305">
        <v>576</v>
      </c>
      <c r="BG152" s="305">
        <v>621</v>
      </c>
      <c r="BH152" s="305">
        <v>628</v>
      </c>
      <c r="BI152" s="305">
        <v>633</v>
      </c>
      <c r="BJ152" s="410">
        <f>(BH152-BG152)/BG152</f>
        <v>1.1272141706924315E-2</v>
      </c>
      <c r="BK152" s="410">
        <f>(BI152-BH152)/BH152</f>
        <v>7.9617834394904458E-3</v>
      </c>
      <c r="BL152" s="564">
        <f t="shared" ref="BL152" si="103">(BH152-BG152)</f>
        <v>7</v>
      </c>
      <c r="BM152" s="564">
        <f t="shared" ref="BM152" si="104">(BI152-BH152)</f>
        <v>5</v>
      </c>
      <c r="BP152" s="515"/>
      <c r="BQ152" s="320"/>
      <c r="BR152" s="320"/>
    </row>
    <row r="153" spans="1:70" ht="6" customHeight="1">
      <c r="A153" s="115"/>
      <c r="B153" s="593"/>
      <c r="C153" s="25"/>
      <c r="D153" s="25"/>
      <c r="E153" s="25"/>
      <c r="F153" s="25"/>
      <c r="G153" s="25"/>
      <c r="H153" s="25"/>
      <c r="I153" s="25"/>
      <c r="J153" s="25"/>
      <c r="K153" s="25"/>
      <c r="L153" s="593"/>
      <c r="M153" s="11"/>
      <c r="N153" s="11"/>
      <c r="O153" s="11"/>
      <c r="P153" s="11"/>
      <c r="Q153" s="11"/>
      <c r="R153" s="11"/>
      <c r="S153" s="11"/>
      <c r="T153" s="11"/>
      <c r="U153" s="11"/>
      <c r="V153" s="596"/>
      <c r="W153" s="11"/>
      <c r="X153" s="11"/>
      <c r="Y153" s="11"/>
      <c r="Z153" s="11"/>
      <c r="AA153" s="11"/>
      <c r="AB153" s="11"/>
      <c r="AC153" s="11"/>
      <c r="AD153" s="11"/>
      <c r="AE153" s="11"/>
      <c r="AF153" s="596"/>
      <c r="AG153" s="11"/>
      <c r="AH153" s="11"/>
      <c r="AI153" s="11"/>
      <c r="AJ153" s="11"/>
      <c r="AK153" s="11"/>
      <c r="AM153" s="63"/>
      <c r="AN153" s="63"/>
      <c r="AO153" s="63"/>
      <c r="AP153" s="696"/>
      <c r="AQ153" s="63"/>
      <c r="AR153" s="63"/>
      <c r="AS153" s="63"/>
      <c r="AT153" s="63"/>
      <c r="AU153" s="63"/>
      <c r="AV153" s="147"/>
      <c r="AW153" s="250"/>
      <c r="AX153" s="228"/>
      <c r="AY153" s="228"/>
      <c r="AZ153" s="305"/>
      <c r="BA153" s="305"/>
      <c r="BB153" s="305"/>
      <c r="BC153" s="463"/>
      <c r="BD153" s="300"/>
      <c r="BE153" s="300"/>
      <c r="BF153" s="300"/>
      <c r="BG153" s="300"/>
      <c r="BH153" s="300"/>
      <c r="BI153" s="300"/>
      <c r="BJ153" s="871"/>
      <c r="BK153" s="871"/>
      <c r="BL153" s="565"/>
      <c r="BM153" s="565"/>
      <c r="BP153" s="515"/>
      <c r="BQ153" s="320"/>
      <c r="BR153" s="320"/>
    </row>
    <row r="154" spans="1:70" ht="12" customHeight="1">
      <c r="A154" s="116" t="s">
        <v>141</v>
      </c>
      <c r="B154" s="593"/>
      <c r="C154" s="25"/>
      <c r="D154" s="25"/>
      <c r="E154" s="25"/>
      <c r="F154" s="25"/>
      <c r="G154" s="25"/>
      <c r="H154" s="25"/>
      <c r="I154" s="25"/>
      <c r="J154" s="25"/>
      <c r="K154" s="25"/>
      <c r="L154" s="593"/>
      <c r="M154" s="11"/>
      <c r="N154" s="11"/>
      <c r="O154" s="11"/>
      <c r="P154" s="11"/>
      <c r="Q154" s="11"/>
      <c r="R154" s="11"/>
      <c r="S154" s="11"/>
      <c r="T154" s="11"/>
      <c r="U154" s="11"/>
      <c r="V154" s="596"/>
      <c r="W154" s="11"/>
      <c r="X154" s="11"/>
      <c r="Y154" s="11"/>
      <c r="Z154" s="11"/>
      <c r="AA154" s="11"/>
      <c r="AB154" s="11"/>
      <c r="AC154" s="11"/>
      <c r="AD154" s="11"/>
      <c r="AE154" s="11"/>
      <c r="AF154" s="596"/>
      <c r="AG154" s="11"/>
      <c r="AH154" s="11"/>
      <c r="AI154" s="11"/>
      <c r="AJ154" s="11"/>
      <c r="AK154" s="11"/>
      <c r="AM154" s="63"/>
      <c r="AN154" s="63"/>
      <c r="AO154" s="63"/>
      <c r="AP154" s="696"/>
      <c r="AQ154" s="63"/>
      <c r="AR154" s="63"/>
      <c r="AS154" s="63"/>
      <c r="AT154" s="63"/>
      <c r="AU154" s="63"/>
      <c r="AV154" s="147"/>
      <c r="AW154" s="250"/>
      <c r="AX154" s="228"/>
      <c r="AY154" s="228"/>
      <c r="AZ154" s="300"/>
      <c r="BA154" s="305"/>
      <c r="BB154" s="305"/>
      <c r="BC154" s="463"/>
      <c r="BD154" s="300"/>
      <c r="BE154" s="300"/>
      <c r="BF154" s="300"/>
      <c r="BG154" s="300"/>
      <c r="BH154" s="300"/>
      <c r="BI154" s="300"/>
      <c r="BJ154" s="871"/>
      <c r="BK154" s="871"/>
      <c r="BL154" s="565"/>
      <c r="BM154" s="565"/>
      <c r="BP154" s="515"/>
      <c r="BQ154" s="320"/>
      <c r="BR154" s="320"/>
    </row>
    <row r="155" spans="1:70" s="177" customFormat="1" ht="11.25" customHeight="1">
      <c r="A155" s="286" t="s">
        <v>142</v>
      </c>
      <c r="B155" s="227" t="s">
        <v>59</v>
      </c>
      <c r="C155" s="227" t="s">
        <v>59</v>
      </c>
      <c r="D155" s="227" t="s">
        <v>59</v>
      </c>
      <c r="E155" s="227" t="s">
        <v>59</v>
      </c>
      <c r="F155" s="227" t="s">
        <v>59</v>
      </c>
      <c r="G155" s="227" t="s">
        <v>59</v>
      </c>
      <c r="H155" s="227" t="s">
        <v>59</v>
      </c>
      <c r="I155" s="227" t="s">
        <v>59</v>
      </c>
      <c r="J155" s="227" t="s">
        <v>59</v>
      </c>
      <c r="K155" s="227" t="s">
        <v>59</v>
      </c>
      <c r="L155" s="227" t="s">
        <v>59</v>
      </c>
      <c r="M155" s="695" t="s">
        <v>59</v>
      </c>
      <c r="N155" s="695" t="s">
        <v>59</v>
      </c>
      <c r="O155" s="695" t="s">
        <v>59</v>
      </c>
      <c r="P155" s="695" t="s">
        <v>59</v>
      </c>
      <c r="Q155" s="695" t="s">
        <v>59</v>
      </c>
      <c r="R155" s="695" t="s">
        <v>59</v>
      </c>
      <c r="S155" s="596">
        <v>1273</v>
      </c>
      <c r="T155" s="596">
        <v>1337</v>
      </c>
      <c r="U155" s="596">
        <v>1411</v>
      </c>
      <c r="V155" s="596">
        <v>1589</v>
      </c>
      <c r="W155" s="596">
        <v>1733</v>
      </c>
      <c r="X155" s="596">
        <v>1796</v>
      </c>
      <c r="Y155" s="596">
        <v>1862</v>
      </c>
      <c r="Z155" s="596">
        <v>1885</v>
      </c>
      <c r="AA155" s="596">
        <v>1912</v>
      </c>
      <c r="AB155" s="596">
        <v>2087</v>
      </c>
      <c r="AC155" s="596">
        <v>2147</v>
      </c>
      <c r="AD155" s="596">
        <v>2209</v>
      </c>
      <c r="AE155" s="596">
        <v>2198</v>
      </c>
      <c r="AF155" s="596">
        <v>2217</v>
      </c>
      <c r="AG155" s="596">
        <v>2343</v>
      </c>
      <c r="AH155" s="596">
        <v>2587</v>
      </c>
      <c r="AI155" s="596">
        <v>2910</v>
      </c>
      <c r="AJ155" s="596">
        <v>3079</v>
      </c>
      <c r="AK155" s="596">
        <v>3074</v>
      </c>
      <c r="AL155" s="596">
        <v>3111</v>
      </c>
      <c r="AM155" s="696">
        <v>2980</v>
      </c>
      <c r="AN155" s="696">
        <v>2980</v>
      </c>
      <c r="AO155" s="696">
        <v>2927</v>
      </c>
      <c r="AP155" s="776">
        <v>3050</v>
      </c>
      <c r="AQ155" s="776">
        <v>2572</v>
      </c>
      <c r="AR155" s="776">
        <v>2607</v>
      </c>
      <c r="AS155" s="776">
        <v>2576</v>
      </c>
      <c r="AT155" s="776">
        <v>2587</v>
      </c>
      <c r="AU155" s="776">
        <v>2561</v>
      </c>
      <c r="AV155" s="245">
        <v>2658</v>
      </c>
      <c r="AW155" s="245">
        <v>2656</v>
      </c>
      <c r="AX155" s="245">
        <v>2674</v>
      </c>
      <c r="AY155" s="245">
        <v>2863</v>
      </c>
      <c r="AZ155" s="305">
        <v>3052</v>
      </c>
      <c r="BA155" s="305">
        <v>3397</v>
      </c>
      <c r="BB155" s="305">
        <v>3725</v>
      </c>
      <c r="BC155" s="305">
        <v>3969</v>
      </c>
      <c r="BD155" s="305">
        <v>5848</v>
      </c>
      <c r="BE155" s="305">
        <v>6076</v>
      </c>
      <c r="BF155" s="305">
        <v>6282</v>
      </c>
      <c r="BG155" s="305">
        <v>6383</v>
      </c>
      <c r="BH155" s="305">
        <v>6383</v>
      </c>
      <c r="BI155" s="305">
        <v>6383</v>
      </c>
      <c r="BJ155" s="410">
        <f t="shared" ref="BJ155:BK157" si="105">(BH155-BG155)/BG155</f>
        <v>0</v>
      </c>
      <c r="BK155" s="410">
        <f t="shared" si="105"/>
        <v>0</v>
      </c>
      <c r="BL155" s="674">
        <f t="shared" ref="BL155:BM157" si="106">BH155-BG155</f>
        <v>0</v>
      </c>
      <c r="BM155" s="674">
        <f t="shared" si="106"/>
        <v>0</v>
      </c>
      <c r="BN155" s="598"/>
      <c r="BO155" s="598"/>
      <c r="BP155" s="599"/>
      <c r="BQ155" s="391"/>
      <c r="BR155" s="391"/>
    </row>
    <row r="156" spans="1:70" s="177" customFormat="1" ht="11.25" customHeight="1">
      <c r="A156" s="181" t="s">
        <v>24</v>
      </c>
      <c r="B156" s="593">
        <v>165</v>
      </c>
      <c r="C156" s="593">
        <v>171</v>
      </c>
      <c r="D156" s="593">
        <v>177</v>
      </c>
      <c r="E156" s="593">
        <v>184</v>
      </c>
      <c r="F156" s="593">
        <v>186</v>
      </c>
      <c r="G156" s="593">
        <v>193</v>
      </c>
      <c r="H156" s="593">
        <v>209</v>
      </c>
      <c r="I156" s="593">
        <v>221</v>
      </c>
      <c r="J156" s="593">
        <v>239</v>
      </c>
      <c r="K156" s="593">
        <v>251</v>
      </c>
      <c r="L156" s="685">
        <v>298</v>
      </c>
      <c r="M156" s="686">
        <v>194</v>
      </c>
      <c r="N156" s="686">
        <v>216</v>
      </c>
      <c r="O156" s="686">
        <v>245</v>
      </c>
      <c r="P156" s="686">
        <v>253</v>
      </c>
      <c r="Q156" s="686">
        <v>303</v>
      </c>
      <c r="R156" s="686">
        <v>308</v>
      </c>
      <c r="S156" s="686">
        <v>293</v>
      </c>
      <c r="T156" s="686">
        <v>314</v>
      </c>
      <c r="U156" s="686">
        <v>321</v>
      </c>
      <c r="V156" s="686">
        <v>333</v>
      </c>
      <c r="W156" s="686">
        <v>344</v>
      </c>
      <c r="X156" s="686">
        <v>324</v>
      </c>
      <c r="Y156" s="686">
        <v>343</v>
      </c>
      <c r="Z156" s="686">
        <v>386</v>
      </c>
      <c r="AA156" s="686">
        <v>419</v>
      </c>
      <c r="AB156" s="686">
        <v>335</v>
      </c>
      <c r="AC156" s="686">
        <v>400</v>
      </c>
      <c r="AD156" s="686">
        <v>420</v>
      </c>
      <c r="AE156" s="686">
        <v>415</v>
      </c>
      <c r="AF156" s="686">
        <v>419</v>
      </c>
      <c r="AG156" s="686">
        <v>499</v>
      </c>
      <c r="AH156" s="686">
        <v>524</v>
      </c>
      <c r="AI156" s="686">
        <v>598</v>
      </c>
      <c r="AJ156" s="686">
        <v>635</v>
      </c>
      <c r="AK156" s="686">
        <v>724</v>
      </c>
      <c r="AL156" s="686">
        <v>663</v>
      </c>
      <c r="AM156" s="774">
        <v>643</v>
      </c>
      <c r="AN156" s="774">
        <v>643</v>
      </c>
      <c r="AO156" s="774">
        <v>672</v>
      </c>
      <c r="AP156" s="687">
        <v>668</v>
      </c>
      <c r="AQ156" s="217">
        <v>816</v>
      </c>
      <c r="AR156" s="217">
        <v>815</v>
      </c>
      <c r="AS156" s="774">
        <v>818</v>
      </c>
      <c r="AT156" s="697">
        <v>845</v>
      </c>
      <c r="AU156" s="697">
        <v>254</v>
      </c>
      <c r="AV156" s="223">
        <v>254</v>
      </c>
      <c r="AW156" s="223">
        <v>258</v>
      </c>
      <c r="AX156" s="223">
        <v>258</v>
      </c>
      <c r="AY156" s="223">
        <v>283</v>
      </c>
      <c r="AZ156" s="306">
        <v>283</v>
      </c>
      <c r="BA156" s="306">
        <v>347</v>
      </c>
      <c r="BB156" s="306">
        <v>383</v>
      </c>
      <c r="BC156" s="306">
        <v>412</v>
      </c>
      <c r="BD156" s="306">
        <v>428</v>
      </c>
      <c r="BE156" s="306">
        <v>456</v>
      </c>
      <c r="BF156" s="306">
        <v>480</v>
      </c>
      <c r="BG156" s="306">
        <v>493</v>
      </c>
      <c r="BH156" s="306">
        <v>493</v>
      </c>
      <c r="BI156" s="306">
        <v>493</v>
      </c>
      <c r="BJ156" s="410">
        <f t="shared" si="105"/>
        <v>0</v>
      </c>
      <c r="BK156" s="410">
        <f t="shared" si="105"/>
        <v>0</v>
      </c>
      <c r="BL156" s="674">
        <f t="shared" si="106"/>
        <v>0</v>
      </c>
      <c r="BM156" s="674">
        <f t="shared" si="106"/>
        <v>0</v>
      </c>
      <c r="BN156" s="598"/>
      <c r="BO156" s="598"/>
      <c r="BP156" s="599"/>
      <c r="BQ156" s="391"/>
      <c r="BR156" s="391"/>
    </row>
    <row r="157" spans="1:70" ht="11.25" customHeight="1">
      <c r="A157" s="118" t="s">
        <v>31</v>
      </c>
      <c r="B157" s="976">
        <f t="shared" ref="B157:K157" si="107">SUM(B155:B156)</f>
        <v>165</v>
      </c>
      <c r="C157" s="168">
        <f t="shared" si="107"/>
        <v>171</v>
      </c>
      <c r="D157" s="168">
        <f t="shared" si="107"/>
        <v>177</v>
      </c>
      <c r="E157" s="168">
        <f t="shared" si="107"/>
        <v>184</v>
      </c>
      <c r="F157" s="168">
        <f t="shared" si="107"/>
        <v>186</v>
      </c>
      <c r="G157" s="168">
        <f t="shared" si="107"/>
        <v>193</v>
      </c>
      <c r="H157" s="168">
        <f t="shared" si="107"/>
        <v>209</v>
      </c>
      <c r="I157" s="168">
        <f t="shared" si="107"/>
        <v>221</v>
      </c>
      <c r="J157" s="168">
        <f t="shared" si="107"/>
        <v>239</v>
      </c>
      <c r="K157" s="168">
        <f t="shared" si="107"/>
        <v>251</v>
      </c>
      <c r="L157" s="976">
        <f>SUM(L155:L156)</f>
        <v>298</v>
      </c>
      <c r="M157" s="86">
        <f t="shared" ref="M157:U157" si="108">SUM(M155:M156)</f>
        <v>194</v>
      </c>
      <c r="N157" s="86">
        <f t="shared" si="108"/>
        <v>216</v>
      </c>
      <c r="O157" s="86">
        <f t="shared" si="108"/>
        <v>245</v>
      </c>
      <c r="P157" s="86">
        <f t="shared" si="108"/>
        <v>253</v>
      </c>
      <c r="Q157" s="86">
        <f t="shared" si="108"/>
        <v>303</v>
      </c>
      <c r="R157" s="86">
        <f t="shared" si="108"/>
        <v>308</v>
      </c>
      <c r="S157" s="86">
        <f t="shared" si="108"/>
        <v>1566</v>
      </c>
      <c r="T157" s="86">
        <f t="shared" si="108"/>
        <v>1651</v>
      </c>
      <c r="U157" s="86">
        <f t="shared" si="108"/>
        <v>1732</v>
      </c>
      <c r="V157" s="970">
        <f t="shared" ref="V157:AE157" si="109">SUM(V155:V156)</f>
        <v>1922</v>
      </c>
      <c r="W157" s="86">
        <f t="shared" si="109"/>
        <v>2077</v>
      </c>
      <c r="X157" s="86">
        <f t="shared" si="109"/>
        <v>2120</v>
      </c>
      <c r="Y157" s="86">
        <f t="shared" si="109"/>
        <v>2205</v>
      </c>
      <c r="Z157" s="86">
        <f t="shared" si="109"/>
        <v>2271</v>
      </c>
      <c r="AA157" s="86">
        <f t="shared" si="109"/>
        <v>2331</v>
      </c>
      <c r="AB157" s="86">
        <f t="shared" si="109"/>
        <v>2422</v>
      </c>
      <c r="AC157" s="86">
        <f t="shared" si="109"/>
        <v>2547</v>
      </c>
      <c r="AD157" s="86">
        <f t="shared" si="109"/>
        <v>2629</v>
      </c>
      <c r="AE157" s="86">
        <f t="shared" si="109"/>
        <v>2613</v>
      </c>
      <c r="AF157" s="970">
        <f t="shared" ref="AF157:AV157" si="110">SUM(AF155:AF156)</f>
        <v>2636</v>
      </c>
      <c r="AG157" s="86">
        <f t="shared" si="110"/>
        <v>2842</v>
      </c>
      <c r="AH157" s="86">
        <f t="shared" si="110"/>
        <v>3111</v>
      </c>
      <c r="AI157" s="86">
        <f t="shared" si="110"/>
        <v>3508</v>
      </c>
      <c r="AJ157" s="86">
        <f t="shared" si="110"/>
        <v>3714</v>
      </c>
      <c r="AK157" s="86">
        <f t="shared" si="110"/>
        <v>3798</v>
      </c>
      <c r="AL157" s="86">
        <f t="shared" si="110"/>
        <v>3774</v>
      </c>
      <c r="AM157" s="86">
        <f t="shared" si="110"/>
        <v>3623</v>
      </c>
      <c r="AN157" s="86">
        <f t="shared" si="110"/>
        <v>3623</v>
      </c>
      <c r="AO157" s="86">
        <f t="shared" si="110"/>
        <v>3599</v>
      </c>
      <c r="AP157" s="970">
        <f t="shared" si="110"/>
        <v>3718</v>
      </c>
      <c r="AQ157" s="86">
        <f t="shared" si="110"/>
        <v>3388</v>
      </c>
      <c r="AR157" s="86">
        <f t="shared" si="110"/>
        <v>3422</v>
      </c>
      <c r="AS157" s="86">
        <f>SUM(AS155:AS156)</f>
        <v>3394</v>
      </c>
      <c r="AT157" s="86">
        <f t="shared" si="110"/>
        <v>3432</v>
      </c>
      <c r="AU157" s="86">
        <f t="shared" si="110"/>
        <v>2815</v>
      </c>
      <c r="AV157" s="140">
        <f t="shared" si="110"/>
        <v>2912</v>
      </c>
      <c r="AW157" s="140">
        <f t="shared" ref="AW157:BB157" si="111">SUM(AW155:AW156)</f>
        <v>2914</v>
      </c>
      <c r="AX157" s="140">
        <f t="shared" si="111"/>
        <v>2932</v>
      </c>
      <c r="AY157" s="140">
        <f t="shared" si="111"/>
        <v>3146</v>
      </c>
      <c r="AZ157" s="141">
        <f t="shared" si="111"/>
        <v>3335</v>
      </c>
      <c r="BA157" s="383">
        <f t="shared" si="111"/>
        <v>3744</v>
      </c>
      <c r="BB157" s="383">
        <f t="shared" si="111"/>
        <v>4108</v>
      </c>
      <c r="BC157" s="383">
        <f t="shared" ref="BC157:BI157" si="112">SUM(BC155:BC156)</f>
        <v>4381</v>
      </c>
      <c r="BD157" s="384">
        <f t="shared" si="112"/>
        <v>6276</v>
      </c>
      <c r="BE157" s="384">
        <f t="shared" si="112"/>
        <v>6532</v>
      </c>
      <c r="BF157" s="384">
        <f t="shared" si="112"/>
        <v>6762</v>
      </c>
      <c r="BG157" s="384">
        <f t="shared" si="112"/>
        <v>6876</v>
      </c>
      <c r="BH157" s="384">
        <f t="shared" si="112"/>
        <v>6876</v>
      </c>
      <c r="BI157" s="384">
        <f t="shared" si="112"/>
        <v>6876</v>
      </c>
      <c r="BJ157" s="872">
        <f t="shared" si="105"/>
        <v>0</v>
      </c>
      <c r="BK157" s="872">
        <f t="shared" si="105"/>
        <v>0</v>
      </c>
      <c r="BL157" s="567">
        <f t="shared" si="106"/>
        <v>0</v>
      </c>
      <c r="BM157" s="567">
        <f t="shared" si="106"/>
        <v>0</v>
      </c>
      <c r="BP157" s="515"/>
      <c r="BQ157" s="320"/>
      <c r="BR157" s="320"/>
    </row>
    <row r="158" spans="1:70" ht="6" customHeight="1">
      <c r="A158" s="115"/>
      <c r="B158" s="593"/>
      <c r="C158" s="25"/>
      <c r="D158" s="25"/>
      <c r="E158" s="25"/>
      <c r="F158" s="25"/>
      <c r="G158" s="25"/>
      <c r="H158" s="25"/>
      <c r="I158" s="25"/>
      <c r="J158" s="25"/>
      <c r="K158" s="25"/>
      <c r="L158" s="593"/>
      <c r="M158" s="11"/>
      <c r="N158" s="11"/>
      <c r="O158" s="11"/>
      <c r="P158" s="11"/>
      <c r="Q158" s="11"/>
      <c r="R158" s="11"/>
      <c r="S158" s="11"/>
      <c r="T158" s="11"/>
      <c r="U158" s="11"/>
      <c r="V158" s="596"/>
      <c r="W158" s="11"/>
      <c r="X158" s="11"/>
      <c r="Y158" s="11"/>
      <c r="Z158" s="11"/>
      <c r="AA158" s="11"/>
      <c r="AB158" s="11"/>
      <c r="AC158" s="11"/>
      <c r="AD158" s="11"/>
      <c r="AE158" s="11"/>
      <c r="AF158" s="596"/>
      <c r="AG158" s="11"/>
      <c r="AH158" s="11"/>
      <c r="AI158" s="11"/>
      <c r="AJ158" s="11"/>
      <c r="AK158" s="11"/>
      <c r="AL158" s="39"/>
      <c r="AM158" s="66"/>
      <c r="AN158" s="66"/>
      <c r="AO158" s="66"/>
      <c r="AP158" s="697"/>
      <c r="AQ158" s="66"/>
      <c r="AR158" s="66"/>
      <c r="AS158" s="66"/>
      <c r="AT158" s="66"/>
      <c r="AU158" s="66"/>
      <c r="AV158" s="193"/>
      <c r="AW158" s="250"/>
      <c r="AX158" s="60"/>
      <c r="AY158" s="60"/>
      <c r="AZ158" s="299"/>
      <c r="BA158" s="284"/>
      <c r="BB158" s="284"/>
      <c r="BC158" s="461"/>
      <c r="BD158" s="305"/>
      <c r="BE158" s="300"/>
      <c r="BF158" s="300"/>
      <c r="BG158" s="305"/>
      <c r="BH158" s="305"/>
      <c r="BI158" s="305"/>
      <c r="BJ158" s="410"/>
      <c r="BK158" s="410"/>
      <c r="BL158" s="566"/>
      <c r="BM158" s="566"/>
      <c r="BP158" s="515"/>
      <c r="BQ158" s="320"/>
      <c r="BR158" s="320"/>
    </row>
    <row r="159" spans="1:70" s="693" customFormat="1">
      <c r="A159" s="684" t="s">
        <v>143</v>
      </c>
      <c r="B159" s="685">
        <v>371</v>
      </c>
      <c r="C159" s="685">
        <v>390</v>
      </c>
      <c r="D159" s="685">
        <v>431</v>
      </c>
      <c r="E159" s="685">
        <v>417</v>
      </c>
      <c r="F159" s="685">
        <v>418</v>
      </c>
      <c r="G159" s="685">
        <v>432</v>
      </c>
      <c r="H159" s="685">
        <v>443</v>
      </c>
      <c r="I159" s="685">
        <v>458</v>
      </c>
      <c r="J159" s="685">
        <v>487</v>
      </c>
      <c r="K159" s="685">
        <v>455</v>
      </c>
      <c r="L159" s="685">
        <v>426</v>
      </c>
      <c r="M159" s="686">
        <v>416</v>
      </c>
      <c r="N159" s="686">
        <v>427</v>
      </c>
      <c r="O159" s="686">
        <v>412</v>
      </c>
      <c r="P159" s="686">
        <v>408</v>
      </c>
      <c r="Q159" s="686">
        <v>410</v>
      </c>
      <c r="R159" s="686">
        <v>406</v>
      </c>
      <c r="S159" s="686">
        <v>421</v>
      </c>
      <c r="T159" s="686">
        <v>420</v>
      </c>
      <c r="U159" s="686">
        <v>435</v>
      </c>
      <c r="V159" s="686">
        <v>443</v>
      </c>
      <c r="W159" s="686">
        <v>466</v>
      </c>
      <c r="X159" s="686">
        <v>432</v>
      </c>
      <c r="Y159" s="686">
        <v>367</v>
      </c>
      <c r="Z159" s="686">
        <v>385</v>
      </c>
      <c r="AA159" s="686">
        <v>403</v>
      </c>
      <c r="AB159" s="686">
        <v>456</v>
      </c>
      <c r="AC159" s="686">
        <v>466</v>
      </c>
      <c r="AD159" s="686">
        <v>564</v>
      </c>
      <c r="AE159" s="686">
        <v>608</v>
      </c>
      <c r="AF159" s="686">
        <v>662</v>
      </c>
      <c r="AG159" s="686">
        <v>665</v>
      </c>
      <c r="AH159" s="686">
        <v>697</v>
      </c>
      <c r="AI159" s="686">
        <v>695</v>
      </c>
      <c r="AJ159" s="686">
        <v>728</v>
      </c>
      <c r="AK159" s="686">
        <v>627</v>
      </c>
      <c r="AL159" s="687">
        <v>635</v>
      </c>
      <c r="AM159" s="687">
        <v>638</v>
      </c>
      <c r="AN159" s="687">
        <v>620</v>
      </c>
      <c r="AO159" s="687">
        <v>584</v>
      </c>
      <c r="AP159" s="687">
        <v>618</v>
      </c>
      <c r="AQ159" s="687">
        <v>622</v>
      </c>
      <c r="AR159" s="687">
        <v>652</v>
      </c>
      <c r="AS159" s="687">
        <v>624</v>
      </c>
      <c r="AT159" s="687">
        <v>581</v>
      </c>
      <c r="AU159" s="687">
        <v>635</v>
      </c>
      <c r="AV159" s="688">
        <v>657</v>
      </c>
      <c r="AW159" s="688">
        <v>644.26845637583892</v>
      </c>
      <c r="AX159" s="689">
        <v>664</v>
      </c>
      <c r="AY159" s="689">
        <v>672</v>
      </c>
      <c r="AZ159" s="689">
        <v>654</v>
      </c>
      <c r="BA159" s="690">
        <v>870</v>
      </c>
      <c r="BB159" s="690">
        <v>827</v>
      </c>
      <c r="BC159" s="690">
        <v>829</v>
      </c>
      <c r="BD159" s="690">
        <v>807</v>
      </c>
      <c r="BE159" s="690">
        <v>861</v>
      </c>
      <c r="BF159" s="690">
        <v>790</v>
      </c>
      <c r="BG159" s="690">
        <v>877</v>
      </c>
      <c r="BH159" s="690">
        <v>704</v>
      </c>
      <c r="BI159" s="690">
        <v>697</v>
      </c>
      <c r="BJ159" s="964">
        <f>(BH159-BG159)/BG159</f>
        <v>-0.19726339794754846</v>
      </c>
      <c r="BK159" s="964">
        <f>(BI159-BH159)/BH159</f>
        <v>-9.943181818181818E-3</v>
      </c>
      <c r="BL159" s="954">
        <f t="shared" ref="BL159" si="113">(BH159-BG159)</f>
        <v>-173</v>
      </c>
      <c r="BM159" s="954">
        <f t="shared" ref="BM159" si="114">(BI159-BH159)</f>
        <v>-7</v>
      </c>
      <c r="BN159" s="691"/>
      <c r="BO159" s="691"/>
      <c r="BP159" s="692"/>
      <c r="BQ159" s="630"/>
      <c r="BR159" s="630"/>
    </row>
    <row r="160" spans="1:70" ht="12.75" customHeight="1" thickBot="1">
      <c r="A160" s="393" t="s">
        <v>45</v>
      </c>
      <c r="B160" s="977">
        <f t="shared" ref="B160:J160" si="115">SUM(B140+B144+B146+B157+B159)</f>
        <v>2509</v>
      </c>
      <c r="C160" s="683">
        <f t="shared" si="115"/>
        <v>2763</v>
      </c>
      <c r="D160" s="683">
        <f t="shared" si="115"/>
        <v>3078</v>
      </c>
      <c r="E160" s="683">
        <f t="shared" si="115"/>
        <v>3386</v>
      </c>
      <c r="F160" s="683">
        <f t="shared" si="115"/>
        <v>3748</v>
      </c>
      <c r="G160" s="683">
        <f t="shared" si="115"/>
        <v>3999</v>
      </c>
      <c r="H160" s="683">
        <f t="shared" si="115"/>
        <v>4227</v>
      </c>
      <c r="I160" s="683">
        <f t="shared" si="115"/>
        <v>4613</v>
      </c>
      <c r="J160" s="683">
        <f t="shared" si="115"/>
        <v>5092</v>
      </c>
      <c r="K160" s="683">
        <f>SUM(K140+K144+K146+K157+K159)</f>
        <v>5509</v>
      </c>
      <c r="L160" s="978">
        <f>SUM(L140+L144+L146+L157+L159)</f>
        <v>5618</v>
      </c>
      <c r="M160" s="615">
        <f t="shared" ref="M160:AD160" si="116">SUM(M140+M144+M146+M157+M159)</f>
        <v>5463</v>
      </c>
      <c r="N160" s="615">
        <f t="shared" si="116"/>
        <v>5545</v>
      </c>
      <c r="O160" s="615">
        <f t="shared" si="116"/>
        <v>5697</v>
      </c>
      <c r="P160" s="615">
        <f>SUM(P140+P144+P146+P157+P159)</f>
        <v>5925</v>
      </c>
      <c r="Q160" s="615">
        <f t="shared" si="116"/>
        <v>6401</v>
      </c>
      <c r="R160" s="615">
        <f t="shared" si="116"/>
        <v>7021</v>
      </c>
      <c r="S160" s="615">
        <f t="shared" si="116"/>
        <v>8727</v>
      </c>
      <c r="T160" s="615">
        <f>SUM(T140+T144+T146+T157+T159)</f>
        <v>9062</v>
      </c>
      <c r="U160" s="615">
        <f t="shared" si="116"/>
        <v>8966</v>
      </c>
      <c r="V160" s="978">
        <f t="shared" si="116"/>
        <v>9524</v>
      </c>
      <c r="W160" s="615">
        <f>SUM(W140+W144+W146+W157+W159)</f>
        <v>9182</v>
      </c>
      <c r="X160" s="615">
        <f>SUM(X140+X144+X146+X157+X159)</f>
        <v>8936</v>
      </c>
      <c r="Y160" s="615">
        <f t="shared" si="116"/>
        <v>8443</v>
      </c>
      <c r="Z160" s="615">
        <f>SUM(Z140+Z144+Z146+Z157+Z159)</f>
        <v>8616</v>
      </c>
      <c r="AA160" s="615">
        <f t="shared" si="116"/>
        <v>8864</v>
      </c>
      <c r="AB160" s="615">
        <f>SUM(AB140+AB144+AB146+AB157+AB159)</f>
        <v>9799</v>
      </c>
      <c r="AC160" s="615">
        <f t="shared" si="116"/>
        <v>9806</v>
      </c>
      <c r="AD160" s="615">
        <f t="shared" si="116"/>
        <v>10133</v>
      </c>
      <c r="AE160" s="615">
        <f>SUM(AE140+AE144+AE146+AE157+AE159)</f>
        <v>18084</v>
      </c>
      <c r="AF160" s="978">
        <f>AF140+AF144+AF146+AF150+AF157+AF159</f>
        <v>15308</v>
      </c>
      <c r="AG160" s="615">
        <f>AG140+AG144+AG146+AG148+AG150+AG157+AG159</f>
        <v>15611</v>
      </c>
      <c r="AH160" s="615">
        <f t="shared" ref="AH160:AX160" si="117">AH140+AH144+AH146+AH148+AH150+AH157+AH159</f>
        <v>17681</v>
      </c>
      <c r="AI160" s="615">
        <f t="shared" si="117"/>
        <v>18394</v>
      </c>
      <c r="AJ160" s="615">
        <f t="shared" si="117"/>
        <v>17976</v>
      </c>
      <c r="AK160" s="615">
        <f t="shared" si="117"/>
        <v>17981</v>
      </c>
      <c r="AL160" s="615">
        <f t="shared" si="117"/>
        <v>14903</v>
      </c>
      <c r="AM160" s="615">
        <f t="shared" si="117"/>
        <v>14127</v>
      </c>
      <c r="AN160" s="615">
        <f t="shared" si="117"/>
        <v>13228</v>
      </c>
      <c r="AO160" s="615">
        <f t="shared" si="117"/>
        <v>13391</v>
      </c>
      <c r="AP160" s="978">
        <f t="shared" si="117"/>
        <v>13317</v>
      </c>
      <c r="AQ160" s="615">
        <f t="shared" si="117"/>
        <v>12780</v>
      </c>
      <c r="AR160" s="615">
        <f t="shared" si="117"/>
        <v>12432</v>
      </c>
      <c r="AS160" s="615">
        <f t="shared" si="117"/>
        <v>11868</v>
      </c>
      <c r="AT160" s="615">
        <f t="shared" si="117"/>
        <v>11801</v>
      </c>
      <c r="AU160" s="615">
        <f t="shared" si="117"/>
        <v>10650</v>
      </c>
      <c r="AV160" s="615">
        <f t="shared" si="117"/>
        <v>10736</v>
      </c>
      <c r="AW160" s="615">
        <f t="shared" si="117"/>
        <v>11050.229312515239</v>
      </c>
      <c r="AX160" s="615">
        <f t="shared" si="117"/>
        <v>11371</v>
      </c>
      <c r="AY160" s="616">
        <f>SUM(AY140+AY144+AY146+AY148+AY150+AY152+AY157+AY159)</f>
        <v>12288</v>
      </c>
      <c r="AZ160" s="616">
        <f>SUM(AZ140+AZ144+AZ146+AZ148+AZ152+AZ157+AZ159)</f>
        <v>13719</v>
      </c>
      <c r="BA160" s="618">
        <f t="shared" ref="BA160:BI160" si="118">SUM(BA140+BA142+BA144+BA146+BA148+BA152+BA157+BA159)</f>
        <v>15143</v>
      </c>
      <c r="BB160" s="618">
        <f t="shared" si="118"/>
        <v>15816</v>
      </c>
      <c r="BC160" s="618">
        <f t="shared" si="118"/>
        <v>16001</v>
      </c>
      <c r="BD160" s="619">
        <f t="shared" si="118"/>
        <v>18217</v>
      </c>
      <c r="BE160" s="619">
        <f t="shared" si="118"/>
        <v>18144</v>
      </c>
      <c r="BF160" s="619">
        <f t="shared" si="118"/>
        <v>18329</v>
      </c>
      <c r="BG160" s="619">
        <f t="shared" si="118"/>
        <v>17956</v>
      </c>
      <c r="BH160" s="619">
        <f t="shared" si="118"/>
        <v>18347</v>
      </c>
      <c r="BI160" s="619">
        <f t="shared" si="118"/>
        <v>18394</v>
      </c>
      <c r="BJ160" s="965">
        <f>(BH160-BG160)/BG160</f>
        <v>2.1775451102695478E-2</v>
      </c>
      <c r="BK160" s="965">
        <f>(BI160-BH160)/BH160</f>
        <v>2.5617267128140841E-3</v>
      </c>
      <c r="BL160" s="955">
        <f>BH160-BG160</f>
        <v>391</v>
      </c>
      <c r="BM160" s="955">
        <f>BI160-BH160</f>
        <v>47</v>
      </c>
      <c r="BP160" s="515"/>
      <c r="BQ160" s="320"/>
      <c r="BR160" s="320"/>
    </row>
    <row r="161" spans="1:70" ht="11.25" customHeight="1">
      <c r="A161" s="115"/>
      <c r="B161" s="217"/>
      <c r="C161" s="152"/>
      <c r="D161" s="152"/>
      <c r="E161" s="152"/>
      <c r="F161" s="152"/>
      <c r="G161" s="152"/>
      <c r="H161" s="152"/>
      <c r="I161" s="152"/>
      <c r="J161" s="152"/>
      <c r="K161" s="152"/>
      <c r="L161" s="596"/>
      <c r="M161" s="11"/>
      <c r="N161" s="11"/>
      <c r="O161" s="11"/>
      <c r="P161" s="11"/>
      <c r="Q161" s="11"/>
      <c r="R161" s="11"/>
      <c r="S161" s="11"/>
      <c r="T161" s="11"/>
      <c r="U161" s="11"/>
      <c r="V161" s="596"/>
      <c r="W161" s="11"/>
      <c r="X161" s="11"/>
      <c r="Y161" s="11"/>
      <c r="Z161" s="11"/>
      <c r="AA161" s="11"/>
      <c r="AB161" s="11"/>
      <c r="AC161" s="11"/>
      <c r="AD161" s="11"/>
      <c r="AE161" s="11"/>
      <c r="AF161" s="596"/>
      <c r="AG161" s="11"/>
      <c r="AH161" s="11"/>
      <c r="AI161" s="11"/>
      <c r="AJ161" s="11"/>
      <c r="AK161" s="11"/>
      <c r="AM161" s="63"/>
      <c r="AN161" s="63"/>
      <c r="AO161" s="63"/>
      <c r="AP161" s="696"/>
      <c r="AQ161" s="63"/>
      <c r="AR161" s="63"/>
      <c r="AS161" s="63"/>
      <c r="AT161" s="63"/>
      <c r="AU161" s="63"/>
      <c r="AV161" s="147"/>
      <c r="AW161" s="250"/>
      <c r="AX161" s="60"/>
      <c r="AY161" s="60"/>
      <c r="AZ161" s="299"/>
      <c r="BA161" s="284"/>
      <c r="BB161" s="284"/>
      <c r="BC161" s="461"/>
      <c r="BD161" s="300"/>
      <c r="BE161" s="300"/>
      <c r="BF161" s="300"/>
      <c r="BG161" s="300"/>
      <c r="BH161" s="300"/>
      <c r="BI161" s="300"/>
      <c r="BJ161" s="871"/>
      <c r="BK161" s="871"/>
      <c r="BL161" s="565"/>
      <c r="BM161" s="565"/>
      <c r="BP161" s="515"/>
      <c r="BQ161" s="320"/>
      <c r="BR161" s="320"/>
    </row>
    <row r="162" spans="1:70" ht="15.75" customHeight="1">
      <c r="A162" s="159" t="s">
        <v>46</v>
      </c>
      <c r="B162" s="217"/>
      <c r="C162" s="152"/>
      <c r="D162" s="152"/>
      <c r="E162" s="152"/>
      <c r="F162" s="152"/>
      <c r="G162" s="152"/>
      <c r="H162" s="152"/>
      <c r="I162" s="152"/>
      <c r="J162" s="152"/>
      <c r="K162" s="152"/>
      <c r="L162" s="217"/>
      <c r="M162" s="152"/>
      <c r="N162" s="152"/>
      <c r="O162" s="152"/>
      <c r="P162" s="152"/>
      <c r="Q162" s="152"/>
      <c r="R162" s="152"/>
      <c r="S162" s="152"/>
      <c r="T162" s="152"/>
      <c r="U162" s="152"/>
      <c r="V162" s="217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217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217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217"/>
      <c r="BG162" s="217"/>
      <c r="BH162" s="217"/>
      <c r="BI162" s="217"/>
      <c r="BJ162" s="808"/>
      <c r="BK162" s="808"/>
      <c r="BL162" s="565"/>
      <c r="BM162" s="565"/>
      <c r="BP162" s="515"/>
      <c r="BQ162" s="320"/>
      <c r="BR162" s="320"/>
    </row>
    <row r="163" spans="1:70" ht="6" customHeight="1">
      <c r="A163" s="115"/>
      <c r="B163" s="217"/>
      <c r="C163" s="152"/>
      <c r="D163" s="152"/>
      <c r="E163" s="152"/>
      <c r="F163" s="152"/>
      <c r="G163" s="152"/>
      <c r="H163" s="152"/>
      <c r="I163" s="152"/>
      <c r="J163" s="152"/>
      <c r="K163" s="152"/>
      <c r="L163" s="596"/>
      <c r="M163" s="11"/>
      <c r="N163" s="11"/>
      <c r="O163" s="11"/>
      <c r="P163" s="11"/>
      <c r="Q163" s="11"/>
      <c r="R163" s="11"/>
      <c r="S163" s="11"/>
      <c r="T163" s="11"/>
      <c r="U163" s="11"/>
      <c r="V163" s="596"/>
      <c r="W163" s="11"/>
      <c r="X163" s="11"/>
      <c r="Y163" s="11"/>
      <c r="Z163" s="11"/>
      <c r="AA163" s="11"/>
      <c r="AB163" s="11"/>
      <c r="AC163" s="11"/>
      <c r="AD163" s="11"/>
      <c r="AE163" s="11"/>
      <c r="AF163" s="596"/>
      <c r="AG163" s="11"/>
      <c r="AH163" s="11"/>
      <c r="AI163" s="11"/>
      <c r="AJ163" s="11"/>
      <c r="AK163" s="11"/>
      <c r="AM163" s="63"/>
      <c r="AN163" s="63"/>
      <c r="AO163" s="63"/>
      <c r="AP163" s="696"/>
      <c r="AQ163" s="63"/>
      <c r="AR163" s="63"/>
      <c r="AS163" s="63"/>
      <c r="AT163" s="63"/>
      <c r="AU163" s="63"/>
      <c r="AV163" s="147"/>
      <c r="AW163" s="250"/>
      <c r="AX163" s="60"/>
      <c r="AY163" s="60"/>
      <c r="AZ163" s="299"/>
      <c r="BA163" s="284"/>
      <c r="BB163" s="284"/>
      <c r="BC163" s="461"/>
      <c r="BD163" s="300"/>
      <c r="BE163" s="300"/>
      <c r="BF163" s="300"/>
      <c r="BG163" s="300"/>
      <c r="BH163" s="300"/>
      <c r="BI163" s="300"/>
      <c r="BJ163" s="871"/>
      <c r="BK163" s="871"/>
      <c r="BL163" s="565"/>
      <c r="BM163" s="565"/>
      <c r="BP163" s="515"/>
      <c r="BQ163" s="320"/>
      <c r="BR163" s="320"/>
    </row>
    <row r="164" spans="1:70" ht="12" customHeight="1">
      <c r="A164" s="116" t="s">
        <v>29</v>
      </c>
      <c r="B164" s="217"/>
      <c r="C164" s="152"/>
      <c r="D164" s="152"/>
      <c r="E164" s="152"/>
      <c r="F164" s="152"/>
      <c r="G164" s="152"/>
      <c r="H164" s="152"/>
      <c r="I164" s="152"/>
      <c r="J164" s="152"/>
      <c r="K164" s="152"/>
      <c r="L164" s="596"/>
      <c r="M164" s="11"/>
      <c r="N164" s="11"/>
      <c r="O164" s="11"/>
      <c r="P164" s="11"/>
      <c r="Q164" s="11"/>
      <c r="R164" s="11"/>
      <c r="S164" s="11"/>
      <c r="T164" s="11"/>
      <c r="U164" s="11"/>
      <c r="V164" s="596"/>
      <c r="W164" s="11"/>
      <c r="X164" s="11"/>
      <c r="Y164" s="11"/>
      <c r="Z164" s="11"/>
      <c r="AA164" s="11"/>
      <c r="AB164" s="11"/>
      <c r="AC164" s="11"/>
      <c r="AD164" s="11"/>
      <c r="AE164" s="11"/>
      <c r="AF164" s="596"/>
      <c r="AG164" s="11"/>
      <c r="AH164" s="11"/>
      <c r="AI164" s="11"/>
      <c r="AJ164" s="11"/>
      <c r="AK164" s="11"/>
      <c r="AM164" s="63"/>
      <c r="AN164" s="63"/>
      <c r="AO164" s="63"/>
      <c r="AP164" s="696"/>
      <c r="AQ164" s="63"/>
      <c r="AR164" s="63"/>
      <c r="AS164" s="63"/>
      <c r="AT164" s="63"/>
      <c r="AU164" s="63"/>
      <c r="AV164" s="147"/>
      <c r="AW164" s="250"/>
      <c r="AX164" s="60"/>
      <c r="AY164" s="60"/>
      <c r="AZ164" s="299"/>
      <c r="BA164" s="284"/>
      <c r="BB164" s="284"/>
      <c r="BC164" s="461"/>
      <c r="BD164" s="300"/>
      <c r="BE164" s="300"/>
      <c r="BF164" s="300"/>
      <c r="BG164" s="300"/>
      <c r="BH164" s="300"/>
      <c r="BI164" s="300"/>
      <c r="BJ164" s="871"/>
      <c r="BK164" s="871"/>
      <c r="BL164" s="565"/>
      <c r="BM164" s="565"/>
      <c r="BP164" s="515"/>
      <c r="BQ164" s="320"/>
      <c r="BR164" s="320"/>
    </row>
    <row r="165" spans="1:70" s="711" customFormat="1" ht="12" customHeight="1">
      <c r="A165" s="707" t="s">
        <v>144</v>
      </c>
      <c r="B165" s="593">
        <v>4385</v>
      </c>
      <c r="C165" s="716">
        <v>4512</v>
      </c>
      <c r="D165" s="716">
        <v>4561</v>
      </c>
      <c r="E165" s="716">
        <v>4865</v>
      </c>
      <c r="F165" s="716">
        <v>4579</v>
      </c>
      <c r="G165" s="716">
        <v>8008</v>
      </c>
      <c r="H165" s="716">
        <v>7810</v>
      </c>
      <c r="I165" s="716">
        <v>8715</v>
      </c>
      <c r="J165" s="716">
        <v>9055</v>
      </c>
      <c r="K165" s="716">
        <v>9528</v>
      </c>
      <c r="L165" s="596">
        <v>13686</v>
      </c>
      <c r="M165" s="717">
        <v>13193</v>
      </c>
      <c r="N165" s="717">
        <v>11742</v>
      </c>
      <c r="O165" s="717">
        <v>4971</v>
      </c>
      <c r="P165" s="717">
        <v>4641</v>
      </c>
      <c r="Q165" s="717">
        <v>4303</v>
      </c>
      <c r="R165" s="717">
        <v>4579</v>
      </c>
      <c r="S165" s="717">
        <v>3788</v>
      </c>
      <c r="T165" s="717">
        <v>2126</v>
      </c>
      <c r="U165" s="717">
        <v>2043</v>
      </c>
      <c r="V165" s="596">
        <v>2147</v>
      </c>
      <c r="W165" s="717">
        <v>1759</v>
      </c>
      <c r="X165" s="717">
        <v>3972</v>
      </c>
      <c r="Y165" s="717">
        <v>3578</v>
      </c>
      <c r="Z165" s="717">
        <v>3326</v>
      </c>
      <c r="AA165" s="717">
        <v>3247</v>
      </c>
      <c r="AB165" s="717">
        <v>3257</v>
      </c>
      <c r="AC165" s="717">
        <v>3217</v>
      </c>
      <c r="AD165" s="717">
        <v>3259</v>
      </c>
      <c r="AE165" s="717">
        <v>3243</v>
      </c>
      <c r="AF165" s="596">
        <v>3164</v>
      </c>
      <c r="AG165" s="717">
        <v>3455</v>
      </c>
      <c r="AH165" s="717">
        <v>3510</v>
      </c>
      <c r="AI165" s="717">
        <v>3411</v>
      </c>
      <c r="AJ165" s="717">
        <v>3334</v>
      </c>
      <c r="AK165" s="717">
        <v>3156</v>
      </c>
      <c r="AL165" s="717">
        <v>2795.2608695652175</v>
      </c>
      <c r="AM165" s="718">
        <v>2473</v>
      </c>
      <c r="AN165" s="718">
        <v>2660</v>
      </c>
      <c r="AO165" s="718">
        <v>2577</v>
      </c>
      <c r="AP165" s="696">
        <v>2595</v>
      </c>
      <c r="AQ165" s="718">
        <v>2604.6119402985078</v>
      </c>
      <c r="AR165" s="719">
        <v>2666</v>
      </c>
      <c r="AS165" s="719">
        <v>2621</v>
      </c>
      <c r="AT165" s="719">
        <v>2630</v>
      </c>
      <c r="AU165" s="719">
        <v>2601</v>
      </c>
      <c r="AV165" s="720">
        <v>2541</v>
      </c>
      <c r="AW165" s="720">
        <v>2399.135135135135</v>
      </c>
      <c r="AX165" s="720">
        <v>2420</v>
      </c>
      <c r="AY165" s="720">
        <v>2527.119565217391</v>
      </c>
      <c r="AZ165" s="720">
        <v>2288</v>
      </c>
      <c r="BA165" s="721">
        <v>2228</v>
      </c>
      <c r="BB165" s="721">
        <v>2142</v>
      </c>
      <c r="BC165" s="721">
        <v>2153</v>
      </c>
      <c r="BD165" s="721">
        <v>2106</v>
      </c>
      <c r="BE165" s="721">
        <v>2107</v>
      </c>
      <c r="BF165" s="721">
        <v>2091</v>
      </c>
      <c r="BG165" s="390">
        <v>2208</v>
      </c>
      <c r="BH165" s="390">
        <v>2341</v>
      </c>
      <c r="BI165" s="390">
        <v>2424</v>
      </c>
      <c r="BJ165" s="410">
        <f>(BH165-BG165)/BG165</f>
        <v>6.0235507246376808E-2</v>
      </c>
      <c r="BK165" s="410">
        <f>(BI165-BH165)/BH165</f>
        <v>3.5454933788979071E-2</v>
      </c>
      <c r="BL165" s="564">
        <f t="shared" ref="BL165" si="119">(BH165-BG165)</f>
        <v>133</v>
      </c>
      <c r="BM165" s="564">
        <f t="shared" ref="BM165" si="120">(BI165-BH165)</f>
        <v>83</v>
      </c>
      <c r="BN165" s="722"/>
      <c r="BO165" s="722"/>
      <c r="BP165" s="723"/>
      <c r="BQ165" s="710"/>
      <c r="BR165" s="710"/>
    </row>
    <row r="166" spans="1:70" ht="6" customHeight="1">
      <c r="A166" s="115"/>
      <c r="B166" s="593"/>
      <c r="C166" s="25"/>
      <c r="D166" s="25"/>
      <c r="E166" s="25"/>
      <c r="F166" s="25"/>
      <c r="G166" s="25"/>
      <c r="H166" s="25"/>
      <c r="I166" s="25"/>
      <c r="J166" s="25"/>
      <c r="K166" s="25"/>
      <c r="L166" s="596"/>
      <c r="M166" s="11"/>
      <c r="N166" s="11"/>
      <c r="O166" s="11"/>
      <c r="P166" s="11"/>
      <c r="Q166" s="11"/>
      <c r="R166" s="11"/>
      <c r="S166" s="11"/>
      <c r="T166" s="11"/>
      <c r="U166" s="11"/>
      <c r="V166" s="596"/>
      <c r="W166" s="11"/>
      <c r="X166" s="11"/>
      <c r="Y166" s="11"/>
      <c r="Z166" s="11"/>
      <c r="AA166" s="11"/>
      <c r="AB166" s="11"/>
      <c r="AC166" s="11"/>
      <c r="AD166" s="11"/>
      <c r="AE166" s="11"/>
      <c r="AF166" s="596"/>
      <c r="AG166" s="11"/>
      <c r="AH166" s="11"/>
      <c r="AI166" s="11"/>
      <c r="AJ166" s="11"/>
      <c r="AK166" s="11"/>
      <c r="AM166" s="63"/>
      <c r="AN166" s="63"/>
      <c r="AO166" s="63"/>
      <c r="AP166" s="696"/>
      <c r="AQ166" s="63"/>
      <c r="AR166" s="63"/>
      <c r="AS166" s="63"/>
      <c r="AT166" s="63"/>
      <c r="AU166" s="63"/>
      <c r="AV166" s="147"/>
      <c r="AW166" s="250"/>
      <c r="AX166" s="60"/>
      <c r="AY166" s="60"/>
      <c r="AZ166" s="299"/>
      <c r="BA166" s="284"/>
      <c r="BB166" s="284"/>
      <c r="BC166" s="461"/>
      <c r="BD166" s="300"/>
      <c r="BE166" s="300"/>
      <c r="BF166" s="300"/>
      <c r="BG166" s="300"/>
      <c r="BH166" s="300"/>
      <c r="BI166" s="300"/>
      <c r="BJ166" s="871"/>
      <c r="BK166" s="871"/>
      <c r="BL166" s="565"/>
      <c r="BM166" s="565"/>
      <c r="BP166" s="515"/>
      <c r="BQ166" s="320"/>
      <c r="BR166" s="320"/>
    </row>
    <row r="167" spans="1:70" ht="10.5" customHeight="1">
      <c r="A167" s="116" t="s">
        <v>49</v>
      </c>
      <c r="B167" s="593"/>
      <c r="C167" s="25"/>
      <c r="D167" s="25"/>
      <c r="E167" s="25"/>
      <c r="F167" s="25"/>
      <c r="G167" s="25"/>
      <c r="H167" s="25"/>
      <c r="I167" s="25"/>
      <c r="J167" s="25"/>
      <c r="K167" s="25"/>
      <c r="L167" s="596"/>
      <c r="M167" s="11"/>
      <c r="N167" s="11"/>
      <c r="O167" s="11"/>
      <c r="P167" s="11"/>
      <c r="Q167" s="11"/>
      <c r="R167" s="11"/>
      <c r="S167" s="11"/>
      <c r="T167" s="11"/>
      <c r="U167" s="11"/>
      <c r="V167" s="596"/>
      <c r="W167" s="11"/>
      <c r="X167" s="11"/>
      <c r="Y167" s="11"/>
      <c r="Z167" s="11"/>
      <c r="AA167" s="11"/>
      <c r="AB167" s="11"/>
      <c r="AC167" s="11"/>
      <c r="AD167" s="11"/>
      <c r="AE167" s="11"/>
      <c r="AF167" s="596"/>
      <c r="AG167" s="11"/>
      <c r="AH167" s="11"/>
      <c r="AI167" s="11"/>
      <c r="AJ167" s="11"/>
      <c r="AK167" s="11"/>
      <c r="AM167" s="63"/>
      <c r="AN167" s="63"/>
      <c r="AO167" s="63"/>
      <c r="AP167" s="696"/>
      <c r="AQ167" s="63"/>
      <c r="AR167" s="63"/>
      <c r="AS167" s="63"/>
      <c r="AT167" s="63"/>
      <c r="AU167" s="63"/>
      <c r="AV167" s="147"/>
      <c r="AW167" s="250"/>
      <c r="AX167" s="60"/>
      <c r="AY167" s="60"/>
      <c r="AZ167" s="299"/>
      <c r="BA167" s="284"/>
      <c r="BB167" s="284"/>
      <c r="BC167" s="461"/>
      <c r="BD167" s="300"/>
      <c r="BE167" s="300"/>
      <c r="BF167" s="300"/>
      <c r="BG167" s="300"/>
      <c r="BH167" s="300"/>
      <c r="BI167" s="300"/>
      <c r="BJ167" s="871"/>
      <c r="BK167" s="871"/>
      <c r="BL167" s="565"/>
      <c r="BM167" s="565"/>
      <c r="BP167" s="515"/>
      <c r="BQ167" s="320"/>
      <c r="BR167" s="320"/>
    </row>
    <row r="168" spans="1:70" ht="10.5" customHeight="1">
      <c r="A168" s="115" t="s">
        <v>75</v>
      </c>
      <c r="B168" s="695" t="s">
        <v>3</v>
      </c>
      <c r="C168" s="17" t="s">
        <v>3</v>
      </c>
      <c r="D168" s="17" t="s">
        <v>3</v>
      </c>
      <c r="E168" s="17" t="s">
        <v>3</v>
      </c>
      <c r="F168" s="17" t="s">
        <v>3</v>
      </c>
      <c r="G168" s="17" t="s">
        <v>3</v>
      </c>
      <c r="H168" s="17" t="s">
        <v>3</v>
      </c>
      <c r="I168" s="17" t="s">
        <v>3</v>
      </c>
      <c r="J168" s="17" t="s">
        <v>3</v>
      </c>
      <c r="K168" s="17" t="s">
        <v>3</v>
      </c>
      <c r="L168" s="695" t="s">
        <v>3</v>
      </c>
      <c r="M168" s="17" t="s">
        <v>3</v>
      </c>
      <c r="N168" s="17" t="s">
        <v>3</v>
      </c>
      <c r="O168" s="17" t="s">
        <v>3</v>
      </c>
      <c r="P168" s="17" t="s">
        <v>3</v>
      </c>
      <c r="Q168" s="17" t="s">
        <v>3</v>
      </c>
      <c r="R168" s="17" t="s">
        <v>3</v>
      </c>
      <c r="S168" s="17" t="s">
        <v>3</v>
      </c>
      <c r="T168" s="17">
        <v>390</v>
      </c>
      <c r="U168" s="17">
        <v>444</v>
      </c>
      <c r="V168" s="596">
        <v>441</v>
      </c>
      <c r="W168" s="11">
        <v>391</v>
      </c>
      <c r="X168" s="11">
        <v>317</v>
      </c>
      <c r="Y168" s="11">
        <v>266</v>
      </c>
      <c r="Z168" s="11">
        <v>272</v>
      </c>
      <c r="AA168" s="11">
        <v>278</v>
      </c>
      <c r="AB168" s="11">
        <v>282</v>
      </c>
      <c r="AC168" s="11">
        <v>270</v>
      </c>
      <c r="AD168" s="11">
        <v>267</v>
      </c>
      <c r="AE168" s="11">
        <v>257</v>
      </c>
      <c r="AF168" s="596">
        <v>255</v>
      </c>
      <c r="AG168" s="11">
        <v>257</v>
      </c>
      <c r="AH168" s="11">
        <v>271</v>
      </c>
      <c r="AI168" s="11">
        <v>294</v>
      </c>
      <c r="AJ168" s="11">
        <v>293</v>
      </c>
      <c r="AK168" s="11">
        <f>207+1+65</f>
        <v>273</v>
      </c>
      <c r="AL168" s="23">
        <f>183+1+56</f>
        <v>240</v>
      </c>
      <c r="AM168" s="63">
        <v>222</v>
      </c>
      <c r="AN168" s="63">
        <v>227</v>
      </c>
      <c r="AO168" s="63">
        <v>222</v>
      </c>
      <c r="AP168" s="696">
        <v>214</v>
      </c>
      <c r="AQ168" s="63">
        <v>212</v>
      </c>
      <c r="AR168" s="63">
        <v>215</v>
      </c>
      <c r="AS168" s="63">
        <v>220</v>
      </c>
      <c r="AT168" s="63">
        <v>237</v>
      </c>
      <c r="AU168" s="63">
        <v>236</v>
      </c>
      <c r="AV168" s="147">
        <f>95+142</f>
        <v>237</v>
      </c>
      <c r="AW168" s="27">
        <f>93+139</f>
        <v>232</v>
      </c>
      <c r="AX168" s="60">
        <v>241</v>
      </c>
      <c r="AY168" s="60">
        <v>234</v>
      </c>
      <c r="AZ168" s="60">
        <v>235</v>
      </c>
      <c r="BA168" s="284">
        <v>275</v>
      </c>
      <c r="BB168" s="284">
        <v>257</v>
      </c>
      <c r="BC168" s="284">
        <v>255</v>
      </c>
      <c r="BD168" s="305">
        <v>250</v>
      </c>
      <c r="BE168" s="305">
        <f>121+139</f>
        <v>260</v>
      </c>
      <c r="BF168" s="305">
        <f>127+144</f>
        <v>271</v>
      </c>
      <c r="BG168" s="305">
        <f>135+143</f>
        <v>278</v>
      </c>
      <c r="BH168" s="305">
        <f>143+159</f>
        <v>302</v>
      </c>
      <c r="BI168" s="305">
        <f>143+159</f>
        <v>302</v>
      </c>
      <c r="BJ168" s="410">
        <f>(BH168-BG168)/BG168</f>
        <v>8.6330935251798566E-2</v>
      </c>
      <c r="BK168" s="410">
        <f>(BI168-BH168)/BH168</f>
        <v>0</v>
      </c>
      <c r="BL168" s="564">
        <f t="shared" ref="BL168" si="121">(BH168-BG168)</f>
        <v>24</v>
      </c>
      <c r="BM168" s="564">
        <f t="shared" ref="BM168" si="122">(BI168-BH168)</f>
        <v>0</v>
      </c>
      <c r="BP168" s="515"/>
      <c r="BQ168" s="320"/>
      <c r="BR168" s="320"/>
    </row>
    <row r="169" spans="1:70" ht="9.75" customHeight="1">
      <c r="A169" s="115"/>
      <c r="B169" s="695"/>
      <c r="C169" s="25"/>
      <c r="D169" s="25"/>
      <c r="E169" s="25"/>
      <c r="F169" s="25"/>
      <c r="G169" s="25"/>
      <c r="H169" s="25"/>
      <c r="I169" s="25"/>
      <c r="J169" s="25"/>
      <c r="K169" s="25"/>
      <c r="L169" s="596"/>
      <c r="M169" s="11"/>
      <c r="N169" s="11"/>
      <c r="O169" s="11"/>
      <c r="P169" s="11"/>
      <c r="Q169" s="11"/>
      <c r="R169" s="11"/>
      <c r="S169" s="11"/>
      <c r="T169" s="11"/>
      <c r="U169" s="11"/>
      <c r="V169" s="596"/>
      <c r="W169" s="11"/>
      <c r="X169" s="11"/>
      <c r="Y169" s="11"/>
      <c r="Z169" s="11"/>
      <c r="AA169" s="11"/>
      <c r="AB169" s="11"/>
      <c r="AC169" s="11"/>
      <c r="AD169" s="11"/>
      <c r="AE169" s="11"/>
      <c r="AF169" s="596"/>
      <c r="AG169" s="11"/>
      <c r="AH169" s="11"/>
      <c r="AI169" s="11"/>
      <c r="AJ169" s="11"/>
      <c r="AK169" s="11"/>
      <c r="AM169" s="63"/>
      <c r="AN169" s="63"/>
      <c r="AO169" s="63"/>
      <c r="AP169" s="696"/>
      <c r="AQ169" s="63"/>
      <c r="AR169" s="63"/>
      <c r="AS169" s="63"/>
      <c r="AT169" s="63"/>
      <c r="AU169" s="63"/>
      <c r="AV169" s="147"/>
      <c r="AW169" s="250"/>
      <c r="AX169" s="60"/>
      <c r="AY169" s="60"/>
      <c r="AZ169" s="299"/>
      <c r="BA169" s="284"/>
      <c r="BB169" s="284"/>
      <c r="BC169" s="461"/>
      <c r="BD169" s="300"/>
      <c r="BE169" s="300"/>
      <c r="BF169" s="300"/>
      <c r="BG169" s="300"/>
      <c r="BH169" s="300"/>
      <c r="BI169" s="300"/>
      <c r="BJ169" s="871"/>
      <c r="BK169" s="871"/>
      <c r="BL169" s="565"/>
      <c r="BM169" s="565"/>
      <c r="BP169" s="515"/>
      <c r="BQ169" s="320"/>
      <c r="BR169" s="320"/>
    </row>
    <row r="170" spans="1:70" ht="12" customHeight="1">
      <c r="A170" s="116" t="s">
        <v>41</v>
      </c>
      <c r="B170" s="695"/>
      <c r="C170" s="25"/>
      <c r="D170" s="25"/>
      <c r="E170" s="25"/>
      <c r="F170" s="25"/>
      <c r="G170" s="25"/>
      <c r="H170" s="25"/>
      <c r="I170" s="25"/>
      <c r="J170" s="25"/>
      <c r="K170" s="25"/>
      <c r="L170" s="596"/>
      <c r="M170" s="11"/>
      <c r="N170" s="11"/>
      <c r="O170" s="11"/>
      <c r="P170" s="11"/>
      <c r="Q170" s="11"/>
      <c r="R170" s="11"/>
      <c r="S170" s="11"/>
      <c r="T170" s="11"/>
      <c r="U170" s="11"/>
      <c r="V170" s="596"/>
      <c r="W170" s="11"/>
      <c r="X170" s="11"/>
      <c r="Y170" s="11"/>
      <c r="Z170" s="11"/>
      <c r="AA170" s="11"/>
      <c r="AB170" s="11"/>
      <c r="AC170" s="11"/>
      <c r="AD170" s="11"/>
      <c r="AE170" s="11"/>
      <c r="AF170" s="596"/>
      <c r="AG170" s="11"/>
      <c r="AH170" s="11"/>
      <c r="AI170" s="11"/>
      <c r="AJ170" s="11"/>
      <c r="AK170" s="11"/>
      <c r="AM170" s="63"/>
      <c r="AN170" s="63"/>
      <c r="AO170" s="63"/>
      <c r="AP170" s="696"/>
      <c r="AQ170" s="63"/>
      <c r="AR170" s="63"/>
      <c r="AS170" s="63"/>
      <c r="AT170" s="63"/>
      <c r="AU170" s="63"/>
      <c r="AV170" s="147"/>
      <c r="AW170" s="250"/>
      <c r="AX170" s="60"/>
      <c r="AY170" s="60"/>
      <c r="AZ170" s="299"/>
      <c r="BA170" s="284"/>
      <c r="BB170" s="284"/>
      <c r="BC170" s="461"/>
      <c r="BD170" s="300"/>
      <c r="BE170" s="300"/>
      <c r="BF170" s="300"/>
      <c r="BG170" s="300"/>
      <c r="BH170" s="300"/>
      <c r="BI170" s="300"/>
      <c r="BJ170" s="410"/>
      <c r="BK170" s="410"/>
      <c r="BL170" s="566"/>
      <c r="BM170" s="566"/>
      <c r="BP170" s="515"/>
      <c r="BQ170" s="320"/>
      <c r="BR170" s="320"/>
    </row>
    <row r="171" spans="1:70" ht="11.25" customHeight="1">
      <c r="A171" s="119" t="s">
        <v>145</v>
      </c>
      <c r="B171" s="593">
        <v>865</v>
      </c>
      <c r="C171" s="25">
        <v>917</v>
      </c>
      <c r="D171" s="25">
        <v>982</v>
      </c>
      <c r="E171" s="25">
        <v>1204</v>
      </c>
      <c r="F171" s="25">
        <v>1161</v>
      </c>
      <c r="G171" s="25">
        <v>1152</v>
      </c>
      <c r="H171" s="25">
        <v>1154</v>
      </c>
      <c r="I171" s="25">
        <v>1166</v>
      </c>
      <c r="J171" s="25">
        <v>1145</v>
      </c>
      <c r="K171" s="25">
        <v>1152</v>
      </c>
      <c r="L171" s="596">
        <v>1178</v>
      </c>
      <c r="M171" s="11">
        <v>1088</v>
      </c>
      <c r="N171" s="11">
        <v>1130</v>
      </c>
      <c r="O171" s="11">
        <v>1155</v>
      </c>
      <c r="P171" s="11">
        <v>1230</v>
      </c>
      <c r="Q171" s="11">
        <v>1314</v>
      </c>
      <c r="R171" s="11">
        <v>1327</v>
      </c>
      <c r="S171" s="11">
        <v>887</v>
      </c>
      <c r="T171" s="11">
        <v>1177</v>
      </c>
      <c r="U171" s="11">
        <v>1499</v>
      </c>
      <c r="V171" s="596">
        <v>1653</v>
      </c>
      <c r="W171" s="11">
        <v>1637</v>
      </c>
      <c r="X171" s="11">
        <v>1594</v>
      </c>
      <c r="Y171" s="11">
        <v>1586</v>
      </c>
      <c r="Z171" s="11">
        <v>1645</v>
      </c>
      <c r="AA171" s="11">
        <v>1617</v>
      </c>
      <c r="AB171" s="11">
        <v>1597</v>
      </c>
      <c r="AC171" s="11">
        <v>1562</v>
      </c>
      <c r="AD171" s="11">
        <v>1544</v>
      </c>
      <c r="AE171" s="11">
        <v>1497</v>
      </c>
      <c r="AF171" s="596">
        <v>1475</v>
      </c>
      <c r="AG171" s="11">
        <v>1471</v>
      </c>
      <c r="AH171" s="11">
        <v>1498</v>
      </c>
      <c r="AI171" s="11">
        <v>1488</v>
      </c>
      <c r="AJ171" s="11">
        <v>1434</v>
      </c>
      <c r="AK171" s="11">
        <v>1522</v>
      </c>
      <c r="AL171" s="11">
        <v>1374</v>
      </c>
      <c r="AM171" s="63">
        <v>1335</v>
      </c>
      <c r="AN171" s="63">
        <v>1318</v>
      </c>
      <c r="AO171" s="63">
        <v>1299</v>
      </c>
      <c r="AP171" s="696">
        <v>1216</v>
      </c>
      <c r="AQ171" s="63">
        <v>1170</v>
      </c>
      <c r="AR171" s="63">
        <v>1188</v>
      </c>
      <c r="AS171" s="63">
        <v>1218</v>
      </c>
      <c r="AT171" s="63">
        <v>1228</v>
      </c>
      <c r="AU171" s="63">
        <v>1258</v>
      </c>
      <c r="AV171" s="147">
        <v>1263</v>
      </c>
      <c r="AW171" s="27">
        <v>1303</v>
      </c>
      <c r="AX171" s="331">
        <v>1282</v>
      </c>
      <c r="AY171" s="331">
        <v>1396</v>
      </c>
      <c r="AZ171" s="331">
        <v>1452</v>
      </c>
      <c r="BA171" s="284">
        <v>1467</v>
      </c>
      <c r="BB171" s="284">
        <v>1468</v>
      </c>
      <c r="BC171" s="284">
        <v>1451</v>
      </c>
      <c r="BD171" s="305">
        <v>1432</v>
      </c>
      <c r="BE171" s="305">
        <v>1456</v>
      </c>
      <c r="BF171" s="305">
        <v>1472</v>
      </c>
      <c r="BG171" s="305">
        <v>1483</v>
      </c>
      <c r="BH171" s="305">
        <v>1465</v>
      </c>
      <c r="BI171" s="305">
        <v>1465</v>
      </c>
      <c r="BJ171" s="410">
        <f>(BH171-BG171)/BG171</f>
        <v>-1.2137559002022926E-2</v>
      </c>
      <c r="BK171" s="410">
        <f>(BI171-BH171)/BH171</f>
        <v>0</v>
      </c>
      <c r="BL171" s="564">
        <f t="shared" ref="BL171" si="123">(BH171-BG171)</f>
        <v>-18</v>
      </c>
      <c r="BM171" s="564">
        <f t="shared" ref="BM171" si="124">(BI171-BH171)</f>
        <v>0</v>
      </c>
      <c r="BP171" s="515"/>
      <c r="BQ171" s="320"/>
      <c r="BR171" s="320"/>
    </row>
    <row r="172" spans="1:70" ht="12" customHeight="1">
      <c r="A172" s="119" t="s">
        <v>146</v>
      </c>
      <c r="B172" s="695" t="s">
        <v>3</v>
      </c>
      <c r="C172" s="17" t="s">
        <v>3</v>
      </c>
      <c r="D172" s="17" t="s">
        <v>3</v>
      </c>
      <c r="E172" s="17" t="s">
        <v>3</v>
      </c>
      <c r="F172" s="17" t="s">
        <v>3</v>
      </c>
      <c r="G172" s="17" t="s">
        <v>3</v>
      </c>
      <c r="H172" s="17" t="s">
        <v>3</v>
      </c>
      <c r="I172" s="17" t="s">
        <v>3</v>
      </c>
      <c r="J172" s="17" t="s">
        <v>3</v>
      </c>
      <c r="K172" s="17" t="s">
        <v>3</v>
      </c>
      <c r="L172" s="695" t="s">
        <v>3</v>
      </c>
      <c r="M172" s="17" t="s">
        <v>3</v>
      </c>
      <c r="N172" s="17" t="s">
        <v>3</v>
      </c>
      <c r="O172" s="17" t="s">
        <v>3</v>
      </c>
      <c r="P172" s="11">
        <v>596</v>
      </c>
      <c r="Q172" s="11">
        <v>3148</v>
      </c>
      <c r="R172" s="11">
        <v>3371</v>
      </c>
      <c r="S172" s="11">
        <v>319</v>
      </c>
      <c r="T172" s="11">
        <v>1816</v>
      </c>
      <c r="U172" s="11">
        <v>1878</v>
      </c>
      <c r="V172" s="596">
        <v>2255</v>
      </c>
      <c r="W172" s="11">
        <f>1637+39</f>
        <v>1676</v>
      </c>
      <c r="X172" s="11">
        <v>876</v>
      </c>
      <c r="Y172" s="11">
        <v>600</v>
      </c>
      <c r="Z172" s="11">
        <v>434</v>
      </c>
      <c r="AA172" s="11">
        <v>350</v>
      </c>
      <c r="AB172" s="11">
        <v>348</v>
      </c>
      <c r="AC172" s="11">
        <v>288</v>
      </c>
      <c r="AD172" s="11">
        <v>223</v>
      </c>
      <c r="AE172" s="11">
        <v>253</v>
      </c>
      <c r="AF172" s="596">
        <v>184</v>
      </c>
      <c r="AG172" s="11">
        <v>162</v>
      </c>
      <c r="AH172" s="11">
        <v>154</v>
      </c>
      <c r="AI172" s="11">
        <v>145</v>
      </c>
      <c r="AJ172" s="11">
        <v>135</v>
      </c>
      <c r="AK172" s="11">
        <v>112</v>
      </c>
      <c r="AL172" s="11">
        <v>82</v>
      </c>
      <c r="AM172" s="63">
        <v>69</v>
      </c>
      <c r="AN172" s="63">
        <v>22</v>
      </c>
      <c r="AO172" s="63">
        <v>26</v>
      </c>
      <c r="AP172" s="696">
        <v>18</v>
      </c>
      <c r="AQ172" s="63">
        <v>19</v>
      </c>
      <c r="AR172" s="63">
        <v>11</v>
      </c>
      <c r="AS172" s="63">
        <v>8</v>
      </c>
      <c r="AT172" s="63">
        <v>5</v>
      </c>
      <c r="AU172" s="147" t="s">
        <v>3</v>
      </c>
      <c r="AV172" s="147" t="s">
        <v>3</v>
      </c>
      <c r="AW172" s="27" t="s">
        <v>3</v>
      </c>
      <c r="AX172" s="60" t="s">
        <v>3</v>
      </c>
      <c r="AY172" s="60" t="s">
        <v>3</v>
      </c>
      <c r="AZ172" s="60" t="s">
        <v>3</v>
      </c>
      <c r="BA172" s="284" t="s">
        <v>3</v>
      </c>
      <c r="BB172" s="284" t="s">
        <v>3</v>
      </c>
      <c r="BC172" s="284" t="s">
        <v>3</v>
      </c>
      <c r="BD172" s="305" t="s">
        <v>3</v>
      </c>
      <c r="BE172" s="305" t="s">
        <v>3</v>
      </c>
      <c r="BF172" s="305" t="s">
        <v>3</v>
      </c>
      <c r="BG172" s="305" t="s">
        <v>3</v>
      </c>
      <c r="BH172" s="305" t="s">
        <v>3</v>
      </c>
      <c r="BI172" s="305" t="s">
        <v>3</v>
      </c>
      <c r="BJ172" s="878" t="s">
        <v>10</v>
      </c>
      <c r="BK172" s="878" t="s">
        <v>10</v>
      </c>
      <c r="BL172" s="565"/>
      <c r="BM172" s="565"/>
      <c r="BP172" s="515"/>
      <c r="BQ172" s="320"/>
      <c r="BR172" s="320"/>
    </row>
    <row r="173" spans="1:70" ht="12" customHeight="1">
      <c r="A173" s="393" t="s">
        <v>31</v>
      </c>
      <c r="B173" s="974">
        <f>SUM(B171:B172)</f>
        <v>865</v>
      </c>
      <c r="C173" s="140">
        <f t="shared" ref="C173:BI173" si="125">SUM(C171:C172)</f>
        <v>917</v>
      </c>
      <c r="D173" s="140">
        <f t="shared" si="125"/>
        <v>982</v>
      </c>
      <c r="E173" s="140">
        <f t="shared" si="125"/>
        <v>1204</v>
      </c>
      <c r="F173" s="140">
        <f t="shared" si="125"/>
        <v>1161</v>
      </c>
      <c r="G173" s="140">
        <f t="shared" si="125"/>
        <v>1152</v>
      </c>
      <c r="H173" s="140">
        <f t="shared" si="125"/>
        <v>1154</v>
      </c>
      <c r="I173" s="140">
        <f t="shared" si="125"/>
        <v>1166</v>
      </c>
      <c r="J173" s="140">
        <f t="shared" si="125"/>
        <v>1145</v>
      </c>
      <c r="K173" s="140">
        <f t="shared" si="125"/>
        <v>1152</v>
      </c>
      <c r="L173" s="974">
        <f t="shared" si="125"/>
        <v>1178</v>
      </c>
      <c r="M173" s="140">
        <f t="shared" si="125"/>
        <v>1088</v>
      </c>
      <c r="N173" s="140">
        <f t="shared" si="125"/>
        <v>1130</v>
      </c>
      <c r="O173" s="140">
        <f t="shared" si="125"/>
        <v>1155</v>
      </c>
      <c r="P173" s="140">
        <f t="shared" si="125"/>
        <v>1826</v>
      </c>
      <c r="Q173" s="140">
        <f t="shared" si="125"/>
        <v>4462</v>
      </c>
      <c r="R173" s="140">
        <f t="shared" si="125"/>
        <v>4698</v>
      </c>
      <c r="S173" s="140">
        <f t="shared" si="125"/>
        <v>1206</v>
      </c>
      <c r="T173" s="140">
        <f t="shared" si="125"/>
        <v>2993</v>
      </c>
      <c r="U173" s="140">
        <f t="shared" si="125"/>
        <v>3377</v>
      </c>
      <c r="V173" s="974">
        <f t="shared" si="125"/>
        <v>3908</v>
      </c>
      <c r="W173" s="140">
        <f t="shared" si="125"/>
        <v>3313</v>
      </c>
      <c r="X173" s="140">
        <f t="shared" si="125"/>
        <v>2470</v>
      </c>
      <c r="Y173" s="140">
        <f t="shared" si="125"/>
        <v>2186</v>
      </c>
      <c r="Z173" s="140">
        <f t="shared" si="125"/>
        <v>2079</v>
      </c>
      <c r="AA173" s="140">
        <f t="shared" si="125"/>
        <v>1967</v>
      </c>
      <c r="AB173" s="140">
        <f t="shared" si="125"/>
        <v>1945</v>
      </c>
      <c r="AC173" s="140">
        <f t="shared" si="125"/>
        <v>1850</v>
      </c>
      <c r="AD173" s="140">
        <f t="shared" si="125"/>
        <v>1767</v>
      </c>
      <c r="AE173" s="140">
        <f t="shared" si="125"/>
        <v>1750</v>
      </c>
      <c r="AF173" s="974">
        <f t="shared" si="125"/>
        <v>1659</v>
      </c>
      <c r="AG173" s="140">
        <f t="shared" si="125"/>
        <v>1633</v>
      </c>
      <c r="AH173" s="140">
        <f t="shared" si="125"/>
        <v>1652</v>
      </c>
      <c r="AI173" s="140">
        <f t="shared" si="125"/>
        <v>1633</v>
      </c>
      <c r="AJ173" s="140">
        <f t="shared" si="125"/>
        <v>1569</v>
      </c>
      <c r="AK173" s="140">
        <f t="shared" si="125"/>
        <v>1634</v>
      </c>
      <c r="AL173" s="140">
        <f t="shared" si="125"/>
        <v>1456</v>
      </c>
      <c r="AM173" s="140">
        <f t="shared" si="125"/>
        <v>1404</v>
      </c>
      <c r="AN173" s="140">
        <f t="shared" si="125"/>
        <v>1340</v>
      </c>
      <c r="AO173" s="140">
        <f t="shared" si="125"/>
        <v>1325</v>
      </c>
      <c r="AP173" s="974">
        <f t="shared" si="125"/>
        <v>1234</v>
      </c>
      <c r="AQ173" s="140">
        <f t="shared" si="125"/>
        <v>1189</v>
      </c>
      <c r="AR173" s="140">
        <f t="shared" si="125"/>
        <v>1199</v>
      </c>
      <c r="AS173" s="140">
        <f t="shared" si="125"/>
        <v>1226</v>
      </c>
      <c r="AT173" s="140">
        <f t="shared" si="125"/>
        <v>1233</v>
      </c>
      <c r="AU173" s="140">
        <f t="shared" si="125"/>
        <v>1258</v>
      </c>
      <c r="AV173" s="140">
        <f t="shared" si="125"/>
        <v>1263</v>
      </c>
      <c r="AW173" s="140">
        <f t="shared" si="125"/>
        <v>1303</v>
      </c>
      <c r="AX173" s="140">
        <f t="shared" si="125"/>
        <v>1282</v>
      </c>
      <c r="AY173" s="140">
        <f t="shared" si="125"/>
        <v>1396</v>
      </c>
      <c r="AZ173" s="140">
        <f t="shared" si="125"/>
        <v>1452</v>
      </c>
      <c r="BA173" s="140">
        <f t="shared" si="125"/>
        <v>1467</v>
      </c>
      <c r="BB173" s="383">
        <f t="shared" si="125"/>
        <v>1468</v>
      </c>
      <c r="BC173" s="383">
        <f t="shared" si="125"/>
        <v>1451</v>
      </c>
      <c r="BD173" s="384">
        <f t="shared" si="125"/>
        <v>1432</v>
      </c>
      <c r="BE173" s="384">
        <f t="shared" si="125"/>
        <v>1456</v>
      </c>
      <c r="BF173" s="384">
        <f t="shared" si="125"/>
        <v>1472</v>
      </c>
      <c r="BG173" s="384">
        <f t="shared" si="125"/>
        <v>1483</v>
      </c>
      <c r="BH173" s="384">
        <f t="shared" si="125"/>
        <v>1465</v>
      </c>
      <c r="BI173" s="384">
        <f t="shared" si="125"/>
        <v>1465</v>
      </c>
      <c r="BJ173" s="872">
        <f>(BH173-BG173)/BG173</f>
        <v>-1.2137559002022926E-2</v>
      </c>
      <c r="BK173" s="872">
        <f>(BI173-BH173)/BH173</f>
        <v>0</v>
      </c>
      <c r="BL173" s="567">
        <f>BH173-BG173</f>
        <v>-18</v>
      </c>
      <c r="BM173" s="567">
        <f>BI173-BH173</f>
        <v>0</v>
      </c>
      <c r="BP173" s="515"/>
      <c r="BQ173" s="320"/>
      <c r="BR173" s="320"/>
    </row>
    <row r="174" spans="1:70" ht="6" customHeight="1">
      <c r="A174" s="115"/>
      <c r="B174" s="593"/>
      <c r="C174" s="25"/>
      <c r="D174" s="25"/>
      <c r="E174" s="25"/>
      <c r="F174" s="25"/>
      <c r="G174" s="25"/>
      <c r="H174" s="25"/>
      <c r="I174" s="25"/>
      <c r="J174" s="25"/>
      <c r="K174" s="25"/>
      <c r="L174" s="596"/>
      <c r="M174" s="11"/>
      <c r="N174" s="11"/>
      <c r="O174" s="11"/>
      <c r="P174" s="11"/>
      <c r="Q174" s="11"/>
      <c r="R174" s="11"/>
      <c r="S174" s="11"/>
      <c r="T174" s="11"/>
      <c r="U174" s="11"/>
      <c r="V174" s="596"/>
      <c r="W174" s="11"/>
      <c r="X174" s="11"/>
      <c r="Y174" s="11"/>
      <c r="Z174" s="11"/>
      <c r="AA174" s="11"/>
      <c r="AB174" s="11"/>
      <c r="AC174" s="11"/>
      <c r="AD174" s="11"/>
      <c r="AE174" s="11"/>
      <c r="AF174" s="596"/>
      <c r="AG174" s="11"/>
      <c r="AH174" s="11"/>
      <c r="AI174" s="11"/>
      <c r="AJ174" s="11"/>
      <c r="AK174" s="11"/>
      <c r="AM174" s="63"/>
      <c r="AN174" s="63"/>
      <c r="AO174" s="63"/>
      <c r="AP174" s="696"/>
      <c r="AQ174" s="63"/>
      <c r="AR174" s="63"/>
      <c r="AS174" s="63"/>
      <c r="AT174" s="63"/>
      <c r="AU174" s="63"/>
      <c r="AV174" s="147"/>
      <c r="AW174" s="250"/>
      <c r="AX174" s="60"/>
      <c r="AY174" s="60"/>
      <c r="AZ174" s="299"/>
      <c r="BA174" s="284"/>
      <c r="BB174" s="284"/>
      <c r="BC174" s="461"/>
      <c r="BD174" s="300"/>
      <c r="BE174" s="300"/>
      <c r="BF174" s="300"/>
      <c r="BG174" s="300"/>
      <c r="BH174" s="300"/>
      <c r="BI174" s="300"/>
      <c r="BJ174" s="871"/>
      <c r="BK174" s="871"/>
      <c r="BL174" s="565"/>
      <c r="BM174" s="565"/>
      <c r="BP174" s="515"/>
      <c r="BQ174" s="320"/>
      <c r="BR174" s="320"/>
    </row>
    <row r="175" spans="1:70" ht="9.75" customHeight="1">
      <c r="A175" s="116" t="s">
        <v>76</v>
      </c>
      <c r="B175" s="593"/>
      <c r="C175" s="25"/>
      <c r="D175" s="25"/>
      <c r="E175" s="25"/>
      <c r="F175" s="25"/>
      <c r="G175" s="25"/>
      <c r="H175" s="25"/>
      <c r="I175" s="25"/>
      <c r="J175" s="25"/>
      <c r="K175" s="25"/>
      <c r="L175" s="593"/>
      <c r="M175" s="25"/>
      <c r="N175" s="25"/>
      <c r="O175" s="25"/>
      <c r="P175" s="25"/>
      <c r="Q175" s="25"/>
      <c r="R175" s="25"/>
      <c r="S175" s="25"/>
      <c r="T175" s="25"/>
      <c r="U175" s="25"/>
      <c r="V175" s="593"/>
      <c r="W175" s="25"/>
      <c r="X175" s="25"/>
      <c r="Y175" s="25"/>
      <c r="Z175" s="25"/>
      <c r="AA175" s="25"/>
      <c r="AB175" s="25"/>
      <c r="AC175" s="25"/>
      <c r="AD175" s="25"/>
      <c r="AE175" s="25"/>
      <c r="AF175" s="593"/>
      <c r="AG175" s="25"/>
      <c r="AH175" s="25"/>
      <c r="AI175" s="25"/>
      <c r="AJ175" s="25"/>
      <c r="AK175" s="25"/>
      <c r="AL175" s="25"/>
      <c r="AM175" s="25"/>
      <c r="AN175" s="25"/>
      <c r="AO175" s="25"/>
      <c r="AP175" s="593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593"/>
      <c r="BG175" s="593"/>
      <c r="BH175" s="593"/>
      <c r="BI175" s="593"/>
      <c r="BJ175" s="871"/>
      <c r="BK175" s="871"/>
      <c r="BL175" s="565"/>
      <c r="BM175" s="565"/>
      <c r="BP175" s="515"/>
      <c r="BQ175" s="320"/>
      <c r="BR175" s="320"/>
    </row>
    <row r="176" spans="1:70" ht="10.5" customHeight="1">
      <c r="A176" s="115" t="s">
        <v>77</v>
      </c>
      <c r="B176" s="810" t="s">
        <v>3</v>
      </c>
      <c r="C176" s="45" t="s">
        <v>3</v>
      </c>
      <c r="D176" s="45" t="s">
        <v>3</v>
      </c>
      <c r="E176" s="45" t="s">
        <v>3</v>
      </c>
      <c r="F176" s="45" t="s">
        <v>3</v>
      </c>
      <c r="G176" s="45" t="s">
        <v>3</v>
      </c>
      <c r="H176" s="45" t="s">
        <v>3</v>
      </c>
      <c r="I176" s="45" t="s">
        <v>3</v>
      </c>
      <c r="J176" s="45" t="s">
        <v>3</v>
      </c>
      <c r="K176" s="45" t="s">
        <v>3</v>
      </c>
      <c r="L176" s="810" t="s">
        <v>3</v>
      </c>
      <c r="M176" s="45" t="s">
        <v>3</v>
      </c>
      <c r="N176" s="45" t="s">
        <v>3</v>
      </c>
      <c r="O176" s="45" t="s">
        <v>3</v>
      </c>
      <c r="P176" s="45" t="s">
        <v>3</v>
      </c>
      <c r="Q176" s="45" t="s">
        <v>3</v>
      </c>
      <c r="R176" s="45" t="s">
        <v>3</v>
      </c>
      <c r="S176" s="45" t="s">
        <v>3</v>
      </c>
      <c r="T176" s="45" t="s">
        <v>3</v>
      </c>
      <c r="U176" s="45" t="s">
        <v>3</v>
      </c>
      <c r="V176" s="810" t="s">
        <v>3</v>
      </c>
      <c r="W176" s="45" t="s">
        <v>3</v>
      </c>
      <c r="X176" s="45" t="s">
        <v>3</v>
      </c>
      <c r="Y176" s="45" t="s">
        <v>3</v>
      </c>
      <c r="Z176" s="45" t="s">
        <v>3</v>
      </c>
      <c r="AA176" s="45" t="s">
        <v>3</v>
      </c>
      <c r="AB176" s="45" t="s">
        <v>3</v>
      </c>
      <c r="AC176" s="45" t="s">
        <v>3</v>
      </c>
      <c r="AD176" s="45" t="s">
        <v>3</v>
      </c>
      <c r="AE176" s="45" t="s">
        <v>3</v>
      </c>
      <c r="AF176" s="245">
        <v>2</v>
      </c>
      <c r="AG176" s="11">
        <v>7</v>
      </c>
      <c r="AH176" s="11">
        <v>12</v>
      </c>
      <c r="AI176" s="11">
        <v>18</v>
      </c>
      <c r="AJ176" s="11">
        <v>26</v>
      </c>
      <c r="AK176" s="11">
        <v>28</v>
      </c>
      <c r="AL176" s="23">
        <v>31</v>
      </c>
      <c r="AM176" s="63">
        <f>13+22</f>
        <v>35</v>
      </c>
      <c r="AN176" s="63">
        <f>13+25</f>
        <v>38</v>
      </c>
      <c r="AO176" s="63">
        <v>47</v>
      </c>
      <c r="AP176" s="696">
        <v>71</v>
      </c>
      <c r="AQ176" s="63">
        <v>74</v>
      </c>
      <c r="AR176" s="63">
        <v>67</v>
      </c>
      <c r="AS176" s="63">
        <v>63</v>
      </c>
      <c r="AT176" s="63">
        <v>71</v>
      </c>
      <c r="AU176" s="63">
        <v>77</v>
      </c>
      <c r="AV176" s="147">
        <v>86</v>
      </c>
      <c r="AW176" s="27">
        <v>96</v>
      </c>
      <c r="AX176" s="228">
        <v>103</v>
      </c>
      <c r="AY176" s="228">
        <v>107</v>
      </c>
      <c r="AZ176" s="228">
        <v>112</v>
      </c>
      <c r="BA176" s="305">
        <v>112</v>
      </c>
      <c r="BB176" s="305">
        <v>100</v>
      </c>
      <c r="BC176" s="305">
        <f>1+96</f>
        <v>97</v>
      </c>
      <c r="BD176" s="305">
        <v>97</v>
      </c>
      <c r="BE176" s="305">
        <v>98</v>
      </c>
      <c r="BF176" s="305">
        <v>102</v>
      </c>
      <c r="BG176" s="305">
        <v>113</v>
      </c>
      <c r="BH176" s="305">
        <v>129</v>
      </c>
      <c r="BI176" s="305">
        <v>132</v>
      </c>
      <c r="BJ176" s="410">
        <f>(BH176-BG176)/BG176</f>
        <v>0.1415929203539823</v>
      </c>
      <c r="BK176" s="410">
        <f>(BI176-BH176)/BH176</f>
        <v>2.3255813953488372E-2</v>
      </c>
      <c r="BL176" s="564">
        <f t="shared" ref="BL176" si="126">(BH176-BG176)</f>
        <v>16</v>
      </c>
      <c r="BM176" s="564">
        <f t="shared" ref="BM176" si="127">(BI176-BH176)</f>
        <v>3</v>
      </c>
      <c r="BP176" s="515"/>
      <c r="BQ176" s="320"/>
      <c r="BR176" s="320"/>
    </row>
    <row r="177" spans="1:70" ht="9.75" customHeight="1">
      <c r="A177" s="115"/>
      <c r="B177" s="593"/>
      <c r="C177" s="25"/>
      <c r="D177" s="25"/>
      <c r="E177" s="25"/>
      <c r="F177" s="25"/>
      <c r="G177" s="25"/>
      <c r="H177" s="25"/>
      <c r="I177" s="25"/>
      <c r="J177" s="25"/>
      <c r="K177" s="25"/>
      <c r="L177" s="596"/>
      <c r="M177" s="11"/>
      <c r="N177" s="11"/>
      <c r="O177" s="11"/>
      <c r="P177" s="11"/>
      <c r="Q177" s="11"/>
      <c r="R177" s="11"/>
      <c r="S177" s="11"/>
      <c r="T177" s="11"/>
      <c r="U177" s="11"/>
      <c r="V177" s="596"/>
      <c r="W177" s="11"/>
      <c r="X177" s="11"/>
      <c r="Y177" s="11"/>
      <c r="Z177" s="11"/>
      <c r="AA177" s="11"/>
      <c r="AB177" s="11"/>
      <c r="AC177" s="11"/>
      <c r="AD177" s="11"/>
      <c r="AE177" s="11"/>
      <c r="AF177" s="596"/>
      <c r="AG177" s="11"/>
      <c r="AH177" s="11"/>
      <c r="AI177" s="11"/>
      <c r="AJ177" s="11"/>
      <c r="AK177" s="11"/>
      <c r="AM177" s="63"/>
      <c r="AN177" s="63"/>
      <c r="AO177" s="63"/>
      <c r="AP177" s="696"/>
      <c r="AQ177" s="63"/>
      <c r="AR177" s="63"/>
      <c r="AS177" s="63"/>
      <c r="AT177" s="63"/>
      <c r="AU177" s="63"/>
      <c r="AV177" s="147"/>
      <c r="AW177" s="250"/>
      <c r="AX177" s="60"/>
      <c r="AY177" s="60"/>
      <c r="AZ177" s="299"/>
      <c r="BA177" s="284"/>
      <c r="BB177" s="284"/>
      <c r="BC177" s="461"/>
      <c r="BD177" s="300"/>
      <c r="BE177" s="300"/>
      <c r="BF177" s="300"/>
      <c r="BJ177" s="871"/>
      <c r="BK177" s="871"/>
      <c r="BL177" s="565"/>
      <c r="BM177" s="565"/>
      <c r="BP177" s="515"/>
      <c r="BQ177" s="320"/>
      <c r="BR177" s="320"/>
    </row>
    <row r="178" spans="1:70" ht="11.25" customHeight="1">
      <c r="A178" s="119" t="s">
        <v>147</v>
      </c>
      <c r="B178" s="593">
        <v>764</v>
      </c>
      <c r="C178" s="25">
        <v>803</v>
      </c>
      <c r="D178" s="25">
        <v>875</v>
      </c>
      <c r="E178" s="25">
        <v>889</v>
      </c>
      <c r="F178" s="25">
        <v>889</v>
      </c>
      <c r="G178" s="25">
        <v>855</v>
      </c>
      <c r="H178" s="25">
        <v>628</v>
      </c>
      <c r="I178" s="25">
        <v>660</v>
      </c>
      <c r="J178" s="25">
        <v>678</v>
      </c>
      <c r="K178" s="25">
        <v>677</v>
      </c>
      <c r="L178" s="596">
        <v>692</v>
      </c>
      <c r="M178" s="11">
        <v>664</v>
      </c>
      <c r="N178" s="11">
        <v>667</v>
      </c>
      <c r="O178" s="11">
        <v>670</v>
      </c>
      <c r="P178" s="11">
        <v>688</v>
      </c>
      <c r="Q178" s="11">
        <v>717</v>
      </c>
      <c r="R178" s="11">
        <v>752</v>
      </c>
      <c r="S178" s="11">
        <v>790</v>
      </c>
      <c r="T178" s="11">
        <v>807</v>
      </c>
      <c r="U178" s="11">
        <v>804</v>
      </c>
      <c r="V178" s="596">
        <v>778</v>
      </c>
      <c r="W178" s="11">
        <v>711</v>
      </c>
      <c r="X178" s="11">
        <v>569</v>
      </c>
      <c r="Y178" s="11">
        <v>479</v>
      </c>
      <c r="Z178" s="11">
        <v>403</v>
      </c>
      <c r="AA178" s="11">
        <v>90</v>
      </c>
      <c r="AB178" s="45" t="s">
        <v>3</v>
      </c>
      <c r="AC178" s="17" t="s">
        <v>3</v>
      </c>
      <c r="AD178" s="17" t="s">
        <v>3</v>
      </c>
      <c r="AE178" s="17" t="s">
        <v>3</v>
      </c>
      <c r="AF178" s="695" t="s">
        <v>3</v>
      </c>
      <c r="AG178" s="17" t="s">
        <v>3</v>
      </c>
      <c r="AH178" s="17" t="s">
        <v>3</v>
      </c>
      <c r="AI178" s="17" t="s">
        <v>3</v>
      </c>
      <c r="AJ178" s="17" t="s">
        <v>3</v>
      </c>
      <c r="AK178" s="17" t="s">
        <v>3</v>
      </c>
      <c r="AL178" s="17" t="s">
        <v>3</v>
      </c>
      <c r="AM178" s="17" t="s">
        <v>3</v>
      </c>
      <c r="AN178" s="17" t="s">
        <v>3</v>
      </c>
      <c r="AO178" s="17" t="s">
        <v>3</v>
      </c>
      <c r="AP178" s="695" t="s">
        <v>3</v>
      </c>
      <c r="AQ178" s="17" t="s">
        <v>3</v>
      </c>
      <c r="AR178" s="17" t="s">
        <v>3</v>
      </c>
      <c r="AS178" s="17" t="s">
        <v>3</v>
      </c>
      <c r="AT178" s="17" t="s">
        <v>3</v>
      </c>
      <c r="AU178" s="17" t="s">
        <v>3</v>
      </c>
      <c r="AV178" s="17" t="s">
        <v>3</v>
      </c>
      <c r="AW178" s="17" t="s">
        <v>3</v>
      </c>
      <c r="AX178" s="17" t="s">
        <v>3</v>
      </c>
      <c r="AY178" s="17" t="s">
        <v>3</v>
      </c>
      <c r="AZ178" s="27" t="s">
        <v>3</v>
      </c>
      <c r="BA178" s="360" t="s">
        <v>3</v>
      </c>
      <c r="BB178" s="360" t="s">
        <v>3</v>
      </c>
      <c r="BC178" s="360" t="s">
        <v>3</v>
      </c>
      <c r="BD178" s="417" t="s">
        <v>3</v>
      </c>
      <c r="BE178" s="417" t="s">
        <v>3</v>
      </c>
      <c r="BF178" s="417" t="s">
        <v>3</v>
      </c>
      <c r="BG178" s="417" t="s">
        <v>3</v>
      </c>
      <c r="BH178" s="305" t="s">
        <v>3</v>
      </c>
      <c r="BI178" s="305" t="s">
        <v>3</v>
      </c>
      <c r="BJ178" s="874" t="s">
        <v>10</v>
      </c>
      <c r="BK178" s="874" t="s">
        <v>10</v>
      </c>
      <c r="BL178" s="566"/>
      <c r="BM178" s="566"/>
      <c r="BP178" s="515"/>
      <c r="BQ178" s="320"/>
      <c r="BR178" s="320"/>
    </row>
    <row r="179" spans="1:70" ht="6" customHeight="1">
      <c r="A179" s="115"/>
      <c r="B179" s="593"/>
      <c r="C179" s="25"/>
      <c r="D179" s="25"/>
      <c r="E179" s="25"/>
      <c r="F179" s="25"/>
      <c r="G179" s="25"/>
      <c r="H179" s="25"/>
      <c r="I179" s="25"/>
      <c r="J179" s="25"/>
      <c r="K179" s="25"/>
      <c r="L179" s="596"/>
      <c r="M179" s="11"/>
      <c r="N179" s="11"/>
      <c r="O179" s="11"/>
      <c r="P179" s="11"/>
      <c r="Q179" s="11"/>
      <c r="R179" s="11"/>
      <c r="S179" s="11"/>
      <c r="T179" s="11"/>
      <c r="U179" s="11"/>
      <c r="V179" s="596"/>
      <c r="W179" s="11"/>
      <c r="X179" s="11"/>
      <c r="Y179" s="11"/>
      <c r="Z179" s="11"/>
      <c r="AA179" s="11"/>
      <c r="AB179" s="11"/>
      <c r="AC179" s="11"/>
      <c r="AD179" s="11"/>
      <c r="AE179" s="11"/>
      <c r="AF179" s="596"/>
      <c r="AG179" s="11"/>
      <c r="AH179" s="11"/>
      <c r="AI179" s="11"/>
      <c r="AJ179" s="11"/>
      <c r="AK179" s="11"/>
      <c r="AM179" s="63"/>
      <c r="AN179" s="63"/>
      <c r="AO179" s="63"/>
      <c r="AP179" s="696"/>
      <c r="AQ179" s="63"/>
      <c r="AR179" s="63"/>
      <c r="AS179" s="63"/>
      <c r="AT179" s="63"/>
      <c r="AU179" s="63"/>
      <c r="AV179" s="147"/>
      <c r="AW179" s="250"/>
      <c r="AX179" s="60"/>
      <c r="AY179" s="60"/>
      <c r="AZ179" s="299"/>
      <c r="BA179" s="284"/>
      <c r="BB179" s="284"/>
      <c r="BC179" s="461"/>
      <c r="BD179" s="300"/>
      <c r="BE179" s="300"/>
      <c r="BF179" s="300"/>
      <c r="BG179" s="300"/>
      <c r="BH179" s="300"/>
      <c r="BI179" s="300"/>
      <c r="BJ179" s="410"/>
      <c r="BK179" s="410"/>
      <c r="BL179" s="566"/>
      <c r="BM179" s="566"/>
      <c r="BP179" s="515"/>
      <c r="BQ179" s="320"/>
      <c r="BR179" s="320"/>
    </row>
    <row r="180" spans="1:70" ht="11.25" customHeight="1">
      <c r="A180" s="119" t="s">
        <v>148</v>
      </c>
      <c r="B180" s="593">
        <v>128</v>
      </c>
      <c r="C180" s="25">
        <v>131</v>
      </c>
      <c r="D180" s="25">
        <v>130</v>
      </c>
      <c r="E180" s="25">
        <v>124</v>
      </c>
      <c r="F180" s="25">
        <v>122</v>
      </c>
      <c r="G180" s="25">
        <v>126</v>
      </c>
      <c r="H180" s="25">
        <v>127</v>
      </c>
      <c r="I180" s="25">
        <v>140</v>
      </c>
      <c r="J180" s="25">
        <v>153</v>
      </c>
      <c r="K180" s="25">
        <v>155</v>
      </c>
      <c r="L180" s="596">
        <v>180</v>
      </c>
      <c r="M180" s="11">
        <v>168</v>
      </c>
      <c r="N180" s="11">
        <v>169</v>
      </c>
      <c r="O180" s="11">
        <v>167</v>
      </c>
      <c r="P180" s="11">
        <v>150</v>
      </c>
      <c r="Q180" s="11">
        <v>497</v>
      </c>
      <c r="R180" s="11">
        <v>373</v>
      </c>
      <c r="S180" s="11">
        <v>463</v>
      </c>
      <c r="T180" s="11">
        <v>459</v>
      </c>
      <c r="U180" s="11">
        <v>474</v>
      </c>
      <c r="V180" s="596">
        <v>459</v>
      </c>
      <c r="W180" s="11">
        <v>479</v>
      </c>
      <c r="X180" s="11">
        <v>480</v>
      </c>
      <c r="Y180" s="11">
        <v>485</v>
      </c>
      <c r="Z180" s="11">
        <v>492</v>
      </c>
      <c r="AA180" s="11">
        <v>512</v>
      </c>
      <c r="AB180" s="11">
        <v>480</v>
      </c>
      <c r="AC180" s="11">
        <v>491</v>
      </c>
      <c r="AD180" s="11">
        <v>510</v>
      </c>
      <c r="AE180" s="11">
        <v>529</v>
      </c>
      <c r="AF180" s="596">
        <v>527</v>
      </c>
      <c r="AG180" s="11">
        <v>551</v>
      </c>
      <c r="AH180" s="11">
        <v>592</v>
      </c>
      <c r="AI180" s="11">
        <v>562</v>
      </c>
      <c r="AJ180" s="11">
        <v>543</v>
      </c>
      <c r="AK180" s="11">
        <v>542</v>
      </c>
      <c r="AL180" s="74">
        <v>541</v>
      </c>
      <c r="AM180" s="74">
        <v>553</v>
      </c>
      <c r="AN180" s="74">
        <v>560</v>
      </c>
      <c r="AO180" s="74">
        <v>567</v>
      </c>
      <c r="AP180" s="996">
        <v>556</v>
      </c>
      <c r="AQ180" s="74">
        <v>546</v>
      </c>
      <c r="AR180" s="74">
        <v>488</v>
      </c>
      <c r="AS180" s="74">
        <v>521</v>
      </c>
      <c r="AT180" s="74">
        <v>517</v>
      </c>
      <c r="AU180" s="74">
        <v>487</v>
      </c>
      <c r="AV180" s="229">
        <v>493</v>
      </c>
      <c r="AW180" s="230">
        <v>437</v>
      </c>
      <c r="AX180" s="60">
        <v>449</v>
      </c>
      <c r="AY180" s="60">
        <v>498</v>
      </c>
      <c r="AZ180" s="60">
        <v>605</v>
      </c>
      <c r="BA180" s="284">
        <v>666</v>
      </c>
      <c r="BB180" s="284">
        <v>687</v>
      </c>
      <c r="BC180" s="284">
        <f>682+5</f>
        <v>687</v>
      </c>
      <c r="BD180" s="305">
        <v>700</v>
      </c>
      <c r="BE180" s="305">
        <v>690</v>
      </c>
      <c r="BF180" s="305">
        <v>716</v>
      </c>
      <c r="BG180" s="305">
        <v>689</v>
      </c>
      <c r="BH180" s="305">
        <v>670</v>
      </c>
      <c r="BI180" s="305">
        <v>649</v>
      </c>
      <c r="BJ180" s="410">
        <f>(BH180-BG180)/BG180</f>
        <v>-2.7576197387518143E-2</v>
      </c>
      <c r="BK180" s="410">
        <f>(BI180-BH180)/BH180</f>
        <v>-3.134328358208955E-2</v>
      </c>
      <c r="BL180" s="564">
        <f t="shared" ref="BL180" si="128">(BH180-BG180)</f>
        <v>-19</v>
      </c>
      <c r="BM180" s="564">
        <f t="shared" ref="BM180" si="129">(BI180-BH180)</f>
        <v>-21</v>
      </c>
      <c r="BP180" s="515"/>
      <c r="BQ180" s="320"/>
      <c r="BR180" s="320"/>
    </row>
    <row r="181" spans="1:70" ht="6" customHeight="1">
      <c r="A181" s="115"/>
      <c r="B181" s="593"/>
      <c r="C181" s="25"/>
      <c r="D181" s="25"/>
      <c r="E181" s="25"/>
      <c r="F181" s="25"/>
      <c r="G181" s="25"/>
      <c r="H181" s="25"/>
      <c r="I181" s="25"/>
      <c r="J181" s="25"/>
      <c r="K181" s="25"/>
      <c r="L181" s="596"/>
      <c r="M181" s="11"/>
      <c r="N181" s="11"/>
      <c r="O181" s="11"/>
      <c r="P181" s="11"/>
      <c r="Q181" s="11"/>
      <c r="R181" s="11"/>
      <c r="S181" s="11"/>
      <c r="T181" s="11"/>
      <c r="U181" s="11"/>
      <c r="V181" s="596"/>
      <c r="W181" s="11"/>
      <c r="X181" s="11"/>
      <c r="Y181" s="11"/>
      <c r="Z181" s="11"/>
      <c r="AA181" s="11"/>
      <c r="AB181" s="11"/>
      <c r="AC181" s="11"/>
      <c r="AD181" s="11"/>
      <c r="AE181" s="11"/>
      <c r="AF181" s="596"/>
      <c r="AG181" s="11"/>
      <c r="AH181" s="11"/>
      <c r="AI181" s="11"/>
      <c r="AJ181" s="11"/>
      <c r="AK181" s="11"/>
      <c r="AM181" s="63"/>
      <c r="AN181" s="63"/>
      <c r="AO181" s="63"/>
      <c r="AP181" s="696"/>
      <c r="AQ181" s="63"/>
      <c r="AR181" s="63"/>
      <c r="AS181" s="63"/>
      <c r="AT181" s="63"/>
      <c r="AU181" s="63"/>
      <c r="AV181" s="147"/>
      <c r="AW181" s="250"/>
      <c r="AX181" s="60"/>
      <c r="AY181" s="60"/>
      <c r="AZ181" s="299"/>
      <c r="BA181" s="284"/>
      <c r="BB181" s="284"/>
      <c r="BC181" s="284"/>
      <c r="BD181" s="300"/>
      <c r="BE181" s="300"/>
      <c r="BF181" s="300"/>
      <c r="BG181" s="300"/>
      <c r="BH181" s="300"/>
      <c r="BI181" s="300"/>
      <c r="BJ181" s="871"/>
      <c r="BK181" s="871"/>
      <c r="BL181" s="565"/>
      <c r="BM181" s="565"/>
      <c r="BP181" s="515"/>
      <c r="BQ181" s="320"/>
      <c r="BR181" s="320"/>
    </row>
    <row r="182" spans="1:70" ht="11.25" customHeight="1">
      <c r="A182" s="115" t="s">
        <v>25</v>
      </c>
      <c r="B182" s="593">
        <v>1441</v>
      </c>
      <c r="C182" s="25">
        <v>1457</v>
      </c>
      <c r="D182" s="25">
        <v>1579</v>
      </c>
      <c r="E182" s="25">
        <v>1563</v>
      </c>
      <c r="F182" s="25">
        <v>1579</v>
      </c>
      <c r="G182" s="25">
        <v>1572</v>
      </c>
      <c r="H182" s="25">
        <v>1572</v>
      </c>
      <c r="I182" s="25">
        <v>1580</v>
      </c>
      <c r="J182" s="25">
        <v>1624</v>
      </c>
      <c r="K182" s="25">
        <v>1476</v>
      </c>
      <c r="L182" s="596">
        <v>1651</v>
      </c>
      <c r="M182" s="11">
        <v>1554</v>
      </c>
      <c r="N182" s="11">
        <v>1599</v>
      </c>
      <c r="O182" s="11">
        <v>1702</v>
      </c>
      <c r="P182" s="11">
        <v>1837</v>
      </c>
      <c r="Q182" s="11">
        <v>2005</v>
      </c>
      <c r="R182" s="11">
        <v>2077</v>
      </c>
      <c r="S182" s="11">
        <v>2124</v>
      </c>
      <c r="T182" s="11">
        <v>2125</v>
      </c>
      <c r="U182" s="11">
        <v>2159</v>
      </c>
      <c r="V182" s="596">
        <v>2216</v>
      </c>
      <c r="W182" s="11">
        <v>2124</v>
      </c>
      <c r="X182" s="11">
        <v>1978</v>
      </c>
      <c r="Y182" s="11">
        <v>1858</v>
      </c>
      <c r="Z182" s="11">
        <v>1942</v>
      </c>
      <c r="AA182" s="11">
        <v>1939</v>
      </c>
      <c r="AB182" s="11">
        <v>1825</v>
      </c>
      <c r="AC182" s="11">
        <v>1818</v>
      </c>
      <c r="AD182" s="11">
        <v>1831</v>
      </c>
      <c r="AE182" s="11">
        <v>1769</v>
      </c>
      <c r="AF182" s="596">
        <v>1734</v>
      </c>
      <c r="AG182" s="11">
        <v>1747</v>
      </c>
      <c r="AH182" s="11">
        <v>1806</v>
      </c>
      <c r="AI182" s="11">
        <v>1757</v>
      </c>
      <c r="AJ182" s="11">
        <v>1831</v>
      </c>
      <c r="AK182" s="11">
        <v>2112</v>
      </c>
      <c r="AL182" s="84">
        <v>2046</v>
      </c>
      <c r="AM182" s="84">
        <v>2032</v>
      </c>
      <c r="AN182" s="84">
        <v>2000</v>
      </c>
      <c r="AO182" s="84">
        <v>1917</v>
      </c>
      <c r="AP182" s="696">
        <f>198+1727</f>
        <v>1925</v>
      </c>
      <c r="AQ182" s="63">
        <f>216+1707</f>
        <v>1923</v>
      </c>
      <c r="AR182" s="63">
        <f>184+1800</f>
        <v>1984</v>
      </c>
      <c r="AS182" s="63">
        <v>2007</v>
      </c>
      <c r="AT182" s="63">
        <v>1974</v>
      </c>
      <c r="AU182" s="63">
        <v>1884</v>
      </c>
      <c r="AV182" s="147">
        <f>1797+8</f>
        <v>1805</v>
      </c>
      <c r="AW182" s="227">
        <f>8+1775</f>
        <v>1783</v>
      </c>
      <c r="AX182" s="228">
        <v>1767</v>
      </c>
      <c r="AY182" s="228">
        <v>1810</v>
      </c>
      <c r="AZ182" s="228">
        <v>1776</v>
      </c>
      <c r="BA182" s="305">
        <v>1772</v>
      </c>
      <c r="BB182" s="305">
        <v>1721</v>
      </c>
      <c r="BC182" s="305">
        <v>1723</v>
      </c>
      <c r="BD182" s="305">
        <v>1714</v>
      </c>
      <c r="BE182" s="305">
        <v>1684</v>
      </c>
      <c r="BF182" s="305">
        <v>1639</v>
      </c>
      <c r="BG182" s="305">
        <v>1542</v>
      </c>
      <c r="BH182" s="305">
        <v>1448</v>
      </c>
      <c r="BI182" s="305">
        <v>1448</v>
      </c>
      <c r="BJ182" s="410">
        <f>(BH182-BG182)/BG182</f>
        <v>-6.0959792477302203E-2</v>
      </c>
      <c r="BK182" s="410">
        <f>(BI182-BH182)/BH182</f>
        <v>0</v>
      </c>
      <c r="BL182" s="564">
        <f t="shared" ref="BL182" si="130">(BH182-BG182)</f>
        <v>-94</v>
      </c>
      <c r="BM182" s="564">
        <f t="shared" ref="BM182" si="131">(BI182-BH182)</f>
        <v>0</v>
      </c>
      <c r="BP182" s="515"/>
      <c r="BQ182" s="320"/>
      <c r="BR182" s="320"/>
    </row>
    <row r="183" spans="1:70" ht="6" customHeight="1">
      <c r="A183" s="115"/>
      <c r="B183" s="593"/>
      <c r="C183" s="25"/>
      <c r="D183" s="25"/>
      <c r="E183" s="25"/>
      <c r="F183" s="25"/>
      <c r="G183" s="25"/>
      <c r="H183" s="25"/>
      <c r="I183" s="25"/>
      <c r="J183" s="25"/>
      <c r="K183" s="25"/>
      <c r="L183" s="596"/>
      <c r="M183" s="11"/>
      <c r="N183" s="11"/>
      <c r="O183" s="11"/>
      <c r="P183" s="11"/>
      <c r="Q183" s="11"/>
      <c r="R183" s="11"/>
      <c r="S183" s="11"/>
      <c r="T183" s="11"/>
      <c r="U183" s="11"/>
      <c r="V183" s="596"/>
      <c r="W183" s="11"/>
      <c r="X183" s="11"/>
      <c r="Y183" s="11"/>
      <c r="Z183" s="11"/>
      <c r="AA183" s="11"/>
      <c r="AB183" s="11"/>
      <c r="AC183" s="11"/>
      <c r="AD183" s="11"/>
      <c r="AE183" s="11"/>
      <c r="AF183" s="596"/>
      <c r="AG183" s="11"/>
      <c r="AH183" s="11"/>
      <c r="AI183" s="11"/>
      <c r="AJ183" s="11"/>
      <c r="AK183" s="11"/>
      <c r="AM183" s="63"/>
      <c r="AN183" s="63"/>
      <c r="AO183" s="63"/>
      <c r="AP183" s="696"/>
      <c r="AQ183" s="63"/>
      <c r="AR183" s="63"/>
      <c r="AS183" s="63"/>
      <c r="AT183" s="63"/>
      <c r="AU183" s="63"/>
      <c r="AV183" s="147"/>
      <c r="AW183" s="250"/>
      <c r="AX183" s="60"/>
      <c r="AY183" s="60"/>
      <c r="AZ183" s="299"/>
      <c r="BA183" s="284"/>
      <c r="BB183" s="284"/>
      <c r="BC183" s="461"/>
      <c r="BD183" s="300"/>
      <c r="BE183" s="300"/>
      <c r="BF183" s="300"/>
      <c r="BG183" s="300"/>
      <c r="BH183" s="300"/>
      <c r="BI183" s="300"/>
      <c r="BJ183" s="871"/>
      <c r="BK183" s="871"/>
      <c r="BL183" s="565"/>
      <c r="BM183" s="565"/>
      <c r="BP183" s="515"/>
      <c r="BQ183" s="320"/>
      <c r="BR183" s="320"/>
    </row>
    <row r="184" spans="1:70" ht="11.25" customHeight="1">
      <c r="A184" s="115" t="s">
        <v>26</v>
      </c>
      <c r="B184" s="227" t="s">
        <v>3</v>
      </c>
      <c r="C184" s="27" t="s">
        <v>3</v>
      </c>
      <c r="D184" s="25">
        <v>188</v>
      </c>
      <c r="E184" s="25">
        <v>247</v>
      </c>
      <c r="F184" s="25">
        <v>249</v>
      </c>
      <c r="G184" s="25">
        <v>248</v>
      </c>
      <c r="H184" s="25">
        <v>261</v>
      </c>
      <c r="I184" s="25">
        <v>271</v>
      </c>
      <c r="J184" s="25">
        <v>271</v>
      </c>
      <c r="K184" s="25">
        <v>261</v>
      </c>
      <c r="L184" s="596">
        <v>252</v>
      </c>
      <c r="M184" s="11">
        <v>253</v>
      </c>
      <c r="N184" s="11">
        <v>272</v>
      </c>
      <c r="O184" s="11">
        <v>273</v>
      </c>
      <c r="P184" s="11">
        <v>289</v>
      </c>
      <c r="Q184" s="11">
        <v>303</v>
      </c>
      <c r="R184" s="11">
        <v>310</v>
      </c>
      <c r="S184" s="11">
        <v>305</v>
      </c>
      <c r="T184" s="11">
        <v>318</v>
      </c>
      <c r="U184" s="11">
        <v>335</v>
      </c>
      <c r="V184" s="596">
        <v>336</v>
      </c>
      <c r="W184" s="11">
        <v>315</v>
      </c>
      <c r="X184" s="11">
        <v>287</v>
      </c>
      <c r="Y184" s="11">
        <v>266</v>
      </c>
      <c r="Z184" s="11">
        <v>237</v>
      </c>
      <c r="AA184" s="11">
        <v>224</v>
      </c>
      <c r="AB184" s="11">
        <v>206</v>
      </c>
      <c r="AC184" s="11">
        <v>203</v>
      </c>
      <c r="AD184" s="11">
        <v>216</v>
      </c>
      <c r="AE184" s="11">
        <v>218</v>
      </c>
      <c r="AF184" s="596">
        <v>229</v>
      </c>
      <c r="AG184" s="11">
        <v>224</v>
      </c>
      <c r="AH184" s="11">
        <v>220</v>
      </c>
      <c r="AI184" s="11">
        <v>206</v>
      </c>
      <c r="AJ184" s="11">
        <v>199</v>
      </c>
      <c r="AK184" s="11">
        <v>196</v>
      </c>
      <c r="AL184" s="74">
        <v>159</v>
      </c>
      <c r="AM184" s="74">
        <v>143</v>
      </c>
      <c r="AN184" s="74">
        <v>139</v>
      </c>
      <c r="AO184" s="74">
        <v>139</v>
      </c>
      <c r="AP184" s="996">
        <v>128</v>
      </c>
      <c r="AQ184" s="74">
        <v>121</v>
      </c>
      <c r="AR184" s="74">
        <v>127</v>
      </c>
      <c r="AS184" s="74">
        <v>129</v>
      </c>
      <c r="AT184" s="74">
        <v>129</v>
      </c>
      <c r="AU184" s="74">
        <v>124</v>
      </c>
      <c r="AV184" s="229">
        <v>121</v>
      </c>
      <c r="AW184" s="230">
        <v>119</v>
      </c>
      <c r="AX184" s="60">
        <v>115</v>
      </c>
      <c r="AY184" s="60">
        <v>120</v>
      </c>
      <c r="AZ184" s="60">
        <v>127</v>
      </c>
      <c r="BA184" s="284">
        <v>128</v>
      </c>
      <c r="BB184" s="284">
        <v>123</v>
      </c>
      <c r="BC184" s="284">
        <v>119</v>
      </c>
      <c r="BD184" s="305">
        <v>113</v>
      </c>
      <c r="BE184" s="305">
        <v>117</v>
      </c>
      <c r="BF184" s="305">
        <v>123</v>
      </c>
      <c r="BG184" s="305">
        <v>125</v>
      </c>
      <c r="BH184" s="305">
        <v>127</v>
      </c>
      <c r="BI184" s="305">
        <v>129</v>
      </c>
      <c r="BJ184" s="410">
        <f>(BH184-BG184)/BG184</f>
        <v>1.6E-2</v>
      </c>
      <c r="BK184" s="410">
        <f>(BI184-BH184)/BH184</f>
        <v>1.5748031496062992E-2</v>
      </c>
      <c r="BL184" s="564">
        <f t="shared" ref="BL184" si="132">(BH184-BG184)</f>
        <v>2</v>
      </c>
      <c r="BM184" s="564">
        <f t="shared" ref="BM184" si="133">(BI184-BH184)</f>
        <v>2</v>
      </c>
      <c r="BP184" s="515"/>
      <c r="BQ184" s="320"/>
      <c r="BR184" s="320"/>
    </row>
    <row r="185" spans="1:70" ht="6" customHeight="1">
      <c r="A185" s="115"/>
      <c r="B185" s="593"/>
      <c r="C185" s="25"/>
      <c r="D185" s="25"/>
      <c r="E185" s="25"/>
      <c r="F185" s="25"/>
      <c r="G185" s="25"/>
      <c r="H185" s="25"/>
      <c r="I185" s="25"/>
      <c r="J185" s="25"/>
      <c r="K185" s="25"/>
      <c r="L185" s="596"/>
      <c r="M185" s="11"/>
      <c r="N185" s="11"/>
      <c r="O185" s="11"/>
      <c r="P185" s="11"/>
      <c r="Q185" s="11"/>
      <c r="R185" s="11"/>
      <c r="S185" s="11"/>
      <c r="T185" s="11"/>
      <c r="U185" s="11"/>
      <c r="V185" s="596"/>
      <c r="W185" s="11"/>
      <c r="X185" s="11"/>
      <c r="Y185" s="11"/>
      <c r="Z185" s="11"/>
      <c r="AA185" s="11"/>
      <c r="AB185" s="11"/>
      <c r="AC185" s="11"/>
      <c r="AD185" s="11"/>
      <c r="AE185" s="11"/>
      <c r="AF185" s="596"/>
      <c r="AG185" s="11"/>
      <c r="AH185" s="11"/>
      <c r="AI185" s="11"/>
      <c r="AJ185" s="11"/>
      <c r="AK185" s="11"/>
      <c r="AM185" s="63"/>
      <c r="AN185" s="63"/>
      <c r="AO185" s="63"/>
      <c r="AP185" s="696"/>
      <c r="AQ185" s="63"/>
      <c r="AR185" s="63"/>
      <c r="AS185" s="63"/>
      <c r="AT185" s="63"/>
      <c r="AU185" s="63"/>
      <c r="AV185" s="147"/>
      <c r="AW185" s="250"/>
      <c r="AX185" s="60"/>
      <c r="AY185" s="60"/>
      <c r="AZ185" s="299"/>
      <c r="BA185" s="284"/>
      <c r="BB185" s="284"/>
      <c r="BC185" s="461"/>
      <c r="BD185" s="300"/>
      <c r="BE185" s="300"/>
      <c r="BF185" s="300"/>
      <c r="BG185" s="300"/>
      <c r="BH185" s="300"/>
      <c r="BI185" s="300"/>
      <c r="BJ185" s="871"/>
      <c r="BK185" s="871"/>
      <c r="BL185" s="565"/>
      <c r="BM185" s="565"/>
      <c r="BP185" s="515"/>
      <c r="BQ185" s="320"/>
      <c r="BR185" s="320"/>
    </row>
    <row r="186" spans="1:70" ht="11.25" customHeight="1">
      <c r="A186" s="285" t="s">
        <v>149</v>
      </c>
      <c r="B186" s="593">
        <v>2410</v>
      </c>
      <c r="C186" s="25">
        <v>2429</v>
      </c>
      <c r="D186" s="25">
        <v>2474</v>
      </c>
      <c r="E186" s="25">
        <v>2468</v>
      </c>
      <c r="F186" s="25">
        <v>2479</v>
      </c>
      <c r="G186" s="25">
        <v>2474</v>
      </c>
      <c r="H186" s="25">
        <v>1988</v>
      </c>
      <c r="I186" s="25">
        <v>1987</v>
      </c>
      <c r="J186" s="25">
        <v>1906</v>
      </c>
      <c r="K186" s="25">
        <v>1907</v>
      </c>
      <c r="L186" s="596">
        <v>1917</v>
      </c>
      <c r="M186" s="11">
        <v>1731</v>
      </c>
      <c r="N186" s="11">
        <v>1676</v>
      </c>
      <c r="O186" s="11">
        <v>1765</v>
      </c>
      <c r="P186" s="11">
        <v>1874</v>
      </c>
      <c r="Q186" s="11">
        <v>1986</v>
      </c>
      <c r="R186" s="11">
        <v>2085</v>
      </c>
      <c r="S186" s="11">
        <v>2066</v>
      </c>
      <c r="T186" s="11">
        <v>2053</v>
      </c>
      <c r="U186" s="11">
        <v>2031</v>
      </c>
      <c r="V186" s="596">
        <v>2041</v>
      </c>
      <c r="W186" s="11">
        <v>1852</v>
      </c>
      <c r="X186" s="11">
        <v>1564</v>
      </c>
      <c r="Y186" s="11">
        <v>1307</v>
      </c>
      <c r="Z186" s="11">
        <v>1158</v>
      </c>
      <c r="AA186" s="11">
        <v>914</v>
      </c>
      <c r="AB186" s="11">
        <v>804</v>
      </c>
      <c r="AC186" s="11">
        <v>732</v>
      </c>
      <c r="AD186" s="11">
        <v>710</v>
      </c>
      <c r="AE186" s="11">
        <v>698</v>
      </c>
      <c r="AF186" s="596">
        <v>664</v>
      </c>
      <c r="AG186" s="11">
        <v>629</v>
      </c>
      <c r="AH186" s="11">
        <v>613</v>
      </c>
      <c r="AI186" s="11">
        <v>625</v>
      </c>
      <c r="AJ186" s="11">
        <v>608</v>
      </c>
      <c r="AK186" s="11">
        <v>416</v>
      </c>
      <c r="AL186" s="11">
        <v>86</v>
      </c>
      <c r="AM186" s="17" t="s">
        <v>11</v>
      </c>
      <c r="AN186" s="17" t="s">
        <v>3</v>
      </c>
      <c r="AO186" s="17" t="s">
        <v>3</v>
      </c>
      <c r="AP186" s="695" t="s">
        <v>3</v>
      </c>
      <c r="AQ186" s="17" t="s">
        <v>3</v>
      </c>
      <c r="AR186" s="17" t="s">
        <v>3</v>
      </c>
      <c r="AS186" s="17" t="s">
        <v>3</v>
      </c>
      <c r="AT186" s="17" t="s">
        <v>3</v>
      </c>
      <c r="AU186" s="17" t="s">
        <v>3</v>
      </c>
      <c r="AV186" s="17" t="s">
        <v>3</v>
      </c>
      <c r="AW186" s="17" t="s">
        <v>3</v>
      </c>
      <c r="AX186" s="17" t="s">
        <v>3</v>
      </c>
      <c r="AY186" s="17" t="s">
        <v>3</v>
      </c>
      <c r="AZ186" s="27" t="s">
        <v>3</v>
      </c>
      <c r="BA186" s="360" t="s">
        <v>3</v>
      </c>
      <c r="BB186" s="360" t="s">
        <v>3</v>
      </c>
      <c r="BC186" s="360" t="s">
        <v>3</v>
      </c>
      <c r="BD186" s="417" t="s">
        <v>3</v>
      </c>
      <c r="BE186" s="417" t="s">
        <v>3</v>
      </c>
      <c r="BF186" s="417" t="s">
        <v>3</v>
      </c>
      <c r="BG186" s="417" t="s">
        <v>3</v>
      </c>
      <c r="BH186" s="417" t="s">
        <v>3</v>
      </c>
      <c r="BI186" s="417" t="s">
        <v>3</v>
      </c>
      <c r="BJ186" s="874" t="s">
        <v>10</v>
      </c>
      <c r="BK186" s="874" t="s">
        <v>10</v>
      </c>
      <c r="BL186" s="566"/>
      <c r="BM186" s="566"/>
      <c r="BP186" s="515"/>
      <c r="BQ186" s="320"/>
      <c r="BR186" s="320"/>
    </row>
    <row r="187" spans="1:70" ht="6" customHeight="1">
      <c r="A187" s="115"/>
      <c r="B187" s="593"/>
      <c r="C187" s="25"/>
      <c r="D187" s="25"/>
      <c r="E187" s="25"/>
      <c r="F187" s="25"/>
      <c r="G187" s="25"/>
      <c r="H187" s="25"/>
      <c r="I187" s="25"/>
      <c r="J187" s="25"/>
      <c r="K187" s="25"/>
      <c r="L187" s="596"/>
      <c r="M187" s="11"/>
      <c r="N187" s="11"/>
      <c r="O187" s="11"/>
      <c r="P187" s="11"/>
      <c r="Q187" s="11"/>
      <c r="R187" s="11"/>
      <c r="S187" s="11"/>
      <c r="T187" s="11"/>
      <c r="U187" s="11"/>
      <c r="V187" s="596"/>
      <c r="W187" s="11"/>
      <c r="X187" s="11"/>
      <c r="Y187" s="11"/>
      <c r="Z187" s="11"/>
      <c r="AA187" s="11"/>
      <c r="AB187" s="11"/>
      <c r="AC187" s="11"/>
      <c r="AD187" s="11"/>
      <c r="AE187" s="11"/>
      <c r="AF187" s="596"/>
      <c r="AG187" s="11"/>
      <c r="AH187" s="11"/>
      <c r="AI187" s="11"/>
      <c r="AJ187" s="11"/>
      <c r="AK187" s="11"/>
      <c r="AM187" s="63"/>
      <c r="AN187" s="63"/>
      <c r="AO187" s="63"/>
      <c r="AP187" s="696"/>
      <c r="AQ187" s="63"/>
      <c r="AR187" s="63"/>
      <c r="AS187" s="63"/>
      <c r="AT187" s="63"/>
      <c r="AU187" s="63"/>
      <c r="AV187" s="147"/>
      <c r="AW187" s="250"/>
      <c r="AX187" s="60"/>
      <c r="AY187" s="60"/>
      <c r="AZ187" s="299"/>
      <c r="BA187" s="284"/>
      <c r="BB187" s="284"/>
      <c r="BC187" s="461"/>
      <c r="BD187" s="300"/>
      <c r="BE187" s="300"/>
      <c r="BF187" s="300"/>
      <c r="BG187" s="300"/>
      <c r="BH187" s="300"/>
      <c r="BI187" s="300"/>
      <c r="BJ187" s="410"/>
      <c r="BK187" s="410"/>
      <c r="BL187" s="566"/>
      <c r="BM187" s="566"/>
      <c r="BP187" s="515"/>
      <c r="BQ187" s="320"/>
      <c r="BR187" s="320"/>
    </row>
    <row r="188" spans="1:70" ht="11.25" customHeight="1">
      <c r="A188" s="119" t="s">
        <v>150</v>
      </c>
      <c r="B188" s="593">
        <v>307</v>
      </c>
      <c r="C188" s="25">
        <v>286</v>
      </c>
      <c r="D188" s="25">
        <v>282</v>
      </c>
      <c r="E188" s="25">
        <v>226</v>
      </c>
      <c r="F188" s="25">
        <v>225</v>
      </c>
      <c r="G188" s="25">
        <v>184</v>
      </c>
      <c r="H188" s="25">
        <v>179</v>
      </c>
      <c r="I188" s="25">
        <v>175</v>
      </c>
      <c r="J188" s="25">
        <v>185</v>
      </c>
      <c r="K188" s="25">
        <v>200</v>
      </c>
      <c r="L188" s="686">
        <v>235</v>
      </c>
      <c r="M188" s="13">
        <v>237</v>
      </c>
      <c r="N188" s="13">
        <v>230</v>
      </c>
      <c r="O188" s="13">
        <v>217</v>
      </c>
      <c r="P188" s="13">
        <v>194</v>
      </c>
      <c r="Q188" s="13">
        <v>191</v>
      </c>
      <c r="R188" s="13">
        <v>192</v>
      </c>
      <c r="S188" s="13">
        <v>178</v>
      </c>
      <c r="T188" s="13">
        <v>166</v>
      </c>
      <c r="U188" s="13">
        <v>85</v>
      </c>
      <c r="V188" s="973" t="s">
        <v>3</v>
      </c>
      <c r="W188" s="78" t="s">
        <v>3</v>
      </c>
      <c r="X188" s="78" t="s">
        <v>3</v>
      </c>
      <c r="Y188" s="78" t="s">
        <v>3</v>
      </c>
      <c r="Z188" s="78" t="s">
        <v>3</v>
      </c>
      <c r="AA188" s="78" t="s">
        <v>3</v>
      </c>
      <c r="AB188" s="78" t="s">
        <v>3</v>
      </c>
      <c r="AC188" s="78" t="s">
        <v>3</v>
      </c>
      <c r="AD188" s="78" t="s">
        <v>3</v>
      </c>
      <c r="AE188" s="78" t="s">
        <v>3</v>
      </c>
      <c r="AF188" s="973" t="s">
        <v>3</v>
      </c>
      <c r="AG188" s="78" t="s">
        <v>3</v>
      </c>
      <c r="AH188" s="78" t="s">
        <v>3</v>
      </c>
      <c r="AI188" s="78" t="s">
        <v>3</v>
      </c>
      <c r="AJ188" s="78" t="s">
        <v>3</v>
      </c>
      <c r="AK188" s="78" t="s">
        <v>3</v>
      </c>
      <c r="AL188" s="78" t="s">
        <v>3</v>
      </c>
      <c r="AM188" s="78" t="s">
        <v>3</v>
      </c>
      <c r="AN188" s="78" t="s">
        <v>3</v>
      </c>
      <c r="AO188" s="78" t="s">
        <v>3</v>
      </c>
      <c r="AP188" s="973" t="s">
        <v>3</v>
      </c>
      <c r="AQ188" s="78" t="s">
        <v>3</v>
      </c>
      <c r="AR188" s="78" t="s">
        <v>3</v>
      </c>
      <c r="AS188" s="78" t="s">
        <v>3</v>
      </c>
      <c r="AT188" s="78" t="s">
        <v>3</v>
      </c>
      <c r="AU188" s="78" t="s">
        <v>3</v>
      </c>
      <c r="AV188" s="78" t="s">
        <v>3</v>
      </c>
      <c r="AW188" s="78" t="s">
        <v>3</v>
      </c>
      <c r="AX188" s="78" t="s">
        <v>3</v>
      </c>
      <c r="AY188" s="78" t="s">
        <v>3</v>
      </c>
      <c r="AZ188" s="93" t="s">
        <v>3</v>
      </c>
      <c r="BA188" s="356" t="s">
        <v>3</v>
      </c>
      <c r="BB188" s="356" t="s">
        <v>3</v>
      </c>
      <c r="BC188" s="356" t="s">
        <v>3</v>
      </c>
      <c r="BD188" s="305" t="s">
        <v>3</v>
      </c>
      <c r="BE188" s="305" t="s">
        <v>3</v>
      </c>
      <c r="BF188" s="305" t="s">
        <v>3</v>
      </c>
      <c r="BG188" s="305" t="s">
        <v>3</v>
      </c>
      <c r="BH188" s="305" t="s">
        <v>3</v>
      </c>
      <c r="BI188" s="305" t="s">
        <v>3</v>
      </c>
      <c r="BJ188" s="874" t="s">
        <v>10</v>
      </c>
      <c r="BK188" s="874" t="s">
        <v>10</v>
      </c>
      <c r="BL188" s="566"/>
      <c r="BM188" s="566"/>
      <c r="BP188" s="515"/>
      <c r="BQ188" s="320"/>
      <c r="BR188" s="320"/>
    </row>
    <row r="189" spans="1:70" ht="12.75" customHeight="1" thickBot="1">
      <c r="A189" s="118" t="s">
        <v>47</v>
      </c>
      <c r="B189" s="650">
        <f>B165+B173+B178+B180+B182+B186+B188</f>
        <v>10300</v>
      </c>
      <c r="C189" s="139">
        <f>C165+C173+C178+C180+C182+C186+C188</f>
        <v>10535</v>
      </c>
      <c r="D189" s="139">
        <f t="shared" ref="D189:S189" si="134">D165+D173+D178+D180+D182+D186+D188+D184</f>
        <v>11071</v>
      </c>
      <c r="E189" s="139">
        <f t="shared" si="134"/>
        <v>11586</v>
      </c>
      <c r="F189" s="139">
        <f t="shared" si="134"/>
        <v>11283</v>
      </c>
      <c r="G189" s="139">
        <f t="shared" si="134"/>
        <v>14619</v>
      </c>
      <c r="H189" s="139">
        <f t="shared" si="134"/>
        <v>13719</v>
      </c>
      <c r="I189" s="139">
        <f t="shared" si="134"/>
        <v>14694</v>
      </c>
      <c r="J189" s="139">
        <f t="shared" si="134"/>
        <v>15017</v>
      </c>
      <c r="K189" s="139">
        <f t="shared" si="134"/>
        <v>15356</v>
      </c>
      <c r="L189" s="650">
        <f t="shared" si="134"/>
        <v>19791</v>
      </c>
      <c r="M189" s="139">
        <f t="shared" si="134"/>
        <v>18888</v>
      </c>
      <c r="N189" s="139">
        <f t="shared" si="134"/>
        <v>17485</v>
      </c>
      <c r="O189" s="139">
        <f t="shared" si="134"/>
        <v>10920</v>
      </c>
      <c r="P189" s="139">
        <f t="shared" si="134"/>
        <v>11499</v>
      </c>
      <c r="Q189" s="139">
        <f t="shared" si="134"/>
        <v>14464</v>
      </c>
      <c r="R189" s="139">
        <f t="shared" si="134"/>
        <v>15066</v>
      </c>
      <c r="S189" s="139">
        <f t="shared" si="134"/>
        <v>10920</v>
      </c>
      <c r="T189" s="139">
        <f>T165+T173+T178+T180+T182+T186+T188+T184+T168</f>
        <v>11437</v>
      </c>
      <c r="U189" s="139">
        <f>U165+U173+U178+U180+U182+U186+U188+U184+U168</f>
        <v>11752</v>
      </c>
      <c r="V189" s="650">
        <f t="shared" ref="V189:AA189" si="135">V165+V173+V178+V180+V182+V186+V184+V168</f>
        <v>12326</v>
      </c>
      <c r="W189" s="139">
        <f t="shared" si="135"/>
        <v>10944</v>
      </c>
      <c r="X189" s="139">
        <f t="shared" si="135"/>
        <v>11637</v>
      </c>
      <c r="Y189" s="139">
        <f t="shared" si="135"/>
        <v>10425</v>
      </c>
      <c r="Z189" s="139">
        <f t="shared" si="135"/>
        <v>9909</v>
      </c>
      <c r="AA189" s="139">
        <f t="shared" si="135"/>
        <v>9171</v>
      </c>
      <c r="AB189" s="139">
        <f>AB165+AB173+AB180+AB182+AB186+AB184+AB168</f>
        <v>8799</v>
      </c>
      <c r="AC189" s="139">
        <f>AC165+AC173+AC180+AC182+AC186+AC184+AC168</f>
        <v>8581</v>
      </c>
      <c r="AD189" s="139">
        <f>AD165+AD173+AD180+AD182+AD186+AD184+AD168</f>
        <v>8560</v>
      </c>
      <c r="AE189" s="139">
        <f>AE165+AE173+AE180+AE182+AE186+AE184+AE168</f>
        <v>8464</v>
      </c>
      <c r="AF189" s="650">
        <f t="shared" ref="AF189:AL189" si="136">AF165+AF173+AF180+AF182+AF186+AF184+AF168+AF176</f>
        <v>8234</v>
      </c>
      <c r="AG189" s="139">
        <f t="shared" si="136"/>
        <v>8503</v>
      </c>
      <c r="AH189" s="139">
        <f t="shared" si="136"/>
        <v>8676</v>
      </c>
      <c r="AI189" s="139">
        <f t="shared" si="136"/>
        <v>8506</v>
      </c>
      <c r="AJ189" s="139">
        <f t="shared" si="136"/>
        <v>8403</v>
      </c>
      <c r="AK189" s="139">
        <f t="shared" si="136"/>
        <v>8357</v>
      </c>
      <c r="AL189" s="139">
        <f t="shared" si="136"/>
        <v>7354.2608695652179</v>
      </c>
      <c r="AM189" s="139">
        <f t="shared" ref="AM189:BI189" si="137">AM165+AM173+AM180+AM182+AM184+AM168+AM176</f>
        <v>6862</v>
      </c>
      <c r="AN189" s="139">
        <f t="shared" si="137"/>
        <v>6964</v>
      </c>
      <c r="AO189" s="139">
        <f t="shared" si="137"/>
        <v>6794</v>
      </c>
      <c r="AP189" s="650">
        <f t="shared" si="137"/>
        <v>6723</v>
      </c>
      <c r="AQ189" s="139">
        <f t="shared" si="137"/>
        <v>6669.6119402985078</v>
      </c>
      <c r="AR189" s="139">
        <f t="shared" si="137"/>
        <v>6746</v>
      </c>
      <c r="AS189" s="139">
        <f t="shared" si="137"/>
        <v>6787</v>
      </c>
      <c r="AT189" s="139">
        <f t="shared" si="137"/>
        <v>6791</v>
      </c>
      <c r="AU189" s="139">
        <f t="shared" si="137"/>
        <v>6667</v>
      </c>
      <c r="AV189" s="139">
        <f t="shared" si="137"/>
        <v>6546</v>
      </c>
      <c r="AW189" s="139">
        <f t="shared" si="137"/>
        <v>6369.135135135135</v>
      </c>
      <c r="AX189" s="139">
        <f t="shared" si="137"/>
        <v>6377</v>
      </c>
      <c r="AY189" s="139">
        <f t="shared" si="137"/>
        <v>6692.119565217391</v>
      </c>
      <c r="AZ189" s="139">
        <f t="shared" si="137"/>
        <v>6595</v>
      </c>
      <c r="BA189" s="139">
        <f t="shared" si="137"/>
        <v>6648</v>
      </c>
      <c r="BB189" s="139">
        <f t="shared" si="137"/>
        <v>6498</v>
      </c>
      <c r="BC189" s="389">
        <f t="shared" si="137"/>
        <v>6485</v>
      </c>
      <c r="BD189" s="525">
        <f t="shared" si="137"/>
        <v>6412</v>
      </c>
      <c r="BE189" s="525">
        <f t="shared" si="137"/>
        <v>6412</v>
      </c>
      <c r="BF189" s="525">
        <f t="shared" si="137"/>
        <v>6414</v>
      </c>
      <c r="BG189" s="525">
        <f t="shared" si="137"/>
        <v>6438</v>
      </c>
      <c r="BH189" s="525">
        <f t="shared" si="137"/>
        <v>6482</v>
      </c>
      <c r="BI189" s="525">
        <f t="shared" si="137"/>
        <v>6549</v>
      </c>
      <c r="BJ189" s="875">
        <f>(BH189-BG189)/BG189</f>
        <v>6.834420627524076E-3</v>
      </c>
      <c r="BK189" s="875">
        <f>(BI189-BH189)/BH189</f>
        <v>1.0336315951866707E-2</v>
      </c>
      <c r="BL189" s="569">
        <f>BH189-BG189</f>
        <v>44</v>
      </c>
      <c r="BM189" s="569">
        <f>BI189-BH189</f>
        <v>67</v>
      </c>
      <c r="BP189" s="515"/>
      <c r="BQ189" s="320"/>
      <c r="BR189" s="320"/>
    </row>
    <row r="190" spans="1:70" ht="11.25" customHeight="1">
      <c r="A190" s="115"/>
      <c r="B190" s="217"/>
      <c r="C190" s="152"/>
      <c r="D190" s="152"/>
      <c r="E190" s="152"/>
      <c r="F190" s="152"/>
      <c r="G190" s="152"/>
      <c r="H190" s="152"/>
      <c r="I190" s="152"/>
      <c r="J190" s="152"/>
      <c r="K190" s="152"/>
      <c r="L190" s="596"/>
      <c r="M190" s="11"/>
      <c r="N190" s="11"/>
      <c r="O190" s="11"/>
      <c r="P190" s="11"/>
      <c r="Q190" s="11"/>
      <c r="R190" s="11"/>
      <c r="S190" s="11"/>
      <c r="T190" s="11"/>
      <c r="U190" s="11"/>
      <c r="V190" s="596"/>
      <c r="W190" s="11"/>
      <c r="X190" s="11"/>
      <c r="Y190" s="11"/>
      <c r="Z190" s="11"/>
      <c r="AA190" s="11"/>
      <c r="AB190" s="11"/>
      <c r="AC190" s="11"/>
      <c r="AD190" s="11"/>
      <c r="AE190" s="11"/>
      <c r="AF190" s="596"/>
      <c r="AG190" s="11"/>
      <c r="AH190" s="11"/>
      <c r="AI190" s="11"/>
      <c r="AJ190" s="11"/>
      <c r="AK190" s="11"/>
      <c r="AM190" s="63"/>
      <c r="AN190" s="63"/>
      <c r="AO190" s="63"/>
      <c r="AP190" s="696"/>
      <c r="AQ190" s="63"/>
      <c r="AR190" s="63"/>
      <c r="AS190" s="63"/>
      <c r="AT190" s="63"/>
      <c r="AU190" s="63"/>
      <c r="AV190" s="147"/>
      <c r="AW190" s="249"/>
      <c r="AX190" s="232"/>
      <c r="AY190" s="232"/>
      <c r="AZ190" s="299"/>
      <c r="BA190" s="284"/>
      <c r="BB190" s="284"/>
      <c r="BC190" s="461"/>
      <c r="BD190" s="300"/>
      <c r="BE190" s="300"/>
      <c r="BF190" s="300"/>
      <c r="BG190" s="300"/>
      <c r="BH190" s="300"/>
      <c r="BI190" s="300"/>
      <c r="BJ190" s="410"/>
      <c r="BK190" s="410"/>
      <c r="BL190" s="564"/>
      <c r="BM190" s="564"/>
      <c r="BP190" s="515"/>
      <c r="BQ190" s="320"/>
      <c r="BR190" s="320"/>
    </row>
    <row r="191" spans="1:70" ht="15.75" customHeight="1">
      <c r="A191" s="159" t="s">
        <v>48</v>
      </c>
      <c r="B191" s="217"/>
      <c r="C191" s="152"/>
      <c r="D191" s="152"/>
      <c r="E191" s="152"/>
      <c r="F191" s="152"/>
      <c r="G191" s="152"/>
      <c r="H191" s="152"/>
      <c r="I191" s="152"/>
      <c r="J191" s="152"/>
      <c r="K191" s="152"/>
      <c r="L191" s="217"/>
      <c r="M191" s="152"/>
      <c r="N191" s="152"/>
      <c r="O191" s="152"/>
      <c r="P191" s="152"/>
      <c r="Q191" s="152"/>
      <c r="R191" s="152"/>
      <c r="S191" s="152"/>
      <c r="T191" s="152"/>
      <c r="U191" s="152"/>
      <c r="V191" s="217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217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217"/>
      <c r="AQ191" s="152"/>
      <c r="AR191" s="152"/>
      <c r="AS191" s="152"/>
      <c r="AT191" s="152"/>
      <c r="AU191" s="152"/>
      <c r="AV191" s="152"/>
      <c r="AW191" s="152"/>
      <c r="AX191" s="152"/>
      <c r="AY191" s="152"/>
      <c r="AZ191" s="152"/>
      <c r="BA191" s="152"/>
      <c r="BB191" s="152"/>
      <c r="BC191" s="152"/>
      <c r="BD191" s="152"/>
      <c r="BE191" s="152"/>
      <c r="BF191" s="217"/>
      <c r="BG191" s="217"/>
      <c r="BH191" s="217"/>
      <c r="BI191" s="217"/>
      <c r="BJ191" s="410"/>
      <c r="BK191" s="410"/>
      <c r="BL191" s="564" t="s">
        <v>79</v>
      </c>
      <c r="BM191" s="564"/>
      <c r="BP191" s="515"/>
      <c r="BQ191" s="320"/>
      <c r="BR191" s="320"/>
    </row>
    <row r="192" spans="1:70" ht="6" customHeight="1">
      <c r="A192" s="115"/>
      <c r="B192" s="217"/>
      <c r="C192" s="152"/>
      <c r="D192" s="152"/>
      <c r="E192" s="152"/>
      <c r="F192" s="152"/>
      <c r="G192" s="152"/>
      <c r="H192" s="152"/>
      <c r="I192" s="152"/>
      <c r="J192" s="152"/>
      <c r="K192" s="152"/>
      <c r="L192" s="596"/>
      <c r="M192" s="11"/>
      <c r="N192" s="11"/>
      <c r="O192" s="11"/>
      <c r="P192" s="11"/>
      <c r="Q192" s="11"/>
      <c r="R192" s="11"/>
      <c r="S192" s="11"/>
      <c r="T192" s="11"/>
      <c r="U192" s="11"/>
      <c r="V192" s="596"/>
      <c r="W192" s="11"/>
      <c r="X192" s="11"/>
      <c r="Y192" s="11"/>
      <c r="Z192" s="11"/>
      <c r="AA192" s="11"/>
      <c r="AB192" s="11"/>
      <c r="AC192" s="11"/>
      <c r="AD192" s="11"/>
      <c r="AE192" s="11"/>
      <c r="AF192" s="596"/>
      <c r="AG192" s="11"/>
      <c r="AH192" s="11"/>
      <c r="AI192" s="11"/>
      <c r="AJ192" s="11"/>
      <c r="AK192" s="11"/>
      <c r="AM192" s="63"/>
      <c r="AN192" s="63"/>
      <c r="AO192" s="63"/>
      <c r="AP192" s="696"/>
      <c r="AQ192" s="63"/>
      <c r="AR192" s="63"/>
      <c r="AS192" s="63"/>
      <c r="AT192" s="63"/>
      <c r="AU192" s="63"/>
      <c r="AV192" s="147"/>
      <c r="AW192" s="249"/>
      <c r="AX192" s="232"/>
      <c r="AY192" s="232"/>
      <c r="AZ192" s="299"/>
      <c r="BA192" s="284"/>
      <c r="BB192" s="284"/>
      <c r="BC192" s="461"/>
      <c r="BD192" s="300"/>
      <c r="BE192" s="300"/>
      <c r="BF192" s="300"/>
      <c r="BG192" s="300"/>
      <c r="BH192" s="300"/>
      <c r="BI192" s="300"/>
      <c r="BJ192" s="410"/>
      <c r="BK192" s="410"/>
      <c r="BL192" s="564"/>
      <c r="BM192" s="564"/>
      <c r="BP192" s="515"/>
      <c r="BQ192" s="320"/>
      <c r="BR192" s="320"/>
    </row>
    <row r="193" spans="1:70" ht="11.25" customHeight="1">
      <c r="A193" s="119" t="s">
        <v>151</v>
      </c>
      <c r="B193" s="695" t="s">
        <v>3</v>
      </c>
      <c r="C193" s="17" t="s">
        <v>3</v>
      </c>
      <c r="D193" s="17" t="s">
        <v>3</v>
      </c>
      <c r="E193" s="17" t="s">
        <v>3</v>
      </c>
      <c r="F193" s="17" t="s">
        <v>3</v>
      </c>
      <c r="G193" s="17" t="s">
        <v>3</v>
      </c>
      <c r="H193" s="17" t="s">
        <v>3</v>
      </c>
      <c r="I193" s="17" t="s">
        <v>3</v>
      </c>
      <c r="J193" s="17" t="s">
        <v>3</v>
      </c>
      <c r="K193" s="17" t="s">
        <v>3</v>
      </c>
      <c r="L193" s="695" t="s">
        <v>3</v>
      </c>
      <c r="M193" s="11">
        <v>3</v>
      </c>
      <c r="N193" s="11">
        <v>27</v>
      </c>
      <c r="O193" s="11">
        <v>37</v>
      </c>
      <c r="P193" s="11">
        <v>37</v>
      </c>
      <c r="Q193" s="11">
        <v>37</v>
      </c>
      <c r="R193" s="11">
        <v>40</v>
      </c>
      <c r="S193" s="11">
        <v>35</v>
      </c>
      <c r="T193" s="11">
        <v>35</v>
      </c>
      <c r="U193" s="11">
        <v>27</v>
      </c>
      <c r="V193" s="596">
        <v>21</v>
      </c>
      <c r="W193" s="17" t="s">
        <v>3</v>
      </c>
      <c r="X193" s="17" t="s">
        <v>3</v>
      </c>
      <c r="Y193" s="17" t="s">
        <v>3</v>
      </c>
      <c r="Z193" s="17" t="s">
        <v>3</v>
      </c>
      <c r="AA193" s="17" t="s">
        <v>3</v>
      </c>
      <c r="AB193" s="17" t="s">
        <v>3</v>
      </c>
      <c r="AC193" s="17" t="s">
        <v>3</v>
      </c>
      <c r="AD193" s="17" t="s">
        <v>3</v>
      </c>
      <c r="AE193" s="17" t="s">
        <v>3</v>
      </c>
      <c r="AF193" s="695" t="s">
        <v>3</v>
      </c>
      <c r="AG193" s="17" t="s">
        <v>3</v>
      </c>
      <c r="AH193" s="17" t="s">
        <v>3</v>
      </c>
      <c r="AI193" s="17" t="s">
        <v>3</v>
      </c>
      <c r="AJ193" s="17" t="s">
        <v>3</v>
      </c>
      <c r="AK193" s="17" t="s">
        <v>3</v>
      </c>
      <c r="AL193" s="17" t="s">
        <v>3</v>
      </c>
      <c r="AM193" s="17" t="s">
        <v>3</v>
      </c>
      <c r="AN193" s="17" t="s">
        <v>3</v>
      </c>
      <c r="AO193" s="17" t="s">
        <v>3</v>
      </c>
      <c r="AP193" s="695" t="s">
        <v>3</v>
      </c>
      <c r="AQ193" s="17" t="s">
        <v>3</v>
      </c>
      <c r="AR193" s="17" t="s">
        <v>3</v>
      </c>
      <c r="AS193" s="17" t="s">
        <v>3</v>
      </c>
      <c r="AT193" s="17" t="s">
        <v>3</v>
      </c>
      <c r="AU193" s="17" t="s">
        <v>3</v>
      </c>
      <c r="AV193" s="27" t="s">
        <v>3</v>
      </c>
      <c r="AW193" s="27" t="s">
        <v>3</v>
      </c>
      <c r="AX193" s="27" t="s">
        <v>3</v>
      </c>
      <c r="AY193" s="27" t="s">
        <v>3</v>
      </c>
      <c r="AZ193" s="27" t="s">
        <v>3</v>
      </c>
      <c r="BA193" s="360" t="s">
        <v>3</v>
      </c>
      <c r="BB193" s="360" t="s">
        <v>3</v>
      </c>
      <c r="BC193" s="360" t="s">
        <v>3</v>
      </c>
      <c r="BD193" s="417" t="s">
        <v>3</v>
      </c>
      <c r="BE193" s="417" t="s">
        <v>3</v>
      </c>
      <c r="BF193" s="417" t="s">
        <v>3</v>
      </c>
      <c r="BG193" s="417" t="s">
        <v>3</v>
      </c>
      <c r="BH193" s="417" t="s">
        <v>3</v>
      </c>
      <c r="BI193" s="417" t="s">
        <v>3</v>
      </c>
      <c r="BJ193" s="874" t="s">
        <v>10</v>
      </c>
      <c r="BK193" s="874" t="s">
        <v>10</v>
      </c>
      <c r="BL193" s="568" t="s">
        <v>10</v>
      </c>
      <c r="BM193" s="568" t="s">
        <v>10</v>
      </c>
      <c r="BP193" s="515"/>
      <c r="BQ193" s="320"/>
      <c r="BR193" s="320"/>
    </row>
    <row r="194" spans="1:70" ht="6" customHeight="1">
      <c r="A194" s="115"/>
      <c r="B194" s="596"/>
      <c r="C194" s="11"/>
      <c r="D194" s="11"/>
      <c r="E194" s="11"/>
      <c r="F194" s="11"/>
      <c r="G194" s="11"/>
      <c r="H194" s="11"/>
      <c r="I194" s="11"/>
      <c r="J194" s="11"/>
      <c r="K194" s="11"/>
      <c r="L194" s="596"/>
      <c r="M194" s="11"/>
      <c r="N194" s="11"/>
      <c r="O194" s="11"/>
      <c r="P194" s="11"/>
      <c r="Q194" s="11"/>
      <c r="R194" s="11"/>
      <c r="S194" s="11"/>
      <c r="T194" s="11"/>
      <c r="U194" s="11"/>
      <c r="V194" s="596"/>
      <c r="W194" s="11"/>
      <c r="X194" s="11"/>
      <c r="Y194" s="11"/>
      <c r="Z194" s="11"/>
      <c r="AA194" s="11"/>
      <c r="AB194" s="11"/>
      <c r="AC194" s="11"/>
      <c r="AD194" s="11"/>
      <c r="AE194" s="11"/>
      <c r="AF194" s="596"/>
      <c r="AG194" s="11"/>
      <c r="AH194" s="11"/>
      <c r="AI194" s="11"/>
      <c r="AJ194" s="11"/>
      <c r="AK194" s="11"/>
      <c r="AM194" s="63"/>
      <c r="AN194" s="63"/>
      <c r="AO194" s="63"/>
      <c r="AP194" s="696"/>
      <c r="AQ194" s="63"/>
      <c r="AR194" s="63"/>
      <c r="AS194" s="63"/>
      <c r="AT194" s="63"/>
      <c r="AU194" s="63"/>
      <c r="AV194" s="27"/>
      <c r="AW194" s="250"/>
      <c r="AX194" s="60"/>
      <c r="AY194" s="60"/>
      <c r="AZ194" s="60"/>
      <c r="BA194" s="284"/>
      <c r="BB194" s="284"/>
      <c r="BC194" s="284"/>
      <c r="BD194" s="305"/>
      <c r="BE194" s="300"/>
      <c r="BF194" s="300"/>
      <c r="BG194" s="305"/>
      <c r="BH194" s="300"/>
      <c r="BI194" s="300"/>
      <c r="BJ194" s="410"/>
      <c r="BK194" s="410"/>
      <c r="BL194" s="564"/>
      <c r="BM194" s="564"/>
      <c r="BP194" s="515"/>
      <c r="BQ194" s="320"/>
      <c r="BR194" s="320"/>
    </row>
    <row r="195" spans="1:70" ht="11.25" customHeight="1">
      <c r="A195" s="119" t="s">
        <v>152</v>
      </c>
      <c r="B195" s="695" t="s">
        <v>3</v>
      </c>
      <c r="C195" s="17" t="s">
        <v>3</v>
      </c>
      <c r="D195" s="17" t="s">
        <v>3</v>
      </c>
      <c r="E195" s="17" t="s">
        <v>3</v>
      </c>
      <c r="F195" s="17" t="s">
        <v>3</v>
      </c>
      <c r="G195" s="17" t="s">
        <v>3</v>
      </c>
      <c r="H195" s="17" t="s">
        <v>3</v>
      </c>
      <c r="I195" s="17" t="s">
        <v>3</v>
      </c>
      <c r="J195" s="17" t="s">
        <v>3</v>
      </c>
      <c r="K195" s="17" t="s">
        <v>3</v>
      </c>
      <c r="L195" s="695" t="s">
        <v>3</v>
      </c>
      <c r="M195" s="17" t="s">
        <v>3</v>
      </c>
      <c r="N195" s="17" t="s">
        <v>3</v>
      </c>
      <c r="O195" s="17" t="s">
        <v>3</v>
      </c>
      <c r="P195" s="17" t="s">
        <v>3</v>
      </c>
      <c r="Q195" s="11">
        <v>17</v>
      </c>
      <c r="R195" s="11">
        <v>57</v>
      </c>
      <c r="S195" s="11">
        <v>46</v>
      </c>
      <c r="T195" s="11">
        <v>52</v>
      </c>
      <c r="U195" s="11">
        <v>90</v>
      </c>
      <c r="V195" s="596">
        <v>230</v>
      </c>
      <c r="W195" s="11">
        <v>105</v>
      </c>
      <c r="X195" s="17">
        <v>0</v>
      </c>
      <c r="Y195" s="17" t="s">
        <v>3</v>
      </c>
      <c r="Z195" s="17" t="s">
        <v>3</v>
      </c>
      <c r="AA195" s="17" t="s">
        <v>3</v>
      </c>
      <c r="AB195" s="17" t="s">
        <v>3</v>
      </c>
      <c r="AC195" s="17" t="s">
        <v>3</v>
      </c>
      <c r="AD195" s="17" t="s">
        <v>3</v>
      </c>
      <c r="AE195" s="17" t="s">
        <v>3</v>
      </c>
      <c r="AF195" s="695" t="s">
        <v>3</v>
      </c>
      <c r="AG195" s="17" t="s">
        <v>3</v>
      </c>
      <c r="AH195" s="17" t="s">
        <v>3</v>
      </c>
      <c r="AI195" s="17" t="s">
        <v>3</v>
      </c>
      <c r="AJ195" s="17" t="s">
        <v>3</v>
      </c>
      <c r="AK195" s="17" t="s">
        <v>3</v>
      </c>
      <c r="AL195" s="17" t="s">
        <v>3</v>
      </c>
      <c r="AM195" s="17" t="s">
        <v>3</v>
      </c>
      <c r="AN195" s="17" t="s">
        <v>3</v>
      </c>
      <c r="AO195" s="17" t="s">
        <v>3</v>
      </c>
      <c r="AP195" s="695" t="s">
        <v>3</v>
      </c>
      <c r="AQ195" s="17" t="s">
        <v>3</v>
      </c>
      <c r="AR195" s="17" t="s">
        <v>3</v>
      </c>
      <c r="AS195" s="17" t="s">
        <v>3</v>
      </c>
      <c r="AT195" s="17" t="s">
        <v>3</v>
      </c>
      <c r="AU195" s="17" t="s">
        <v>3</v>
      </c>
      <c r="AV195" s="27" t="s">
        <v>3</v>
      </c>
      <c r="AW195" s="27" t="s">
        <v>3</v>
      </c>
      <c r="AX195" s="27" t="s">
        <v>3</v>
      </c>
      <c r="AY195" s="27" t="s">
        <v>3</v>
      </c>
      <c r="AZ195" s="27" t="s">
        <v>3</v>
      </c>
      <c r="BA195" s="360" t="s">
        <v>3</v>
      </c>
      <c r="BB195" s="360" t="s">
        <v>3</v>
      </c>
      <c r="BC195" s="360" t="s">
        <v>3</v>
      </c>
      <c r="BD195" s="417" t="s">
        <v>3</v>
      </c>
      <c r="BE195" s="417" t="s">
        <v>3</v>
      </c>
      <c r="BF195" s="417" t="s">
        <v>3</v>
      </c>
      <c r="BG195" s="417" t="s">
        <v>3</v>
      </c>
      <c r="BH195" s="305" t="s">
        <v>3</v>
      </c>
      <c r="BI195" s="305" t="s">
        <v>3</v>
      </c>
      <c r="BJ195" s="874" t="s">
        <v>10</v>
      </c>
      <c r="BK195" s="874" t="s">
        <v>10</v>
      </c>
      <c r="BL195" s="568" t="s">
        <v>10</v>
      </c>
      <c r="BM195" s="568" t="s">
        <v>10</v>
      </c>
      <c r="BP195" s="515"/>
      <c r="BQ195" s="320"/>
      <c r="BR195" s="320"/>
    </row>
    <row r="196" spans="1:70" ht="6" customHeight="1">
      <c r="A196" s="115"/>
      <c r="B196" s="593"/>
      <c r="C196" s="25"/>
      <c r="D196" s="25"/>
      <c r="E196" s="25"/>
      <c r="F196" s="25"/>
      <c r="G196" s="25"/>
      <c r="H196" s="25"/>
      <c r="I196" s="25"/>
      <c r="J196" s="25"/>
      <c r="K196" s="25"/>
      <c r="L196" s="596"/>
      <c r="M196" s="11"/>
      <c r="N196" s="11"/>
      <c r="O196" s="11"/>
      <c r="P196" s="11"/>
      <c r="Q196" s="11"/>
      <c r="R196" s="11"/>
      <c r="S196" s="11"/>
      <c r="T196" s="11"/>
      <c r="U196" s="11"/>
      <c r="V196" s="596"/>
      <c r="W196" s="11"/>
      <c r="X196" s="11"/>
      <c r="Y196" s="11"/>
      <c r="Z196" s="11"/>
      <c r="AA196" s="11"/>
      <c r="AB196" s="11"/>
      <c r="AC196" s="11"/>
      <c r="AD196" s="11"/>
      <c r="AE196" s="11"/>
      <c r="AF196" s="596"/>
      <c r="AG196" s="11"/>
      <c r="AH196" s="11"/>
      <c r="AI196" s="11"/>
      <c r="AJ196" s="11"/>
      <c r="AK196" s="11"/>
      <c r="AM196" s="63"/>
      <c r="AN196" s="63"/>
      <c r="AO196" s="63"/>
      <c r="AP196" s="696"/>
      <c r="AQ196" s="63"/>
      <c r="AR196" s="63"/>
      <c r="AS196" s="63"/>
      <c r="AT196" s="63"/>
      <c r="AU196" s="63"/>
      <c r="AV196" s="27"/>
      <c r="AW196" s="250"/>
      <c r="AX196" s="60"/>
      <c r="AY196" s="60"/>
      <c r="AZ196" s="299"/>
      <c r="BA196" s="284"/>
      <c r="BB196" s="284"/>
      <c r="BC196" s="461"/>
      <c r="BD196" s="305"/>
      <c r="BE196" s="300"/>
      <c r="BF196" s="300"/>
      <c r="BG196" s="305"/>
      <c r="BH196" s="305"/>
      <c r="BI196" s="305"/>
      <c r="BJ196" s="410"/>
      <c r="BK196" s="410"/>
      <c r="BL196" s="564"/>
      <c r="BM196" s="564"/>
      <c r="BP196" s="515"/>
      <c r="BQ196" s="320"/>
      <c r="BR196" s="320"/>
    </row>
    <row r="197" spans="1:70" ht="11.25" customHeight="1">
      <c r="A197" s="116" t="s">
        <v>49</v>
      </c>
      <c r="B197" s="593"/>
      <c r="C197" s="25"/>
      <c r="D197" s="25"/>
      <c r="E197" s="25"/>
      <c r="F197" s="25"/>
      <c r="G197" s="25"/>
      <c r="H197" s="25"/>
      <c r="I197" s="25"/>
      <c r="J197" s="25"/>
      <c r="K197" s="25"/>
      <c r="L197" s="596"/>
      <c r="M197" s="11"/>
      <c r="N197" s="11"/>
      <c r="O197" s="11"/>
      <c r="P197" s="11"/>
      <c r="Q197" s="11"/>
      <c r="R197" s="11"/>
      <c r="S197" s="11"/>
      <c r="T197" s="11"/>
      <c r="U197" s="11"/>
      <c r="V197" s="596"/>
      <c r="W197" s="11"/>
      <c r="X197" s="11"/>
      <c r="Y197" s="11"/>
      <c r="Z197" s="11"/>
      <c r="AA197" s="11"/>
      <c r="AB197" s="11"/>
      <c r="AC197" s="11"/>
      <c r="AD197" s="11"/>
      <c r="AE197" s="11"/>
      <c r="AF197" s="596"/>
      <c r="AG197" s="11"/>
      <c r="AH197" s="11"/>
      <c r="AI197" s="11"/>
      <c r="AJ197" s="11"/>
      <c r="AK197" s="11"/>
      <c r="AM197" s="63"/>
      <c r="AN197" s="63"/>
      <c r="AO197" s="63"/>
      <c r="AP197" s="696"/>
      <c r="AQ197" s="63"/>
      <c r="AR197" s="63"/>
      <c r="AS197" s="63"/>
      <c r="AT197" s="63"/>
      <c r="AU197" s="63"/>
      <c r="AV197" s="27"/>
      <c r="AW197" s="250"/>
      <c r="AX197" s="60"/>
      <c r="AY197" s="60"/>
      <c r="AZ197" s="299"/>
      <c r="BA197" s="284"/>
      <c r="BB197" s="284"/>
      <c r="BC197" s="461"/>
      <c r="BD197" s="300"/>
      <c r="BE197" s="300"/>
      <c r="BF197" s="300"/>
      <c r="BG197" s="300"/>
      <c r="BH197" s="300"/>
      <c r="BI197" s="300"/>
      <c r="BJ197" s="410"/>
      <c r="BK197" s="410"/>
      <c r="BL197" s="564"/>
      <c r="BM197" s="564"/>
      <c r="BP197" s="515"/>
      <c r="BQ197" s="320"/>
      <c r="BR197" s="320"/>
    </row>
    <row r="198" spans="1:70" ht="11.25" customHeight="1">
      <c r="A198" s="119" t="s">
        <v>153</v>
      </c>
      <c r="B198" s="593">
        <v>228</v>
      </c>
      <c r="C198" s="25">
        <v>226</v>
      </c>
      <c r="D198" s="25">
        <v>256</v>
      </c>
      <c r="E198" s="25">
        <v>264</v>
      </c>
      <c r="F198" s="25">
        <v>264</v>
      </c>
      <c r="G198" s="25">
        <v>275</v>
      </c>
      <c r="H198" s="25">
        <v>259</v>
      </c>
      <c r="I198" s="25">
        <v>279</v>
      </c>
      <c r="J198" s="25">
        <v>278</v>
      </c>
      <c r="K198" s="25">
        <v>274</v>
      </c>
      <c r="L198" s="594">
        <v>259</v>
      </c>
      <c r="M198" s="12">
        <v>243</v>
      </c>
      <c r="N198" s="12">
        <v>312</v>
      </c>
      <c r="O198" s="12">
        <v>255</v>
      </c>
      <c r="P198" s="12">
        <v>274</v>
      </c>
      <c r="Q198" s="12">
        <v>306</v>
      </c>
      <c r="R198" s="12">
        <v>265</v>
      </c>
      <c r="S198" s="12">
        <v>221</v>
      </c>
      <c r="T198" s="12">
        <v>181</v>
      </c>
      <c r="U198" s="12">
        <v>195</v>
      </c>
      <c r="V198" s="594">
        <v>326</v>
      </c>
      <c r="W198" s="12">
        <v>397</v>
      </c>
      <c r="X198" s="12">
        <v>359</v>
      </c>
      <c r="Y198" s="12">
        <v>405</v>
      </c>
      <c r="Z198" s="12">
        <v>512</v>
      </c>
      <c r="AA198" s="12">
        <v>576</v>
      </c>
      <c r="AB198" s="12">
        <v>686</v>
      </c>
      <c r="AC198" s="12">
        <v>698</v>
      </c>
      <c r="AD198" s="12">
        <v>265</v>
      </c>
      <c r="AE198" s="12">
        <v>254</v>
      </c>
      <c r="AF198" s="594">
        <v>240</v>
      </c>
      <c r="AG198" s="12">
        <v>275</v>
      </c>
      <c r="AH198" s="23">
        <v>246</v>
      </c>
      <c r="AI198" s="12">
        <v>287</v>
      </c>
      <c r="AJ198" s="12">
        <v>309</v>
      </c>
      <c r="AK198" s="12">
        <v>250</v>
      </c>
      <c r="AL198" s="12">
        <v>234</v>
      </c>
      <c r="AM198" s="12">
        <v>228</v>
      </c>
      <c r="AN198" s="63">
        <v>281</v>
      </c>
      <c r="AO198" s="63">
        <v>215</v>
      </c>
      <c r="AP198" s="696">
        <v>221</v>
      </c>
      <c r="AQ198" s="63">
        <v>252</v>
      </c>
      <c r="AR198" s="63">
        <v>277</v>
      </c>
      <c r="AS198" s="23">
        <v>270</v>
      </c>
      <c r="AT198" s="63">
        <v>383</v>
      </c>
      <c r="AU198" s="63">
        <v>345</v>
      </c>
      <c r="AV198" s="27">
        <v>301</v>
      </c>
      <c r="AW198" s="27">
        <v>293.21256038647346</v>
      </c>
      <c r="AX198" s="228">
        <v>285.71428571428572</v>
      </c>
      <c r="AY198" s="228">
        <v>290.74407582938392</v>
      </c>
      <c r="AZ198" s="228">
        <v>286</v>
      </c>
      <c r="BA198" s="305">
        <v>280</v>
      </c>
      <c r="BB198" s="305">
        <v>268</v>
      </c>
      <c r="BC198" s="305">
        <v>264</v>
      </c>
      <c r="BD198" s="305">
        <v>252</v>
      </c>
      <c r="BE198" s="305">
        <v>247</v>
      </c>
      <c r="BF198" s="305">
        <v>276</v>
      </c>
      <c r="BG198" s="305">
        <v>277</v>
      </c>
      <c r="BH198" s="305">
        <v>311</v>
      </c>
      <c r="BI198" s="305">
        <v>330</v>
      </c>
      <c r="BJ198" s="410">
        <f t="shared" ref="BJ198:BK201" si="138">(BH198-BG198)/BG198</f>
        <v>0.12274368231046931</v>
      </c>
      <c r="BK198" s="410">
        <f t="shared" si="138"/>
        <v>6.1093247588424437E-2</v>
      </c>
      <c r="BL198" s="564">
        <f t="shared" ref="BL198:BL200" si="139">(BH198-BG198)</f>
        <v>34</v>
      </c>
      <c r="BM198" s="564">
        <f t="shared" ref="BM198:BM200" si="140">(BI198-BH198)</f>
        <v>19</v>
      </c>
      <c r="BP198" s="515"/>
      <c r="BQ198" s="320"/>
      <c r="BR198" s="320"/>
    </row>
    <row r="199" spans="1:70" ht="11.25" customHeight="1">
      <c r="A199" s="119" t="s">
        <v>154</v>
      </c>
      <c r="B199" s="695" t="s">
        <v>3</v>
      </c>
      <c r="C199" s="17" t="s">
        <v>3</v>
      </c>
      <c r="D199" s="17" t="s">
        <v>3</v>
      </c>
      <c r="E199" s="17" t="s">
        <v>3</v>
      </c>
      <c r="F199" s="17" t="s">
        <v>3</v>
      </c>
      <c r="G199" s="17" t="s">
        <v>3</v>
      </c>
      <c r="H199" s="17" t="s">
        <v>3</v>
      </c>
      <c r="I199" s="17" t="s">
        <v>3</v>
      </c>
      <c r="J199" s="17" t="s">
        <v>3</v>
      </c>
      <c r="K199" s="17" t="s">
        <v>3</v>
      </c>
      <c r="L199" s="695" t="s">
        <v>3</v>
      </c>
      <c r="M199" s="17" t="s">
        <v>3</v>
      </c>
      <c r="N199" s="17" t="s">
        <v>3</v>
      </c>
      <c r="O199" s="17" t="s">
        <v>3</v>
      </c>
      <c r="P199" s="17" t="s">
        <v>3</v>
      </c>
      <c r="Q199" s="17" t="s">
        <v>3</v>
      </c>
      <c r="R199" s="17" t="s">
        <v>3</v>
      </c>
      <c r="S199" s="17" t="s">
        <v>3</v>
      </c>
      <c r="T199" s="17" t="s">
        <v>3</v>
      </c>
      <c r="U199" s="17" t="s">
        <v>3</v>
      </c>
      <c r="V199" s="695" t="s">
        <v>3</v>
      </c>
      <c r="W199" s="17" t="s">
        <v>3</v>
      </c>
      <c r="X199" s="17" t="s">
        <v>3</v>
      </c>
      <c r="Y199" s="17" t="s">
        <v>3</v>
      </c>
      <c r="Z199" s="17" t="s">
        <v>3</v>
      </c>
      <c r="AA199" s="17" t="s">
        <v>3</v>
      </c>
      <c r="AB199" s="17" t="s">
        <v>3</v>
      </c>
      <c r="AC199" s="17" t="s">
        <v>3</v>
      </c>
      <c r="AD199" s="12">
        <v>467</v>
      </c>
      <c r="AE199" s="12">
        <v>496</v>
      </c>
      <c r="AF199" s="594">
        <v>508</v>
      </c>
      <c r="AG199" s="12">
        <v>478</v>
      </c>
      <c r="AH199" s="12">
        <v>443</v>
      </c>
      <c r="AI199" s="12">
        <v>399</v>
      </c>
      <c r="AJ199" s="12">
        <v>379</v>
      </c>
      <c r="AK199" s="12">
        <v>362</v>
      </c>
      <c r="AL199" s="12">
        <v>347</v>
      </c>
      <c r="AM199" s="63">
        <v>335</v>
      </c>
      <c r="AN199" s="63">
        <v>362</v>
      </c>
      <c r="AO199" s="63">
        <v>378</v>
      </c>
      <c r="AP199" s="696">
        <v>398</v>
      </c>
      <c r="AQ199" s="63">
        <v>388</v>
      </c>
      <c r="AR199" s="63">
        <v>358</v>
      </c>
      <c r="AS199" s="63">
        <v>367</v>
      </c>
      <c r="AT199" s="63">
        <v>365</v>
      </c>
      <c r="AU199" s="63">
        <v>362</v>
      </c>
      <c r="AV199" s="27">
        <v>353</v>
      </c>
      <c r="AW199" s="27">
        <v>366</v>
      </c>
      <c r="AX199" s="228">
        <v>357</v>
      </c>
      <c r="AY199" s="228">
        <v>330</v>
      </c>
      <c r="AZ199" s="228">
        <v>324</v>
      </c>
      <c r="BA199" s="305">
        <v>351</v>
      </c>
      <c r="BB199" s="305">
        <v>369</v>
      </c>
      <c r="BC199" s="305">
        <v>379</v>
      </c>
      <c r="BD199" s="305">
        <v>365</v>
      </c>
      <c r="BE199" s="305">
        <v>352</v>
      </c>
      <c r="BF199" s="305">
        <v>373</v>
      </c>
      <c r="BG199" s="305">
        <v>366</v>
      </c>
      <c r="BH199" s="305">
        <v>436</v>
      </c>
      <c r="BI199" s="305">
        <v>453</v>
      </c>
      <c r="BJ199" s="410">
        <f t="shared" si="138"/>
        <v>0.19125683060109289</v>
      </c>
      <c r="BK199" s="410">
        <f t="shared" si="138"/>
        <v>3.8990825688073397E-2</v>
      </c>
      <c r="BL199" s="564">
        <f t="shared" si="139"/>
        <v>70</v>
      </c>
      <c r="BM199" s="564">
        <f t="shared" si="140"/>
        <v>17</v>
      </c>
      <c r="BP199" s="515"/>
      <c r="BQ199" s="320"/>
      <c r="BR199" s="320"/>
    </row>
    <row r="200" spans="1:70" ht="11.25" customHeight="1">
      <c r="A200" s="119" t="s">
        <v>4</v>
      </c>
      <c r="B200" s="593">
        <v>2440</v>
      </c>
      <c r="C200" s="25">
        <v>2440</v>
      </c>
      <c r="D200" s="25">
        <v>2521</v>
      </c>
      <c r="E200" s="25">
        <v>2561</v>
      </c>
      <c r="F200" s="25">
        <v>2560</v>
      </c>
      <c r="G200" s="25">
        <v>2583</v>
      </c>
      <c r="H200" s="25">
        <v>2598</v>
      </c>
      <c r="I200" s="25">
        <v>2756</v>
      </c>
      <c r="J200" s="25">
        <v>2807</v>
      </c>
      <c r="K200" s="25">
        <v>2803</v>
      </c>
      <c r="L200" s="686">
        <v>2829</v>
      </c>
      <c r="M200" s="13">
        <v>2656</v>
      </c>
      <c r="N200" s="13">
        <v>2636</v>
      </c>
      <c r="O200" s="13">
        <v>2718</v>
      </c>
      <c r="P200" s="13">
        <v>2932</v>
      </c>
      <c r="Q200" s="13">
        <v>2960</v>
      </c>
      <c r="R200" s="13">
        <v>2990</v>
      </c>
      <c r="S200" s="13">
        <v>2884</v>
      </c>
      <c r="T200" s="13">
        <v>2769</v>
      </c>
      <c r="U200" s="13">
        <v>2777</v>
      </c>
      <c r="V200" s="686">
        <v>2660</v>
      </c>
      <c r="W200" s="13">
        <v>2660</v>
      </c>
      <c r="X200" s="13">
        <v>2661</v>
      </c>
      <c r="Y200" s="13">
        <v>2935</v>
      </c>
      <c r="Z200" s="13">
        <v>3079</v>
      </c>
      <c r="AA200" s="13">
        <v>3150</v>
      </c>
      <c r="AB200" s="13">
        <v>3180</v>
      </c>
      <c r="AC200" s="13">
        <v>3093</v>
      </c>
      <c r="AD200" s="13">
        <v>3391</v>
      </c>
      <c r="AE200" s="13">
        <v>3719</v>
      </c>
      <c r="AF200" s="686">
        <v>4059</v>
      </c>
      <c r="AG200" s="13">
        <v>4394</v>
      </c>
      <c r="AH200" s="13">
        <v>4598</v>
      </c>
      <c r="AI200" s="14">
        <v>4890</v>
      </c>
      <c r="AJ200" s="14">
        <v>4977</v>
      </c>
      <c r="AK200" s="14">
        <v>5003</v>
      </c>
      <c r="AL200" s="14">
        <v>5125</v>
      </c>
      <c r="AM200" s="63">
        <v>5134</v>
      </c>
      <c r="AN200" s="67">
        <v>5300</v>
      </c>
      <c r="AO200" s="67">
        <v>5860</v>
      </c>
      <c r="AP200" s="774">
        <v>6128</v>
      </c>
      <c r="AQ200" s="67">
        <v>6278</v>
      </c>
      <c r="AR200" s="67">
        <v>6593</v>
      </c>
      <c r="AS200" s="67">
        <v>6581</v>
      </c>
      <c r="AT200" s="67">
        <v>6579</v>
      </c>
      <c r="AU200" s="67">
        <v>6825</v>
      </c>
      <c r="AV200" s="41">
        <v>7446</v>
      </c>
      <c r="AW200" s="225">
        <v>8291</v>
      </c>
      <c r="AX200" s="60">
        <v>8962</v>
      </c>
      <c r="AY200" s="60">
        <v>9594</v>
      </c>
      <c r="AZ200" s="60">
        <v>9430</v>
      </c>
      <c r="BA200" s="284">
        <v>9991</v>
      </c>
      <c r="BB200" s="284">
        <v>10469</v>
      </c>
      <c r="BC200" s="284">
        <v>11103</v>
      </c>
      <c r="BD200" s="305">
        <v>11894</v>
      </c>
      <c r="BE200" s="305">
        <v>12469</v>
      </c>
      <c r="BF200" s="305">
        <v>12436</v>
      </c>
      <c r="BG200" s="305">
        <v>12507</v>
      </c>
      <c r="BH200" s="305">
        <v>12735</v>
      </c>
      <c r="BI200" s="305">
        <v>12884</v>
      </c>
      <c r="BJ200" s="410">
        <f t="shared" si="138"/>
        <v>1.8229791316862556E-2</v>
      </c>
      <c r="BK200" s="410">
        <f t="shared" si="138"/>
        <v>1.1700039261876717E-2</v>
      </c>
      <c r="BL200" s="564">
        <f t="shared" si="139"/>
        <v>228</v>
      </c>
      <c r="BM200" s="564">
        <f t="shared" si="140"/>
        <v>149</v>
      </c>
      <c r="BP200" s="515"/>
      <c r="BQ200" s="320"/>
      <c r="BR200" s="320"/>
    </row>
    <row r="201" spans="1:70" ht="11.25" customHeight="1">
      <c r="A201" s="393" t="s">
        <v>31</v>
      </c>
      <c r="B201" s="970">
        <f t="shared" ref="B201:K201" si="141">SUM(B198:B200)</f>
        <v>2668</v>
      </c>
      <c r="C201" s="86">
        <f t="shared" si="141"/>
        <v>2666</v>
      </c>
      <c r="D201" s="86">
        <f t="shared" si="141"/>
        <v>2777</v>
      </c>
      <c r="E201" s="86">
        <f t="shared" si="141"/>
        <v>2825</v>
      </c>
      <c r="F201" s="86">
        <f t="shared" si="141"/>
        <v>2824</v>
      </c>
      <c r="G201" s="86">
        <f t="shared" si="141"/>
        <v>2858</v>
      </c>
      <c r="H201" s="86">
        <f t="shared" si="141"/>
        <v>2857</v>
      </c>
      <c r="I201" s="86">
        <f t="shared" si="141"/>
        <v>3035</v>
      </c>
      <c r="J201" s="86">
        <f t="shared" si="141"/>
        <v>3085</v>
      </c>
      <c r="K201" s="86">
        <f t="shared" si="141"/>
        <v>3077</v>
      </c>
      <c r="L201" s="970">
        <f>SUM(L198:L200)</f>
        <v>3088</v>
      </c>
      <c r="M201" s="86">
        <f t="shared" ref="M201:U201" si="142">SUM(M198:M200)</f>
        <v>2899</v>
      </c>
      <c r="N201" s="86">
        <f t="shared" si="142"/>
        <v>2948</v>
      </c>
      <c r="O201" s="86">
        <f t="shared" si="142"/>
        <v>2973</v>
      </c>
      <c r="P201" s="86">
        <f t="shared" si="142"/>
        <v>3206</v>
      </c>
      <c r="Q201" s="86">
        <f t="shared" si="142"/>
        <v>3266</v>
      </c>
      <c r="R201" s="86">
        <f t="shared" si="142"/>
        <v>3255</v>
      </c>
      <c r="S201" s="86">
        <f t="shared" si="142"/>
        <v>3105</v>
      </c>
      <c r="T201" s="86">
        <f t="shared" si="142"/>
        <v>2950</v>
      </c>
      <c r="U201" s="86">
        <f t="shared" si="142"/>
        <v>2972</v>
      </c>
      <c r="V201" s="970">
        <f t="shared" ref="V201:AE201" si="143">SUM(V198:V200)</f>
        <v>2986</v>
      </c>
      <c r="W201" s="86">
        <f t="shared" si="143"/>
        <v>3057</v>
      </c>
      <c r="X201" s="86">
        <f t="shared" si="143"/>
        <v>3020</v>
      </c>
      <c r="Y201" s="86">
        <f t="shared" si="143"/>
        <v>3340</v>
      </c>
      <c r="Z201" s="86">
        <f t="shared" si="143"/>
        <v>3591</v>
      </c>
      <c r="AA201" s="86">
        <f t="shared" si="143"/>
        <v>3726</v>
      </c>
      <c r="AB201" s="86">
        <f t="shared" si="143"/>
        <v>3866</v>
      </c>
      <c r="AC201" s="86">
        <f t="shared" si="143"/>
        <v>3791</v>
      </c>
      <c r="AD201" s="86">
        <f t="shared" si="143"/>
        <v>4123</v>
      </c>
      <c r="AE201" s="86">
        <f t="shared" si="143"/>
        <v>4469</v>
      </c>
      <c r="AF201" s="970">
        <f t="shared" ref="AF201:AK201" si="144">SUM(AF198:AF200)</f>
        <v>4807</v>
      </c>
      <c r="AG201" s="86">
        <f t="shared" si="144"/>
        <v>5147</v>
      </c>
      <c r="AH201" s="86">
        <f t="shared" si="144"/>
        <v>5287</v>
      </c>
      <c r="AI201" s="86">
        <f t="shared" si="144"/>
        <v>5576</v>
      </c>
      <c r="AJ201" s="86">
        <f t="shared" si="144"/>
        <v>5665</v>
      </c>
      <c r="AK201" s="86">
        <f t="shared" si="144"/>
        <v>5615</v>
      </c>
      <c r="AL201" s="86">
        <f t="shared" ref="AL201:AR201" si="145">SUM(AL198:AL200)</f>
        <v>5706</v>
      </c>
      <c r="AM201" s="86">
        <f t="shared" si="145"/>
        <v>5697</v>
      </c>
      <c r="AN201" s="86">
        <f t="shared" si="145"/>
        <v>5943</v>
      </c>
      <c r="AO201" s="86">
        <f t="shared" si="145"/>
        <v>6453</v>
      </c>
      <c r="AP201" s="970">
        <f t="shared" si="145"/>
        <v>6747</v>
      </c>
      <c r="AQ201" s="86">
        <f t="shared" si="145"/>
        <v>6918</v>
      </c>
      <c r="AR201" s="86">
        <f t="shared" si="145"/>
        <v>7228</v>
      </c>
      <c r="AS201" s="86">
        <f t="shared" ref="AS201:BA201" si="146">SUM(AS198:AS200)</f>
        <v>7218</v>
      </c>
      <c r="AT201" s="86">
        <f t="shared" si="146"/>
        <v>7327</v>
      </c>
      <c r="AU201" s="86">
        <f t="shared" si="146"/>
        <v>7532</v>
      </c>
      <c r="AV201" s="141">
        <f t="shared" si="146"/>
        <v>8100</v>
      </c>
      <c r="AW201" s="141">
        <f t="shared" si="146"/>
        <v>8950.2125603864733</v>
      </c>
      <c r="AX201" s="141">
        <f t="shared" si="146"/>
        <v>9604.7142857142862</v>
      </c>
      <c r="AY201" s="383">
        <f t="shared" si="146"/>
        <v>10214.744075829383</v>
      </c>
      <c r="AZ201" s="383">
        <f t="shared" si="146"/>
        <v>10040</v>
      </c>
      <c r="BA201" s="383">
        <f t="shared" si="146"/>
        <v>10622</v>
      </c>
      <c r="BB201" s="383">
        <f t="shared" ref="BB201:BI201" si="147">SUM(BB198:BB200)</f>
        <v>11106</v>
      </c>
      <c r="BC201" s="383">
        <f t="shared" si="147"/>
        <v>11746</v>
      </c>
      <c r="BD201" s="384">
        <f t="shared" si="147"/>
        <v>12511</v>
      </c>
      <c r="BE201" s="384">
        <f t="shared" si="147"/>
        <v>13068</v>
      </c>
      <c r="BF201" s="384">
        <f t="shared" si="147"/>
        <v>13085</v>
      </c>
      <c r="BG201" s="384">
        <f t="shared" si="147"/>
        <v>13150</v>
      </c>
      <c r="BH201" s="384">
        <f t="shared" si="147"/>
        <v>13482</v>
      </c>
      <c r="BI201" s="384">
        <f t="shared" si="147"/>
        <v>13667</v>
      </c>
      <c r="BJ201" s="872">
        <f t="shared" si="138"/>
        <v>2.5247148288973384E-2</v>
      </c>
      <c r="BK201" s="872">
        <f t="shared" si="138"/>
        <v>1.3721999703308115E-2</v>
      </c>
      <c r="BL201" s="567">
        <f>BH201-BG201</f>
        <v>332</v>
      </c>
      <c r="BM201" s="567">
        <f>BI201-BH201</f>
        <v>185</v>
      </c>
      <c r="BP201" s="515"/>
      <c r="BQ201" s="320"/>
      <c r="BR201" s="320"/>
    </row>
    <row r="202" spans="1:70" ht="6" customHeight="1">
      <c r="A202" s="115"/>
      <c r="B202" s="217"/>
      <c r="C202" s="152"/>
      <c r="D202" s="152"/>
      <c r="E202" s="152"/>
      <c r="F202" s="152"/>
      <c r="G202" s="152"/>
      <c r="H202" s="152"/>
      <c r="I202" s="152"/>
      <c r="J202" s="152"/>
      <c r="K202" s="152"/>
      <c r="L202" s="596"/>
      <c r="M202" s="11"/>
      <c r="N202" s="11"/>
      <c r="O202" s="11"/>
      <c r="P202" s="11"/>
      <c r="Q202" s="11"/>
      <c r="R202" s="11"/>
      <c r="S202" s="11"/>
      <c r="T202" s="11"/>
      <c r="U202" s="11"/>
      <c r="V202" s="596"/>
      <c r="W202" s="11"/>
      <c r="X202" s="11"/>
      <c r="Y202" s="11"/>
      <c r="Z202" s="11"/>
      <c r="AA202" s="11"/>
      <c r="AB202" s="11"/>
      <c r="AC202" s="11"/>
      <c r="AD202" s="11"/>
      <c r="AE202" s="11"/>
      <c r="AF202" s="596"/>
      <c r="AG202" s="11"/>
      <c r="AH202" s="11"/>
      <c r="AI202" s="11"/>
      <c r="AJ202" s="11"/>
      <c r="AK202" s="11"/>
      <c r="AL202" s="11"/>
      <c r="AM202" s="63"/>
      <c r="AN202" s="63"/>
      <c r="AO202" s="63"/>
      <c r="AP202" s="696"/>
      <c r="AQ202" s="63"/>
      <c r="AR202" s="63"/>
      <c r="AS202" s="63"/>
      <c r="AT202" s="63"/>
      <c r="AU202" s="63"/>
      <c r="AV202" s="27"/>
      <c r="AW202" s="250"/>
      <c r="AX202" s="60"/>
      <c r="AY202" s="284"/>
      <c r="AZ202" s="284"/>
      <c r="BA202" s="284"/>
      <c r="BB202" s="284"/>
      <c r="BC202" s="461"/>
      <c r="BD202" s="300"/>
      <c r="BE202" s="300"/>
      <c r="BF202" s="300"/>
      <c r="BG202" s="300"/>
      <c r="BH202" s="300"/>
      <c r="BI202" s="300"/>
      <c r="BJ202" s="871"/>
      <c r="BK202" s="871"/>
      <c r="BL202" s="565"/>
      <c r="BM202" s="565"/>
      <c r="BP202" s="515"/>
      <c r="BQ202" s="320"/>
      <c r="BR202" s="320"/>
    </row>
    <row r="203" spans="1:70" ht="11.25" customHeight="1">
      <c r="A203" s="116" t="s">
        <v>34</v>
      </c>
      <c r="B203" s="217"/>
      <c r="C203" s="152"/>
      <c r="D203" s="152"/>
      <c r="E203" s="152"/>
      <c r="F203" s="152"/>
      <c r="G203" s="152"/>
      <c r="H203" s="152"/>
      <c r="I203" s="152"/>
      <c r="J203" s="152"/>
      <c r="K203" s="152"/>
      <c r="L203" s="217"/>
      <c r="M203" s="152"/>
      <c r="N203" s="152"/>
      <c r="O203" s="152"/>
      <c r="P203" s="152"/>
      <c r="Q203" s="152"/>
      <c r="R203" s="152"/>
      <c r="S203" s="152"/>
      <c r="T203" s="152"/>
      <c r="U203" s="152"/>
      <c r="V203" s="217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217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217"/>
      <c r="AQ203" s="152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52"/>
      <c r="BE203" s="152"/>
      <c r="BF203" s="217"/>
      <c r="BG203" s="217"/>
      <c r="BH203" s="217"/>
      <c r="BI203" s="217"/>
      <c r="BJ203" s="871"/>
      <c r="BK203" s="871"/>
      <c r="BL203" s="565"/>
      <c r="BM203" s="565"/>
      <c r="BP203" s="515"/>
      <c r="BQ203" s="320"/>
      <c r="BR203" s="320"/>
    </row>
    <row r="204" spans="1:70" ht="11.25" customHeight="1">
      <c r="A204" s="115" t="s">
        <v>12</v>
      </c>
      <c r="B204" s="593">
        <v>526</v>
      </c>
      <c r="C204" s="25">
        <v>548</v>
      </c>
      <c r="D204" s="25">
        <v>609</v>
      </c>
      <c r="E204" s="25">
        <v>622</v>
      </c>
      <c r="F204" s="25">
        <v>613</v>
      </c>
      <c r="G204" s="25">
        <v>617</v>
      </c>
      <c r="H204" s="25">
        <v>618</v>
      </c>
      <c r="I204" s="25">
        <v>619</v>
      </c>
      <c r="J204" s="25">
        <v>620</v>
      </c>
      <c r="K204" s="25">
        <v>561</v>
      </c>
      <c r="L204" s="596">
        <v>607</v>
      </c>
      <c r="M204" s="11">
        <v>585</v>
      </c>
      <c r="N204" s="11">
        <v>605</v>
      </c>
      <c r="O204" s="11">
        <v>616</v>
      </c>
      <c r="P204" s="11">
        <v>622</v>
      </c>
      <c r="Q204" s="11">
        <v>676</v>
      </c>
      <c r="R204" s="11">
        <v>813</v>
      </c>
      <c r="S204" s="11">
        <v>861</v>
      </c>
      <c r="T204" s="11">
        <v>906</v>
      </c>
      <c r="U204" s="11">
        <v>987</v>
      </c>
      <c r="V204" s="596">
        <v>971</v>
      </c>
      <c r="W204" s="11">
        <v>938</v>
      </c>
      <c r="X204" s="11">
        <v>798</v>
      </c>
      <c r="Y204" s="11">
        <v>740</v>
      </c>
      <c r="Z204" s="11">
        <v>684</v>
      </c>
      <c r="AA204" s="11">
        <v>631</v>
      </c>
      <c r="AB204" s="11">
        <v>662</v>
      </c>
      <c r="AC204" s="11">
        <v>565</v>
      </c>
      <c r="AD204" s="11">
        <v>515</v>
      </c>
      <c r="AE204" s="11">
        <v>508</v>
      </c>
      <c r="AF204" s="596">
        <v>513</v>
      </c>
      <c r="AG204" s="11">
        <v>544</v>
      </c>
      <c r="AH204" s="11">
        <v>588</v>
      </c>
      <c r="AI204" s="11">
        <v>587</v>
      </c>
      <c r="AJ204" s="11">
        <v>634</v>
      </c>
      <c r="AK204" s="11">
        <v>731</v>
      </c>
      <c r="AL204" s="11">
        <v>748</v>
      </c>
      <c r="AM204" s="63">
        <v>767</v>
      </c>
      <c r="AN204" s="63">
        <v>796</v>
      </c>
      <c r="AO204" s="63">
        <v>804</v>
      </c>
      <c r="AP204" s="696">
        <v>748</v>
      </c>
      <c r="AQ204" s="63">
        <v>771</v>
      </c>
      <c r="AR204" s="63">
        <f>525+247</f>
        <v>772</v>
      </c>
      <c r="AS204" s="63">
        <v>769</v>
      </c>
      <c r="AT204" s="63">
        <v>785</v>
      </c>
      <c r="AU204" s="63">
        <v>792</v>
      </c>
      <c r="AV204" s="27">
        <f>588+175</f>
        <v>763</v>
      </c>
      <c r="AW204" s="27">
        <f>180+587</f>
        <v>767</v>
      </c>
      <c r="AX204" s="60">
        <v>790</v>
      </c>
      <c r="AY204" s="60">
        <v>762</v>
      </c>
      <c r="AZ204" s="60">
        <v>798</v>
      </c>
      <c r="BA204" s="284">
        <v>760</v>
      </c>
      <c r="BB204" s="284">
        <f>407+298</f>
        <v>705</v>
      </c>
      <c r="BC204" s="284">
        <v>654</v>
      </c>
      <c r="BD204" s="305">
        <f>118+480</f>
        <v>598</v>
      </c>
      <c r="BE204" s="358">
        <v>638</v>
      </c>
      <c r="BF204" s="358">
        <v>689</v>
      </c>
      <c r="BG204" s="358">
        <v>713</v>
      </c>
      <c r="BH204" s="358">
        <v>695</v>
      </c>
      <c r="BI204" s="358">
        <v>695</v>
      </c>
      <c r="BJ204" s="410">
        <f>(BH204-BG204)/BG204</f>
        <v>-2.5245441795231416E-2</v>
      </c>
      <c r="BK204" s="410">
        <f>(BI204-BH204)/BH204</f>
        <v>0</v>
      </c>
      <c r="BL204" s="564">
        <f t="shared" ref="BL204" si="148">(BH204-BG204)</f>
        <v>-18</v>
      </c>
      <c r="BM204" s="564">
        <f t="shared" ref="BM204" si="149">(BI204-BH204)</f>
        <v>0</v>
      </c>
      <c r="BP204" s="515"/>
      <c r="BQ204" s="320"/>
      <c r="BR204" s="320"/>
    </row>
    <row r="205" spans="1:70" ht="6" customHeight="1">
      <c r="A205" s="115"/>
      <c r="B205" s="593"/>
      <c r="C205" s="25"/>
      <c r="D205" s="25"/>
      <c r="E205" s="25"/>
      <c r="F205" s="25"/>
      <c r="G205" s="25"/>
      <c r="H205" s="25"/>
      <c r="I205" s="25"/>
      <c r="J205" s="25"/>
      <c r="K205" s="25"/>
      <c r="L205" s="596"/>
      <c r="M205" s="11"/>
      <c r="N205" s="11"/>
      <c r="O205" s="11"/>
      <c r="P205" s="11"/>
      <c r="Q205" s="11"/>
      <c r="R205" s="11"/>
      <c r="S205" s="11"/>
      <c r="T205" s="11"/>
      <c r="U205" s="11"/>
      <c r="V205" s="596"/>
      <c r="W205" s="11"/>
      <c r="X205" s="11"/>
      <c r="Y205" s="11"/>
      <c r="Z205" s="11"/>
      <c r="AA205" s="11"/>
      <c r="AB205" s="11"/>
      <c r="AC205" s="11"/>
      <c r="AD205" s="11"/>
      <c r="AE205" s="11"/>
      <c r="AF205" s="596"/>
      <c r="AG205" s="11"/>
      <c r="AH205" s="11"/>
      <c r="AI205" s="11"/>
      <c r="AJ205" s="11"/>
      <c r="AK205" s="11"/>
      <c r="AL205" s="11"/>
      <c r="AM205" s="63"/>
      <c r="AN205" s="63"/>
      <c r="AO205" s="63"/>
      <c r="AP205" s="696"/>
      <c r="AQ205" s="63"/>
      <c r="AR205" s="63"/>
      <c r="AS205" s="63"/>
      <c r="AT205" s="63"/>
      <c r="AU205" s="63"/>
      <c r="AV205" s="27"/>
      <c r="AW205" s="250"/>
      <c r="AX205" s="60"/>
      <c r="AY205" s="60"/>
      <c r="AZ205" s="299"/>
      <c r="BA205" s="284"/>
      <c r="BB205" s="284"/>
      <c r="BC205" s="461"/>
      <c r="BD205" s="300"/>
      <c r="BE205" s="300"/>
      <c r="BF205" s="300"/>
      <c r="BG205" s="300"/>
      <c r="BH205" s="300"/>
      <c r="BI205" s="300"/>
      <c r="BJ205" s="410"/>
      <c r="BK205" s="410"/>
      <c r="BL205" s="566"/>
      <c r="BM205" s="566"/>
      <c r="BP205" s="515"/>
      <c r="BQ205" s="320"/>
      <c r="BR205" s="320"/>
    </row>
    <row r="206" spans="1:70" ht="13.5" customHeight="1">
      <c r="A206" s="116" t="s">
        <v>124</v>
      </c>
      <c r="B206" s="593"/>
      <c r="C206" s="25"/>
      <c r="D206" s="25"/>
      <c r="E206" s="25"/>
      <c r="F206" s="25"/>
      <c r="G206" s="25"/>
      <c r="H206" s="25"/>
      <c r="I206" s="25"/>
      <c r="J206" s="25"/>
      <c r="K206" s="25"/>
      <c r="L206" s="596"/>
      <c r="M206" s="11"/>
      <c r="N206" s="11"/>
      <c r="O206" s="11"/>
      <c r="P206" s="11"/>
      <c r="Q206" s="11"/>
      <c r="R206" s="11"/>
      <c r="S206" s="11"/>
      <c r="T206" s="11"/>
      <c r="U206" s="11"/>
      <c r="V206" s="596"/>
      <c r="W206" s="11"/>
      <c r="X206" s="11"/>
      <c r="Y206" s="11"/>
      <c r="Z206" s="11"/>
      <c r="AA206" s="11"/>
      <c r="AB206" s="11"/>
      <c r="AC206" s="11"/>
      <c r="AD206" s="11"/>
      <c r="AE206" s="11"/>
      <c r="AF206" s="596"/>
      <c r="AG206" s="11"/>
      <c r="AH206" s="11"/>
      <c r="AI206" s="11"/>
      <c r="AJ206" s="11"/>
      <c r="AK206" s="11"/>
      <c r="AL206" s="11"/>
      <c r="AM206" s="63"/>
      <c r="AN206" s="63"/>
      <c r="AO206" s="63"/>
      <c r="AP206" s="696"/>
      <c r="AQ206" s="63"/>
      <c r="AR206" s="63"/>
      <c r="AS206" s="63"/>
      <c r="AT206" s="63"/>
      <c r="AU206" s="63"/>
      <c r="AV206" s="27"/>
      <c r="AW206" s="250"/>
      <c r="AX206" s="331"/>
      <c r="AY206" s="331"/>
      <c r="AZ206" s="299"/>
      <c r="BA206" s="284"/>
      <c r="BB206" s="284"/>
      <c r="BC206" s="461"/>
      <c r="BD206" s="300"/>
      <c r="BE206" s="300"/>
      <c r="BF206" s="300"/>
      <c r="BG206" s="300"/>
      <c r="BH206" s="300"/>
      <c r="BI206" s="300"/>
      <c r="BJ206" s="410"/>
      <c r="BK206" s="410"/>
      <c r="BL206" s="566"/>
      <c r="BM206" s="566"/>
      <c r="BP206" s="515"/>
      <c r="BQ206" s="320"/>
      <c r="BR206" s="320"/>
    </row>
    <row r="207" spans="1:70" ht="12" customHeight="1">
      <c r="A207" s="119" t="s">
        <v>159</v>
      </c>
      <c r="B207" s="695" t="s">
        <v>3</v>
      </c>
      <c r="C207" s="17" t="s">
        <v>3</v>
      </c>
      <c r="D207" s="17" t="s">
        <v>3</v>
      </c>
      <c r="E207" s="17" t="s">
        <v>3</v>
      </c>
      <c r="F207" s="17" t="s">
        <v>3</v>
      </c>
      <c r="G207" s="17" t="s">
        <v>3</v>
      </c>
      <c r="H207" s="17" t="s">
        <v>3</v>
      </c>
      <c r="I207" s="17" t="s">
        <v>3</v>
      </c>
      <c r="J207" s="17" t="s">
        <v>3</v>
      </c>
      <c r="K207" s="17" t="s">
        <v>3</v>
      </c>
      <c r="L207" s="695" t="s">
        <v>3</v>
      </c>
      <c r="M207" s="17" t="s">
        <v>3</v>
      </c>
      <c r="N207" s="17" t="s">
        <v>3</v>
      </c>
      <c r="O207" s="17" t="s">
        <v>3</v>
      </c>
      <c r="P207" s="17" t="s">
        <v>3</v>
      </c>
      <c r="Q207" s="17" t="s">
        <v>3</v>
      </c>
      <c r="R207" s="17" t="s">
        <v>3</v>
      </c>
      <c r="S207" s="17" t="s">
        <v>3</v>
      </c>
      <c r="T207" s="17" t="s">
        <v>3</v>
      </c>
      <c r="U207" s="11">
        <v>83</v>
      </c>
      <c r="V207" s="596">
        <v>97</v>
      </c>
      <c r="W207" s="11">
        <v>75</v>
      </c>
      <c r="X207" s="11">
        <v>82</v>
      </c>
      <c r="Y207" s="11">
        <v>82</v>
      </c>
      <c r="Z207" s="11">
        <v>83</v>
      </c>
      <c r="AA207" s="11">
        <v>83</v>
      </c>
      <c r="AB207" s="11">
        <v>82</v>
      </c>
      <c r="AC207" s="11">
        <v>67</v>
      </c>
      <c r="AD207" s="11">
        <v>69</v>
      </c>
      <c r="AE207" s="11">
        <v>61</v>
      </c>
      <c r="AF207" s="596">
        <v>57</v>
      </c>
      <c r="AG207" s="11">
        <v>59</v>
      </c>
      <c r="AH207" s="11">
        <v>59</v>
      </c>
      <c r="AI207" s="11">
        <v>59</v>
      </c>
      <c r="AJ207" s="11">
        <v>53</v>
      </c>
      <c r="AK207" s="11">
        <v>65</v>
      </c>
      <c r="AL207" s="11">
        <v>47</v>
      </c>
      <c r="AM207" s="63">
        <v>45</v>
      </c>
      <c r="AN207" s="63">
        <v>44</v>
      </c>
      <c r="AO207" s="63">
        <v>41</v>
      </c>
      <c r="AP207" s="696">
        <v>49</v>
      </c>
      <c r="AQ207" s="63">
        <v>47</v>
      </c>
      <c r="AR207" s="63">
        <v>49</v>
      </c>
      <c r="AS207" s="63">
        <v>55</v>
      </c>
      <c r="AT207" s="63">
        <v>59</v>
      </c>
      <c r="AU207" s="11">
        <v>50</v>
      </c>
      <c r="AV207" s="27">
        <v>48</v>
      </c>
      <c r="AW207" s="153">
        <v>48</v>
      </c>
      <c r="AX207" s="331">
        <v>45</v>
      </c>
      <c r="AY207" s="331">
        <v>45</v>
      </c>
      <c r="AZ207" s="284">
        <v>44</v>
      </c>
      <c r="BA207" s="284">
        <v>45</v>
      </c>
      <c r="BB207" s="284">
        <v>44</v>
      </c>
      <c r="BC207" s="284">
        <v>47</v>
      </c>
      <c r="BD207" s="305">
        <v>43</v>
      </c>
      <c r="BE207" s="305">
        <v>44</v>
      </c>
      <c r="BF207" s="305">
        <v>51</v>
      </c>
      <c r="BG207" s="305">
        <v>49</v>
      </c>
      <c r="BH207" s="305">
        <v>53</v>
      </c>
      <c r="BI207" s="305">
        <v>53</v>
      </c>
      <c r="BJ207" s="410">
        <f>(BH207-BG207)/BG207</f>
        <v>8.1632653061224483E-2</v>
      </c>
      <c r="BK207" s="410">
        <f>(BI207-BH207)/BH207</f>
        <v>0</v>
      </c>
      <c r="BL207" s="564">
        <f t="shared" ref="BL207" si="150">(BH207-BG207)</f>
        <v>4</v>
      </c>
      <c r="BM207" s="564">
        <f t="shared" ref="BM207" si="151">(BI207-BH207)</f>
        <v>0</v>
      </c>
      <c r="BP207" s="515"/>
      <c r="BQ207" s="320"/>
      <c r="BR207" s="320"/>
    </row>
    <row r="208" spans="1:70" ht="6" customHeight="1">
      <c r="A208" s="115"/>
      <c r="B208" s="593"/>
      <c r="C208" s="25"/>
      <c r="D208" s="25"/>
      <c r="E208" s="25"/>
      <c r="F208" s="25"/>
      <c r="G208" s="25"/>
      <c r="H208" s="25"/>
      <c r="I208" s="25"/>
      <c r="J208" s="25"/>
      <c r="K208" s="25"/>
      <c r="L208" s="596"/>
      <c r="M208" s="11"/>
      <c r="N208" s="11"/>
      <c r="O208" s="11"/>
      <c r="P208" s="11"/>
      <c r="Q208" s="11"/>
      <c r="R208" s="11"/>
      <c r="S208" s="11"/>
      <c r="T208" s="11"/>
      <c r="U208" s="11"/>
      <c r="V208" s="596"/>
      <c r="W208" s="11"/>
      <c r="X208" s="11"/>
      <c r="Y208" s="11"/>
      <c r="Z208" s="11"/>
      <c r="AA208" s="11"/>
      <c r="AB208" s="11"/>
      <c r="AC208" s="11"/>
      <c r="AD208" s="11"/>
      <c r="AE208" s="11"/>
      <c r="AF208" s="596"/>
      <c r="AG208" s="11"/>
      <c r="AH208" s="11"/>
      <c r="AI208" s="11"/>
      <c r="AJ208" s="11"/>
      <c r="AK208" s="11"/>
      <c r="AL208" s="11"/>
      <c r="AM208" s="63"/>
      <c r="AN208" s="63"/>
      <c r="AO208" s="63"/>
      <c r="AP208" s="696"/>
      <c r="AQ208" s="63"/>
      <c r="AR208" s="63"/>
      <c r="AS208" s="63"/>
      <c r="AT208" s="63"/>
      <c r="AU208" s="11"/>
      <c r="AV208" s="27"/>
      <c r="AW208" s="153"/>
      <c r="AX208" s="331"/>
      <c r="AY208" s="331"/>
      <c r="AZ208" s="299"/>
      <c r="BA208" s="284"/>
      <c r="BB208" s="284"/>
      <c r="BC208" s="461"/>
      <c r="BD208" s="300"/>
      <c r="BE208" s="300"/>
      <c r="BF208" s="300"/>
      <c r="BG208" s="300"/>
      <c r="BH208" s="300"/>
      <c r="BI208" s="300"/>
      <c r="BJ208" s="410"/>
      <c r="BK208" s="410"/>
      <c r="BL208" s="566"/>
      <c r="BM208" s="566"/>
      <c r="BP208" s="515"/>
      <c r="BQ208" s="320"/>
      <c r="BR208" s="320"/>
    </row>
    <row r="209" spans="1:70" ht="13.5" customHeight="1">
      <c r="A209" s="116" t="s">
        <v>123</v>
      </c>
      <c r="B209" s="593"/>
      <c r="C209" s="25"/>
      <c r="D209" s="25"/>
      <c r="E209" s="25"/>
      <c r="F209" s="25"/>
      <c r="G209" s="25"/>
      <c r="H209" s="25"/>
      <c r="I209" s="25"/>
      <c r="J209" s="25"/>
      <c r="K209" s="25"/>
      <c r="L209" s="596"/>
      <c r="M209" s="11"/>
      <c r="N209" s="11"/>
      <c r="O209" s="11"/>
      <c r="P209" s="11"/>
      <c r="Q209" s="11"/>
      <c r="R209" s="11"/>
      <c r="S209" s="11"/>
      <c r="T209" s="11"/>
      <c r="U209" s="11"/>
      <c r="V209" s="596"/>
      <c r="W209" s="11"/>
      <c r="X209" s="11"/>
      <c r="Y209" s="11"/>
      <c r="Z209" s="11"/>
      <c r="AA209" s="11"/>
      <c r="AB209" s="11"/>
      <c r="AC209" s="11"/>
      <c r="AD209" s="11"/>
      <c r="AE209" s="11"/>
      <c r="AF209" s="596"/>
      <c r="AG209" s="11"/>
      <c r="AH209" s="11"/>
      <c r="AI209" s="11"/>
      <c r="AJ209" s="11"/>
      <c r="AK209" s="11"/>
      <c r="AL209" s="11"/>
      <c r="AM209" s="63"/>
      <c r="AN209" s="63"/>
      <c r="AO209" s="63"/>
      <c r="AP209" s="696"/>
      <c r="AQ209" s="63"/>
      <c r="AR209" s="63"/>
      <c r="AS209" s="63"/>
      <c r="AT209" s="63"/>
      <c r="AU209" s="11"/>
      <c r="AV209" s="27"/>
      <c r="AW209" s="153"/>
      <c r="AX209" s="331"/>
      <c r="AY209" s="331"/>
      <c r="AZ209" s="299"/>
      <c r="BA209" s="284"/>
      <c r="BD209" s="391"/>
      <c r="BE209" s="300"/>
      <c r="BF209" s="300"/>
      <c r="BG209" s="300"/>
      <c r="BH209" s="300"/>
      <c r="BI209" s="300"/>
      <c r="BJ209" s="879"/>
      <c r="BK209" s="879"/>
      <c r="BL209" s="573"/>
      <c r="BM209" s="573"/>
      <c r="BP209" s="515"/>
      <c r="BQ209" s="320"/>
      <c r="BR209" s="320"/>
    </row>
    <row r="210" spans="1:70" ht="12" customHeight="1">
      <c r="A210" s="130" t="s">
        <v>156</v>
      </c>
      <c r="B210" s="695" t="s">
        <v>3</v>
      </c>
      <c r="C210" s="17" t="s">
        <v>3</v>
      </c>
      <c r="D210" s="17" t="s">
        <v>3</v>
      </c>
      <c r="E210" s="17" t="s">
        <v>3</v>
      </c>
      <c r="F210" s="17" t="s">
        <v>3</v>
      </c>
      <c r="G210" s="17" t="s">
        <v>3</v>
      </c>
      <c r="H210" s="17" t="s">
        <v>3</v>
      </c>
      <c r="I210" s="17" t="s">
        <v>3</v>
      </c>
      <c r="J210" s="17" t="s">
        <v>3</v>
      </c>
      <c r="K210" s="17" t="s">
        <v>3</v>
      </c>
      <c r="L210" s="695" t="s">
        <v>3</v>
      </c>
      <c r="M210" s="17" t="s">
        <v>3</v>
      </c>
      <c r="N210" s="17" t="s">
        <v>3</v>
      </c>
      <c r="O210" s="17" t="s">
        <v>3</v>
      </c>
      <c r="P210" s="17" t="s">
        <v>3</v>
      </c>
      <c r="Q210" s="17" t="s">
        <v>3</v>
      </c>
      <c r="R210" s="17" t="s">
        <v>3</v>
      </c>
      <c r="S210" s="17" t="s">
        <v>3</v>
      </c>
      <c r="T210" s="11">
        <v>66</v>
      </c>
      <c r="U210" s="11">
        <v>93</v>
      </c>
      <c r="V210" s="596">
        <v>172</v>
      </c>
      <c r="W210" s="11">
        <v>144</v>
      </c>
      <c r="X210" s="11">
        <v>133</v>
      </c>
      <c r="Y210" s="11">
        <v>101</v>
      </c>
      <c r="Z210" s="11">
        <v>114</v>
      </c>
      <c r="AA210" s="11">
        <v>107</v>
      </c>
      <c r="AB210" s="11">
        <v>109</v>
      </c>
      <c r="AC210" s="11">
        <v>100</v>
      </c>
      <c r="AD210" s="11">
        <v>92</v>
      </c>
      <c r="AE210" s="11">
        <v>78</v>
      </c>
      <c r="AF210" s="596">
        <v>59</v>
      </c>
      <c r="AG210" s="11">
        <v>68</v>
      </c>
      <c r="AH210" s="11">
        <v>50</v>
      </c>
      <c r="AI210" s="11">
        <v>37</v>
      </c>
      <c r="AJ210" s="11">
        <v>62</v>
      </c>
      <c r="AK210" s="11">
        <v>88</v>
      </c>
      <c r="AL210" s="11">
        <v>49</v>
      </c>
      <c r="AM210" s="63">
        <v>44</v>
      </c>
      <c r="AN210" s="63">
        <v>43</v>
      </c>
      <c r="AO210" s="63">
        <v>39</v>
      </c>
      <c r="AP210" s="696">
        <v>42</v>
      </c>
      <c r="AQ210" s="63">
        <v>30</v>
      </c>
      <c r="AR210" s="63">
        <v>32</v>
      </c>
      <c r="AS210" s="63">
        <v>34</v>
      </c>
      <c r="AT210" s="63">
        <v>27</v>
      </c>
      <c r="AU210" s="6">
        <v>34</v>
      </c>
      <c r="AV210" s="27">
        <v>35</v>
      </c>
      <c r="AW210" s="153">
        <v>35</v>
      </c>
      <c r="AX210" s="331">
        <v>32</v>
      </c>
      <c r="AY210" s="331">
        <v>35</v>
      </c>
      <c r="AZ210" s="284">
        <v>33</v>
      </c>
      <c r="BA210" s="284">
        <v>46</v>
      </c>
      <c r="BB210" s="284">
        <v>46</v>
      </c>
      <c r="BC210" s="284">
        <v>46</v>
      </c>
      <c r="BD210" s="305">
        <v>46</v>
      </c>
      <c r="BE210" s="305">
        <v>46</v>
      </c>
      <c r="BF210" s="305">
        <v>50</v>
      </c>
      <c r="BG210" s="305">
        <v>44</v>
      </c>
      <c r="BH210" s="305">
        <v>52</v>
      </c>
      <c r="BI210" s="305">
        <v>52</v>
      </c>
      <c r="BJ210" s="410">
        <f>(BH210-BG210)/BG210</f>
        <v>0.18181818181818182</v>
      </c>
      <c r="BK210" s="410">
        <f>(BI210-BH210)/BH210</f>
        <v>0</v>
      </c>
      <c r="BL210" s="564">
        <f t="shared" ref="BL210" si="152">(BH210-BG210)</f>
        <v>8</v>
      </c>
      <c r="BM210" s="564">
        <f t="shared" ref="BM210" si="153">(BI210-BH210)</f>
        <v>0</v>
      </c>
      <c r="BP210" s="515"/>
      <c r="BQ210" s="320"/>
      <c r="BR210" s="320"/>
    </row>
    <row r="211" spans="1:70" ht="9.75" customHeight="1">
      <c r="A211" s="115"/>
      <c r="B211" s="593"/>
      <c r="C211" s="25"/>
      <c r="D211" s="25"/>
      <c r="E211" s="25"/>
      <c r="F211" s="25"/>
      <c r="G211" s="25"/>
      <c r="H211" s="25"/>
      <c r="I211" s="25"/>
      <c r="J211" s="25"/>
      <c r="K211" s="25"/>
      <c r="L211" s="596"/>
      <c r="M211" s="11"/>
      <c r="N211" s="11"/>
      <c r="O211" s="11"/>
      <c r="P211" s="11"/>
      <c r="Q211" s="11"/>
      <c r="R211" s="11"/>
      <c r="S211" s="11"/>
      <c r="T211" s="11"/>
      <c r="U211" s="11"/>
      <c r="V211" s="596"/>
      <c r="W211" s="11"/>
      <c r="X211" s="11"/>
      <c r="Y211" s="11"/>
      <c r="Z211" s="11"/>
      <c r="AA211" s="11"/>
      <c r="AB211" s="11"/>
      <c r="AC211" s="11"/>
      <c r="AD211" s="11"/>
      <c r="AE211" s="11"/>
      <c r="AF211" s="596"/>
      <c r="AG211" s="11"/>
      <c r="AH211" s="11"/>
      <c r="AI211" s="11"/>
      <c r="AJ211" s="11"/>
      <c r="AK211" s="11"/>
      <c r="AL211" s="11"/>
      <c r="AM211" s="63"/>
      <c r="AN211" s="63"/>
      <c r="AO211" s="63"/>
      <c r="AP211" s="696"/>
      <c r="AQ211" s="63"/>
      <c r="AR211" s="63"/>
      <c r="AS211" s="63"/>
      <c r="AT211" s="63"/>
      <c r="AU211" s="63"/>
      <c r="AV211" s="27"/>
      <c r="AW211" s="250"/>
      <c r="AX211" s="331"/>
      <c r="AY211" s="331"/>
      <c r="AZ211" s="299"/>
      <c r="BA211" s="284"/>
      <c r="BB211" s="284"/>
      <c r="BC211" s="461"/>
      <c r="BD211" s="300"/>
      <c r="BE211" s="300"/>
      <c r="BF211" s="300"/>
      <c r="BG211" s="300"/>
      <c r="BH211" s="300"/>
      <c r="BI211" s="300"/>
      <c r="BJ211" s="871"/>
      <c r="BK211" s="871"/>
      <c r="BL211" s="565"/>
      <c r="BM211" s="565"/>
      <c r="BP211" s="515"/>
      <c r="BQ211" s="320"/>
      <c r="BR211" s="320"/>
    </row>
    <row r="212" spans="1:70" ht="11.25" customHeight="1">
      <c r="A212" s="115" t="s">
        <v>19</v>
      </c>
      <c r="B212" s="695" t="s">
        <v>3</v>
      </c>
      <c r="C212" s="17" t="s">
        <v>3</v>
      </c>
      <c r="D212" s="17" t="s">
        <v>3</v>
      </c>
      <c r="E212" s="17" t="s">
        <v>3</v>
      </c>
      <c r="F212" s="17" t="s">
        <v>3</v>
      </c>
      <c r="G212" s="17" t="s">
        <v>3</v>
      </c>
      <c r="H212" s="17" t="s">
        <v>3</v>
      </c>
      <c r="I212" s="17" t="s">
        <v>3</v>
      </c>
      <c r="J212" s="17" t="s">
        <v>3</v>
      </c>
      <c r="K212" s="17" t="s">
        <v>3</v>
      </c>
      <c r="L212" s="695" t="s">
        <v>3</v>
      </c>
      <c r="M212" s="17" t="s">
        <v>3</v>
      </c>
      <c r="N212" s="17" t="s">
        <v>3</v>
      </c>
      <c r="O212" s="17" t="s">
        <v>3</v>
      </c>
      <c r="P212" s="17" t="s">
        <v>3</v>
      </c>
      <c r="Q212" s="11">
        <v>62</v>
      </c>
      <c r="R212" s="11">
        <v>147</v>
      </c>
      <c r="S212" s="11">
        <v>188</v>
      </c>
      <c r="T212" s="11">
        <v>242</v>
      </c>
      <c r="U212" s="11">
        <v>262</v>
      </c>
      <c r="V212" s="596">
        <v>258</v>
      </c>
      <c r="W212" s="11">
        <v>257</v>
      </c>
      <c r="X212" s="11">
        <v>237</v>
      </c>
      <c r="Y212" s="11">
        <v>225</v>
      </c>
      <c r="Z212" s="11">
        <v>230</v>
      </c>
      <c r="AA212" s="11">
        <v>242</v>
      </c>
      <c r="AB212" s="11">
        <v>230</v>
      </c>
      <c r="AC212" s="11">
        <v>235</v>
      </c>
      <c r="AD212" s="11">
        <v>252</v>
      </c>
      <c r="AE212" s="11">
        <v>251</v>
      </c>
      <c r="AF212" s="596">
        <v>241</v>
      </c>
      <c r="AG212" s="11">
        <v>254</v>
      </c>
      <c r="AH212" s="11">
        <v>266</v>
      </c>
      <c r="AI212" s="11">
        <v>270</v>
      </c>
      <c r="AJ212" s="11">
        <v>292</v>
      </c>
      <c r="AK212" s="11">
        <v>315</v>
      </c>
      <c r="AL212" s="74">
        <v>309</v>
      </c>
      <c r="AM212" s="74">
        <v>297</v>
      </c>
      <c r="AN212" s="74">
        <v>303</v>
      </c>
      <c r="AO212" s="74">
        <v>323</v>
      </c>
      <c r="AP212" s="996">
        <v>343</v>
      </c>
      <c r="AQ212" s="74">
        <v>345</v>
      </c>
      <c r="AR212" s="74">
        <v>352</v>
      </c>
      <c r="AS212" s="74">
        <v>360</v>
      </c>
      <c r="AT212" s="74">
        <v>373</v>
      </c>
      <c r="AU212" s="74">
        <v>377</v>
      </c>
      <c r="AV212" s="229">
        <v>368</v>
      </c>
      <c r="AW212" s="230">
        <v>350</v>
      </c>
      <c r="AX212" s="60">
        <v>349</v>
      </c>
      <c r="AY212" s="60">
        <v>359</v>
      </c>
      <c r="AZ212" s="60">
        <v>356</v>
      </c>
      <c r="BA212" s="284">
        <v>347</v>
      </c>
      <c r="BB212" s="284">
        <v>347</v>
      </c>
      <c r="BC212" s="284">
        <v>344</v>
      </c>
      <c r="BD212" s="305">
        <v>329</v>
      </c>
      <c r="BE212" s="305">
        <v>331</v>
      </c>
      <c r="BF212" s="305">
        <v>330</v>
      </c>
      <c r="BG212" s="305">
        <v>325</v>
      </c>
      <c r="BH212" s="305">
        <v>345</v>
      </c>
      <c r="BI212" s="305">
        <v>345</v>
      </c>
      <c r="BJ212" s="410">
        <f>(BH212-BG212)/BG212</f>
        <v>6.1538461538461542E-2</v>
      </c>
      <c r="BK212" s="410">
        <f>(BI212-BH212)/BH212</f>
        <v>0</v>
      </c>
      <c r="BL212" s="564">
        <f t="shared" ref="BL212" si="154">(BH212-BG212)</f>
        <v>20</v>
      </c>
      <c r="BM212" s="564">
        <f t="shared" ref="BM212" si="155">(BI212-BH212)</f>
        <v>0</v>
      </c>
      <c r="BP212" s="515"/>
      <c r="BQ212" s="320"/>
      <c r="BR212" s="320"/>
    </row>
    <row r="213" spans="1:70" ht="6" customHeight="1">
      <c r="A213" s="115"/>
      <c r="B213" s="593"/>
      <c r="C213" s="25"/>
      <c r="D213" s="25"/>
      <c r="E213" s="25"/>
      <c r="F213" s="25"/>
      <c r="G213" s="25"/>
      <c r="H213" s="25"/>
      <c r="I213" s="25"/>
      <c r="J213" s="25"/>
      <c r="K213" s="25"/>
      <c r="L213" s="596"/>
      <c r="M213" s="11"/>
      <c r="N213" s="11"/>
      <c r="O213" s="11"/>
      <c r="P213" s="11"/>
      <c r="Q213" s="11"/>
      <c r="R213" s="11"/>
      <c r="S213" s="11"/>
      <c r="T213" s="11"/>
      <c r="U213" s="11"/>
      <c r="V213" s="596"/>
      <c r="W213" s="11"/>
      <c r="X213" s="11"/>
      <c r="Y213" s="11"/>
      <c r="Z213" s="11"/>
      <c r="AA213" s="11"/>
      <c r="AB213" s="11"/>
      <c r="AC213" s="11"/>
      <c r="AD213" s="11"/>
      <c r="AE213" s="11"/>
      <c r="AF213" s="596"/>
      <c r="AG213" s="11"/>
      <c r="AH213" s="11"/>
      <c r="AI213" s="11"/>
      <c r="AJ213" s="11"/>
      <c r="AK213" s="11"/>
      <c r="AL213" s="11"/>
      <c r="AM213" s="63"/>
      <c r="AN213" s="63"/>
      <c r="AO213" s="63"/>
      <c r="AP213" s="696"/>
      <c r="AQ213" s="63"/>
      <c r="AR213" s="63"/>
      <c r="AS213" s="63"/>
      <c r="AT213" s="63"/>
      <c r="AU213" s="63"/>
      <c r="AV213" s="27"/>
      <c r="AW213" s="250"/>
      <c r="AX213" s="60"/>
      <c r="AY213" s="60"/>
      <c r="AZ213" s="299"/>
      <c r="BA213" s="284"/>
      <c r="BB213" s="284"/>
      <c r="BC213" s="461"/>
      <c r="BD213" s="300"/>
      <c r="BE213" s="300"/>
      <c r="BF213" s="300"/>
      <c r="BG213" s="300"/>
      <c r="BH213" s="300"/>
      <c r="BI213" s="300"/>
      <c r="BJ213" s="871"/>
      <c r="BK213" s="871"/>
      <c r="BL213" s="565"/>
      <c r="BM213" s="565"/>
      <c r="BP213" s="515"/>
      <c r="BQ213" s="320"/>
      <c r="BR213" s="320"/>
    </row>
    <row r="214" spans="1:70" ht="11.25" customHeight="1">
      <c r="A214" s="115" t="s">
        <v>15</v>
      </c>
      <c r="B214" s="593">
        <v>758</v>
      </c>
      <c r="C214" s="25">
        <v>838</v>
      </c>
      <c r="D214" s="25">
        <v>1076</v>
      </c>
      <c r="E214" s="25">
        <v>1181</v>
      </c>
      <c r="F214" s="25">
        <v>1179</v>
      </c>
      <c r="G214" s="25">
        <v>1177</v>
      </c>
      <c r="H214" s="25">
        <v>1175</v>
      </c>
      <c r="I214" s="25">
        <v>1175</v>
      </c>
      <c r="J214" s="25">
        <v>1249</v>
      </c>
      <c r="K214" s="25">
        <v>1311</v>
      </c>
      <c r="L214" s="596">
        <v>1390</v>
      </c>
      <c r="M214" s="11">
        <v>1341</v>
      </c>
      <c r="N214" s="11">
        <v>1361</v>
      </c>
      <c r="O214" s="11">
        <v>1426</v>
      </c>
      <c r="P214" s="11">
        <v>1555</v>
      </c>
      <c r="Q214" s="11">
        <v>1616</v>
      </c>
      <c r="R214" s="11">
        <v>1658</v>
      </c>
      <c r="S214" s="11">
        <v>1742</v>
      </c>
      <c r="T214" s="11">
        <v>1748</v>
      </c>
      <c r="U214" s="11">
        <v>1746</v>
      </c>
      <c r="V214" s="596">
        <v>1719</v>
      </c>
      <c r="W214" s="11">
        <v>1667</v>
      </c>
      <c r="X214" s="11">
        <v>1491</v>
      </c>
      <c r="Y214" s="11">
        <v>1310</v>
      </c>
      <c r="Z214" s="11">
        <v>1238</v>
      </c>
      <c r="AA214" s="11">
        <v>1201</v>
      </c>
      <c r="AB214" s="11">
        <v>1107</v>
      </c>
      <c r="AC214" s="11">
        <v>1007</v>
      </c>
      <c r="AD214" s="11">
        <v>986</v>
      </c>
      <c r="AE214" s="11">
        <v>894</v>
      </c>
      <c r="AF214" s="596">
        <v>903</v>
      </c>
      <c r="AG214" s="11">
        <v>926</v>
      </c>
      <c r="AH214" s="11">
        <v>964</v>
      </c>
      <c r="AI214" s="11">
        <v>953</v>
      </c>
      <c r="AJ214" s="11">
        <v>933</v>
      </c>
      <c r="AK214" s="11">
        <v>939</v>
      </c>
      <c r="AL214" s="11">
        <v>939</v>
      </c>
      <c r="AM214" s="63">
        <v>928</v>
      </c>
      <c r="AN214" s="63">
        <v>965</v>
      </c>
      <c r="AO214" s="63">
        <v>967</v>
      </c>
      <c r="AP214" s="696">
        <v>989</v>
      </c>
      <c r="AQ214" s="63">
        <v>1010</v>
      </c>
      <c r="AR214" s="63">
        <f>580+477</f>
        <v>1057</v>
      </c>
      <c r="AS214" s="63">
        <v>1051</v>
      </c>
      <c r="AT214" s="63">
        <v>1057</v>
      </c>
      <c r="AU214" s="63">
        <v>1019</v>
      </c>
      <c r="AV214" s="27">
        <v>907</v>
      </c>
      <c r="AW214" s="27">
        <f>395+666</f>
        <v>1061</v>
      </c>
      <c r="AX214" s="60">
        <v>1094</v>
      </c>
      <c r="AY214" s="60">
        <v>1107</v>
      </c>
      <c r="AZ214" s="60">
        <v>1136</v>
      </c>
      <c r="BA214" s="284">
        <v>1160</v>
      </c>
      <c r="BB214" s="284">
        <v>1182</v>
      </c>
      <c r="BC214" s="284">
        <v>1144</v>
      </c>
      <c r="BD214" s="305">
        <v>1145</v>
      </c>
      <c r="BE214" s="305">
        <v>1144</v>
      </c>
      <c r="BF214" s="305">
        <v>1166</v>
      </c>
      <c r="BG214" s="305">
        <v>1135</v>
      </c>
      <c r="BH214" s="305">
        <v>1141</v>
      </c>
      <c r="BI214" s="305">
        <v>1141</v>
      </c>
      <c r="BJ214" s="410">
        <f>(BH214-BG214)/BG214</f>
        <v>5.2863436123348016E-3</v>
      </c>
      <c r="BK214" s="410">
        <f>(BI214-BH214)/BH214</f>
        <v>0</v>
      </c>
      <c r="BL214" s="564">
        <f t="shared" ref="BL214" si="156">(BH214-BG214)</f>
        <v>6</v>
      </c>
      <c r="BM214" s="564">
        <f t="shared" ref="BM214" si="157">(BI214-BH214)</f>
        <v>0</v>
      </c>
      <c r="BP214" s="515"/>
      <c r="BQ214" s="320"/>
      <c r="BR214" s="320"/>
    </row>
    <row r="215" spans="1:70" ht="6" customHeight="1">
      <c r="A215" s="115"/>
      <c r="B215" s="593"/>
      <c r="C215" s="25"/>
      <c r="D215" s="25"/>
      <c r="E215" s="25"/>
      <c r="F215" s="25"/>
      <c r="G215" s="25"/>
      <c r="H215" s="25"/>
      <c r="I215" s="25"/>
      <c r="J215" s="25"/>
      <c r="K215" s="25"/>
      <c r="L215" s="596"/>
      <c r="M215" s="11"/>
      <c r="N215" s="11"/>
      <c r="O215" s="11"/>
      <c r="P215" s="11"/>
      <c r="Q215" s="11"/>
      <c r="R215" s="11"/>
      <c r="S215" s="11"/>
      <c r="T215" s="11"/>
      <c r="U215" s="11"/>
      <c r="V215" s="596"/>
      <c r="W215" s="11"/>
      <c r="X215" s="11"/>
      <c r="Y215" s="11"/>
      <c r="Z215" s="11"/>
      <c r="AA215" s="11"/>
      <c r="AB215" s="11"/>
      <c r="AC215" s="11"/>
      <c r="AD215" s="11"/>
      <c r="AE215" s="11"/>
      <c r="AF215" s="596"/>
      <c r="AG215" s="11"/>
      <c r="AH215" s="11"/>
      <c r="AI215" s="11"/>
      <c r="AJ215" s="11"/>
      <c r="AK215" s="11"/>
      <c r="AL215" s="11"/>
      <c r="AM215" s="63"/>
      <c r="AN215" s="63"/>
      <c r="AO215" s="63"/>
      <c r="AP215" s="696"/>
      <c r="AQ215" s="63"/>
      <c r="AR215" s="63"/>
      <c r="AS215" s="63"/>
      <c r="AT215" s="63"/>
      <c r="AU215" s="63"/>
      <c r="AV215" s="27"/>
      <c r="AW215" s="250"/>
      <c r="AX215" s="60"/>
      <c r="AY215" s="60"/>
      <c r="AZ215" s="299"/>
      <c r="BA215" s="284"/>
      <c r="BB215" s="284"/>
      <c r="BC215" s="461"/>
      <c r="BD215" s="300"/>
      <c r="BE215" s="305"/>
      <c r="BF215" s="305"/>
      <c r="BG215" s="305"/>
      <c r="BH215" s="305"/>
      <c r="BI215" s="305"/>
      <c r="BJ215" s="871"/>
      <c r="BK215" s="871"/>
      <c r="BL215" s="565"/>
      <c r="BM215" s="565"/>
      <c r="BP215" s="515"/>
      <c r="BQ215" s="320"/>
      <c r="BR215" s="320"/>
    </row>
    <row r="216" spans="1:70" ht="11.25" customHeight="1">
      <c r="A216" s="119" t="s">
        <v>157</v>
      </c>
      <c r="B216" s="593">
        <v>277</v>
      </c>
      <c r="C216" s="25">
        <v>285</v>
      </c>
      <c r="D216" s="25">
        <v>300</v>
      </c>
      <c r="E216" s="25">
        <v>302</v>
      </c>
      <c r="F216" s="25">
        <v>298</v>
      </c>
      <c r="G216" s="25">
        <v>294</v>
      </c>
      <c r="H216" s="25">
        <v>304</v>
      </c>
      <c r="I216" s="25">
        <v>310</v>
      </c>
      <c r="J216" s="25">
        <v>306</v>
      </c>
      <c r="K216" s="25">
        <v>283</v>
      </c>
      <c r="L216" s="596">
        <v>274</v>
      </c>
      <c r="M216" s="11">
        <v>237</v>
      </c>
      <c r="N216" s="11">
        <v>266</v>
      </c>
      <c r="O216" s="11">
        <v>293</v>
      </c>
      <c r="P216" s="11">
        <v>325</v>
      </c>
      <c r="Q216" s="11">
        <v>368</v>
      </c>
      <c r="R216" s="11">
        <v>393</v>
      </c>
      <c r="S216" s="11">
        <v>379</v>
      </c>
      <c r="T216" s="11">
        <v>395</v>
      </c>
      <c r="U216" s="11">
        <v>390</v>
      </c>
      <c r="V216" s="596">
        <v>409</v>
      </c>
      <c r="W216" s="11">
        <v>432</v>
      </c>
      <c r="X216" s="11">
        <v>423</v>
      </c>
      <c r="Y216" s="11">
        <v>424</v>
      </c>
      <c r="Z216" s="11">
        <v>439</v>
      </c>
      <c r="AA216" s="11">
        <v>490</v>
      </c>
      <c r="AB216" s="11">
        <v>505</v>
      </c>
      <c r="AC216" s="11">
        <v>512</v>
      </c>
      <c r="AD216" s="11">
        <v>492</v>
      </c>
      <c r="AE216" s="11">
        <v>495</v>
      </c>
      <c r="AF216" s="596">
        <v>499</v>
      </c>
      <c r="AG216" s="11">
        <v>482</v>
      </c>
      <c r="AH216" s="11">
        <v>482</v>
      </c>
      <c r="AI216" s="11">
        <v>469</v>
      </c>
      <c r="AJ216" s="11">
        <v>455</v>
      </c>
      <c r="AK216" s="11">
        <v>453</v>
      </c>
      <c r="AL216" s="85">
        <v>385</v>
      </c>
      <c r="AM216" s="56">
        <v>371</v>
      </c>
      <c r="AN216" s="56">
        <v>377</v>
      </c>
      <c r="AO216" s="56">
        <v>394</v>
      </c>
      <c r="AP216" s="997">
        <v>357</v>
      </c>
      <c r="AQ216" s="56">
        <v>357</v>
      </c>
      <c r="AR216" s="56">
        <v>357</v>
      </c>
      <c r="AS216" s="56">
        <v>368</v>
      </c>
      <c r="AT216" s="56">
        <v>374</v>
      </c>
      <c r="AU216" s="56">
        <v>369</v>
      </c>
      <c r="AV216" s="207">
        <v>383</v>
      </c>
      <c r="AW216" s="258">
        <v>374</v>
      </c>
      <c r="AX216" s="60">
        <v>343</v>
      </c>
      <c r="AY216" s="60">
        <v>395</v>
      </c>
      <c r="AZ216" s="60">
        <v>394</v>
      </c>
      <c r="BA216" s="284">
        <v>384</v>
      </c>
      <c r="BB216" s="284">
        <v>394</v>
      </c>
      <c r="BC216" s="284">
        <v>380</v>
      </c>
      <c r="BD216" s="305">
        <v>392</v>
      </c>
      <c r="BE216" s="305">
        <v>403</v>
      </c>
      <c r="BF216" s="305">
        <v>399</v>
      </c>
      <c r="BG216" s="305">
        <v>411</v>
      </c>
      <c r="BH216" s="305">
        <v>383</v>
      </c>
      <c r="BI216" s="305">
        <v>395</v>
      </c>
      <c r="BJ216" s="410">
        <f>(BH216-BG216)/BG216</f>
        <v>-6.8126520681265207E-2</v>
      </c>
      <c r="BK216" s="410">
        <f>(BI216-BH216)/BH216</f>
        <v>3.1331592689295036E-2</v>
      </c>
      <c r="BL216" s="564">
        <f t="shared" ref="BL216" si="158">(BH216-BG216)</f>
        <v>-28</v>
      </c>
      <c r="BM216" s="564">
        <f t="shared" ref="BM216" si="159">(BI216-BH216)</f>
        <v>12</v>
      </c>
      <c r="BP216" s="515"/>
      <c r="BQ216" s="320"/>
      <c r="BR216" s="320"/>
    </row>
    <row r="217" spans="1:70" ht="6" customHeight="1">
      <c r="A217" s="115"/>
      <c r="B217" s="593"/>
      <c r="C217" s="25"/>
      <c r="D217" s="25"/>
      <c r="E217" s="25"/>
      <c r="F217" s="25"/>
      <c r="G217" s="25"/>
      <c r="H217" s="25"/>
      <c r="I217" s="25"/>
      <c r="J217" s="25"/>
      <c r="K217" s="25"/>
      <c r="L217" s="596"/>
      <c r="M217" s="11"/>
      <c r="N217" s="11"/>
      <c r="O217" s="11"/>
      <c r="P217" s="11"/>
      <c r="Q217" s="11"/>
      <c r="R217" s="11"/>
      <c r="S217" s="11"/>
      <c r="T217" s="11"/>
      <c r="U217" s="11"/>
      <c r="V217" s="596"/>
      <c r="W217" s="11"/>
      <c r="X217" s="11"/>
      <c r="Y217" s="11"/>
      <c r="Z217" s="11"/>
      <c r="AA217" s="11"/>
      <c r="AB217" s="11"/>
      <c r="AC217" s="11"/>
      <c r="AD217" s="11"/>
      <c r="AE217" s="11"/>
      <c r="AF217" s="596"/>
      <c r="AG217" s="11"/>
      <c r="AH217" s="11"/>
      <c r="AI217" s="11"/>
      <c r="AJ217" s="11"/>
      <c r="AK217" s="11"/>
      <c r="AL217" s="11"/>
      <c r="AM217" s="63"/>
      <c r="AN217" s="63"/>
      <c r="AO217" s="63"/>
      <c r="AP217" s="696"/>
      <c r="AQ217" s="63"/>
      <c r="AR217" s="63"/>
      <c r="AS217" s="63"/>
      <c r="AT217" s="63"/>
      <c r="AU217" s="63"/>
      <c r="AV217" s="27"/>
      <c r="AW217" s="250"/>
      <c r="AX217" s="60"/>
      <c r="AY217" s="60"/>
      <c r="AZ217" s="299"/>
      <c r="BA217" s="284"/>
      <c r="BB217" s="284"/>
      <c r="BC217" s="461"/>
      <c r="BD217" s="300"/>
      <c r="BE217" s="300"/>
      <c r="BF217" s="300"/>
      <c r="BG217" s="300"/>
      <c r="BH217" s="300"/>
      <c r="BI217" s="300"/>
      <c r="BJ217" s="871"/>
      <c r="BK217" s="871"/>
      <c r="BL217" s="565"/>
      <c r="BM217" s="565"/>
      <c r="BP217" s="515"/>
      <c r="BQ217" s="320"/>
      <c r="BR217" s="320"/>
    </row>
    <row r="218" spans="1:70" ht="11.25" customHeight="1">
      <c r="A218" s="116" t="s">
        <v>50</v>
      </c>
      <c r="B218" s="593"/>
      <c r="C218" s="25"/>
      <c r="D218" s="25"/>
      <c r="E218" s="25"/>
      <c r="F218" s="25"/>
      <c r="G218" s="25"/>
      <c r="H218" s="25"/>
      <c r="I218" s="25"/>
      <c r="J218" s="25"/>
      <c r="K218" s="25"/>
      <c r="L218" s="596"/>
      <c r="M218" s="11"/>
      <c r="N218" s="11"/>
      <c r="O218" s="11"/>
      <c r="P218" s="11"/>
      <c r="Q218" s="11"/>
      <c r="R218" s="11"/>
      <c r="S218" s="11"/>
      <c r="T218" s="11"/>
      <c r="U218" s="11"/>
      <c r="V218" s="596"/>
      <c r="W218" s="11"/>
      <c r="X218" s="11"/>
      <c r="Y218" s="11"/>
      <c r="Z218" s="11"/>
      <c r="AA218" s="11"/>
      <c r="AB218" s="11"/>
      <c r="AC218" s="11"/>
      <c r="AD218" s="11"/>
      <c r="AE218" s="11"/>
      <c r="AF218" s="596"/>
      <c r="AG218" s="11"/>
      <c r="AH218" s="11"/>
      <c r="AI218" s="11"/>
      <c r="AJ218" s="11"/>
      <c r="AK218" s="11"/>
      <c r="AL218" s="11"/>
      <c r="AM218" s="63"/>
      <c r="AN218" s="63"/>
      <c r="AO218" s="63"/>
      <c r="AP218" s="696"/>
      <c r="AQ218" s="63"/>
      <c r="AR218" s="63"/>
      <c r="AS218" s="63"/>
      <c r="AT218" s="63"/>
      <c r="AU218" s="63"/>
      <c r="AV218" s="27"/>
      <c r="AW218" s="250"/>
      <c r="AX218" s="60"/>
      <c r="AY218" s="60"/>
      <c r="AZ218" s="299"/>
      <c r="BA218" s="284"/>
      <c r="BB218" s="284"/>
      <c r="BC218" s="461"/>
      <c r="BD218" s="300"/>
      <c r="BE218" s="300"/>
      <c r="BF218" s="300"/>
      <c r="BG218" s="300"/>
      <c r="BH218" s="300"/>
      <c r="BI218" s="300"/>
      <c r="BJ218" s="871"/>
      <c r="BK218" s="871"/>
      <c r="BL218" s="565"/>
      <c r="BM218" s="565"/>
      <c r="BP218" s="515"/>
      <c r="BQ218" s="320"/>
      <c r="BR218" s="320"/>
    </row>
    <row r="219" spans="1:70" ht="11.25" customHeight="1">
      <c r="A219" s="115" t="s">
        <v>27</v>
      </c>
      <c r="B219" s="593">
        <v>245</v>
      </c>
      <c r="C219" s="25">
        <v>247</v>
      </c>
      <c r="D219" s="25">
        <v>247</v>
      </c>
      <c r="E219" s="25">
        <v>247</v>
      </c>
      <c r="F219" s="25">
        <v>252</v>
      </c>
      <c r="G219" s="25">
        <v>255</v>
      </c>
      <c r="H219" s="25">
        <v>268</v>
      </c>
      <c r="I219" s="25">
        <v>293</v>
      </c>
      <c r="J219" s="25">
        <v>308</v>
      </c>
      <c r="K219" s="25">
        <v>306</v>
      </c>
      <c r="L219" s="596">
        <v>332</v>
      </c>
      <c r="M219" s="11">
        <v>318</v>
      </c>
      <c r="N219" s="11">
        <v>339</v>
      </c>
      <c r="O219" s="11">
        <v>334</v>
      </c>
      <c r="P219" s="11">
        <v>342</v>
      </c>
      <c r="Q219" s="11">
        <v>374</v>
      </c>
      <c r="R219" s="11">
        <v>403</v>
      </c>
      <c r="S219" s="11">
        <v>432</v>
      </c>
      <c r="T219" s="11">
        <v>537</v>
      </c>
      <c r="U219" s="11">
        <v>609</v>
      </c>
      <c r="V219" s="596">
        <v>598</v>
      </c>
      <c r="W219" s="11">
        <v>556</v>
      </c>
      <c r="X219" s="11">
        <v>538</v>
      </c>
      <c r="Y219" s="11">
        <v>538</v>
      </c>
      <c r="Z219" s="11">
        <v>524</v>
      </c>
      <c r="AA219" s="11">
        <v>533</v>
      </c>
      <c r="AB219" s="11">
        <v>530</v>
      </c>
      <c r="AC219" s="11">
        <v>515</v>
      </c>
      <c r="AD219" s="11">
        <v>508</v>
      </c>
      <c r="AE219" s="11">
        <v>528</v>
      </c>
      <c r="AF219" s="596">
        <v>520</v>
      </c>
      <c r="AG219" s="11">
        <v>517</v>
      </c>
      <c r="AH219" s="11">
        <v>544</v>
      </c>
      <c r="AI219" s="11">
        <v>536</v>
      </c>
      <c r="AJ219" s="11">
        <v>498</v>
      </c>
      <c r="AK219" s="11">
        <v>507</v>
      </c>
      <c r="AL219" s="11">
        <v>501</v>
      </c>
      <c r="AM219" s="63">
        <v>494</v>
      </c>
      <c r="AN219" s="63">
        <v>504</v>
      </c>
      <c r="AO219" s="63">
        <v>488</v>
      </c>
      <c r="AP219" s="696">
        <f>165+325</f>
        <v>490</v>
      </c>
      <c r="AQ219" s="63">
        <v>490</v>
      </c>
      <c r="AR219" s="63">
        <f>185+305</f>
        <v>490</v>
      </c>
      <c r="AS219" s="63">
        <v>507</v>
      </c>
      <c r="AT219" s="63">
        <v>508</v>
      </c>
      <c r="AU219" s="63">
        <v>501</v>
      </c>
      <c r="AV219" s="27">
        <f>296+191</f>
        <v>487</v>
      </c>
      <c r="AW219" s="27">
        <f>282+201</f>
        <v>483</v>
      </c>
      <c r="AX219" s="60">
        <v>452</v>
      </c>
      <c r="AY219" s="60">
        <v>443</v>
      </c>
      <c r="AZ219" s="60">
        <v>458</v>
      </c>
      <c r="BA219" s="284">
        <v>456</v>
      </c>
      <c r="BB219" s="284">
        <v>396</v>
      </c>
      <c r="BC219" s="284">
        <f>190+192</f>
        <v>382</v>
      </c>
      <c r="BD219" s="305">
        <f>163+223</f>
        <v>386</v>
      </c>
      <c r="BE219" s="305">
        <f>171+221</f>
        <v>392</v>
      </c>
      <c r="BF219" s="305">
        <f>177+222</f>
        <v>399</v>
      </c>
      <c r="BG219" s="305">
        <f>141+269</f>
        <v>410</v>
      </c>
      <c r="BH219" s="305">
        <f>160+278</f>
        <v>438</v>
      </c>
      <c r="BI219" s="305">
        <f>222+242</f>
        <v>464</v>
      </c>
      <c r="BJ219" s="410">
        <f>(BH219-BG219)/BG219</f>
        <v>6.8292682926829273E-2</v>
      </c>
      <c r="BK219" s="410">
        <f>(BI219-BH219)/BH219</f>
        <v>5.9360730593607303E-2</v>
      </c>
      <c r="BL219" s="564">
        <f t="shared" ref="BL219" si="160">(BH219-BG219)</f>
        <v>28</v>
      </c>
      <c r="BM219" s="564">
        <f t="shared" ref="BM219" si="161">(BI219-BH219)</f>
        <v>26</v>
      </c>
      <c r="BP219" s="515"/>
      <c r="BQ219" s="320"/>
      <c r="BR219" s="320"/>
    </row>
    <row r="220" spans="1:70" ht="6" customHeight="1">
      <c r="A220" s="115"/>
      <c r="B220" s="593"/>
      <c r="C220" s="25"/>
      <c r="D220" s="25"/>
      <c r="E220" s="25"/>
      <c r="F220" s="25"/>
      <c r="G220" s="25"/>
      <c r="H220" s="25"/>
      <c r="I220" s="25"/>
      <c r="J220" s="25"/>
      <c r="K220" s="25"/>
      <c r="L220" s="596"/>
      <c r="M220" s="11"/>
      <c r="N220" s="11"/>
      <c r="O220" s="11"/>
      <c r="P220" s="11"/>
      <c r="Q220" s="11"/>
      <c r="R220" s="11"/>
      <c r="S220" s="11"/>
      <c r="T220" s="11"/>
      <c r="U220" s="11"/>
      <c r="V220" s="596"/>
      <c r="W220" s="11"/>
      <c r="X220" s="11"/>
      <c r="Y220" s="11"/>
      <c r="Z220" s="11"/>
      <c r="AA220" s="11"/>
      <c r="AB220" s="11"/>
      <c r="AC220" s="11"/>
      <c r="AD220" s="11"/>
      <c r="AE220" s="11"/>
      <c r="AF220" s="596"/>
      <c r="AG220" s="11"/>
      <c r="AH220" s="11"/>
      <c r="AI220" s="11"/>
      <c r="AJ220" s="11"/>
      <c r="AK220" s="11"/>
      <c r="AL220" s="11"/>
      <c r="AM220" s="63"/>
      <c r="AN220" s="63"/>
      <c r="AO220" s="63"/>
      <c r="AP220" s="696"/>
      <c r="AQ220" s="63"/>
      <c r="AR220" s="63"/>
      <c r="AS220" s="63"/>
      <c r="AT220" s="63"/>
      <c r="AU220" s="63"/>
      <c r="AV220" s="147"/>
      <c r="AW220" s="249"/>
      <c r="AX220" s="232"/>
      <c r="AY220" s="232"/>
      <c r="AZ220" s="299"/>
      <c r="BA220" s="284"/>
      <c r="BB220" s="284"/>
      <c r="BC220" s="461"/>
      <c r="BD220" s="300"/>
      <c r="BE220" s="300"/>
      <c r="BF220" s="300"/>
      <c r="BG220" s="300"/>
      <c r="BH220" s="300"/>
      <c r="BI220" s="300"/>
      <c r="BJ220" s="871"/>
      <c r="BK220" s="871"/>
      <c r="BL220" s="565"/>
      <c r="BM220" s="565"/>
      <c r="BP220" s="515"/>
      <c r="BQ220" s="320"/>
      <c r="BR220" s="320"/>
    </row>
    <row r="221" spans="1:70" ht="11.25" customHeight="1">
      <c r="A221" s="115" t="s">
        <v>20</v>
      </c>
      <c r="B221" s="593">
        <v>1007</v>
      </c>
      <c r="C221" s="25">
        <v>1102</v>
      </c>
      <c r="D221" s="25">
        <v>1334</v>
      </c>
      <c r="E221" s="25">
        <v>1500</v>
      </c>
      <c r="F221" s="25">
        <v>1482</v>
      </c>
      <c r="G221" s="25">
        <v>1481</v>
      </c>
      <c r="H221" s="25">
        <v>1441</v>
      </c>
      <c r="I221" s="25">
        <v>1440</v>
      </c>
      <c r="J221" s="25">
        <v>1421</v>
      </c>
      <c r="K221" s="25">
        <v>1358</v>
      </c>
      <c r="L221" s="686">
        <v>1490</v>
      </c>
      <c r="M221" s="13">
        <v>1399</v>
      </c>
      <c r="N221" s="13">
        <v>1448</v>
      </c>
      <c r="O221" s="13">
        <v>1564</v>
      </c>
      <c r="P221" s="13">
        <v>1696</v>
      </c>
      <c r="Q221" s="13">
        <v>1917</v>
      </c>
      <c r="R221" s="13">
        <v>1993</v>
      </c>
      <c r="S221" s="13">
        <v>1918</v>
      </c>
      <c r="T221" s="13">
        <v>2032</v>
      </c>
      <c r="U221" s="13">
        <v>2048</v>
      </c>
      <c r="V221" s="686">
        <v>2050</v>
      </c>
      <c r="W221" s="13">
        <v>1990</v>
      </c>
      <c r="X221" s="13">
        <v>1882</v>
      </c>
      <c r="Y221" s="13">
        <v>1923</v>
      </c>
      <c r="Z221" s="13">
        <v>1885</v>
      </c>
      <c r="AA221" s="13">
        <v>1940</v>
      </c>
      <c r="AB221" s="13">
        <v>1898</v>
      </c>
      <c r="AC221" s="13">
        <v>1930</v>
      </c>
      <c r="AD221" s="13">
        <v>2048</v>
      </c>
      <c r="AE221" s="13">
        <v>2053</v>
      </c>
      <c r="AF221" s="686">
        <v>2130</v>
      </c>
      <c r="AG221" s="13">
        <v>2301</v>
      </c>
      <c r="AH221" s="13">
        <v>2492</v>
      </c>
      <c r="AI221" s="13">
        <v>2675</v>
      </c>
      <c r="AJ221" s="13">
        <v>2652</v>
      </c>
      <c r="AK221" s="13">
        <v>2705</v>
      </c>
      <c r="AL221" s="13">
        <v>2773</v>
      </c>
      <c r="AM221" s="63">
        <v>2777</v>
      </c>
      <c r="AN221" s="67">
        <v>2774</v>
      </c>
      <c r="AO221" s="67">
        <v>2777</v>
      </c>
      <c r="AP221" s="774">
        <v>2841</v>
      </c>
      <c r="AQ221" s="67">
        <v>2936</v>
      </c>
      <c r="AR221" s="67">
        <v>3009</v>
      </c>
      <c r="AS221" s="67">
        <v>3060</v>
      </c>
      <c r="AT221" s="67">
        <v>3550</v>
      </c>
      <c r="AU221" s="67">
        <v>3851</v>
      </c>
      <c r="AV221" s="41">
        <v>3695</v>
      </c>
      <c r="AW221" s="225">
        <v>3465</v>
      </c>
      <c r="AX221" s="60">
        <v>3511</v>
      </c>
      <c r="AY221" s="60">
        <v>3642</v>
      </c>
      <c r="AZ221" s="60">
        <v>3748</v>
      </c>
      <c r="BA221" s="284">
        <v>3844</v>
      </c>
      <c r="BB221" s="284">
        <v>3793</v>
      </c>
      <c r="BC221" s="284">
        <v>4023</v>
      </c>
      <c r="BD221" s="305">
        <v>4150</v>
      </c>
      <c r="BE221" s="305">
        <v>4301</v>
      </c>
      <c r="BF221" s="305">
        <v>4554</v>
      </c>
      <c r="BG221" s="305">
        <v>4616</v>
      </c>
      <c r="BH221" s="305">
        <v>4518</v>
      </c>
      <c r="BI221" s="305">
        <v>4457</v>
      </c>
      <c r="BJ221" s="410">
        <f t="shared" ref="BJ221:BK224" si="162">(BH221-BG221)/BG221</f>
        <v>-2.1230502599653381E-2</v>
      </c>
      <c r="BK221" s="410">
        <f t="shared" si="162"/>
        <v>-1.3501549358123064E-2</v>
      </c>
      <c r="BL221" s="564">
        <f t="shared" ref="BL221" si="163">(BH221-BG221)</f>
        <v>-98</v>
      </c>
      <c r="BM221" s="564">
        <f t="shared" ref="BM221" si="164">(BI221-BH221)</f>
        <v>-61</v>
      </c>
      <c r="BP221" s="515"/>
      <c r="BQ221" s="320"/>
      <c r="BR221" s="320"/>
    </row>
    <row r="222" spans="1:70" ht="12.75" customHeight="1" thickBot="1">
      <c r="A222" s="118" t="s">
        <v>51</v>
      </c>
      <c r="B222" s="650">
        <f t="shared" ref="B222:K222" si="165">SUM(B201+B204+B214+B216+B219+B221)</f>
        <v>5481</v>
      </c>
      <c r="C222" s="139">
        <f t="shared" si="165"/>
        <v>5686</v>
      </c>
      <c r="D222" s="139">
        <f t="shared" si="165"/>
        <v>6343</v>
      </c>
      <c r="E222" s="139">
        <f t="shared" si="165"/>
        <v>6677</v>
      </c>
      <c r="F222" s="139">
        <f t="shared" si="165"/>
        <v>6648</v>
      </c>
      <c r="G222" s="139">
        <f t="shared" si="165"/>
        <v>6682</v>
      </c>
      <c r="H222" s="139">
        <f t="shared" si="165"/>
        <v>6663</v>
      </c>
      <c r="I222" s="139">
        <f t="shared" si="165"/>
        <v>6872</v>
      </c>
      <c r="J222" s="139">
        <f t="shared" si="165"/>
        <v>6989</v>
      </c>
      <c r="K222" s="139">
        <f t="shared" si="165"/>
        <v>6896</v>
      </c>
      <c r="L222" s="650">
        <f>SUM(L201+L204+L214+L216+L219+L221)</f>
        <v>7181</v>
      </c>
      <c r="M222" s="139">
        <f>SUM(M193+M201+M204+M214+M216+M219+M221)</f>
        <v>6782</v>
      </c>
      <c r="N222" s="139">
        <f>SUM(N193+N201+N204+N214+N216+N219+N221)</f>
        <v>6994</v>
      </c>
      <c r="O222" s="139">
        <f>SUM(O193+O201+O204+O214+O216+O219+O221)</f>
        <v>7243</v>
      </c>
      <c r="P222" s="139">
        <f>SUM(P193+P201+P204+P214+P216+P219+P221)</f>
        <v>7783</v>
      </c>
      <c r="Q222" s="139">
        <f>SUM(Q193+Q195+Q201+Q204+Q212+Q214+Q216+Q219+Q221)</f>
        <v>8333</v>
      </c>
      <c r="R222" s="139">
        <f>SUM(R193+R195+R201+R204+R212+R214+R216+R219+R221)</f>
        <v>8759</v>
      </c>
      <c r="S222" s="139">
        <f>SUM(S193+S195+S201+S204+S212+S214+S216+S219+S221)</f>
        <v>8706</v>
      </c>
      <c r="T222" s="139">
        <f>SUM(T193+T195+T201+T204+T212+T214+T216+T219+T221+T210)</f>
        <v>8963</v>
      </c>
      <c r="U222" s="139">
        <f>SUM(U193+U195+U201+U204+U207+U212+U214+U216+U219+U221+U210)</f>
        <v>9307</v>
      </c>
      <c r="V222" s="650">
        <f>SUM(V193+V195+V201+V204+V207+V212+V214+V216+V219+V221+V210)</f>
        <v>9511</v>
      </c>
      <c r="W222" s="139">
        <f>SUM(W195+W201+W204+W207+W212+W214+W216+W219+W221+W210)</f>
        <v>9221</v>
      </c>
      <c r="X222" s="139">
        <f>SUM(X195+X201+X204+X207+X212+X214+X216+X219+X221+X210)</f>
        <v>8604</v>
      </c>
      <c r="Y222" s="139">
        <f>SUM(Y201+Y204+Y207+Y212+Y214+Y216+Y219+Y221+Y210)</f>
        <v>8683</v>
      </c>
      <c r="Z222" s="139">
        <f t="shared" ref="Z222:AO222" si="166">SUM(Z201+Z204+Z207+Z212+Z214+Z216+Z219+Z221+Z210)</f>
        <v>8788</v>
      </c>
      <c r="AA222" s="139">
        <f t="shared" si="166"/>
        <v>8953</v>
      </c>
      <c r="AB222" s="139">
        <f t="shared" si="166"/>
        <v>8989</v>
      </c>
      <c r="AC222" s="139">
        <f t="shared" si="166"/>
        <v>8722</v>
      </c>
      <c r="AD222" s="139">
        <f t="shared" si="166"/>
        <v>9085</v>
      </c>
      <c r="AE222" s="139">
        <f t="shared" si="166"/>
        <v>9337</v>
      </c>
      <c r="AF222" s="650">
        <f t="shared" si="166"/>
        <v>9729</v>
      </c>
      <c r="AG222" s="139">
        <f t="shared" si="166"/>
        <v>10298</v>
      </c>
      <c r="AH222" s="139">
        <f t="shared" si="166"/>
        <v>10732</v>
      </c>
      <c r="AI222" s="139">
        <f t="shared" si="166"/>
        <v>11162</v>
      </c>
      <c r="AJ222" s="139">
        <f t="shared" si="166"/>
        <v>11244</v>
      </c>
      <c r="AK222" s="139">
        <f t="shared" si="166"/>
        <v>11418</v>
      </c>
      <c r="AL222" s="139">
        <f t="shared" si="166"/>
        <v>11457</v>
      </c>
      <c r="AM222" s="139">
        <f t="shared" si="166"/>
        <v>11420</v>
      </c>
      <c r="AN222" s="139">
        <f t="shared" si="166"/>
        <v>11749</v>
      </c>
      <c r="AO222" s="139">
        <f t="shared" si="166"/>
        <v>12286</v>
      </c>
      <c r="AP222" s="650">
        <f t="shared" ref="AP222" si="167">SUM(AP201+AP204+AP207+AP212+AP214+AP216+AP219+AP221+AP210)</f>
        <v>12606</v>
      </c>
      <c r="AQ222" s="139">
        <f t="shared" ref="AQ222" si="168">SUM(AQ201+AQ204+AQ207+AQ212+AQ214+AQ216+AQ219+AQ221+AQ210)</f>
        <v>12904</v>
      </c>
      <c r="AR222" s="139">
        <f t="shared" ref="AR222" si="169">SUM(AR201+AR204+AR207+AR212+AR214+AR216+AR219+AR221+AR210)</f>
        <v>13346</v>
      </c>
      <c r="AS222" s="139">
        <f t="shared" ref="AS222" si="170">SUM(AS201+AS204+AS207+AS212+AS214+AS216+AS219+AS221+AS210)</f>
        <v>13422</v>
      </c>
      <c r="AT222" s="139">
        <f t="shared" ref="AT222" si="171">SUM(AT201+AT204+AT207+AT212+AT214+AT216+AT219+AT221+AT210)</f>
        <v>14060</v>
      </c>
      <c r="AU222" s="139">
        <f t="shared" ref="AU222" si="172">SUM(AU201+AU204+AU207+AU212+AU214+AU216+AU219+AU221+AU210)</f>
        <v>14525</v>
      </c>
      <c r="AV222" s="139">
        <f t="shared" ref="AV222" si="173">SUM(AV201+AV204+AV207+AV212+AV214+AV216+AV219+AV221+AV210)</f>
        <v>14786</v>
      </c>
      <c r="AW222" s="139">
        <f t="shared" ref="AW222" si="174">SUM(AW201+AW204+AW207+AW212+AW214+AW216+AW219+AW221+AW210)</f>
        <v>15533.212560386473</v>
      </c>
      <c r="AX222" s="139">
        <f t="shared" ref="AX222" si="175">SUM(AX201+AX204+AX207+AX212+AX214+AX216+AX219+AX221+AX210)</f>
        <v>16220.714285714286</v>
      </c>
      <c r="AY222" s="139">
        <f t="shared" ref="AY222" si="176">SUM(AY201+AY204+AY207+AY212+AY214+AY216+AY219+AY221+AY210)</f>
        <v>17002.744075829381</v>
      </c>
      <c r="AZ222" s="139">
        <f t="shared" ref="AZ222" si="177">SUM(AZ201+AZ204+AZ207+AZ212+AZ214+AZ216+AZ219+AZ221+AZ210)</f>
        <v>17007</v>
      </c>
      <c r="BA222" s="139">
        <f t="shared" ref="BA222" si="178">SUM(BA201+BA204+BA207+BA212+BA214+BA216+BA219+BA221+BA210)</f>
        <v>17664</v>
      </c>
      <c r="BB222" s="139">
        <f t="shared" ref="BB222" si="179">SUM(BB201+BB204+BB207+BB212+BB214+BB216+BB219+BB221+BB210)</f>
        <v>18013</v>
      </c>
      <c r="BC222" s="139">
        <f t="shared" ref="BC222" si="180">SUM(BC201+BC204+BC207+BC212+BC214+BC216+BC219+BC221+BC210)</f>
        <v>18766</v>
      </c>
      <c r="BD222" s="139">
        <f t="shared" ref="BD222" si="181">SUM(BD201+BD204+BD207+BD212+BD214+BD216+BD219+BD221+BD210)</f>
        <v>19600</v>
      </c>
      <c r="BE222" s="139">
        <f t="shared" ref="BE222" si="182">SUM(BE201+BE204+BE207+BE212+BE214+BE216+BE219+BE221+BE210)</f>
        <v>20367</v>
      </c>
      <c r="BF222" s="650">
        <f t="shared" ref="BF222" si="183">SUM(BF201+BF204+BF207+BF212+BF214+BF216+BF219+BF221+BF210)</f>
        <v>20723</v>
      </c>
      <c r="BG222" s="650">
        <f t="shared" ref="BG222:BH222" si="184">SUM(BG201+BG204+BG207+BG212+BG214+BG216+BG219+BG221+BG210)</f>
        <v>20853</v>
      </c>
      <c r="BH222" s="650">
        <f t="shared" si="184"/>
        <v>21107</v>
      </c>
      <c r="BI222" s="650">
        <f t="shared" ref="BI222" si="185">SUM(BI201+BI204+BI207+BI212+BI214+BI216+BI219+BI221+BI210)</f>
        <v>21269</v>
      </c>
      <c r="BJ222" s="875">
        <f t="shared" si="162"/>
        <v>1.218050160648348E-2</v>
      </c>
      <c r="BK222" s="875">
        <f t="shared" si="162"/>
        <v>7.6751788506182785E-3</v>
      </c>
      <c r="BL222" s="569">
        <f t="shared" ref="BL222:BM223" si="186">BH222-BG222</f>
        <v>254</v>
      </c>
      <c r="BM222" s="569">
        <f t="shared" si="186"/>
        <v>162</v>
      </c>
      <c r="BP222" s="515"/>
    </row>
    <row r="223" spans="1:70" ht="18" customHeight="1" thickBot="1">
      <c r="A223" s="120" t="s">
        <v>52</v>
      </c>
      <c r="B223" s="978">
        <f t="shared" ref="B223:AG223" si="187">SUM(B160+B189+B222)</f>
        <v>18290</v>
      </c>
      <c r="C223" s="615">
        <f t="shared" si="187"/>
        <v>18984</v>
      </c>
      <c r="D223" s="615">
        <f t="shared" si="187"/>
        <v>20492</v>
      </c>
      <c r="E223" s="615">
        <f t="shared" si="187"/>
        <v>21649</v>
      </c>
      <c r="F223" s="615">
        <f t="shared" si="187"/>
        <v>21679</v>
      </c>
      <c r="G223" s="615">
        <f t="shared" si="187"/>
        <v>25300</v>
      </c>
      <c r="H223" s="615">
        <f t="shared" si="187"/>
        <v>24609</v>
      </c>
      <c r="I223" s="615">
        <f t="shared" si="187"/>
        <v>26179</v>
      </c>
      <c r="J223" s="615">
        <f t="shared" si="187"/>
        <v>27098</v>
      </c>
      <c r="K223" s="615">
        <f t="shared" si="187"/>
        <v>27761</v>
      </c>
      <c r="L223" s="978">
        <f t="shared" si="187"/>
        <v>32590</v>
      </c>
      <c r="M223" s="615">
        <f t="shared" si="187"/>
        <v>31133</v>
      </c>
      <c r="N223" s="615">
        <f t="shared" si="187"/>
        <v>30024</v>
      </c>
      <c r="O223" s="615">
        <f t="shared" si="187"/>
        <v>23860</v>
      </c>
      <c r="P223" s="615">
        <f t="shared" si="187"/>
        <v>25207</v>
      </c>
      <c r="Q223" s="615">
        <f t="shared" si="187"/>
        <v>29198</v>
      </c>
      <c r="R223" s="615">
        <f t="shared" si="187"/>
        <v>30846</v>
      </c>
      <c r="S223" s="615">
        <f t="shared" si="187"/>
        <v>28353</v>
      </c>
      <c r="T223" s="615">
        <f t="shared" si="187"/>
        <v>29462</v>
      </c>
      <c r="U223" s="615">
        <f t="shared" si="187"/>
        <v>30025</v>
      </c>
      <c r="V223" s="978">
        <f t="shared" si="187"/>
        <v>31361</v>
      </c>
      <c r="W223" s="615">
        <f t="shared" si="187"/>
        <v>29347</v>
      </c>
      <c r="X223" s="615">
        <f t="shared" si="187"/>
        <v>29177</v>
      </c>
      <c r="Y223" s="615">
        <f t="shared" si="187"/>
        <v>27551</v>
      </c>
      <c r="Z223" s="615">
        <f t="shared" si="187"/>
        <v>27313</v>
      </c>
      <c r="AA223" s="615">
        <f t="shared" si="187"/>
        <v>26988</v>
      </c>
      <c r="AB223" s="615">
        <f t="shared" si="187"/>
        <v>27587</v>
      </c>
      <c r="AC223" s="615">
        <f t="shared" si="187"/>
        <v>27109</v>
      </c>
      <c r="AD223" s="615">
        <f t="shared" si="187"/>
        <v>27778</v>
      </c>
      <c r="AE223" s="615">
        <f t="shared" si="187"/>
        <v>35885</v>
      </c>
      <c r="AF223" s="978">
        <f t="shared" si="187"/>
        <v>33271</v>
      </c>
      <c r="AG223" s="615">
        <f t="shared" si="187"/>
        <v>34412</v>
      </c>
      <c r="AH223" s="615">
        <f t="shared" ref="AH223:BD223" si="188">SUM(AH160+AH189+AH222)</f>
        <v>37089</v>
      </c>
      <c r="AI223" s="615">
        <f t="shared" si="188"/>
        <v>38062</v>
      </c>
      <c r="AJ223" s="615">
        <f t="shared" si="188"/>
        <v>37623</v>
      </c>
      <c r="AK223" s="615">
        <f t="shared" si="188"/>
        <v>37756</v>
      </c>
      <c r="AL223" s="615">
        <f t="shared" si="188"/>
        <v>33714.260869565216</v>
      </c>
      <c r="AM223" s="615">
        <f t="shared" si="188"/>
        <v>32409</v>
      </c>
      <c r="AN223" s="615">
        <f t="shared" si="188"/>
        <v>31941</v>
      </c>
      <c r="AO223" s="615">
        <f t="shared" si="188"/>
        <v>32471</v>
      </c>
      <c r="AP223" s="978">
        <f t="shared" si="188"/>
        <v>32646</v>
      </c>
      <c r="AQ223" s="615">
        <f t="shared" si="188"/>
        <v>32353.611940298506</v>
      </c>
      <c r="AR223" s="615">
        <f t="shared" si="188"/>
        <v>32524</v>
      </c>
      <c r="AS223" s="615">
        <f t="shared" si="188"/>
        <v>32077</v>
      </c>
      <c r="AT223" s="615">
        <f t="shared" si="188"/>
        <v>32652</v>
      </c>
      <c r="AU223" s="615">
        <f t="shared" si="188"/>
        <v>31842</v>
      </c>
      <c r="AV223" s="616">
        <f t="shared" si="188"/>
        <v>32068</v>
      </c>
      <c r="AW223" s="616">
        <f t="shared" si="188"/>
        <v>32952.577008036853</v>
      </c>
      <c r="AX223" s="616">
        <f t="shared" si="188"/>
        <v>33968.71428571429</v>
      </c>
      <c r="AY223" s="616">
        <f t="shared" si="188"/>
        <v>35982.863641046773</v>
      </c>
      <c r="AZ223" s="617">
        <f t="shared" si="188"/>
        <v>37321</v>
      </c>
      <c r="BA223" s="618">
        <f t="shared" si="188"/>
        <v>39455</v>
      </c>
      <c r="BB223" s="618">
        <f t="shared" si="188"/>
        <v>40327</v>
      </c>
      <c r="BC223" s="618">
        <f t="shared" si="188"/>
        <v>41252</v>
      </c>
      <c r="BD223" s="619">
        <f t="shared" si="188"/>
        <v>44229</v>
      </c>
      <c r="BE223" s="619">
        <f>SUM(BE160+BE189+BE222)</f>
        <v>44923</v>
      </c>
      <c r="BF223" s="619">
        <f>SUM(BF160+BF189+BF222)</f>
        <v>45466</v>
      </c>
      <c r="BG223" s="619">
        <f>SUM(BG160+BG189+BG222)</f>
        <v>45247</v>
      </c>
      <c r="BH223" s="619">
        <f>SUM(BH160+BH189+BH222)</f>
        <v>45936</v>
      </c>
      <c r="BI223" s="619">
        <f>SUM(BI160+BI189+BI222)</f>
        <v>46212</v>
      </c>
      <c r="BJ223" s="965">
        <f t="shared" si="162"/>
        <v>1.5227528896943444E-2</v>
      </c>
      <c r="BK223" s="965">
        <f t="shared" si="162"/>
        <v>6.0083594566353185E-3</v>
      </c>
      <c r="BL223" s="955">
        <f t="shared" si="186"/>
        <v>689</v>
      </c>
      <c r="BM223" s="955">
        <f t="shared" si="186"/>
        <v>276</v>
      </c>
      <c r="BP223" s="515"/>
    </row>
    <row r="224" spans="1:70" ht="15.75" customHeight="1" thickBot="1">
      <c r="A224" s="161" t="s">
        <v>53</v>
      </c>
      <c r="B224" s="979">
        <f t="shared" ref="B224:AL224" si="189">SUM(B129+B223)</f>
        <v>57109</v>
      </c>
      <c r="C224" s="610">
        <f t="shared" si="189"/>
        <v>61653</v>
      </c>
      <c r="D224" s="610">
        <f t="shared" si="189"/>
        <v>66951</v>
      </c>
      <c r="E224" s="610">
        <f t="shared" si="189"/>
        <v>70806</v>
      </c>
      <c r="F224" s="610">
        <f t="shared" si="189"/>
        <v>71687</v>
      </c>
      <c r="G224" s="610">
        <f t="shared" si="189"/>
        <v>74225</v>
      </c>
      <c r="H224" s="610">
        <f t="shared" si="189"/>
        <v>75840</v>
      </c>
      <c r="I224" s="610">
        <f t="shared" si="189"/>
        <v>77905</v>
      </c>
      <c r="J224" s="610">
        <f t="shared" si="189"/>
        <v>81558</v>
      </c>
      <c r="K224" s="610">
        <f t="shared" si="189"/>
        <v>81969</v>
      </c>
      <c r="L224" s="979">
        <f t="shared" si="189"/>
        <v>90275</v>
      </c>
      <c r="M224" s="610">
        <f t="shared" si="189"/>
        <v>98679</v>
      </c>
      <c r="N224" s="610">
        <f t="shared" si="189"/>
        <v>117625</v>
      </c>
      <c r="O224" s="610">
        <f t="shared" si="189"/>
        <v>117409</v>
      </c>
      <c r="P224" s="610">
        <f t="shared" si="189"/>
        <v>117837</v>
      </c>
      <c r="Q224" s="610">
        <f t="shared" si="189"/>
        <v>122182</v>
      </c>
      <c r="R224" s="610">
        <f t="shared" si="189"/>
        <v>129281</v>
      </c>
      <c r="S224" s="610">
        <f t="shared" si="189"/>
        <v>138097</v>
      </c>
      <c r="T224" s="610">
        <f t="shared" si="189"/>
        <v>141320</v>
      </c>
      <c r="U224" s="610">
        <f t="shared" si="189"/>
        <v>150220</v>
      </c>
      <c r="V224" s="979">
        <f t="shared" si="189"/>
        <v>146408</v>
      </c>
      <c r="W224" s="610">
        <f t="shared" si="189"/>
        <v>144875</v>
      </c>
      <c r="X224" s="610">
        <f t="shared" si="189"/>
        <v>132958</v>
      </c>
      <c r="Y224" s="610">
        <f t="shared" si="189"/>
        <v>127548</v>
      </c>
      <c r="Z224" s="610">
        <f t="shared" si="189"/>
        <v>127287</v>
      </c>
      <c r="AA224" s="610">
        <f t="shared" si="189"/>
        <v>127806</v>
      </c>
      <c r="AB224" s="610">
        <f t="shared" si="189"/>
        <v>127548</v>
      </c>
      <c r="AC224" s="610">
        <f t="shared" si="189"/>
        <v>130456</v>
      </c>
      <c r="AD224" s="610">
        <f t="shared" si="189"/>
        <v>135923</v>
      </c>
      <c r="AE224" s="610">
        <f t="shared" si="189"/>
        <v>151453</v>
      </c>
      <c r="AF224" s="979">
        <f t="shared" si="189"/>
        <v>152746</v>
      </c>
      <c r="AG224" s="610">
        <f t="shared" si="189"/>
        <v>157943</v>
      </c>
      <c r="AH224" s="610">
        <f t="shared" si="189"/>
        <v>167904</v>
      </c>
      <c r="AI224" s="610">
        <f t="shared" si="189"/>
        <v>173975</v>
      </c>
      <c r="AJ224" s="610">
        <f t="shared" si="189"/>
        <v>171212</v>
      </c>
      <c r="AK224" s="610">
        <f t="shared" si="189"/>
        <v>173903</v>
      </c>
      <c r="AL224" s="610">
        <f t="shared" si="189"/>
        <v>170849.26086956522</v>
      </c>
      <c r="AM224" s="610">
        <f t="shared" ref="AM224:BD224" si="190">(AM129+AM223)</f>
        <v>165765</v>
      </c>
      <c r="AN224" s="610">
        <f t="shared" si="190"/>
        <v>171918</v>
      </c>
      <c r="AO224" s="610">
        <f t="shared" si="190"/>
        <v>172449</v>
      </c>
      <c r="AP224" s="979">
        <f t="shared" si="190"/>
        <v>175877.54392161325</v>
      </c>
      <c r="AQ224" s="610">
        <f t="shared" si="190"/>
        <v>173057.4470070625</v>
      </c>
      <c r="AR224" s="610">
        <f t="shared" si="190"/>
        <v>185286.12945036759</v>
      </c>
      <c r="AS224" s="610">
        <f t="shared" si="190"/>
        <v>242566.53918495297</v>
      </c>
      <c r="AT224" s="610">
        <f t="shared" si="190"/>
        <v>235024.37383177571</v>
      </c>
      <c r="AU224" s="610">
        <f t="shared" si="190"/>
        <v>235431</v>
      </c>
      <c r="AV224" s="611">
        <f t="shared" si="190"/>
        <v>233714</v>
      </c>
      <c r="AW224" s="611">
        <f t="shared" si="190"/>
        <v>237553.12915648828</v>
      </c>
      <c r="AX224" s="611">
        <f t="shared" si="190"/>
        <v>249335.81614775342</v>
      </c>
      <c r="AY224" s="611">
        <f t="shared" si="190"/>
        <v>261954.86364104677</v>
      </c>
      <c r="AZ224" s="612">
        <f t="shared" si="190"/>
        <v>270885</v>
      </c>
      <c r="BA224" s="613">
        <f t="shared" si="190"/>
        <v>276565</v>
      </c>
      <c r="BB224" s="613">
        <f t="shared" si="190"/>
        <v>278095</v>
      </c>
      <c r="BC224" s="613">
        <f t="shared" si="190"/>
        <v>273983</v>
      </c>
      <c r="BD224" s="614">
        <f t="shared" si="190"/>
        <v>278443</v>
      </c>
      <c r="BE224" s="614">
        <f>(BE129+BE223)</f>
        <v>270889.54990085925</v>
      </c>
      <c r="BF224" s="614">
        <f>(BF129+BF223)</f>
        <v>277159</v>
      </c>
      <c r="BG224" s="614">
        <f>(BG129+BG223)</f>
        <v>277163</v>
      </c>
      <c r="BH224" s="614">
        <f>(BH129+BH223)</f>
        <v>280872</v>
      </c>
      <c r="BI224" s="614">
        <f>(BI129+BI223)</f>
        <v>280268</v>
      </c>
      <c r="BJ224" s="890">
        <f t="shared" si="162"/>
        <v>1.3382017080201904E-2</v>
      </c>
      <c r="BK224" s="890">
        <f t="shared" si="162"/>
        <v>-2.1504457546498048E-3</v>
      </c>
      <c r="BL224" s="607">
        <f>BH224-BG224</f>
        <v>3709</v>
      </c>
      <c r="BM224" s="607">
        <f>BI224-BH224</f>
        <v>-604</v>
      </c>
      <c r="BP224" s="515"/>
    </row>
    <row r="225" spans="1:68" ht="11.25" customHeight="1" thickTop="1">
      <c r="A225" s="161" t="s">
        <v>161</v>
      </c>
      <c r="B225" s="942"/>
      <c r="C225" s="608">
        <f>(C224-B224)/B224</f>
        <v>7.956714353254303E-2</v>
      </c>
      <c r="D225" s="608">
        <f t="shared" ref="D225:AV225" si="191">(D224-C224)/C224</f>
        <v>8.593255802637341E-2</v>
      </c>
      <c r="E225" s="608">
        <f t="shared" si="191"/>
        <v>5.7579423757673526E-2</v>
      </c>
      <c r="F225" s="608">
        <f t="shared" si="191"/>
        <v>1.2442448380080785E-2</v>
      </c>
      <c r="G225" s="608">
        <f t="shared" si="191"/>
        <v>3.5403908658473641E-2</v>
      </c>
      <c r="H225" s="608">
        <f t="shared" si="191"/>
        <v>2.1758167733243516E-2</v>
      </c>
      <c r="I225" s="608">
        <f t="shared" si="191"/>
        <v>2.7228375527426161E-2</v>
      </c>
      <c r="J225" s="608">
        <f t="shared" si="191"/>
        <v>4.689044348886464E-2</v>
      </c>
      <c r="K225" s="608">
        <f t="shared" si="191"/>
        <v>5.0393584933421613E-3</v>
      </c>
      <c r="L225" s="647">
        <f t="shared" si="191"/>
        <v>0.10133099098439655</v>
      </c>
      <c r="M225" s="608">
        <f t="shared" si="191"/>
        <v>9.3093325948490721E-2</v>
      </c>
      <c r="N225" s="608">
        <f t="shared" si="191"/>
        <v>0.19199627073642822</v>
      </c>
      <c r="O225" s="608">
        <f t="shared" si="191"/>
        <v>-1.8363443145589797E-3</v>
      </c>
      <c r="P225" s="608">
        <f t="shared" si="191"/>
        <v>3.6453764191842191E-3</v>
      </c>
      <c r="Q225" s="608">
        <f t="shared" si="191"/>
        <v>3.6872968592207879E-2</v>
      </c>
      <c r="R225" s="608">
        <f t="shared" si="191"/>
        <v>5.81018480627261E-2</v>
      </c>
      <c r="S225" s="608">
        <f t="shared" si="191"/>
        <v>6.8192541827492056E-2</v>
      </c>
      <c r="T225" s="608">
        <f t="shared" si="191"/>
        <v>2.3338667748032182E-2</v>
      </c>
      <c r="U225" s="608">
        <f t="shared" si="191"/>
        <v>6.2977639399943386E-2</v>
      </c>
      <c r="V225" s="647">
        <f t="shared" si="191"/>
        <v>-2.5376115031287446E-2</v>
      </c>
      <c r="W225" s="608">
        <f t="shared" si="191"/>
        <v>-1.0470739303863177E-2</v>
      </c>
      <c r="X225" s="608">
        <f t="shared" si="191"/>
        <v>-8.2257118205349436E-2</v>
      </c>
      <c r="Y225" s="608">
        <f t="shared" si="191"/>
        <v>-4.0689541058078489E-2</v>
      </c>
      <c r="Z225" s="608">
        <f t="shared" si="191"/>
        <v>-2.0462884561106408E-3</v>
      </c>
      <c r="AA225" s="608">
        <f t="shared" si="191"/>
        <v>4.0773998915835871E-3</v>
      </c>
      <c r="AB225" s="608">
        <f t="shared" si="191"/>
        <v>-2.018684568799587E-3</v>
      </c>
      <c r="AC225" s="608">
        <f t="shared" si="191"/>
        <v>2.2799259886474112E-2</v>
      </c>
      <c r="AD225" s="608">
        <f t="shared" si="191"/>
        <v>4.1906849819096093E-2</v>
      </c>
      <c r="AE225" s="608">
        <f t="shared" si="191"/>
        <v>0.11425586545323455</v>
      </c>
      <c r="AF225" s="647">
        <f t="shared" si="191"/>
        <v>8.5373020012809251E-3</v>
      </c>
      <c r="AG225" s="608">
        <f t="shared" si="191"/>
        <v>3.4023804224005867E-2</v>
      </c>
      <c r="AH225" s="608">
        <f t="shared" si="191"/>
        <v>6.3067055836599273E-2</v>
      </c>
      <c r="AI225" s="608">
        <f t="shared" si="191"/>
        <v>3.6157566228320948E-2</v>
      </c>
      <c r="AJ225" s="608">
        <f t="shared" si="191"/>
        <v>-1.5881592182784884E-2</v>
      </c>
      <c r="AK225" s="608">
        <f t="shared" si="191"/>
        <v>1.5717356260075227E-2</v>
      </c>
      <c r="AL225" s="608">
        <f t="shared" si="191"/>
        <v>-1.7560014090813751E-2</v>
      </c>
      <c r="AM225" s="608">
        <f t="shared" si="191"/>
        <v>-2.9758752503160037E-2</v>
      </c>
      <c r="AN225" s="608">
        <f t="shared" si="191"/>
        <v>3.7118812777124241E-2</v>
      </c>
      <c r="AO225" s="608">
        <f t="shared" si="191"/>
        <v>3.0886818134226784E-3</v>
      </c>
      <c r="AP225" s="647">
        <f t="shared" si="191"/>
        <v>1.9881494944089272E-2</v>
      </c>
      <c r="AQ225" s="608">
        <f t="shared" si="191"/>
        <v>-1.6034434252775568E-2</v>
      </c>
      <c r="AR225" s="608">
        <f t="shared" si="191"/>
        <v>7.066256121764028E-2</v>
      </c>
      <c r="AS225" s="608">
        <f t="shared" si="191"/>
        <v>0.30914569754628624</v>
      </c>
      <c r="AT225" s="608">
        <f t="shared" si="191"/>
        <v>-3.1093181188632472E-2</v>
      </c>
      <c r="AU225" s="608">
        <f t="shared" si="191"/>
        <v>1.7301446722089494E-3</v>
      </c>
      <c r="AV225" s="966">
        <f t="shared" si="191"/>
        <v>-7.2930072930072927E-3</v>
      </c>
      <c r="AW225" s="966">
        <f t="shared" ref="AW225:BB225" si="192">(AW224-AV224)/AV224</f>
        <v>1.6426611826798075E-2</v>
      </c>
      <c r="AX225" s="966">
        <f t="shared" si="192"/>
        <v>4.9600217993774683E-2</v>
      </c>
      <c r="AY225" s="966">
        <f t="shared" si="192"/>
        <v>5.0610649076647141E-2</v>
      </c>
      <c r="AZ225" s="966">
        <f t="shared" si="192"/>
        <v>3.4090362877133185E-2</v>
      </c>
      <c r="BA225" s="967">
        <f t="shared" si="192"/>
        <v>2.0968307584399284E-2</v>
      </c>
      <c r="BB225" s="967">
        <f t="shared" si="192"/>
        <v>5.5321533816643466E-3</v>
      </c>
      <c r="BC225" s="967">
        <f t="shared" ref="BC225:BI225" si="193">(BC224-BB224)/BB224</f>
        <v>-1.4786314029378449E-2</v>
      </c>
      <c r="BD225" s="967">
        <f t="shared" si="193"/>
        <v>1.6278382235394167E-2</v>
      </c>
      <c r="BE225" s="967">
        <f t="shared" si="193"/>
        <v>-2.7127455526412065E-2</v>
      </c>
      <c r="BF225" s="967">
        <f t="shared" si="193"/>
        <v>2.314393486731128E-2</v>
      </c>
      <c r="BG225" s="967">
        <f t="shared" si="193"/>
        <v>1.4432149055235443E-5</v>
      </c>
      <c r="BH225" s="967">
        <f t="shared" si="193"/>
        <v>1.3382017080201904E-2</v>
      </c>
      <c r="BI225" s="967">
        <f t="shared" si="193"/>
        <v>-2.1504457546498048E-3</v>
      </c>
      <c r="BJ225" s="963"/>
      <c r="BK225" s="963"/>
    </row>
    <row r="226" spans="1:68" s="443" customFormat="1" ht="11.25" customHeight="1">
      <c r="A226" s="119" t="s">
        <v>69</v>
      </c>
      <c r="B226" s="900"/>
      <c r="C226" s="125"/>
      <c r="D226" s="125"/>
      <c r="E226" s="125"/>
      <c r="F226" s="125"/>
      <c r="G226" s="125"/>
      <c r="H226" s="125"/>
      <c r="I226" s="125"/>
      <c r="J226" s="125"/>
      <c r="K226" s="125"/>
      <c r="L226" s="918">
        <f>SUM(C225:L225)/10</f>
        <v>4.7317281858241744E-2</v>
      </c>
      <c r="M226" s="125"/>
      <c r="N226" s="125"/>
      <c r="O226" s="125"/>
      <c r="P226" s="125"/>
      <c r="Q226" s="125"/>
      <c r="R226" s="125"/>
      <c r="S226" s="125"/>
      <c r="T226" s="125"/>
      <c r="U226" s="125"/>
      <c r="V226" s="918">
        <f>SUM(M225:V225)/10</f>
        <v>5.1100617938865847E-2</v>
      </c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918">
        <f>SUM(W225:AF225)/10</f>
        <v>5.4094305459467954E-3</v>
      </c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918">
        <f>SUM(AG225:AP225)/10</f>
        <v>1.4585441330687884E-2</v>
      </c>
      <c r="AQ226" s="125"/>
      <c r="AR226" s="125"/>
      <c r="AS226" s="125"/>
      <c r="AT226" s="125"/>
      <c r="AU226" s="125"/>
      <c r="AV226" s="125"/>
      <c r="AW226" s="125"/>
      <c r="AX226" s="125"/>
      <c r="AY226" s="125"/>
      <c r="AZ226" s="334">
        <f>SUM(AQ225:AZ225)/10</f>
        <v>4.7784562247607312E-2</v>
      </c>
      <c r="BA226" s="125"/>
      <c r="BB226" s="125"/>
      <c r="BC226" s="125"/>
      <c r="BD226" s="125"/>
      <c r="BE226" s="125"/>
      <c r="BF226" s="900"/>
      <c r="BG226" s="900"/>
      <c r="BH226" s="900"/>
      <c r="BI226" s="900"/>
      <c r="BJ226" s="671"/>
      <c r="BK226" s="671"/>
      <c r="BL226" s="566"/>
      <c r="BM226" s="566"/>
    </row>
    <row r="227" spans="1:68" s="443" customFormat="1" ht="11.25" customHeight="1">
      <c r="A227" s="55"/>
      <c r="B227" s="217"/>
      <c r="C227" s="152"/>
      <c r="D227" s="152"/>
      <c r="E227" s="152"/>
      <c r="F227" s="152"/>
      <c r="G227" s="152"/>
      <c r="H227" s="152"/>
      <c r="I227" s="152"/>
      <c r="J227" s="152"/>
      <c r="K227" s="152"/>
      <c r="L227" s="891"/>
      <c r="M227" s="152"/>
      <c r="N227" s="152"/>
      <c r="O227" s="152"/>
      <c r="P227" s="152"/>
      <c r="Q227" s="152"/>
      <c r="R227" s="152"/>
      <c r="S227" s="152"/>
      <c r="T227" s="152"/>
      <c r="U227" s="152"/>
      <c r="V227" s="891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891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891"/>
      <c r="AQ227" s="152"/>
      <c r="AR227" s="152"/>
      <c r="AS227" s="152"/>
      <c r="AT227" s="152"/>
      <c r="AU227" s="152"/>
      <c r="AV227" s="152"/>
      <c r="AW227" s="152"/>
      <c r="AX227" s="152"/>
      <c r="AY227" s="152"/>
      <c r="AZ227" s="620"/>
      <c r="BA227" s="152"/>
      <c r="BB227" s="152"/>
      <c r="BC227" s="152"/>
      <c r="BD227" s="152"/>
      <c r="BE227" s="152"/>
      <c r="BF227" s="217"/>
      <c r="BG227" s="217"/>
      <c r="BH227" s="217"/>
      <c r="BI227" s="217"/>
      <c r="BJ227" s="410"/>
      <c r="BK227" s="410"/>
      <c r="BL227" s="566"/>
      <c r="BM227" s="566"/>
    </row>
    <row r="228" spans="1:68" s="443" customFormat="1" ht="11.25" customHeight="1">
      <c r="A228" s="115" t="s">
        <v>54</v>
      </c>
      <c r="B228" s="816"/>
      <c r="C228" s="152"/>
      <c r="D228" s="152"/>
      <c r="E228" s="152"/>
      <c r="F228" s="152"/>
      <c r="G228" s="152"/>
      <c r="H228" s="152"/>
      <c r="I228" s="152"/>
      <c r="J228" s="152"/>
      <c r="K228" s="152"/>
      <c r="L228" s="891"/>
      <c r="M228" s="152"/>
      <c r="N228" s="152"/>
      <c r="O228" s="152"/>
      <c r="P228" s="152"/>
      <c r="Q228" s="152"/>
      <c r="R228" s="152"/>
      <c r="S228" s="152"/>
      <c r="T228" s="152"/>
      <c r="U228" s="152"/>
      <c r="V228" s="891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891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891"/>
      <c r="AQ228" s="152"/>
      <c r="AR228" s="152"/>
      <c r="AS228" s="152"/>
      <c r="AT228" s="152"/>
      <c r="AU228" s="152"/>
      <c r="AV228" s="152"/>
      <c r="AW228" s="152"/>
      <c r="AX228" s="152"/>
      <c r="AY228" s="152"/>
      <c r="AZ228" s="620"/>
      <c r="BA228" s="152"/>
      <c r="BB228" s="152"/>
      <c r="BC228" s="152"/>
      <c r="BD228" s="152"/>
      <c r="BE228" s="152"/>
      <c r="BF228" s="217"/>
      <c r="BG228" s="217"/>
      <c r="BH228" s="217"/>
      <c r="BI228" s="217"/>
      <c r="BJ228" s="410"/>
      <c r="BK228" s="410"/>
      <c r="BL228" s="566"/>
      <c r="BM228" s="566"/>
    </row>
    <row r="229" spans="1:68" s="443" customFormat="1" ht="11.25" customHeight="1">
      <c r="A229" s="115" t="s">
        <v>55</v>
      </c>
      <c r="B229" s="816" t="s">
        <v>70</v>
      </c>
      <c r="C229" s="152"/>
      <c r="D229" s="152"/>
      <c r="E229" s="152"/>
      <c r="F229" s="152"/>
      <c r="G229" s="152"/>
      <c r="H229" s="152"/>
      <c r="I229" s="152"/>
      <c r="J229" s="152"/>
      <c r="K229" s="152"/>
      <c r="L229" s="891"/>
      <c r="M229" s="152"/>
      <c r="N229" s="152"/>
      <c r="O229" s="152"/>
      <c r="P229" s="152"/>
      <c r="Q229" s="152"/>
      <c r="R229" s="152"/>
      <c r="S229" s="152"/>
      <c r="T229" s="152"/>
      <c r="U229" s="152"/>
      <c r="V229" s="891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891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891"/>
      <c r="AQ229" s="152"/>
      <c r="AR229" s="152"/>
      <c r="AS229" s="152"/>
      <c r="AT229" s="152"/>
      <c r="AU229" s="152"/>
      <c r="AV229" s="152"/>
      <c r="AW229" s="152"/>
      <c r="AX229" s="152"/>
      <c r="AY229" s="152"/>
      <c r="AZ229" s="620"/>
      <c r="BA229" s="152"/>
      <c r="BB229" s="152"/>
      <c r="BC229" s="152"/>
      <c r="BD229" s="152"/>
      <c r="BE229" s="152"/>
      <c r="BF229" s="217"/>
      <c r="BG229" s="217"/>
      <c r="BH229" s="217"/>
      <c r="BI229" s="217"/>
      <c r="BJ229" s="410"/>
      <c r="BK229" s="410"/>
      <c r="BL229" s="566"/>
      <c r="BM229" s="566"/>
    </row>
    <row r="230" spans="1:68" s="443" customFormat="1" ht="11.25" customHeight="1">
      <c r="B230" s="286" t="s">
        <v>158</v>
      </c>
      <c r="C230" s="152"/>
      <c r="D230" s="152"/>
      <c r="E230" s="152"/>
      <c r="F230" s="152"/>
      <c r="G230" s="152"/>
      <c r="H230" s="152"/>
      <c r="I230" s="152"/>
      <c r="J230" s="152"/>
      <c r="K230" s="152"/>
      <c r="L230" s="891"/>
      <c r="M230" s="152"/>
      <c r="N230" s="152"/>
      <c r="O230" s="152"/>
      <c r="P230" s="152"/>
      <c r="Q230" s="152"/>
      <c r="R230" s="152"/>
      <c r="S230" s="152"/>
      <c r="T230" s="152"/>
      <c r="U230" s="152"/>
      <c r="V230" s="891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891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891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620"/>
      <c r="BA230" s="152"/>
      <c r="BB230" s="152"/>
      <c r="BC230" s="152"/>
      <c r="BD230" s="152"/>
      <c r="BE230" s="152"/>
      <c r="BF230" s="217"/>
      <c r="BG230" s="217"/>
      <c r="BH230" s="217"/>
      <c r="BI230" s="217"/>
      <c r="BJ230" s="410"/>
      <c r="BK230" s="410"/>
      <c r="BL230" s="566"/>
      <c r="BM230" s="566"/>
    </row>
    <row r="231" spans="1:68" s="443" customFormat="1" ht="11.25" customHeight="1">
      <c r="A231" s="55"/>
      <c r="B231" s="217"/>
      <c r="C231" s="152"/>
      <c r="D231" s="152"/>
      <c r="E231" s="152"/>
      <c r="F231" s="152"/>
      <c r="G231" s="152"/>
      <c r="H231" s="152"/>
      <c r="I231" s="152"/>
      <c r="J231" s="152"/>
      <c r="K231" s="152"/>
      <c r="L231" s="891"/>
      <c r="M231" s="152"/>
      <c r="N231" s="152"/>
      <c r="O231" s="152"/>
      <c r="P231" s="152"/>
      <c r="Q231" s="152"/>
      <c r="R231" s="152"/>
      <c r="S231" s="152"/>
      <c r="T231" s="152"/>
      <c r="U231" s="152"/>
      <c r="V231" s="891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891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891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620"/>
      <c r="BA231" s="152"/>
      <c r="BB231" s="152"/>
      <c r="BC231" s="152"/>
      <c r="BD231" s="152"/>
      <c r="BE231" s="152"/>
      <c r="BF231" s="217"/>
      <c r="BG231" s="217"/>
      <c r="BH231" s="217"/>
      <c r="BI231" s="217"/>
      <c r="BJ231" s="410"/>
      <c r="BK231" s="410"/>
      <c r="BL231" s="566"/>
      <c r="BM231" s="566"/>
    </row>
    <row r="232" spans="1:68" ht="11.25" customHeight="1">
      <c r="A232" s="289" t="s">
        <v>121</v>
      </c>
      <c r="K232" s="451"/>
      <c r="L232" s="986"/>
      <c r="M232" s="114"/>
      <c r="Q232" s="145"/>
      <c r="R232" s="145"/>
      <c r="S232" s="145"/>
      <c r="T232" s="145"/>
      <c r="U232" s="451"/>
      <c r="V232" s="986"/>
      <c r="W232" s="145"/>
      <c r="X232" s="145"/>
      <c r="Y232" s="145"/>
      <c r="Z232" s="451"/>
      <c r="AA232" s="173"/>
      <c r="AB232" s="145"/>
      <c r="AC232" s="145"/>
      <c r="AD232" s="145"/>
      <c r="AE232" s="451"/>
      <c r="AF232" s="986"/>
      <c r="AG232" s="145"/>
      <c r="AH232" s="145"/>
      <c r="AI232" s="145"/>
      <c r="AJ232" s="145"/>
      <c r="AK232" s="145"/>
      <c r="AL232" s="145"/>
      <c r="AM232" s="145"/>
      <c r="AN232" s="145"/>
      <c r="AO232" s="451"/>
      <c r="AP232" s="986"/>
      <c r="AQ232" s="145"/>
      <c r="AR232" s="145"/>
      <c r="AS232" s="145"/>
      <c r="AT232" s="145"/>
      <c r="AU232" s="145"/>
      <c r="AV232" s="145"/>
      <c r="AX232" s="173"/>
      <c r="AY232" s="451"/>
      <c r="AZ232" s="452"/>
      <c r="BA232" s="348"/>
      <c r="BB232" s="377"/>
      <c r="BC232" s="466"/>
      <c r="BD232" s="526"/>
      <c r="BE232" s="526"/>
      <c r="BF232" s="526"/>
      <c r="BG232" s="527"/>
      <c r="BH232" s="527"/>
      <c r="BI232" s="527"/>
      <c r="BJ232" s="671"/>
      <c r="BK232" s="671"/>
    </row>
    <row r="233" spans="1:68" ht="11.25" customHeight="1">
      <c r="A233" s="110" t="s">
        <v>63</v>
      </c>
      <c r="K233" s="453"/>
      <c r="L233" s="987"/>
      <c r="M233" s="111"/>
      <c r="Q233" s="145"/>
      <c r="R233" s="145"/>
      <c r="S233" s="145"/>
      <c r="T233" s="145"/>
      <c r="U233" s="453"/>
      <c r="V233" s="987"/>
      <c r="W233" s="145"/>
      <c r="X233" s="145"/>
      <c r="Y233" s="145"/>
      <c r="Z233" s="453"/>
      <c r="AA233" s="145"/>
      <c r="AB233" s="145"/>
      <c r="AC233" s="145"/>
      <c r="AD233" s="145"/>
      <c r="AE233" s="453"/>
      <c r="AF233" s="987"/>
      <c r="AG233" s="145"/>
      <c r="AH233" s="145"/>
      <c r="AI233" s="145"/>
      <c r="AJ233" s="145"/>
      <c r="AK233" s="145"/>
      <c r="AL233" s="145"/>
      <c r="AM233" s="145"/>
      <c r="AN233" s="145"/>
      <c r="AO233" s="453"/>
      <c r="AP233" s="987"/>
      <c r="AQ233" s="145"/>
      <c r="AR233" s="145"/>
      <c r="AS233" s="145"/>
      <c r="AT233" s="145"/>
      <c r="AU233" s="145"/>
      <c r="AV233" s="145"/>
      <c r="AX233" s="173"/>
      <c r="AY233" s="453"/>
      <c r="AZ233" s="454"/>
      <c r="BA233" s="348"/>
      <c r="BB233" s="348"/>
      <c r="BC233" s="291"/>
      <c r="BD233" s="527"/>
      <c r="BE233" s="527"/>
      <c r="BF233" s="527"/>
      <c r="BG233" s="527"/>
      <c r="BH233" s="527"/>
      <c r="BI233" s="527"/>
      <c r="BJ233" s="671"/>
      <c r="BK233" s="671"/>
    </row>
    <row r="234" spans="1:68" ht="11.25" customHeight="1">
      <c r="A234" s="151"/>
      <c r="K234" s="453"/>
      <c r="L234" s="988"/>
      <c r="M234" s="111"/>
      <c r="Q234" s="145"/>
      <c r="R234" s="145"/>
      <c r="S234" s="145"/>
      <c r="T234" s="145"/>
      <c r="U234" s="453"/>
      <c r="V234" s="988"/>
      <c r="W234" s="145"/>
      <c r="X234" s="145"/>
      <c r="Y234" s="145"/>
      <c r="Z234" s="453"/>
      <c r="AA234" s="145"/>
      <c r="AB234" s="145"/>
      <c r="AC234" s="145"/>
      <c r="AD234" s="145"/>
      <c r="AE234" s="453"/>
      <c r="AF234" s="988"/>
      <c r="AG234" s="145"/>
      <c r="AH234" s="145"/>
      <c r="AI234" s="145"/>
      <c r="AJ234" s="145"/>
      <c r="AK234" s="145"/>
      <c r="AL234" s="145"/>
      <c r="AM234" s="145"/>
      <c r="AN234" s="145"/>
      <c r="AO234" s="453"/>
      <c r="AP234" s="988"/>
      <c r="AQ234" s="145"/>
      <c r="AR234" s="145"/>
      <c r="AS234" s="145"/>
      <c r="AT234" s="145"/>
      <c r="AU234" s="145"/>
      <c r="AV234" s="145"/>
      <c r="AX234" s="173"/>
      <c r="AY234" s="453"/>
      <c r="AZ234" s="342"/>
      <c r="BA234" s="348"/>
      <c r="BB234" s="348"/>
      <c r="BC234" s="291"/>
      <c r="BD234" s="528"/>
      <c r="BE234" s="528"/>
      <c r="BF234" s="528"/>
      <c r="BG234" s="527"/>
      <c r="BH234" s="527"/>
      <c r="BI234" s="527"/>
      <c r="BJ234" s="671"/>
      <c r="BK234" s="671"/>
      <c r="BO234" s="514"/>
    </row>
    <row r="235" spans="1:68" ht="11.25" customHeight="1">
      <c r="K235" s="453"/>
      <c r="L235" s="987"/>
      <c r="M235" s="145"/>
      <c r="N235" s="145"/>
      <c r="O235" s="145"/>
      <c r="P235" s="145"/>
      <c r="Q235" s="145"/>
      <c r="R235" s="145"/>
      <c r="S235" s="145"/>
      <c r="T235" s="145"/>
      <c r="U235" s="453"/>
      <c r="V235" s="987"/>
      <c r="W235" s="145"/>
      <c r="X235" s="145"/>
      <c r="Y235" s="145"/>
      <c r="Z235" s="453"/>
      <c r="AA235" s="455"/>
      <c r="AB235" s="145"/>
      <c r="AC235" s="145"/>
      <c r="AD235" s="145"/>
      <c r="AE235" s="453"/>
      <c r="AF235" s="987"/>
      <c r="AG235" s="145"/>
      <c r="AH235" s="145"/>
      <c r="AI235" s="145"/>
      <c r="AJ235" s="145"/>
      <c r="AK235" s="145"/>
      <c r="AL235" s="145"/>
      <c r="AM235" s="145"/>
      <c r="AN235" s="145"/>
      <c r="AO235" s="453"/>
      <c r="AP235" s="987"/>
      <c r="AQ235" s="145"/>
      <c r="AR235" s="145"/>
      <c r="AS235" s="145"/>
      <c r="AT235" s="145"/>
      <c r="AU235" s="145"/>
      <c r="AV235" s="145"/>
      <c r="AX235" s="173"/>
      <c r="AY235" s="453"/>
      <c r="AZ235" s="454"/>
      <c r="BA235" s="348"/>
      <c r="BB235" s="348"/>
      <c r="BC235" s="291"/>
      <c r="BD235" s="527"/>
      <c r="BE235" s="527"/>
      <c r="BF235" s="527"/>
      <c r="BG235" s="527"/>
      <c r="BH235" s="527"/>
      <c r="BI235" s="527"/>
      <c r="BJ235" s="671"/>
      <c r="BK235" s="671"/>
    </row>
    <row r="236" spans="1:68" ht="11.25" customHeight="1">
      <c r="K236" s="453"/>
      <c r="L236" s="989"/>
      <c r="M236" s="110"/>
      <c r="N236" s="145"/>
      <c r="O236" s="145"/>
      <c r="P236" s="145"/>
      <c r="Q236" s="145"/>
      <c r="R236" s="145"/>
      <c r="S236" s="145"/>
      <c r="T236" s="145"/>
      <c r="U236" s="453"/>
      <c r="V236" s="989"/>
      <c r="W236" s="145"/>
      <c r="X236" s="145"/>
      <c r="Y236" s="145"/>
      <c r="Z236" s="453"/>
      <c r="AA236" s="145"/>
      <c r="AB236" s="145"/>
      <c r="AC236" s="145"/>
      <c r="AD236" s="145"/>
      <c r="AE236" s="453"/>
      <c r="AF236" s="989"/>
      <c r="AG236" s="145"/>
      <c r="AH236" s="145"/>
      <c r="AI236" s="145"/>
      <c r="AJ236" s="145"/>
      <c r="AK236" s="145"/>
      <c r="AL236" s="145"/>
      <c r="AM236" s="145"/>
      <c r="AN236" s="145"/>
      <c r="AO236" s="453"/>
      <c r="AP236" s="989"/>
      <c r="AQ236" s="145"/>
      <c r="AR236" s="145"/>
      <c r="AS236" s="145"/>
      <c r="AT236" s="145"/>
      <c r="AU236" s="145"/>
      <c r="AV236" s="145"/>
      <c r="AX236" s="173"/>
      <c r="AY236" s="453"/>
      <c r="AZ236" s="319"/>
      <c r="BA236" s="348"/>
      <c r="BB236" s="348"/>
      <c r="BC236" s="291"/>
      <c r="BD236" s="529"/>
      <c r="BE236" s="529"/>
      <c r="BF236" s="529"/>
      <c r="BG236" s="529"/>
      <c r="BH236" s="529"/>
      <c r="BI236" s="529"/>
      <c r="BJ236" s="671"/>
      <c r="BK236" s="671"/>
      <c r="BP236" s="514"/>
    </row>
    <row r="237" spans="1:68" s="112" customFormat="1" ht="11.25" customHeight="1">
      <c r="A237" s="110"/>
      <c r="B237" s="595"/>
      <c r="K237" s="319"/>
      <c r="L237" s="988"/>
      <c r="M237" s="110"/>
      <c r="N237" s="162"/>
      <c r="O237" s="162"/>
      <c r="P237" s="162"/>
      <c r="Q237" s="162"/>
      <c r="R237" s="162"/>
      <c r="S237" s="162"/>
      <c r="T237" s="162"/>
      <c r="U237" s="319"/>
      <c r="V237" s="988"/>
      <c r="W237" s="162"/>
      <c r="X237" s="162"/>
      <c r="Y237" s="162"/>
      <c r="Z237" s="319"/>
      <c r="AA237" s="582"/>
      <c r="AB237" s="162"/>
      <c r="AC237" s="162"/>
      <c r="AD237" s="162"/>
      <c r="AE237" s="319"/>
      <c r="AF237" s="988"/>
      <c r="AG237" s="162"/>
      <c r="AH237" s="162"/>
      <c r="AI237" s="162"/>
      <c r="AJ237" s="162"/>
      <c r="AK237" s="162"/>
      <c r="AL237" s="162"/>
      <c r="AM237" s="162"/>
      <c r="AN237" s="162"/>
      <c r="AO237" s="319"/>
      <c r="AP237" s="988"/>
      <c r="AQ237" s="162"/>
      <c r="AR237" s="162"/>
      <c r="AS237" s="162"/>
      <c r="AT237" s="162"/>
      <c r="AU237" s="162"/>
      <c r="AV237" s="162"/>
      <c r="AX237" s="113"/>
      <c r="AY237" s="319"/>
      <c r="AZ237" s="342"/>
      <c r="BA237" s="577"/>
      <c r="BB237" s="577"/>
      <c r="BC237" s="578"/>
      <c r="BD237" s="528"/>
      <c r="BE237" s="528"/>
      <c r="BF237" s="528"/>
      <c r="BG237" s="528"/>
      <c r="BH237" s="528"/>
      <c r="BI237" s="528"/>
      <c r="BJ237" s="430"/>
      <c r="BK237" s="430"/>
      <c r="BL237" s="956"/>
      <c r="BM237" s="956"/>
      <c r="BO237" s="512"/>
      <c r="BP237" s="512"/>
    </row>
    <row r="238" spans="1:68" s="112" customFormat="1" ht="11.25" customHeight="1">
      <c r="B238" s="595"/>
      <c r="K238" s="319"/>
      <c r="L238" s="987"/>
      <c r="M238" s="110"/>
      <c r="N238" s="110"/>
      <c r="O238" s="110"/>
      <c r="P238" s="174"/>
      <c r="Q238" s="174"/>
      <c r="R238" s="174"/>
      <c r="S238" s="174"/>
      <c r="T238" s="174"/>
      <c r="U238" s="319"/>
      <c r="V238" s="987"/>
      <c r="W238" s="174"/>
      <c r="X238" s="174"/>
      <c r="Y238" s="174"/>
      <c r="Z238" s="174"/>
      <c r="AA238" s="339"/>
      <c r="AB238" s="174"/>
      <c r="AC238" s="174"/>
      <c r="AD238" s="174"/>
      <c r="AE238" s="319"/>
      <c r="AF238" s="987"/>
      <c r="AG238" s="174"/>
      <c r="AH238" s="174"/>
      <c r="AI238" s="174"/>
      <c r="AJ238" s="174"/>
      <c r="AK238" s="174"/>
      <c r="AL238" s="110"/>
      <c r="AM238" s="110"/>
      <c r="AN238" s="110"/>
      <c r="AO238" s="319"/>
      <c r="AP238" s="987"/>
      <c r="AQ238" s="110"/>
      <c r="AR238" s="110"/>
      <c r="AS238" s="110"/>
      <c r="AT238" s="110"/>
      <c r="AU238" s="110"/>
      <c r="AV238" s="110"/>
      <c r="AX238" s="130"/>
      <c r="AY238" s="319"/>
      <c r="AZ238" s="454"/>
      <c r="BA238" s="577"/>
      <c r="BB238" s="577"/>
      <c r="BC238" s="578"/>
      <c r="BD238" s="527"/>
      <c r="BE238" s="527"/>
      <c r="BF238" s="527"/>
      <c r="BG238" s="527"/>
      <c r="BH238" s="527"/>
      <c r="BI238" s="527"/>
      <c r="BJ238" s="430"/>
      <c r="BK238" s="430"/>
      <c r="BL238" s="956"/>
      <c r="BM238" s="956"/>
      <c r="BO238" s="512"/>
      <c r="BP238" s="512"/>
    </row>
    <row r="239" spans="1:68" s="112" customFormat="1" ht="11.25" customHeight="1">
      <c r="B239" s="595"/>
      <c r="L239" s="643"/>
      <c r="M239" s="110"/>
      <c r="N239" s="110"/>
      <c r="O239" s="110"/>
      <c r="P239" s="174"/>
      <c r="Q239" s="174"/>
      <c r="R239" s="174"/>
      <c r="S239" s="174"/>
      <c r="T239" s="174"/>
      <c r="U239" s="174"/>
      <c r="V239" s="184"/>
      <c r="W239" s="174"/>
      <c r="X239" s="174"/>
      <c r="Y239" s="174"/>
      <c r="Z239" s="174"/>
      <c r="AA239" s="174"/>
      <c r="AB239" s="174"/>
      <c r="AC239" s="174"/>
      <c r="AD239" s="174"/>
      <c r="AE239" s="174"/>
      <c r="AF239" s="184"/>
      <c r="AG239" s="174"/>
      <c r="AH239" s="174"/>
      <c r="AI239" s="174"/>
      <c r="AJ239" s="174"/>
      <c r="AK239" s="174"/>
      <c r="AL239" s="110"/>
      <c r="AM239" s="110"/>
      <c r="AN239" s="110"/>
      <c r="AO239" s="110"/>
      <c r="AP239" s="643"/>
      <c r="AQ239" s="110"/>
      <c r="AR239" s="110"/>
      <c r="AS239" s="110"/>
      <c r="AT239" s="110"/>
      <c r="AU239" s="110"/>
      <c r="AV239" s="110"/>
      <c r="AX239" s="130"/>
      <c r="AY239" s="513"/>
      <c r="AZ239" s="513"/>
      <c r="BA239" s="577"/>
      <c r="BB239" s="577"/>
      <c r="BC239" s="579"/>
      <c r="BD239" s="526"/>
      <c r="BE239" s="526"/>
      <c r="BF239" s="526"/>
      <c r="BG239" s="526"/>
      <c r="BH239" s="526"/>
      <c r="BI239" s="526"/>
      <c r="BJ239" s="430"/>
      <c r="BK239" s="430"/>
      <c r="BL239" s="956"/>
      <c r="BM239" s="956"/>
      <c r="BO239" s="512"/>
      <c r="BP239" s="512"/>
    </row>
    <row r="240" spans="1:68" s="112" customFormat="1" ht="11.25" customHeight="1">
      <c r="B240" s="595"/>
      <c r="L240" s="184"/>
      <c r="M240" s="174"/>
      <c r="N240" s="174"/>
      <c r="O240" s="174"/>
      <c r="P240" s="174"/>
      <c r="Q240" s="174"/>
      <c r="R240" s="174"/>
      <c r="S240" s="174"/>
      <c r="T240" s="174"/>
      <c r="U240" s="174"/>
      <c r="V240" s="184"/>
      <c r="W240" s="174"/>
      <c r="X240" s="174"/>
      <c r="Y240" s="174"/>
      <c r="Z240" s="174"/>
      <c r="AA240" s="174"/>
      <c r="AB240" s="174"/>
      <c r="AC240" s="174"/>
      <c r="AD240" s="174"/>
      <c r="AE240" s="174"/>
      <c r="AF240" s="184"/>
      <c r="AG240" s="174"/>
      <c r="AH240" s="174"/>
      <c r="AI240" s="174"/>
      <c r="AJ240" s="174"/>
      <c r="AK240" s="174"/>
      <c r="AL240" s="110"/>
      <c r="AM240" s="110"/>
      <c r="AN240" s="110"/>
      <c r="AO240" s="110"/>
      <c r="AP240" s="643"/>
      <c r="AQ240" s="110"/>
      <c r="AR240" s="110"/>
      <c r="AS240" s="110"/>
      <c r="AT240" s="110"/>
      <c r="AU240" s="110"/>
      <c r="AV240" s="110"/>
      <c r="AX240" s="130"/>
      <c r="AY240" s="513"/>
      <c r="AZ240" s="513"/>
      <c r="BA240" s="577"/>
      <c r="BB240" s="577"/>
      <c r="BC240" s="579"/>
      <c r="BD240" s="526"/>
      <c r="BE240" s="526"/>
      <c r="BF240" s="526"/>
      <c r="BG240" s="526"/>
      <c r="BH240" s="526"/>
      <c r="BI240" s="526"/>
      <c r="BJ240" s="430"/>
      <c r="BK240" s="430"/>
      <c r="BL240" s="956"/>
      <c r="BM240" s="956"/>
      <c r="BO240" s="512"/>
      <c r="BP240" s="512"/>
    </row>
    <row r="241" spans="1:68" s="595" customFormat="1" ht="11.25" customHeight="1">
      <c r="A241" s="643"/>
      <c r="L241" s="651"/>
      <c r="M241" s="184"/>
      <c r="N241" s="184"/>
      <c r="O241" s="184"/>
      <c r="P241" s="184"/>
      <c r="Q241" s="184"/>
      <c r="R241" s="184"/>
      <c r="S241" s="184"/>
      <c r="T241" s="184"/>
      <c r="U241" s="184"/>
      <c r="V241" s="651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651"/>
      <c r="AG241" s="184"/>
      <c r="AH241" s="184"/>
      <c r="AI241" s="184"/>
      <c r="AJ241" s="184"/>
      <c r="AK241" s="184"/>
      <c r="AL241" s="643"/>
      <c r="AM241" s="643"/>
      <c r="AN241" s="643"/>
      <c r="AO241" s="643"/>
      <c r="AP241" s="651"/>
      <c r="AQ241" s="643"/>
      <c r="AR241" s="643"/>
      <c r="AS241" s="643"/>
      <c r="AT241" s="643"/>
      <c r="AU241" s="643"/>
      <c r="AV241" s="643"/>
      <c r="AX241" s="943"/>
      <c r="AY241" s="651"/>
      <c r="AZ241" s="651"/>
      <c r="BA241" s="944"/>
      <c r="BB241" s="944"/>
      <c r="BC241" s="526"/>
      <c r="BD241" s="526"/>
      <c r="BE241" s="526"/>
      <c r="BF241" s="651"/>
      <c r="BG241" s="651"/>
      <c r="BH241" s="651"/>
      <c r="BI241" s="651"/>
      <c r="BJ241" s="430"/>
      <c r="BK241" s="430"/>
      <c r="BL241" s="956"/>
      <c r="BM241" s="956"/>
      <c r="BO241" s="945"/>
      <c r="BP241" s="945"/>
    </row>
    <row r="242" spans="1:68" s="595" customFormat="1" ht="11.25" customHeight="1">
      <c r="A242" s="643"/>
      <c r="L242" s="651"/>
      <c r="M242" s="184"/>
      <c r="N242" s="184"/>
      <c r="O242" s="184"/>
      <c r="P242" s="184"/>
      <c r="Q242" s="184"/>
      <c r="R242" s="184"/>
      <c r="S242" s="184"/>
      <c r="T242" s="184"/>
      <c r="U242" s="184"/>
      <c r="V242" s="651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651"/>
      <c r="AG242" s="184"/>
      <c r="AH242" s="184"/>
      <c r="AI242" s="184"/>
      <c r="AJ242" s="184"/>
      <c r="AK242" s="184"/>
      <c r="AL242" s="643"/>
      <c r="AM242" s="643"/>
      <c r="AN242" s="643"/>
      <c r="AO242" s="643"/>
      <c r="AP242" s="651"/>
      <c r="AQ242" s="643"/>
      <c r="AR242" s="643"/>
      <c r="AS242" s="643"/>
      <c r="AT242" s="643"/>
      <c r="AU242" s="643"/>
      <c r="AV242" s="643"/>
      <c r="AX242" s="943"/>
      <c r="AY242" s="946"/>
      <c r="AZ242" s="651"/>
      <c r="BA242" s="944"/>
      <c r="BB242" s="944"/>
      <c r="BC242" s="526"/>
      <c r="BD242" s="526"/>
      <c r="BE242" s="526"/>
      <c r="BF242" s="526"/>
      <c r="BG242" s="526"/>
      <c r="BH242" s="526"/>
      <c r="BI242" s="526"/>
      <c r="BJ242" s="430"/>
      <c r="BK242" s="430"/>
      <c r="BL242" s="956"/>
      <c r="BM242" s="956"/>
      <c r="BO242" s="945"/>
      <c r="BP242" s="945"/>
    </row>
    <row r="243" spans="1:68" s="595" customFormat="1" ht="11.25" customHeight="1">
      <c r="A243" s="643"/>
      <c r="G243" s="651"/>
      <c r="L243" s="651"/>
      <c r="M243" s="643"/>
      <c r="N243" s="643"/>
      <c r="O243" s="643"/>
      <c r="P243" s="643"/>
      <c r="Q243" s="651"/>
      <c r="R243" s="643"/>
      <c r="S243" s="643"/>
      <c r="T243" s="643"/>
      <c r="U243" s="643"/>
      <c r="V243" s="651"/>
      <c r="W243" s="651"/>
      <c r="AA243" s="651"/>
      <c r="AF243" s="651"/>
      <c r="AK243" s="651"/>
      <c r="AP243" s="651"/>
      <c r="AT243" s="643"/>
      <c r="AU243" s="651"/>
      <c r="AW243" s="652"/>
      <c r="AX243" s="946"/>
      <c r="AY243" s="946"/>
      <c r="AZ243" s="651"/>
      <c r="BA243" s="944"/>
      <c r="BB243" s="944"/>
      <c r="BC243" s="526"/>
      <c r="BD243" s="526"/>
      <c r="BE243" s="651"/>
      <c r="BF243" s="526"/>
      <c r="BG243" s="526"/>
      <c r="BH243" s="526"/>
      <c r="BI243" s="526"/>
      <c r="BJ243" s="430"/>
      <c r="BK243" s="430"/>
      <c r="BL243" s="956"/>
      <c r="BM243" s="956"/>
    </row>
    <row r="244" spans="1:68" s="595" customFormat="1" ht="11.25" customHeight="1">
      <c r="A244" s="643"/>
      <c r="L244" s="643"/>
      <c r="M244" s="651"/>
      <c r="N244" s="651"/>
      <c r="O244" s="651"/>
      <c r="P244" s="651"/>
      <c r="Q244" s="651"/>
      <c r="R244" s="651"/>
      <c r="S244" s="651"/>
      <c r="T244" s="651"/>
      <c r="U244" s="651"/>
      <c r="V244" s="643"/>
      <c r="W244" s="651"/>
      <c r="X244" s="651"/>
      <c r="Y244" s="651"/>
      <c r="Z244" s="651"/>
      <c r="AA244" s="651"/>
      <c r="AB244" s="651"/>
      <c r="AC244" s="651"/>
      <c r="AD244" s="651"/>
      <c r="AE244" s="651"/>
      <c r="AF244" s="643"/>
      <c r="AG244" s="651"/>
      <c r="AH244" s="651"/>
      <c r="AI244" s="651"/>
      <c r="AJ244" s="651"/>
      <c r="AK244" s="651"/>
      <c r="AL244" s="651"/>
      <c r="AM244" s="651"/>
      <c r="AN244" s="651"/>
      <c r="AO244" s="651"/>
      <c r="AP244" s="643"/>
      <c r="AQ244" s="651"/>
      <c r="AR244" s="651"/>
      <c r="AS244" s="651"/>
      <c r="AT244" s="651"/>
      <c r="AU244" s="651"/>
      <c r="AV244" s="651"/>
      <c r="AW244" s="922"/>
      <c r="AX244" s="943"/>
      <c r="AY244" s="946"/>
      <c r="AZ244" s="651"/>
      <c r="BA244" s="944"/>
      <c r="BB244" s="944"/>
      <c r="BC244" s="526"/>
      <c r="BD244" s="526"/>
      <c r="BE244" s="526"/>
      <c r="BF244" s="584"/>
      <c r="BG244" s="584"/>
      <c r="BH244" s="584"/>
      <c r="BI244" s="584"/>
      <c r="BJ244" s="430"/>
      <c r="BK244" s="430"/>
      <c r="BL244" s="956"/>
      <c r="BM244" s="956"/>
    </row>
    <row r="245" spans="1:68" s="595" customFormat="1" ht="11.25" customHeight="1">
      <c r="A245" s="643"/>
      <c r="L245" s="184"/>
      <c r="M245" s="651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643"/>
      <c r="AM245" s="643"/>
      <c r="AN245" s="643"/>
      <c r="AO245" s="643"/>
      <c r="AP245" s="184"/>
      <c r="AQ245" s="643"/>
      <c r="AR245" s="643"/>
      <c r="AS245" s="643"/>
      <c r="AT245" s="643"/>
      <c r="AU245" s="643"/>
      <c r="AV245" s="643"/>
      <c r="AW245" s="922"/>
      <c r="AX245" s="943"/>
      <c r="AY245" s="946"/>
      <c r="AZ245" s="184"/>
      <c r="BA245" s="944"/>
      <c r="BB245" s="944"/>
      <c r="BC245" s="526"/>
      <c r="BD245" s="526"/>
      <c r="BE245" s="526"/>
      <c r="BF245" s="184"/>
      <c r="BG245" s="184"/>
      <c r="BH245" s="184"/>
      <c r="BI245" s="184"/>
      <c r="BJ245" s="430"/>
      <c r="BK245" s="430"/>
      <c r="BL245" s="956"/>
      <c r="BM245" s="956"/>
    </row>
    <row r="246" spans="1:68" s="112" customFormat="1" ht="11.25" customHeight="1">
      <c r="A246" s="110"/>
      <c r="B246" s="595"/>
      <c r="G246" s="174"/>
      <c r="L246" s="184"/>
      <c r="M246" s="174"/>
      <c r="N246" s="174"/>
      <c r="O246" s="174"/>
      <c r="P246" s="174"/>
      <c r="Q246" s="174"/>
      <c r="R246" s="174"/>
      <c r="S246" s="174"/>
      <c r="T246" s="174"/>
      <c r="U246" s="174"/>
      <c r="V246" s="184"/>
      <c r="W246" s="174"/>
      <c r="X246" s="174"/>
      <c r="Y246" s="174"/>
      <c r="Z246" s="174"/>
      <c r="AA246" s="174"/>
      <c r="AB246" s="174"/>
      <c r="AC246" s="174"/>
      <c r="AD246" s="174"/>
      <c r="AE246" s="174"/>
      <c r="AF246" s="184"/>
      <c r="AG246" s="174"/>
      <c r="AH246" s="174"/>
      <c r="AI246" s="174"/>
      <c r="AJ246" s="174"/>
      <c r="AK246" s="174"/>
      <c r="AL246" s="110"/>
      <c r="AM246" s="110"/>
      <c r="AN246" s="110"/>
      <c r="AO246" s="110"/>
      <c r="AP246" s="184"/>
      <c r="AQ246" s="110"/>
      <c r="AR246" s="110"/>
      <c r="AS246" s="110"/>
      <c r="AT246" s="110"/>
      <c r="AU246" s="174"/>
      <c r="AV246" s="162"/>
      <c r="AW246" s="113"/>
      <c r="AX246" s="130"/>
      <c r="AY246" s="513"/>
      <c r="AZ246" s="174"/>
      <c r="BA246" s="577"/>
      <c r="BB246" s="577"/>
      <c r="BC246" s="579"/>
      <c r="BD246" s="526"/>
      <c r="BE246" s="526"/>
      <c r="BF246" s="184"/>
      <c r="BG246" s="184"/>
      <c r="BH246" s="184"/>
      <c r="BI246" s="184"/>
      <c r="BJ246" s="430"/>
      <c r="BK246" s="430"/>
      <c r="BL246" s="956"/>
      <c r="BM246" s="956"/>
      <c r="BO246" s="512"/>
      <c r="BP246" s="512"/>
    </row>
    <row r="247" spans="1:68" s="112" customFormat="1" ht="11.25" customHeight="1">
      <c r="A247" s="110"/>
      <c r="B247" s="595"/>
      <c r="L247" s="184"/>
      <c r="M247" s="174"/>
      <c r="N247" s="174"/>
      <c r="O247" s="174"/>
      <c r="P247" s="174"/>
      <c r="Q247" s="162"/>
      <c r="R247" s="174"/>
      <c r="S247" s="174"/>
      <c r="T247" s="174"/>
      <c r="U247" s="174"/>
      <c r="V247" s="184"/>
      <c r="W247" s="174"/>
      <c r="X247" s="174"/>
      <c r="Y247" s="174"/>
      <c r="Z247" s="174"/>
      <c r="AA247" s="162"/>
      <c r="AB247" s="174"/>
      <c r="AC247" s="174"/>
      <c r="AD247" s="174"/>
      <c r="AE247" s="174"/>
      <c r="AF247" s="184"/>
      <c r="AG247" s="174"/>
      <c r="AH247" s="174"/>
      <c r="AI247" s="174"/>
      <c r="AJ247" s="174"/>
      <c r="AK247" s="162"/>
      <c r="AL247" s="110"/>
      <c r="AM247" s="110"/>
      <c r="AN247" s="110"/>
      <c r="AO247" s="110"/>
      <c r="AP247" s="184"/>
      <c r="AQ247" s="110"/>
      <c r="AR247" s="110"/>
      <c r="AS247" s="110"/>
      <c r="AT247" s="110"/>
      <c r="AU247" s="162"/>
      <c r="AV247" s="162"/>
      <c r="AW247" s="113"/>
      <c r="AX247" s="130"/>
      <c r="AY247" s="513"/>
      <c r="AZ247" s="174"/>
      <c r="BA247" s="577"/>
      <c r="BB247" s="577"/>
      <c r="BC247" s="579"/>
      <c r="BD247" s="526"/>
      <c r="BE247" s="526"/>
      <c r="BF247" s="184"/>
      <c r="BG247" s="184"/>
      <c r="BH247" s="184"/>
      <c r="BI247" s="184"/>
      <c r="BJ247" s="430"/>
      <c r="BK247" s="430"/>
      <c r="BL247" s="956"/>
      <c r="BM247" s="956"/>
      <c r="BO247" s="512"/>
      <c r="BP247" s="512"/>
    </row>
    <row r="248" spans="1:68" s="112" customFormat="1" ht="11.25" customHeight="1">
      <c r="A248" s="110"/>
      <c r="B248" s="595"/>
      <c r="L248" s="651"/>
      <c r="M248" s="174"/>
      <c r="N248" s="174"/>
      <c r="O248" s="174"/>
      <c r="P248" s="174"/>
      <c r="Q248" s="174"/>
      <c r="R248" s="174"/>
      <c r="S248" s="174"/>
      <c r="T248" s="174"/>
      <c r="U248" s="174"/>
      <c r="V248" s="651"/>
      <c r="W248" s="174"/>
      <c r="X248" s="174"/>
      <c r="Y248" s="174"/>
      <c r="Z248" s="174"/>
      <c r="AA248" s="174"/>
      <c r="AB248" s="174"/>
      <c r="AC248" s="174"/>
      <c r="AD248" s="174"/>
      <c r="AE248" s="174"/>
      <c r="AF248" s="651"/>
      <c r="AG248" s="174"/>
      <c r="AH248" s="174"/>
      <c r="AI248" s="174"/>
      <c r="AJ248" s="174"/>
      <c r="AK248" s="174"/>
      <c r="AL248" s="110"/>
      <c r="AM248" s="110"/>
      <c r="AN248" s="110"/>
      <c r="AO248" s="110"/>
      <c r="AP248" s="651"/>
      <c r="AQ248" s="110"/>
      <c r="AR248" s="110"/>
      <c r="AS248" s="110"/>
      <c r="AT248" s="110"/>
      <c r="AU248" s="130"/>
      <c r="AV248" s="130"/>
      <c r="AW248" s="186"/>
      <c r="AX248" s="130"/>
      <c r="AY248" s="513"/>
      <c r="AZ248" s="162"/>
      <c r="BA248" s="577"/>
      <c r="BB248" s="577"/>
      <c r="BC248" s="579"/>
      <c r="BD248" s="526"/>
      <c r="BE248" s="162"/>
      <c r="BF248" s="651"/>
      <c r="BG248" s="651"/>
      <c r="BH248" s="651"/>
      <c r="BI248" s="651"/>
      <c r="BJ248" s="430"/>
      <c r="BK248" s="430"/>
      <c r="BL248" s="956"/>
      <c r="BM248" s="956"/>
    </row>
    <row r="249" spans="1:68" s="112" customFormat="1" ht="11.25" customHeight="1">
      <c r="A249" s="110"/>
      <c r="B249" s="595"/>
      <c r="L249" s="651"/>
      <c r="M249" s="174"/>
      <c r="N249" s="174"/>
      <c r="O249" s="174"/>
      <c r="P249" s="174"/>
      <c r="Q249" s="174"/>
      <c r="R249" s="174"/>
      <c r="S249" s="174"/>
      <c r="T249" s="174"/>
      <c r="U249" s="174"/>
      <c r="V249" s="651"/>
      <c r="W249" s="174"/>
      <c r="X249" s="174"/>
      <c r="Y249" s="174"/>
      <c r="Z249" s="174"/>
      <c r="AA249" s="174"/>
      <c r="AB249" s="174"/>
      <c r="AC249" s="174"/>
      <c r="AD249" s="174"/>
      <c r="AE249" s="174"/>
      <c r="AF249" s="651"/>
      <c r="AG249" s="174"/>
      <c r="AH249" s="174"/>
      <c r="AI249" s="174"/>
      <c r="AJ249" s="174"/>
      <c r="AK249" s="174"/>
      <c r="AL249" s="110"/>
      <c r="AM249" s="110"/>
      <c r="AN249" s="110"/>
      <c r="AO249" s="110"/>
      <c r="AP249" s="651"/>
      <c r="AQ249" s="110"/>
      <c r="AR249" s="110"/>
      <c r="AS249" s="110"/>
      <c r="AT249" s="110"/>
      <c r="AU249" s="174"/>
      <c r="AV249" s="174"/>
      <c r="AW249" s="186"/>
      <c r="AX249" s="130"/>
      <c r="AY249" s="513"/>
      <c r="AZ249" s="162"/>
      <c r="BA249" s="577"/>
      <c r="BB249" s="577"/>
      <c r="BC249" s="579"/>
      <c r="BD249" s="526"/>
      <c r="BE249" s="526"/>
      <c r="BF249" s="651"/>
      <c r="BG249" s="651"/>
      <c r="BH249" s="651"/>
      <c r="BI249" s="651"/>
      <c r="BJ249" s="430"/>
      <c r="BK249" s="430"/>
      <c r="BL249" s="956"/>
      <c r="BM249" s="956"/>
    </row>
    <row r="250" spans="1:68" s="112" customFormat="1" ht="11.25" customHeight="1">
      <c r="A250" s="110"/>
      <c r="B250" s="595"/>
      <c r="G250" s="162"/>
      <c r="L250" s="651"/>
      <c r="M250" s="110"/>
      <c r="N250" s="110"/>
      <c r="O250" s="110"/>
      <c r="P250" s="110"/>
      <c r="Q250" s="162"/>
      <c r="R250" s="110"/>
      <c r="S250" s="110"/>
      <c r="T250" s="110"/>
      <c r="U250" s="110"/>
      <c r="V250" s="651"/>
      <c r="W250" s="110"/>
      <c r="X250" s="110"/>
      <c r="Y250" s="110"/>
      <c r="Z250" s="110"/>
      <c r="AA250" s="162"/>
      <c r="AB250" s="110"/>
      <c r="AC250" s="110"/>
      <c r="AD250" s="110"/>
      <c r="AE250" s="110"/>
      <c r="AF250" s="651"/>
      <c r="AG250" s="110"/>
      <c r="AH250" s="110"/>
      <c r="AI250" s="110"/>
      <c r="AJ250" s="110"/>
      <c r="AK250" s="162"/>
      <c r="AL250" s="110"/>
      <c r="AM250" s="183"/>
      <c r="AN250" s="110"/>
      <c r="AO250" s="110"/>
      <c r="AP250" s="651"/>
      <c r="AQ250" s="110"/>
      <c r="AR250" s="110"/>
      <c r="AS250" s="110"/>
      <c r="AT250" s="110"/>
      <c r="AU250" s="162"/>
      <c r="AV250" s="130"/>
      <c r="AW250" s="186"/>
      <c r="AX250" s="130"/>
      <c r="AY250" s="513"/>
      <c r="AZ250" s="162"/>
      <c r="BA250" s="577"/>
      <c r="BB250" s="577"/>
      <c r="BC250" s="579"/>
      <c r="BD250" s="526"/>
      <c r="BE250" s="162"/>
      <c r="BF250" s="526"/>
      <c r="BG250" s="526"/>
      <c r="BH250" s="526"/>
      <c r="BI250" s="526"/>
      <c r="BJ250" s="430"/>
      <c r="BK250" s="430"/>
      <c r="BL250" s="956"/>
      <c r="BM250" s="956"/>
    </row>
    <row r="251" spans="1:68" s="112" customFormat="1" ht="11.25" customHeight="1">
      <c r="A251" s="110"/>
      <c r="B251" s="595"/>
      <c r="G251" s="162"/>
      <c r="L251" s="651"/>
      <c r="M251" s="174"/>
      <c r="N251" s="174"/>
      <c r="O251" s="174"/>
      <c r="P251" s="174"/>
      <c r="Q251" s="162"/>
      <c r="R251" s="174"/>
      <c r="S251" s="174"/>
      <c r="T251" s="174"/>
      <c r="U251" s="174"/>
      <c r="V251" s="651"/>
      <c r="W251" s="174"/>
      <c r="X251" s="174"/>
      <c r="Y251" s="174"/>
      <c r="Z251" s="174"/>
      <c r="AA251" s="162"/>
      <c r="AB251" s="174"/>
      <c r="AC251" s="174"/>
      <c r="AD251" s="174"/>
      <c r="AE251" s="174"/>
      <c r="AF251" s="651"/>
      <c r="AG251" s="174"/>
      <c r="AH251" s="174"/>
      <c r="AI251" s="174"/>
      <c r="AJ251" s="174"/>
      <c r="AK251" s="162"/>
      <c r="AL251" s="174"/>
      <c r="AM251" s="176"/>
      <c r="AN251" s="176"/>
      <c r="AO251" s="176"/>
      <c r="AP251" s="651"/>
      <c r="AQ251" s="110"/>
      <c r="AR251" s="110"/>
      <c r="AS251" s="110"/>
      <c r="AT251" s="110"/>
      <c r="AU251" s="162"/>
      <c r="AV251" s="130"/>
      <c r="AX251" s="130"/>
      <c r="AY251" s="513"/>
      <c r="AZ251" s="162"/>
      <c r="BA251" s="577"/>
      <c r="BB251" s="577"/>
      <c r="BC251" s="579"/>
      <c r="BD251" s="526"/>
      <c r="BE251" s="162"/>
      <c r="BF251" s="526"/>
      <c r="BG251" s="526"/>
      <c r="BH251" s="526"/>
      <c r="BI251" s="526"/>
      <c r="BJ251" s="430"/>
      <c r="BK251" s="430"/>
      <c r="BL251" s="956"/>
      <c r="BM251" s="956"/>
    </row>
    <row r="252" spans="1:68" s="112" customFormat="1" ht="11.25" customHeight="1">
      <c r="A252" s="110"/>
      <c r="B252" s="595"/>
      <c r="L252" s="184"/>
      <c r="M252" s="174"/>
      <c r="N252" s="174"/>
      <c r="O252" s="174"/>
      <c r="P252" s="174"/>
      <c r="Q252" s="174"/>
      <c r="R252" s="174"/>
      <c r="S252" s="174"/>
      <c r="T252" s="174"/>
      <c r="U252" s="174"/>
      <c r="V252" s="993"/>
      <c r="W252" s="174"/>
      <c r="X252" s="174"/>
      <c r="Y252" s="174"/>
      <c r="Z252" s="174"/>
      <c r="AA252" s="110"/>
      <c r="AB252" s="174"/>
      <c r="AC252" s="174"/>
      <c r="AD252" s="174"/>
      <c r="AE252" s="174"/>
      <c r="AF252" s="651"/>
      <c r="AG252" s="174"/>
      <c r="AH252" s="174"/>
      <c r="AI252" s="174"/>
      <c r="AJ252" s="174"/>
      <c r="AK252" s="174"/>
      <c r="AL252" s="110"/>
      <c r="AM252" s="110"/>
      <c r="AN252" s="110"/>
      <c r="AO252" s="110"/>
      <c r="AP252" s="651"/>
      <c r="AQ252" s="110"/>
      <c r="AR252" s="110"/>
      <c r="AS252" s="110"/>
      <c r="AT252" s="110"/>
      <c r="AU252" s="110"/>
      <c r="AV252" s="110"/>
      <c r="AX252" s="130"/>
      <c r="AY252" s="513"/>
      <c r="AZ252" s="513"/>
      <c r="BA252" s="577"/>
      <c r="BB252" s="577"/>
      <c r="BC252" s="579"/>
      <c r="BD252" s="526"/>
      <c r="BE252" s="526"/>
      <c r="BF252" s="526"/>
      <c r="BG252" s="526"/>
      <c r="BH252" s="526"/>
      <c r="BI252" s="526"/>
      <c r="BJ252" s="430"/>
      <c r="BK252" s="430"/>
      <c r="BL252" s="956"/>
      <c r="BM252" s="956"/>
    </row>
    <row r="253" spans="1:68" s="186" customFormat="1" ht="11.25" customHeight="1">
      <c r="B253" s="922"/>
      <c r="L253" s="990"/>
      <c r="M253" s="583"/>
      <c r="N253" s="583"/>
      <c r="O253" s="583"/>
      <c r="P253" s="583"/>
      <c r="Q253" s="583"/>
      <c r="R253" s="583"/>
      <c r="S253" s="583"/>
      <c r="T253" s="583"/>
      <c r="U253" s="583"/>
      <c r="V253" s="652"/>
      <c r="W253" s="583"/>
      <c r="X253" s="583"/>
      <c r="Y253" s="583"/>
      <c r="Z253" s="583"/>
      <c r="AB253" s="583"/>
      <c r="AC253" s="583"/>
      <c r="AD253" s="583"/>
      <c r="AE253" s="583"/>
      <c r="AF253" s="652"/>
      <c r="AG253" s="583"/>
      <c r="AH253" s="583"/>
      <c r="AI253" s="583"/>
      <c r="AJ253" s="583"/>
      <c r="AK253" s="583"/>
      <c r="AP253" s="584"/>
      <c r="AX253" s="113"/>
      <c r="AY253" s="113"/>
      <c r="AZ253" s="113"/>
      <c r="BA253" s="113"/>
      <c r="BB253" s="113"/>
      <c r="BC253" s="339"/>
      <c r="BD253" s="339"/>
      <c r="BE253" s="113"/>
      <c r="BF253" s="652"/>
      <c r="BG253" s="652"/>
      <c r="BH253" s="652"/>
      <c r="BI253" s="652"/>
      <c r="BJ253" s="652"/>
      <c r="BK253" s="652"/>
      <c r="BL253" s="591"/>
      <c r="BM253" s="591"/>
    </row>
    <row r="254" spans="1:68" s="186" customFormat="1" ht="11.25" customHeight="1">
      <c r="B254" s="922"/>
      <c r="L254" s="990"/>
      <c r="M254" s="583"/>
      <c r="N254" s="583"/>
      <c r="O254" s="583"/>
      <c r="P254" s="583"/>
      <c r="Q254" s="590"/>
      <c r="R254" s="583"/>
      <c r="S254" s="583"/>
      <c r="T254" s="583"/>
      <c r="U254" s="583"/>
      <c r="V254" s="994"/>
      <c r="W254" s="583"/>
      <c r="X254" s="583"/>
      <c r="Y254" s="583"/>
      <c r="Z254" s="583"/>
      <c r="AA254" s="590"/>
      <c r="AB254" s="583"/>
      <c r="AC254" s="583"/>
      <c r="AD254" s="583"/>
      <c r="AE254" s="583"/>
      <c r="AF254" s="994"/>
      <c r="AG254" s="583"/>
      <c r="AH254" s="583"/>
      <c r="AI254" s="583"/>
      <c r="AJ254" s="583"/>
      <c r="AK254" s="590"/>
      <c r="AP254" s="584"/>
      <c r="AU254" s="590"/>
      <c r="AV254" s="590"/>
      <c r="AX254" s="113"/>
      <c r="AY254" s="113"/>
      <c r="AZ254" s="113"/>
      <c r="BA254" s="113"/>
      <c r="BB254" s="113"/>
      <c r="BC254" s="339"/>
      <c r="BD254" s="339"/>
      <c r="BE254" s="113"/>
      <c r="BF254" s="652"/>
      <c r="BG254" s="652"/>
      <c r="BH254" s="652"/>
      <c r="BI254" s="652"/>
      <c r="BJ254" s="652"/>
      <c r="BK254" s="652"/>
      <c r="BL254" s="591"/>
      <c r="BM254" s="591"/>
    </row>
    <row r="255" spans="1:68" s="585" customFormat="1" ht="11">
      <c r="B255" s="980"/>
      <c r="L255" s="991"/>
      <c r="M255" s="586"/>
      <c r="N255" s="586"/>
      <c r="O255" s="586"/>
      <c r="P255" s="586"/>
      <c r="Q255" s="587"/>
      <c r="R255" s="586"/>
      <c r="S255" s="586"/>
      <c r="T255" s="586"/>
      <c r="U255" s="586"/>
      <c r="V255" s="653"/>
      <c r="W255" s="586"/>
      <c r="X255" s="586"/>
      <c r="Y255" s="586"/>
      <c r="Z255" s="586"/>
      <c r="AA255" s="587"/>
      <c r="AB255" s="586"/>
      <c r="AC255" s="586"/>
      <c r="AD255" s="586"/>
      <c r="AE255" s="586"/>
      <c r="AF255" s="653"/>
      <c r="AG255" s="586"/>
      <c r="AH255" s="586"/>
      <c r="AI255" s="586"/>
      <c r="AJ255" s="586"/>
      <c r="AK255" s="587"/>
      <c r="AP255" s="653"/>
      <c r="AU255" s="587"/>
      <c r="AV255" s="587"/>
      <c r="AX255" s="588"/>
      <c r="AY255" s="588"/>
      <c r="AZ255" s="587"/>
      <c r="BA255" s="587"/>
      <c r="BB255" s="587"/>
      <c r="BC255" s="587"/>
      <c r="BD255" s="587"/>
      <c r="BE255" s="587"/>
      <c r="BF255" s="653"/>
      <c r="BG255" s="653"/>
      <c r="BH255" s="653"/>
      <c r="BI255" s="653"/>
      <c r="BJ255" s="653"/>
      <c r="BK255" s="653"/>
      <c r="BL255" s="957"/>
      <c r="BM255" s="957"/>
    </row>
    <row r="256" spans="1:68" s="585" customFormat="1" ht="11">
      <c r="B256" s="653"/>
      <c r="L256" s="653"/>
      <c r="M256" s="586"/>
      <c r="N256" s="586"/>
      <c r="O256" s="586"/>
      <c r="P256" s="586"/>
      <c r="Q256" s="586"/>
      <c r="R256" s="586"/>
      <c r="S256" s="586"/>
      <c r="T256" s="586"/>
      <c r="U256" s="586"/>
      <c r="V256" s="653"/>
      <c r="W256" s="586"/>
      <c r="X256" s="586"/>
      <c r="Y256" s="586"/>
      <c r="Z256" s="586"/>
      <c r="AA256" s="586"/>
      <c r="AB256" s="586"/>
      <c r="AC256" s="586"/>
      <c r="AD256" s="586"/>
      <c r="AE256" s="586"/>
      <c r="AF256" s="653"/>
      <c r="AG256" s="586"/>
      <c r="AH256" s="586"/>
      <c r="AI256" s="586"/>
      <c r="AJ256" s="586"/>
      <c r="AK256" s="586"/>
      <c r="AP256" s="653"/>
      <c r="AQ256" s="587"/>
      <c r="AR256" s="587"/>
      <c r="AS256" s="587"/>
      <c r="AT256" s="587"/>
      <c r="AU256" s="587"/>
      <c r="AV256" s="587"/>
      <c r="AX256" s="588"/>
      <c r="AY256" s="588"/>
      <c r="AZ256" s="587"/>
      <c r="BA256" s="588"/>
      <c r="BB256" s="588"/>
      <c r="BC256" s="588"/>
      <c r="BD256" s="589"/>
      <c r="BE256" s="587"/>
      <c r="BF256" s="653"/>
      <c r="BG256" s="653"/>
      <c r="BH256" s="653"/>
      <c r="BI256" s="653"/>
      <c r="BJ256" s="653"/>
      <c r="BK256" s="653"/>
      <c r="BL256" s="957"/>
      <c r="BM256" s="957"/>
    </row>
    <row r="257" spans="1:65" s="585" customFormat="1" ht="11">
      <c r="B257" s="653"/>
      <c r="L257" s="653"/>
      <c r="M257" s="586"/>
      <c r="N257" s="586"/>
      <c r="O257" s="586"/>
      <c r="P257" s="586"/>
      <c r="Q257" s="586"/>
      <c r="R257" s="586"/>
      <c r="S257" s="586"/>
      <c r="T257" s="586"/>
      <c r="U257" s="586"/>
      <c r="V257" s="653"/>
      <c r="W257" s="586"/>
      <c r="X257" s="586"/>
      <c r="Y257" s="586"/>
      <c r="Z257" s="586"/>
      <c r="AA257" s="586"/>
      <c r="AB257" s="586"/>
      <c r="AC257" s="586"/>
      <c r="AD257" s="586"/>
      <c r="AE257" s="586"/>
      <c r="AF257" s="653"/>
      <c r="AG257" s="586"/>
      <c r="AH257" s="586"/>
      <c r="AI257" s="586"/>
      <c r="AJ257" s="586"/>
      <c r="AK257" s="586"/>
      <c r="AP257" s="653"/>
      <c r="AQ257" s="587"/>
      <c r="AR257" s="587"/>
      <c r="AS257" s="587"/>
      <c r="AT257" s="587"/>
      <c r="AU257" s="587"/>
      <c r="AV257" s="587"/>
      <c r="AX257" s="588"/>
      <c r="AY257" s="588"/>
      <c r="AZ257" s="587"/>
      <c r="BA257" s="588"/>
      <c r="BB257" s="588"/>
      <c r="BC257" s="588"/>
      <c r="BD257" s="589"/>
      <c r="BE257" s="587"/>
      <c r="BF257" s="653"/>
      <c r="BG257" s="653"/>
      <c r="BH257" s="653"/>
      <c r="BI257" s="653"/>
      <c r="BJ257" s="653"/>
      <c r="BK257" s="653"/>
      <c r="BL257" s="957"/>
      <c r="BM257" s="957"/>
    </row>
    <row r="258" spans="1:65" s="186" customFormat="1" ht="11">
      <c r="B258" s="922"/>
      <c r="L258" s="990"/>
      <c r="M258" s="583"/>
      <c r="N258" s="583"/>
      <c r="O258" s="583"/>
      <c r="P258" s="583"/>
      <c r="Q258" s="583"/>
      <c r="R258" s="583"/>
      <c r="S258" s="583"/>
      <c r="T258" s="583"/>
      <c r="U258" s="583"/>
      <c r="V258" s="990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990"/>
      <c r="AG258" s="583"/>
      <c r="AH258" s="583"/>
      <c r="AI258" s="583"/>
      <c r="AJ258" s="583"/>
      <c r="AK258" s="583"/>
      <c r="AP258" s="922"/>
      <c r="AX258" s="113"/>
      <c r="AY258" s="113"/>
      <c r="AZ258" s="339"/>
      <c r="BA258" s="113"/>
      <c r="BB258" s="113"/>
      <c r="BC258" s="113"/>
      <c r="BD258" s="584"/>
      <c r="BE258" s="339"/>
      <c r="BF258" s="584"/>
      <c r="BG258" s="584"/>
      <c r="BH258" s="584"/>
      <c r="BI258" s="584"/>
      <c r="BJ258" s="652"/>
      <c r="BK258" s="652"/>
      <c r="BL258" s="591"/>
      <c r="BM258" s="591"/>
    </row>
    <row r="259" spans="1:65" s="186" customFormat="1" ht="11">
      <c r="B259" s="922"/>
      <c r="L259" s="990"/>
      <c r="M259" s="583"/>
      <c r="N259" s="583"/>
      <c r="O259" s="583"/>
      <c r="P259" s="583"/>
      <c r="Q259" s="583"/>
      <c r="R259" s="583"/>
      <c r="S259" s="583"/>
      <c r="T259" s="583"/>
      <c r="U259" s="583"/>
      <c r="V259" s="990"/>
      <c r="W259" s="583"/>
      <c r="X259" s="583"/>
      <c r="Y259" s="583"/>
      <c r="Z259" s="583"/>
      <c r="AA259" s="583"/>
      <c r="AB259" s="583"/>
      <c r="AC259" s="583"/>
      <c r="AD259" s="583"/>
      <c r="AE259" s="583"/>
      <c r="AF259" s="990"/>
      <c r="AG259" s="583"/>
      <c r="AH259" s="583"/>
      <c r="AI259" s="583"/>
      <c r="AJ259" s="583"/>
      <c r="AK259" s="583"/>
      <c r="AP259" s="922"/>
      <c r="AX259" s="113"/>
      <c r="AY259" s="113"/>
      <c r="AZ259" s="339"/>
      <c r="BA259" s="113"/>
      <c r="BB259" s="113"/>
      <c r="BC259" s="113"/>
      <c r="BD259" s="584"/>
      <c r="BE259" s="339"/>
      <c r="BF259" s="584"/>
      <c r="BG259" s="584"/>
      <c r="BH259" s="584"/>
      <c r="BI259" s="584"/>
      <c r="BJ259" s="652"/>
      <c r="BK259" s="652"/>
      <c r="BL259" s="591"/>
      <c r="BM259" s="591"/>
    </row>
    <row r="260" spans="1:65" s="112" customFormat="1" ht="11">
      <c r="A260" s="110"/>
      <c r="B260" s="595"/>
      <c r="L260" s="184"/>
      <c r="M260" s="174"/>
      <c r="N260" s="174"/>
      <c r="O260" s="174"/>
      <c r="P260" s="174"/>
      <c r="Q260" s="174"/>
      <c r="R260" s="174"/>
      <c r="S260" s="174"/>
      <c r="T260" s="174"/>
      <c r="U260" s="174"/>
      <c r="V260" s="184"/>
      <c r="W260" s="174"/>
      <c r="X260" s="174"/>
      <c r="Y260" s="174"/>
      <c r="Z260" s="174"/>
      <c r="AA260" s="174"/>
      <c r="AB260" s="174"/>
      <c r="AC260" s="174"/>
      <c r="AD260" s="174"/>
      <c r="AE260" s="174"/>
      <c r="AF260" s="184"/>
      <c r="AG260" s="174"/>
      <c r="AH260" s="174"/>
      <c r="AI260" s="174"/>
      <c r="AJ260" s="174"/>
      <c r="AK260" s="174"/>
      <c r="AL260" s="110"/>
      <c r="AM260" s="110"/>
      <c r="AN260" s="110"/>
      <c r="AO260" s="110"/>
      <c r="AP260" s="643"/>
      <c r="AQ260" s="110"/>
      <c r="AR260" s="110"/>
      <c r="AS260" s="110"/>
      <c r="AT260" s="110"/>
      <c r="AU260" s="110"/>
      <c r="AV260" s="110"/>
      <c r="AX260" s="130"/>
      <c r="AY260" s="513"/>
      <c r="AZ260" s="513"/>
      <c r="BA260" s="577"/>
      <c r="BB260" s="577"/>
      <c r="BC260" s="579"/>
      <c r="BD260" s="526"/>
      <c r="BE260" s="526"/>
      <c r="BF260" s="526"/>
      <c r="BG260" s="526"/>
      <c r="BH260" s="526"/>
      <c r="BI260" s="526"/>
      <c r="BJ260" s="430"/>
      <c r="BK260" s="430"/>
      <c r="BL260" s="956"/>
      <c r="BM260" s="956"/>
    </row>
    <row r="261" spans="1:65" s="112" customFormat="1" ht="11">
      <c r="A261" s="110"/>
      <c r="B261" s="595"/>
      <c r="L261" s="643"/>
      <c r="M261" s="110"/>
      <c r="N261" s="110"/>
      <c r="O261" s="110"/>
      <c r="P261" s="110"/>
      <c r="Q261" s="110"/>
      <c r="R261" s="110"/>
      <c r="S261" s="110"/>
      <c r="T261" s="110"/>
      <c r="U261" s="110"/>
      <c r="V261" s="643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643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643"/>
      <c r="AQ261" s="110"/>
      <c r="AR261" s="110"/>
      <c r="AS261" s="110"/>
      <c r="AT261" s="110"/>
      <c r="AU261" s="110"/>
      <c r="AV261" s="110"/>
      <c r="AX261" s="130"/>
      <c r="AY261" s="513"/>
      <c r="AZ261" s="513"/>
      <c r="BA261" s="577"/>
      <c r="BB261" s="577"/>
      <c r="BC261" s="579"/>
      <c r="BD261" s="526"/>
      <c r="BE261" s="526"/>
      <c r="BF261" s="526"/>
      <c r="BG261" s="526"/>
      <c r="BH261" s="526"/>
      <c r="BI261" s="526"/>
      <c r="BJ261" s="430"/>
      <c r="BK261" s="430"/>
      <c r="BL261" s="956"/>
      <c r="BM261" s="956"/>
    </row>
    <row r="262" spans="1:65" s="112" customFormat="1" ht="11">
      <c r="A262" s="110"/>
      <c r="B262" s="595"/>
      <c r="L262" s="643"/>
      <c r="M262" s="110"/>
      <c r="N262" s="110"/>
      <c r="O262" s="110"/>
      <c r="P262" s="110"/>
      <c r="Q262" s="110"/>
      <c r="R262" s="110"/>
      <c r="S262" s="110"/>
      <c r="T262" s="110"/>
      <c r="U262" s="110"/>
      <c r="V262" s="643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643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643"/>
      <c r="AQ262" s="110"/>
      <c r="AR262" s="110"/>
      <c r="AS262" s="110"/>
      <c r="AT262" s="110"/>
      <c r="AU262" s="110"/>
      <c r="AV262" s="110"/>
      <c r="AX262" s="130"/>
      <c r="AY262" s="513"/>
      <c r="AZ262" s="513"/>
      <c r="BA262" s="577"/>
      <c r="BB262" s="577"/>
      <c r="BC262" s="579"/>
      <c r="BD262" s="526"/>
      <c r="BE262" s="526"/>
      <c r="BF262" s="526"/>
      <c r="BG262" s="527"/>
      <c r="BH262" s="527"/>
      <c r="BI262" s="527"/>
      <c r="BJ262" s="430"/>
      <c r="BK262" s="430"/>
      <c r="BL262" s="956"/>
      <c r="BM262" s="956"/>
    </row>
    <row r="263" spans="1:65" s="112" customFormat="1" ht="11">
      <c r="A263" s="110"/>
      <c r="B263" s="595"/>
      <c r="L263" s="643"/>
      <c r="M263" s="110"/>
      <c r="N263" s="110"/>
      <c r="O263" s="110"/>
      <c r="P263" s="110"/>
      <c r="Q263" s="110"/>
      <c r="R263" s="110"/>
      <c r="S263" s="110"/>
      <c r="T263" s="110"/>
      <c r="U263" s="110"/>
      <c r="V263" s="643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643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643"/>
      <c r="AQ263" s="110"/>
      <c r="AR263" s="110"/>
      <c r="AS263" s="110"/>
      <c r="AT263" s="110"/>
      <c r="AU263" s="110"/>
      <c r="AV263" s="110"/>
      <c r="AX263" s="130"/>
      <c r="AY263" s="513"/>
      <c r="AZ263" s="513"/>
      <c r="BA263" s="577"/>
      <c r="BB263" s="577"/>
      <c r="BC263" s="579"/>
      <c r="BD263" s="526"/>
      <c r="BE263" s="526"/>
      <c r="BF263" s="526"/>
      <c r="BG263" s="527"/>
      <c r="BH263" s="527"/>
      <c r="BI263" s="527"/>
      <c r="BJ263" s="430"/>
      <c r="BK263" s="430"/>
      <c r="BL263" s="956"/>
      <c r="BM263" s="956"/>
    </row>
    <row r="264" spans="1:65" s="112" customFormat="1" ht="11">
      <c r="A264" s="110"/>
      <c r="B264" s="595"/>
      <c r="L264" s="643"/>
      <c r="M264" s="110"/>
      <c r="N264" s="110"/>
      <c r="O264" s="110"/>
      <c r="P264" s="110"/>
      <c r="Q264" s="110"/>
      <c r="R264" s="110"/>
      <c r="S264" s="110"/>
      <c r="T264" s="110"/>
      <c r="U264" s="110"/>
      <c r="V264" s="643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643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643"/>
      <c r="AQ264" s="110"/>
      <c r="AR264" s="110"/>
      <c r="AS264" s="110"/>
      <c r="AT264" s="110"/>
      <c r="AU264" s="110"/>
      <c r="AV264" s="110"/>
      <c r="AX264" s="130"/>
      <c r="AY264" s="513"/>
      <c r="AZ264" s="513"/>
      <c r="BA264" s="577"/>
      <c r="BB264" s="577"/>
      <c r="BC264" s="579"/>
      <c r="BD264" s="526"/>
      <c r="BE264" s="526"/>
      <c r="BF264" s="526"/>
      <c r="BG264" s="527"/>
      <c r="BH264" s="527"/>
      <c r="BI264" s="527"/>
      <c r="BJ264" s="430"/>
      <c r="BK264" s="430"/>
      <c r="BL264" s="956"/>
      <c r="BM264" s="956"/>
    </row>
    <row r="265" spans="1:65" s="112" customFormat="1" ht="11">
      <c r="A265" s="110"/>
      <c r="B265" s="595"/>
      <c r="L265" s="643"/>
      <c r="M265" s="110"/>
      <c r="N265" s="110"/>
      <c r="O265" s="110"/>
      <c r="P265" s="110"/>
      <c r="Q265" s="110"/>
      <c r="R265" s="110"/>
      <c r="S265" s="110"/>
      <c r="T265" s="110"/>
      <c r="U265" s="110"/>
      <c r="V265" s="643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643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643"/>
      <c r="AQ265" s="110"/>
      <c r="AR265" s="110"/>
      <c r="AS265" s="110"/>
      <c r="AT265" s="110"/>
      <c r="AU265" s="110"/>
      <c r="AV265" s="110"/>
      <c r="AX265" s="130"/>
      <c r="AY265" s="513"/>
      <c r="AZ265" s="513"/>
      <c r="BA265" s="577"/>
      <c r="BB265" s="577"/>
      <c r="BC265" s="579"/>
      <c r="BD265" s="526"/>
      <c r="BE265" s="526"/>
      <c r="BF265" s="526"/>
      <c r="BG265" s="526"/>
      <c r="BH265" s="526"/>
      <c r="BI265" s="526"/>
      <c r="BJ265" s="430"/>
      <c r="BK265" s="430"/>
      <c r="BL265" s="956"/>
      <c r="BM265" s="956"/>
    </row>
    <row r="266" spans="1:65" s="112" customFormat="1" ht="11">
      <c r="A266" s="110"/>
      <c r="B266" s="595"/>
      <c r="L266" s="643"/>
      <c r="M266" s="110"/>
      <c r="N266" s="110"/>
      <c r="O266" s="110"/>
      <c r="P266" s="110"/>
      <c r="Q266" s="110"/>
      <c r="R266" s="110"/>
      <c r="S266" s="110"/>
      <c r="T266" s="110"/>
      <c r="U266" s="110"/>
      <c r="V266" s="643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643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643"/>
      <c r="AQ266" s="110"/>
      <c r="AR266" s="110"/>
      <c r="AS266" s="110"/>
      <c r="AT266" s="110"/>
      <c r="AU266" s="110"/>
      <c r="AV266" s="110"/>
      <c r="AX266" s="130"/>
      <c r="AY266" s="513"/>
      <c r="AZ266" s="513"/>
      <c r="BA266" s="577"/>
      <c r="BB266" s="577"/>
      <c r="BC266" s="579"/>
      <c r="BD266" s="526"/>
      <c r="BE266" s="526"/>
      <c r="BF266" s="526"/>
      <c r="BG266" s="526"/>
      <c r="BH266" s="526"/>
      <c r="BI266" s="526"/>
      <c r="BJ266" s="430"/>
      <c r="BK266" s="430"/>
      <c r="BL266" s="956"/>
      <c r="BM266" s="956"/>
    </row>
    <row r="267" spans="1:65" s="112" customFormat="1" ht="11">
      <c r="A267" s="110"/>
      <c r="B267" s="595"/>
      <c r="L267" s="643"/>
      <c r="M267" s="110"/>
      <c r="N267" s="110"/>
      <c r="O267" s="110"/>
      <c r="P267" s="110"/>
      <c r="Q267" s="110"/>
      <c r="R267" s="110"/>
      <c r="S267" s="110"/>
      <c r="T267" s="110"/>
      <c r="U267" s="110"/>
      <c r="V267" s="643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643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643"/>
      <c r="AQ267" s="110"/>
      <c r="AR267" s="110"/>
      <c r="AS267" s="110"/>
      <c r="AT267" s="110"/>
      <c r="AU267" s="110"/>
      <c r="AV267" s="110"/>
      <c r="AX267" s="130"/>
      <c r="AY267" s="513"/>
      <c r="AZ267" s="513"/>
      <c r="BA267" s="577"/>
      <c r="BB267" s="577"/>
      <c r="BC267" s="579"/>
      <c r="BD267" s="526"/>
      <c r="BE267" s="526"/>
      <c r="BF267" s="526"/>
      <c r="BG267" s="526"/>
      <c r="BH267" s="526"/>
      <c r="BI267" s="526"/>
      <c r="BJ267" s="430"/>
      <c r="BK267" s="430"/>
      <c r="BL267" s="956"/>
      <c r="BM267" s="956"/>
    </row>
    <row r="268" spans="1:65" s="112" customFormat="1" ht="11">
      <c r="A268" s="110"/>
      <c r="B268" s="595"/>
      <c r="L268" s="643"/>
      <c r="M268" s="110"/>
      <c r="N268" s="110"/>
      <c r="O268" s="110"/>
      <c r="P268" s="110"/>
      <c r="Q268" s="110"/>
      <c r="R268" s="110"/>
      <c r="S268" s="110"/>
      <c r="T268" s="110"/>
      <c r="U268" s="110"/>
      <c r="V268" s="643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643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643"/>
      <c r="AQ268" s="110"/>
      <c r="AR268" s="110"/>
      <c r="AS268" s="110"/>
      <c r="AT268" s="110"/>
      <c r="AU268" s="110"/>
      <c r="AV268" s="110"/>
      <c r="AX268" s="130"/>
      <c r="AY268" s="513"/>
      <c r="AZ268" s="513"/>
      <c r="BA268" s="577"/>
      <c r="BB268" s="577"/>
      <c r="BC268" s="579"/>
      <c r="BD268" s="526"/>
      <c r="BE268" s="526"/>
      <c r="BF268" s="526"/>
      <c r="BG268" s="526"/>
      <c r="BH268" s="526"/>
      <c r="BI268" s="526"/>
      <c r="BJ268" s="430"/>
      <c r="BK268" s="430"/>
      <c r="BL268" s="956"/>
      <c r="BM268" s="956"/>
    </row>
    <row r="269" spans="1:65" s="112" customFormat="1" ht="11">
      <c r="A269" s="110"/>
      <c r="B269" s="595"/>
      <c r="L269" s="643"/>
      <c r="M269" s="110"/>
      <c r="N269" s="110"/>
      <c r="O269" s="110"/>
      <c r="P269" s="110"/>
      <c r="Q269" s="110"/>
      <c r="R269" s="110"/>
      <c r="S269" s="110"/>
      <c r="T269" s="110"/>
      <c r="U269" s="110"/>
      <c r="V269" s="643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643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643"/>
      <c r="AQ269" s="110"/>
      <c r="AR269" s="110"/>
      <c r="AS269" s="110"/>
      <c r="AT269" s="110"/>
      <c r="AU269" s="110"/>
      <c r="AV269" s="110"/>
      <c r="AX269" s="130"/>
      <c r="AY269" s="513"/>
      <c r="AZ269" s="513"/>
      <c r="BA269" s="577"/>
      <c r="BB269" s="577"/>
      <c r="BC269" s="579"/>
      <c r="BD269" s="526"/>
      <c r="BE269" s="526"/>
      <c r="BF269" s="526"/>
      <c r="BG269" s="526"/>
      <c r="BH269" s="526"/>
      <c r="BI269" s="526"/>
      <c r="BJ269" s="430"/>
      <c r="BK269" s="430"/>
      <c r="BL269" s="956"/>
      <c r="BM269" s="956"/>
    </row>
    <row r="270" spans="1:65" s="112" customFormat="1" ht="11">
      <c r="A270" s="110"/>
      <c r="B270" s="595"/>
      <c r="L270" s="643"/>
      <c r="M270" s="110"/>
      <c r="N270" s="110"/>
      <c r="O270" s="110"/>
      <c r="P270" s="110"/>
      <c r="Q270" s="110"/>
      <c r="R270" s="110"/>
      <c r="S270" s="110"/>
      <c r="T270" s="110"/>
      <c r="U270" s="110"/>
      <c r="V270" s="643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643"/>
      <c r="AG270" s="110"/>
      <c r="AH270" s="110"/>
      <c r="AI270" s="110"/>
      <c r="AJ270" s="110"/>
      <c r="AK270" s="110"/>
      <c r="AL270" s="110"/>
      <c r="AM270" s="110"/>
      <c r="AN270" s="110"/>
      <c r="AO270" s="110"/>
      <c r="AP270" s="643"/>
      <c r="AQ270" s="110"/>
      <c r="AR270" s="110"/>
      <c r="AS270" s="110"/>
      <c r="AT270" s="110"/>
      <c r="AU270" s="110"/>
      <c r="AV270" s="110"/>
      <c r="AX270" s="130"/>
      <c r="AY270" s="513"/>
      <c r="AZ270" s="513"/>
      <c r="BA270" s="577"/>
      <c r="BB270" s="577"/>
      <c r="BC270" s="579"/>
      <c r="BD270" s="526"/>
      <c r="BE270" s="526"/>
      <c r="BF270" s="526"/>
      <c r="BG270" s="526"/>
      <c r="BH270" s="526"/>
      <c r="BI270" s="526"/>
      <c r="BJ270" s="430"/>
      <c r="BK270" s="430"/>
      <c r="BL270" s="956"/>
      <c r="BM270" s="956"/>
    </row>
    <row r="271" spans="1:65" s="112" customFormat="1" ht="11">
      <c r="A271" s="110"/>
      <c r="B271" s="595"/>
      <c r="L271" s="643"/>
      <c r="M271" s="110"/>
      <c r="N271" s="110"/>
      <c r="O271" s="110"/>
      <c r="P271" s="110"/>
      <c r="Q271" s="110"/>
      <c r="R271" s="110"/>
      <c r="S271" s="110"/>
      <c r="T271" s="110"/>
      <c r="U271" s="110"/>
      <c r="V271" s="643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643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643"/>
      <c r="AQ271" s="110"/>
      <c r="AR271" s="110"/>
      <c r="AS271" s="110"/>
      <c r="AT271" s="110"/>
      <c r="AU271" s="110"/>
      <c r="AV271" s="110"/>
      <c r="AX271" s="130"/>
      <c r="AY271" s="513"/>
      <c r="AZ271" s="513"/>
      <c r="BA271" s="577"/>
      <c r="BB271" s="577"/>
      <c r="BC271" s="579"/>
      <c r="BD271" s="526"/>
      <c r="BE271" s="526"/>
      <c r="BF271" s="526"/>
      <c r="BG271" s="526"/>
      <c r="BH271" s="526"/>
      <c r="BI271" s="526"/>
      <c r="BJ271" s="430"/>
      <c r="BK271" s="430"/>
      <c r="BL271" s="956"/>
      <c r="BM271" s="956"/>
    </row>
    <row r="272" spans="1:65" s="112" customFormat="1" ht="11">
      <c r="A272" s="110"/>
      <c r="B272" s="595"/>
      <c r="L272" s="643"/>
      <c r="M272" s="110"/>
      <c r="N272" s="110"/>
      <c r="O272" s="110"/>
      <c r="P272" s="110"/>
      <c r="Q272" s="110"/>
      <c r="R272" s="110"/>
      <c r="S272" s="110"/>
      <c r="T272" s="110"/>
      <c r="U272" s="110"/>
      <c r="V272" s="643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643"/>
      <c r="AG272" s="110"/>
      <c r="AH272" s="110"/>
      <c r="AI272" s="110"/>
      <c r="AJ272" s="110"/>
      <c r="AK272" s="110"/>
      <c r="AL272" s="110"/>
      <c r="AM272" s="110"/>
      <c r="AN272" s="110"/>
      <c r="AO272" s="110"/>
      <c r="AP272" s="643"/>
      <c r="AQ272" s="110"/>
      <c r="AR272" s="110"/>
      <c r="AS272" s="110"/>
      <c r="AT272" s="110"/>
      <c r="AU272" s="110"/>
      <c r="AV272" s="110"/>
      <c r="AX272" s="130"/>
      <c r="AY272" s="513"/>
      <c r="AZ272" s="513"/>
      <c r="BA272" s="577"/>
      <c r="BB272" s="577"/>
      <c r="BC272" s="579"/>
      <c r="BD272" s="526"/>
      <c r="BE272" s="526"/>
      <c r="BF272" s="526"/>
      <c r="BG272" s="526"/>
      <c r="BH272" s="526"/>
      <c r="BI272" s="526"/>
      <c r="BJ272" s="430"/>
      <c r="BK272" s="430"/>
      <c r="BL272" s="956"/>
      <c r="BM272" s="956"/>
    </row>
    <row r="273" spans="1:65" s="112" customFormat="1" ht="11">
      <c r="A273" s="110"/>
      <c r="B273" s="595"/>
      <c r="L273" s="643"/>
      <c r="M273" s="110"/>
      <c r="N273" s="110"/>
      <c r="O273" s="110"/>
      <c r="P273" s="110"/>
      <c r="Q273" s="110"/>
      <c r="R273" s="110"/>
      <c r="S273" s="110"/>
      <c r="T273" s="110"/>
      <c r="U273" s="110"/>
      <c r="V273" s="643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643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643"/>
      <c r="AQ273" s="110"/>
      <c r="AR273" s="110"/>
      <c r="AS273" s="110"/>
      <c r="AT273" s="110"/>
      <c r="AU273" s="110"/>
      <c r="AV273" s="110"/>
      <c r="AX273" s="130"/>
      <c r="AY273" s="513"/>
      <c r="AZ273" s="513"/>
      <c r="BA273" s="577"/>
      <c r="BB273" s="577"/>
      <c r="BC273" s="579"/>
      <c r="BD273" s="526"/>
      <c r="BE273" s="526"/>
      <c r="BF273" s="526"/>
      <c r="BG273" s="526"/>
      <c r="BH273" s="526"/>
      <c r="BI273" s="526"/>
      <c r="BJ273" s="430"/>
      <c r="BK273" s="430"/>
      <c r="BL273" s="956"/>
      <c r="BM273" s="956"/>
    </row>
    <row r="274" spans="1:65" s="112" customFormat="1" ht="11">
      <c r="A274" s="110"/>
      <c r="B274" s="595"/>
      <c r="L274" s="643"/>
      <c r="M274" s="110"/>
      <c r="N274" s="110"/>
      <c r="O274" s="110"/>
      <c r="P274" s="110"/>
      <c r="Q274" s="110"/>
      <c r="R274" s="110"/>
      <c r="S274" s="110"/>
      <c r="T274" s="110"/>
      <c r="U274" s="110"/>
      <c r="V274" s="643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643"/>
      <c r="AG274" s="110"/>
      <c r="AH274" s="110"/>
      <c r="AI274" s="110"/>
      <c r="AJ274" s="110"/>
      <c r="AK274" s="110"/>
      <c r="AL274" s="110"/>
      <c r="AM274" s="110"/>
      <c r="AN274" s="110"/>
      <c r="AO274" s="110"/>
      <c r="AP274" s="643"/>
      <c r="AQ274" s="110"/>
      <c r="AR274" s="110"/>
      <c r="AS274" s="110"/>
      <c r="AT274" s="110"/>
      <c r="AU274" s="110"/>
      <c r="AV274" s="110"/>
      <c r="AX274" s="130"/>
      <c r="AY274" s="513"/>
      <c r="AZ274" s="513"/>
      <c r="BA274" s="577"/>
      <c r="BB274" s="577"/>
      <c r="BC274" s="579"/>
      <c r="BD274" s="526"/>
      <c r="BE274" s="526"/>
      <c r="BF274" s="526"/>
      <c r="BG274" s="526"/>
      <c r="BH274" s="526"/>
      <c r="BI274" s="526"/>
      <c r="BJ274" s="430"/>
      <c r="BK274" s="430"/>
      <c r="BL274" s="956"/>
      <c r="BM274" s="956"/>
    </row>
    <row r="275" spans="1:65" s="112" customFormat="1" ht="11">
      <c r="A275" s="110"/>
      <c r="B275" s="595"/>
      <c r="L275" s="643"/>
      <c r="M275" s="110"/>
      <c r="N275" s="110"/>
      <c r="O275" s="110"/>
      <c r="P275" s="110"/>
      <c r="Q275" s="110"/>
      <c r="R275" s="110"/>
      <c r="S275" s="110"/>
      <c r="T275" s="110"/>
      <c r="U275" s="110"/>
      <c r="V275" s="643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643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643"/>
      <c r="AQ275" s="110"/>
      <c r="AR275" s="110"/>
      <c r="AS275" s="110"/>
      <c r="AT275" s="110"/>
      <c r="AU275" s="110"/>
      <c r="AV275" s="110"/>
      <c r="AX275" s="130"/>
      <c r="AY275" s="513"/>
      <c r="AZ275" s="513"/>
      <c r="BA275" s="577"/>
      <c r="BB275" s="577"/>
      <c r="BC275" s="579"/>
      <c r="BD275" s="526"/>
      <c r="BE275" s="526"/>
      <c r="BF275" s="526"/>
      <c r="BG275" s="526"/>
      <c r="BH275" s="526"/>
      <c r="BI275" s="526"/>
      <c r="BJ275" s="430"/>
      <c r="BK275" s="430"/>
      <c r="BL275" s="956"/>
      <c r="BM275" s="956"/>
    </row>
    <row r="276" spans="1:65" s="112" customFormat="1" ht="11">
      <c r="A276" s="110"/>
      <c r="B276" s="595"/>
      <c r="L276" s="643"/>
      <c r="M276" s="110"/>
      <c r="N276" s="110"/>
      <c r="O276" s="110"/>
      <c r="P276" s="110"/>
      <c r="Q276" s="110"/>
      <c r="R276" s="110"/>
      <c r="S276" s="110"/>
      <c r="T276" s="110"/>
      <c r="U276" s="110"/>
      <c r="V276" s="643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643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643"/>
      <c r="AQ276" s="110"/>
      <c r="AR276" s="110"/>
      <c r="AS276" s="110"/>
      <c r="AT276" s="110"/>
      <c r="AU276" s="110"/>
      <c r="AV276" s="110"/>
      <c r="AX276" s="130"/>
      <c r="AY276" s="513"/>
      <c r="AZ276" s="513"/>
      <c r="BA276" s="577"/>
      <c r="BB276" s="577"/>
      <c r="BC276" s="579"/>
      <c r="BD276" s="526"/>
      <c r="BE276" s="526"/>
      <c r="BF276" s="526"/>
      <c r="BG276" s="526"/>
      <c r="BH276" s="526"/>
      <c r="BI276" s="526"/>
      <c r="BJ276" s="430"/>
      <c r="BK276" s="430"/>
      <c r="BL276" s="956"/>
      <c r="BM276" s="956"/>
    </row>
    <row r="277" spans="1:65" s="112" customFormat="1" ht="11">
      <c r="A277" s="110"/>
      <c r="B277" s="595"/>
      <c r="L277" s="643"/>
      <c r="M277" s="110"/>
      <c r="N277" s="110"/>
      <c r="O277" s="110"/>
      <c r="P277" s="110"/>
      <c r="Q277" s="110"/>
      <c r="R277" s="110"/>
      <c r="S277" s="110"/>
      <c r="T277" s="110"/>
      <c r="U277" s="110"/>
      <c r="V277" s="643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643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643"/>
      <c r="AQ277" s="110"/>
      <c r="AR277" s="110"/>
      <c r="AS277" s="110"/>
      <c r="AT277" s="110"/>
      <c r="AU277" s="110"/>
      <c r="AV277" s="110"/>
      <c r="AX277" s="130"/>
      <c r="AY277" s="513"/>
      <c r="AZ277" s="513"/>
      <c r="BA277" s="577"/>
      <c r="BB277" s="577"/>
      <c r="BC277" s="579"/>
      <c r="BD277" s="526"/>
      <c r="BE277" s="526"/>
      <c r="BF277" s="526"/>
      <c r="BG277" s="526"/>
      <c r="BH277" s="526"/>
      <c r="BI277" s="526"/>
      <c r="BJ277" s="430"/>
      <c r="BK277" s="430"/>
      <c r="BL277" s="956"/>
      <c r="BM277" s="956"/>
    </row>
    <row r="278" spans="1:65" s="112" customFormat="1" ht="11">
      <c r="A278" s="110"/>
      <c r="B278" s="595"/>
      <c r="L278" s="184"/>
      <c r="M278" s="110"/>
      <c r="N278" s="110"/>
      <c r="O278" s="110"/>
      <c r="P278" s="110"/>
      <c r="Q278" s="174"/>
      <c r="R278" s="110"/>
      <c r="S278" s="110"/>
      <c r="T278" s="110"/>
      <c r="U278" s="110"/>
      <c r="V278" s="184"/>
      <c r="W278" s="110"/>
      <c r="X278" s="110"/>
      <c r="Y278" s="110"/>
      <c r="Z278" s="110"/>
      <c r="AA278" s="174"/>
      <c r="AB278" s="174"/>
      <c r="AC278" s="174"/>
      <c r="AD278" s="110"/>
      <c r="AE278" s="110"/>
      <c r="AF278" s="643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643"/>
      <c r="AQ278" s="110"/>
      <c r="AR278" s="110"/>
      <c r="AS278" s="110"/>
      <c r="AT278" s="110"/>
      <c r="AU278" s="110"/>
      <c r="AV278" s="110"/>
      <c r="AX278" s="130"/>
      <c r="AY278" s="513"/>
      <c r="AZ278" s="513"/>
      <c r="BA278" s="577"/>
      <c r="BB278" s="577"/>
      <c r="BC278" s="579"/>
      <c r="BD278" s="526"/>
      <c r="BE278" s="526"/>
      <c r="BF278" s="526"/>
      <c r="BG278" s="526"/>
      <c r="BH278" s="526"/>
      <c r="BI278" s="526"/>
      <c r="BJ278" s="430"/>
      <c r="BK278" s="430"/>
      <c r="BL278" s="956"/>
      <c r="BM278" s="956"/>
    </row>
    <row r="279" spans="1:65" s="112" customFormat="1" ht="11">
      <c r="A279" s="110"/>
      <c r="B279" s="595"/>
      <c r="L279" s="184"/>
      <c r="M279" s="110"/>
      <c r="N279" s="110"/>
      <c r="O279" s="110"/>
      <c r="P279" s="110"/>
      <c r="Q279" s="174"/>
      <c r="R279" s="110"/>
      <c r="S279" s="110"/>
      <c r="T279" s="110"/>
      <c r="U279" s="110"/>
      <c r="V279" s="184"/>
      <c r="W279" s="110"/>
      <c r="X279" s="110"/>
      <c r="Y279" s="110"/>
      <c r="Z279" s="110"/>
      <c r="AA279" s="174"/>
      <c r="AB279" s="174"/>
      <c r="AC279" s="174"/>
      <c r="AD279" s="110"/>
      <c r="AE279" s="110"/>
      <c r="AF279" s="643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643"/>
      <c r="AQ279" s="110"/>
      <c r="AR279" s="110"/>
      <c r="AS279" s="110"/>
      <c r="AT279" s="110"/>
      <c r="AU279" s="110"/>
      <c r="AV279" s="110"/>
      <c r="AX279" s="130"/>
      <c r="AY279" s="513"/>
      <c r="AZ279" s="513"/>
      <c r="BA279" s="577"/>
      <c r="BB279" s="577"/>
      <c r="BC279" s="579"/>
      <c r="BD279" s="526"/>
      <c r="BE279" s="526"/>
      <c r="BF279" s="526"/>
      <c r="BG279" s="526"/>
      <c r="BH279" s="526"/>
      <c r="BI279" s="526"/>
      <c r="BJ279" s="430"/>
      <c r="BK279" s="430"/>
      <c r="BL279" s="956"/>
      <c r="BM279" s="956"/>
    </row>
    <row r="280" spans="1:65" s="112" customFormat="1" ht="11">
      <c r="A280" s="110"/>
      <c r="B280" s="595"/>
      <c r="L280" s="184"/>
      <c r="M280" s="110"/>
      <c r="N280" s="110"/>
      <c r="O280" s="110"/>
      <c r="P280" s="110"/>
      <c r="Q280" s="174"/>
      <c r="R280" s="110"/>
      <c r="S280" s="110"/>
      <c r="T280" s="110"/>
      <c r="U280" s="110"/>
      <c r="V280" s="184"/>
      <c r="W280" s="110"/>
      <c r="X280" s="110"/>
      <c r="Y280" s="110"/>
      <c r="Z280" s="110"/>
      <c r="AA280" s="174"/>
      <c r="AB280" s="174"/>
      <c r="AC280" s="174"/>
      <c r="AD280" s="110"/>
      <c r="AE280" s="110"/>
      <c r="AF280" s="643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643"/>
      <c r="AQ280" s="110"/>
      <c r="AR280" s="110"/>
      <c r="AS280" s="110"/>
      <c r="AT280" s="110"/>
      <c r="AU280" s="110"/>
      <c r="AV280" s="110"/>
      <c r="AX280" s="130"/>
      <c r="AY280" s="513"/>
      <c r="AZ280" s="513"/>
      <c r="BA280" s="577"/>
      <c r="BB280" s="577"/>
      <c r="BC280" s="579"/>
      <c r="BD280" s="526"/>
      <c r="BE280" s="526"/>
      <c r="BF280" s="526"/>
      <c r="BG280" s="526"/>
      <c r="BH280" s="526"/>
      <c r="BI280" s="526"/>
      <c r="BJ280" s="430"/>
      <c r="BK280" s="430"/>
      <c r="BL280" s="956"/>
      <c r="BM280" s="956"/>
    </row>
    <row r="281" spans="1:65" s="112" customFormat="1" ht="11">
      <c r="A281" s="110"/>
      <c r="B281" s="595"/>
      <c r="L281" s="184"/>
      <c r="M281" s="110"/>
      <c r="N281" s="110"/>
      <c r="O281" s="110"/>
      <c r="P281" s="110"/>
      <c r="Q281" s="174"/>
      <c r="R281" s="110"/>
      <c r="S281" s="110"/>
      <c r="T281" s="110"/>
      <c r="U281" s="110"/>
      <c r="V281" s="184"/>
      <c r="W281" s="110"/>
      <c r="X281" s="110"/>
      <c r="Y281" s="110"/>
      <c r="Z281" s="110"/>
      <c r="AA281" s="174"/>
      <c r="AB281" s="110"/>
      <c r="AC281" s="110"/>
      <c r="AD281" s="110"/>
      <c r="AE281" s="110"/>
      <c r="AF281" s="643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643"/>
      <c r="AQ281" s="110"/>
      <c r="AR281" s="110"/>
      <c r="AS281" s="110"/>
      <c r="AT281" s="110"/>
      <c r="AU281" s="110"/>
      <c r="AV281" s="110"/>
      <c r="AX281" s="130"/>
      <c r="AY281" s="513"/>
      <c r="AZ281" s="513"/>
      <c r="BA281" s="577"/>
      <c r="BB281" s="577"/>
      <c r="BC281" s="579"/>
      <c r="BD281" s="526"/>
      <c r="BE281" s="526"/>
      <c r="BF281" s="526"/>
      <c r="BG281" s="526"/>
      <c r="BH281" s="526"/>
      <c r="BI281" s="526"/>
      <c r="BJ281" s="430"/>
      <c r="BK281" s="430"/>
      <c r="BL281" s="956"/>
      <c r="BM281" s="956"/>
    </row>
    <row r="282" spans="1:65" s="112" customFormat="1" ht="11">
      <c r="A282" s="110"/>
      <c r="B282" s="595"/>
      <c r="L282" s="184"/>
      <c r="M282" s="110"/>
      <c r="N282" s="110"/>
      <c r="O282" s="110"/>
      <c r="P282" s="110"/>
      <c r="Q282" s="174"/>
      <c r="R282" s="110"/>
      <c r="S282" s="110"/>
      <c r="T282" s="110"/>
      <c r="U282" s="110"/>
      <c r="V282" s="184"/>
      <c r="W282" s="110"/>
      <c r="X282" s="110"/>
      <c r="Y282" s="110"/>
      <c r="Z282" s="110"/>
      <c r="AA282" s="174"/>
      <c r="AB282" s="110"/>
      <c r="AC282" s="110"/>
      <c r="AD282" s="110"/>
      <c r="AE282" s="110"/>
      <c r="AF282" s="643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643"/>
      <c r="AQ282" s="110"/>
      <c r="AR282" s="110"/>
      <c r="AS282" s="110"/>
      <c r="AT282" s="110"/>
      <c r="AU282" s="110"/>
      <c r="AV282" s="110"/>
      <c r="AX282" s="130"/>
      <c r="AY282" s="513"/>
      <c r="AZ282" s="513"/>
      <c r="BA282" s="577"/>
      <c r="BB282" s="577"/>
      <c r="BC282" s="579"/>
      <c r="BD282" s="526"/>
      <c r="BE282" s="526"/>
      <c r="BF282" s="526"/>
      <c r="BG282" s="526"/>
      <c r="BH282" s="526"/>
      <c r="BI282" s="526"/>
      <c r="BJ282" s="430"/>
      <c r="BK282" s="430"/>
      <c r="BL282" s="956"/>
      <c r="BM282" s="956"/>
    </row>
    <row r="283" spans="1:65" s="112" customFormat="1" ht="11">
      <c r="A283" s="110"/>
      <c r="B283" s="595"/>
      <c r="L283" s="184"/>
      <c r="M283" s="110"/>
      <c r="N283" s="110"/>
      <c r="O283" s="110"/>
      <c r="P283" s="110"/>
      <c r="Q283" s="174"/>
      <c r="R283" s="110"/>
      <c r="S283" s="110"/>
      <c r="T283" s="110"/>
      <c r="U283" s="110"/>
      <c r="V283" s="184"/>
      <c r="W283" s="110"/>
      <c r="X283" s="110"/>
      <c r="Y283" s="110"/>
      <c r="Z283" s="110"/>
      <c r="AA283" s="174"/>
      <c r="AB283" s="110"/>
      <c r="AC283" s="110"/>
      <c r="AD283" s="110"/>
      <c r="AE283" s="110"/>
      <c r="AF283" s="643"/>
      <c r="AG283" s="110"/>
      <c r="AH283" s="110"/>
      <c r="AI283" s="110"/>
      <c r="AJ283" s="110"/>
      <c r="AK283" s="110"/>
      <c r="AL283" s="110"/>
      <c r="AM283" s="110"/>
      <c r="AN283" s="110"/>
      <c r="AO283" s="110"/>
      <c r="AP283" s="643"/>
      <c r="AQ283" s="110"/>
      <c r="AR283" s="110"/>
      <c r="AS283" s="110"/>
      <c r="AT283" s="110"/>
      <c r="AU283" s="110"/>
      <c r="AV283" s="110"/>
      <c r="AX283" s="130"/>
      <c r="AY283" s="513"/>
      <c r="AZ283" s="513"/>
      <c r="BA283" s="577"/>
      <c r="BB283" s="577"/>
      <c r="BC283" s="579"/>
      <c r="BD283" s="526"/>
      <c r="BE283" s="526"/>
      <c r="BF283" s="526"/>
      <c r="BG283" s="526"/>
      <c r="BH283" s="526"/>
      <c r="BI283" s="526"/>
      <c r="BJ283" s="430"/>
      <c r="BK283" s="430"/>
      <c r="BL283" s="956"/>
      <c r="BM283" s="956"/>
    </row>
    <row r="284" spans="1:65" s="112" customFormat="1" ht="11">
      <c r="A284" s="110"/>
      <c r="B284" s="595"/>
      <c r="L284" s="184"/>
      <c r="M284" s="110"/>
      <c r="N284" s="110"/>
      <c r="O284" s="110"/>
      <c r="P284" s="110"/>
      <c r="Q284" s="174"/>
      <c r="R284" s="110"/>
      <c r="S284" s="110"/>
      <c r="T284" s="110"/>
      <c r="U284" s="110"/>
      <c r="V284" s="184"/>
      <c r="W284" s="110"/>
      <c r="X284" s="110"/>
      <c r="Y284" s="110"/>
      <c r="Z284" s="110"/>
      <c r="AA284" s="174"/>
      <c r="AB284" s="110"/>
      <c r="AC284" s="110"/>
      <c r="AD284" s="110"/>
      <c r="AE284" s="110"/>
      <c r="AF284" s="643"/>
      <c r="AG284" s="110"/>
      <c r="AH284" s="110"/>
      <c r="AI284" s="110"/>
      <c r="AJ284" s="110"/>
      <c r="AK284" s="110"/>
      <c r="AL284" s="110"/>
      <c r="AM284" s="110"/>
      <c r="AN284" s="110"/>
      <c r="AO284" s="110"/>
      <c r="AP284" s="643"/>
      <c r="AQ284" s="110"/>
      <c r="AR284" s="110"/>
      <c r="AS284" s="110"/>
      <c r="AT284" s="110"/>
      <c r="AU284" s="110"/>
      <c r="AV284" s="110"/>
      <c r="AX284" s="130"/>
      <c r="AY284" s="513"/>
      <c r="AZ284" s="513"/>
      <c r="BA284" s="577"/>
      <c r="BB284" s="577"/>
      <c r="BC284" s="579"/>
      <c r="BD284" s="526"/>
      <c r="BE284" s="526"/>
      <c r="BF284" s="526"/>
      <c r="BG284" s="526"/>
      <c r="BH284" s="526"/>
      <c r="BI284" s="526"/>
      <c r="BJ284" s="430"/>
      <c r="BK284" s="430"/>
      <c r="BL284" s="956"/>
      <c r="BM284" s="956"/>
    </row>
    <row r="285" spans="1:65" s="112" customFormat="1" ht="11">
      <c r="A285" s="110"/>
      <c r="B285" s="595"/>
      <c r="L285" s="184"/>
      <c r="M285" s="110"/>
      <c r="N285" s="110"/>
      <c r="O285" s="110"/>
      <c r="P285" s="110"/>
      <c r="Q285" s="174"/>
      <c r="R285" s="110"/>
      <c r="S285" s="110"/>
      <c r="T285" s="110"/>
      <c r="U285" s="110"/>
      <c r="V285" s="184"/>
      <c r="W285" s="110"/>
      <c r="X285" s="110"/>
      <c r="Y285" s="110"/>
      <c r="Z285" s="110"/>
      <c r="AA285" s="174"/>
      <c r="AB285" s="110"/>
      <c r="AC285" s="110"/>
      <c r="AD285" s="110"/>
      <c r="AE285" s="110"/>
      <c r="AF285" s="643"/>
      <c r="AG285" s="110"/>
      <c r="AH285" s="110"/>
      <c r="AI285" s="110"/>
      <c r="AJ285" s="110"/>
      <c r="AK285" s="110"/>
      <c r="AL285" s="110"/>
      <c r="AM285" s="110"/>
      <c r="AN285" s="110"/>
      <c r="AO285" s="110"/>
      <c r="AP285" s="643"/>
      <c r="AQ285" s="110"/>
      <c r="AR285" s="110"/>
      <c r="AS285" s="110"/>
      <c r="AT285" s="110"/>
      <c r="AU285" s="110"/>
      <c r="AV285" s="110"/>
      <c r="AX285" s="130"/>
      <c r="AY285" s="513"/>
      <c r="AZ285" s="513"/>
      <c r="BA285" s="577"/>
      <c r="BB285" s="577"/>
      <c r="BC285" s="579"/>
      <c r="BD285" s="526"/>
      <c r="BE285" s="526"/>
      <c r="BF285" s="526"/>
      <c r="BG285" s="526"/>
      <c r="BH285" s="526"/>
      <c r="BI285" s="526"/>
      <c r="BJ285" s="430"/>
      <c r="BK285" s="430"/>
      <c r="BL285" s="956"/>
      <c r="BM285" s="956"/>
    </row>
    <row r="286" spans="1:65" s="112" customFormat="1" ht="11">
      <c r="A286" s="110"/>
      <c r="B286" s="595"/>
      <c r="L286" s="184"/>
      <c r="M286" s="110"/>
      <c r="N286" s="110"/>
      <c r="O286" s="110"/>
      <c r="P286" s="110"/>
      <c r="Q286" s="174"/>
      <c r="R286" s="110"/>
      <c r="S286" s="110"/>
      <c r="T286" s="110"/>
      <c r="U286" s="110"/>
      <c r="V286" s="184"/>
      <c r="W286" s="110"/>
      <c r="X286" s="110"/>
      <c r="Y286" s="110"/>
      <c r="Z286" s="110"/>
      <c r="AA286" s="174"/>
      <c r="AB286" s="110"/>
      <c r="AC286" s="110"/>
      <c r="AD286" s="110"/>
      <c r="AE286" s="110"/>
      <c r="AF286" s="643"/>
      <c r="AG286" s="110"/>
      <c r="AH286" s="110"/>
      <c r="AI286" s="110"/>
      <c r="AJ286" s="110"/>
      <c r="AK286" s="110"/>
      <c r="AL286" s="110"/>
      <c r="AM286" s="110"/>
      <c r="AN286" s="110"/>
      <c r="AO286" s="110"/>
      <c r="AP286" s="643"/>
      <c r="AQ286" s="110"/>
      <c r="AR286" s="110"/>
      <c r="AS286" s="110"/>
      <c r="AT286" s="110"/>
      <c r="AU286" s="110"/>
      <c r="AV286" s="110"/>
      <c r="AX286" s="130"/>
      <c r="AY286" s="513"/>
      <c r="AZ286" s="513"/>
      <c r="BA286" s="577"/>
      <c r="BB286" s="577"/>
      <c r="BC286" s="579"/>
      <c r="BD286" s="526"/>
      <c r="BE286" s="526"/>
      <c r="BF286" s="526"/>
      <c r="BG286" s="526"/>
      <c r="BH286" s="526"/>
      <c r="BI286" s="526"/>
      <c r="BJ286" s="430"/>
      <c r="BK286" s="430"/>
      <c r="BL286" s="956"/>
      <c r="BM286" s="956"/>
    </row>
    <row r="287" spans="1:65" s="112" customFormat="1" ht="11">
      <c r="A287" s="110"/>
      <c r="B287" s="595"/>
      <c r="L287" s="184"/>
      <c r="M287" s="110"/>
      <c r="N287" s="110"/>
      <c r="O287" s="110"/>
      <c r="P287" s="110"/>
      <c r="Q287" s="174"/>
      <c r="R287" s="110"/>
      <c r="S287" s="110"/>
      <c r="T287" s="110"/>
      <c r="U287" s="110"/>
      <c r="V287" s="184"/>
      <c r="W287" s="110"/>
      <c r="X287" s="110"/>
      <c r="Y287" s="110"/>
      <c r="Z287" s="110"/>
      <c r="AA287" s="174"/>
      <c r="AB287" s="110"/>
      <c r="AC287" s="110"/>
      <c r="AD287" s="110"/>
      <c r="AE287" s="110"/>
      <c r="AF287" s="643"/>
      <c r="AG287" s="110"/>
      <c r="AH287" s="110"/>
      <c r="AI287" s="110"/>
      <c r="AJ287" s="110"/>
      <c r="AK287" s="110"/>
      <c r="AL287" s="110"/>
      <c r="AM287" s="110"/>
      <c r="AN287" s="110"/>
      <c r="AO287" s="110"/>
      <c r="AP287" s="643"/>
      <c r="AQ287" s="110"/>
      <c r="AR287" s="110"/>
      <c r="AS287" s="110"/>
      <c r="AT287" s="110"/>
      <c r="AU287" s="110"/>
      <c r="AV287" s="110"/>
      <c r="AX287" s="130"/>
      <c r="AY287" s="513"/>
      <c r="AZ287" s="513"/>
      <c r="BA287" s="577"/>
      <c r="BB287" s="577"/>
      <c r="BC287" s="579"/>
      <c r="BD287" s="526"/>
      <c r="BE287" s="526"/>
      <c r="BF287" s="526"/>
      <c r="BG287" s="526"/>
      <c r="BH287" s="526"/>
      <c r="BI287" s="526"/>
      <c r="BJ287" s="430"/>
      <c r="BK287" s="430"/>
      <c r="BL287" s="956"/>
      <c r="BM287" s="956"/>
    </row>
    <row r="288" spans="1:65" s="112" customFormat="1" ht="11">
      <c r="A288" s="110"/>
      <c r="B288" s="595"/>
      <c r="L288" s="184"/>
      <c r="M288" s="110"/>
      <c r="N288" s="110"/>
      <c r="O288" s="110"/>
      <c r="P288" s="110"/>
      <c r="Q288" s="174"/>
      <c r="R288" s="110"/>
      <c r="S288" s="110"/>
      <c r="T288" s="110"/>
      <c r="U288" s="110"/>
      <c r="V288" s="184"/>
      <c r="W288" s="110"/>
      <c r="X288" s="110"/>
      <c r="Y288" s="110"/>
      <c r="Z288" s="110"/>
      <c r="AA288" s="174"/>
      <c r="AB288" s="110"/>
      <c r="AC288" s="110"/>
      <c r="AD288" s="110"/>
      <c r="AE288" s="110"/>
      <c r="AF288" s="643"/>
      <c r="AG288" s="110"/>
      <c r="AH288" s="110"/>
      <c r="AI288" s="110"/>
      <c r="AJ288" s="110"/>
      <c r="AK288" s="110"/>
      <c r="AL288" s="110"/>
      <c r="AM288" s="110"/>
      <c r="AN288" s="110"/>
      <c r="AO288" s="110"/>
      <c r="AP288" s="643"/>
      <c r="AQ288" s="110"/>
      <c r="AR288" s="110"/>
      <c r="AS288" s="110"/>
      <c r="AT288" s="110"/>
      <c r="AU288" s="110"/>
      <c r="AV288" s="110"/>
      <c r="AX288" s="130"/>
      <c r="AY288" s="513"/>
      <c r="AZ288" s="513"/>
      <c r="BA288" s="577"/>
      <c r="BB288" s="577"/>
      <c r="BC288" s="579"/>
      <c r="BD288" s="526"/>
      <c r="BE288" s="526"/>
      <c r="BF288" s="526"/>
      <c r="BG288" s="526"/>
      <c r="BH288" s="526"/>
      <c r="BI288" s="526"/>
      <c r="BJ288" s="430"/>
      <c r="BK288" s="430"/>
      <c r="BL288" s="956"/>
      <c r="BM288" s="956"/>
    </row>
    <row r="289" spans="1:65" s="112" customFormat="1" ht="11">
      <c r="A289" s="110"/>
      <c r="B289" s="595"/>
      <c r="L289" s="184"/>
      <c r="M289" s="110"/>
      <c r="N289" s="110"/>
      <c r="O289" s="110"/>
      <c r="P289" s="110"/>
      <c r="Q289" s="174"/>
      <c r="R289" s="110"/>
      <c r="S289" s="110"/>
      <c r="T289" s="110"/>
      <c r="U289" s="110"/>
      <c r="V289" s="184"/>
      <c r="W289" s="110"/>
      <c r="X289" s="110"/>
      <c r="Y289" s="110"/>
      <c r="Z289" s="110"/>
      <c r="AA289" s="174"/>
      <c r="AB289" s="110"/>
      <c r="AC289" s="110"/>
      <c r="AD289" s="110"/>
      <c r="AE289" s="110"/>
      <c r="AF289" s="643"/>
      <c r="AG289" s="110"/>
      <c r="AH289" s="110"/>
      <c r="AI289" s="110"/>
      <c r="AJ289" s="110"/>
      <c r="AK289" s="110"/>
      <c r="AL289" s="110"/>
      <c r="AM289" s="110"/>
      <c r="AN289" s="110"/>
      <c r="AO289" s="110"/>
      <c r="AP289" s="643"/>
      <c r="AQ289" s="110"/>
      <c r="AR289" s="110"/>
      <c r="AS289" s="110"/>
      <c r="AT289" s="110"/>
      <c r="AU289" s="110"/>
      <c r="AV289" s="110"/>
      <c r="AX289" s="130"/>
      <c r="AY289" s="513"/>
      <c r="AZ289" s="513"/>
      <c r="BA289" s="577"/>
      <c r="BB289" s="577"/>
      <c r="BC289" s="579"/>
      <c r="BD289" s="526"/>
      <c r="BE289" s="526"/>
      <c r="BF289" s="526"/>
      <c r="BG289" s="526"/>
      <c r="BH289" s="526"/>
      <c r="BI289" s="526"/>
      <c r="BJ289" s="430"/>
      <c r="BK289" s="430"/>
      <c r="BL289" s="956"/>
      <c r="BM289" s="956"/>
    </row>
    <row r="290" spans="1:65" s="112" customFormat="1" ht="11">
      <c r="A290" s="110"/>
      <c r="B290" s="595"/>
      <c r="L290" s="184"/>
      <c r="M290" s="110"/>
      <c r="N290" s="110"/>
      <c r="O290" s="110"/>
      <c r="P290" s="110"/>
      <c r="Q290" s="174"/>
      <c r="R290" s="110"/>
      <c r="S290" s="110"/>
      <c r="T290" s="110"/>
      <c r="U290" s="110"/>
      <c r="V290" s="184"/>
      <c r="W290" s="110"/>
      <c r="X290" s="110"/>
      <c r="Y290" s="110"/>
      <c r="Z290" s="110"/>
      <c r="AA290" s="174"/>
      <c r="AB290" s="110"/>
      <c r="AC290" s="110"/>
      <c r="AD290" s="110"/>
      <c r="AE290" s="110"/>
      <c r="AF290" s="643"/>
      <c r="AG290" s="110"/>
      <c r="AH290" s="110"/>
      <c r="AI290" s="110"/>
      <c r="AJ290" s="110"/>
      <c r="AK290" s="110"/>
      <c r="AL290" s="110"/>
      <c r="AM290" s="110"/>
      <c r="AN290" s="110"/>
      <c r="AO290" s="110"/>
      <c r="AP290" s="643"/>
      <c r="AQ290" s="110"/>
      <c r="AR290" s="110"/>
      <c r="AS290" s="110"/>
      <c r="AT290" s="110"/>
      <c r="AU290" s="110"/>
      <c r="AV290" s="110"/>
      <c r="AX290" s="130"/>
      <c r="AY290" s="513"/>
      <c r="AZ290" s="513"/>
      <c r="BA290" s="577"/>
      <c r="BB290" s="577"/>
      <c r="BC290" s="579"/>
      <c r="BD290" s="526"/>
      <c r="BE290" s="526"/>
      <c r="BF290" s="526"/>
      <c r="BG290" s="526"/>
      <c r="BH290" s="526"/>
      <c r="BI290" s="526"/>
      <c r="BJ290" s="430"/>
      <c r="BK290" s="430"/>
      <c r="BL290" s="956"/>
      <c r="BM290" s="956"/>
    </row>
    <row r="291" spans="1:65" s="112" customFormat="1" ht="11">
      <c r="A291" s="110"/>
      <c r="B291" s="595"/>
      <c r="L291" s="184"/>
      <c r="M291" s="110"/>
      <c r="N291" s="110"/>
      <c r="O291" s="110"/>
      <c r="P291" s="110"/>
      <c r="Q291" s="174"/>
      <c r="R291" s="110"/>
      <c r="S291" s="110"/>
      <c r="T291" s="110"/>
      <c r="U291" s="110"/>
      <c r="V291" s="184"/>
      <c r="W291" s="110"/>
      <c r="X291" s="110"/>
      <c r="Y291" s="110"/>
      <c r="Z291" s="110"/>
      <c r="AA291" s="174"/>
      <c r="AB291" s="110"/>
      <c r="AC291" s="110"/>
      <c r="AD291" s="110"/>
      <c r="AE291" s="110"/>
      <c r="AF291" s="643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643"/>
      <c r="AQ291" s="110"/>
      <c r="AR291" s="110"/>
      <c r="AS291" s="110"/>
      <c r="AT291" s="110"/>
      <c r="AU291" s="110"/>
      <c r="AV291" s="110"/>
      <c r="AX291" s="130"/>
      <c r="AY291" s="513"/>
      <c r="AZ291" s="513"/>
      <c r="BA291" s="577"/>
      <c r="BB291" s="577"/>
      <c r="BC291" s="579"/>
      <c r="BD291" s="526"/>
      <c r="BE291" s="526"/>
      <c r="BF291" s="526"/>
      <c r="BG291" s="526"/>
      <c r="BH291" s="526"/>
      <c r="BI291" s="526"/>
      <c r="BJ291" s="430"/>
      <c r="BK291" s="430"/>
      <c r="BL291" s="956"/>
      <c r="BM291" s="956"/>
    </row>
    <row r="292" spans="1:65" s="112" customFormat="1" ht="11">
      <c r="A292" s="110"/>
      <c r="B292" s="595"/>
      <c r="L292" s="184"/>
      <c r="M292" s="110"/>
      <c r="N292" s="110"/>
      <c r="O292" s="110"/>
      <c r="P292" s="110"/>
      <c r="Q292" s="174"/>
      <c r="R292" s="110"/>
      <c r="S292" s="110"/>
      <c r="T292" s="110"/>
      <c r="U292" s="110"/>
      <c r="V292" s="184"/>
      <c r="W292" s="110"/>
      <c r="X292" s="110"/>
      <c r="Y292" s="110"/>
      <c r="Z292" s="110"/>
      <c r="AA292" s="174"/>
      <c r="AB292" s="110"/>
      <c r="AC292" s="110"/>
      <c r="AD292" s="110"/>
      <c r="AE292" s="110"/>
      <c r="AF292" s="643"/>
      <c r="AG292" s="110"/>
      <c r="AH292" s="110"/>
      <c r="AI292" s="110"/>
      <c r="AJ292" s="110"/>
      <c r="AK292" s="110"/>
      <c r="AL292" s="110"/>
      <c r="AM292" s="110"/>
      <c r="AN292" s="110"/>
      <c r="AO292" s="110"/>
      <c r="AP292" s="643"/>
      <c r="AQ292" s="110"/>
      <c r="AR292" s="110"/>
      <c r="AS292" s="110"/>
      <c r="AT292" s="110"/>
      <c r="AU292" s="110"/>
      <c r="AV292" s="110"/>
      <c r="AX292" s="130"/>
      <c r="AY292" s="513"/>
      <c r="AZ292" s="513"/>
      <c r="BA292" s="577"/>
      <c r="BB292" s="577"/>
      <c r="BC292" s="579"/>
      <c r="BD292" s="526"/>
      <c r="BE292" s="526"/>
      <c r="BF292" s="526"/>
      <c r="BG292" s="526"/>
      <c r="BH292" s="526"/>
      <c r="BI292" s="526"/>
      <c r="BJ292" s="430"/>
      <c r="BK292" s="430"/>
      <c r="BL292" s="956"/>
      <c r="BM292" s="956"/>
    </row>
    <row r="293" spans="1:65" s="112" customFormat="1" ht="11">
      <c r="A293" s="110"/>
      <c r="B293" s="595"/>
      <c r="L293" s="184"/>
      <c r="M293" s="110"/>
      <c r="N293" s="110"/>
      <c r="O293" s="110"/>
      <c r="P293" s="110"/>
      <c r="Q293" s="174"/>
      <c r="R293" s="110"/>
      <c r="S293" s="110"/>
      <c r="T293" s="110"/>
      <c r="U293" s="110"/>
      <c r="V293" s="184"/>
      <c r="W293" s="110"/>
      <c r="X293" s="110"/>
      <c r="Y293" s="110"/>
      <c r="Z293" s="110"/>
      <c r="AA293" s="174"/>
      <c r="AB293" s="110"/>
      <c r="AC293" s="110"/>
      <c r="AD293" s="110"/>
      <c r="AE293" s="110"/>
      <c r="AF293" s="643"/>
      <c r="AG293" s="110"/>
      <c r="AH293" s="110"/>
      <c r="AI293" s="110"/>
      <c r="AJ293" s="110"/>
      <c r="AK293" s="110"/>
      <c r="AL293" s="110"/>
      <c r="AM293" s="110"/>
      <c r="AN293" s="110"/>
      <c r="AO293" s="110"/>
      <c r="AP293" s="643"/>
      <c r="AQ293" s="110"/>
      <c r="AR293" s="110"/>
      <c r="AS293" s="110"/>
      <c r="AT293" s="110"/>
      <c r="AU293" s="110"/>
      <c r="AV293" s="110"/>
      <c r="AX293" s="130"/>
      <c r="AY293" s="513"/>
      <c r="AZ293" s="513"/>
      <c r="BA293" s="577"/>
      <c r="BB293" s="577"/>
      <c r="BC293" s="579"/>
      <c r="BD293" s="526"/>
      <c r="BE293" s="526"/>
      <c r="BF293" s="526"/>
      <c r="BG293" s="526"/>
      <c r="BH293" s="526"/>
      <c r="BI293" s="526"/>
      <c r="BJ293" s="430"/>
      <c r="BK293" s="430"/>
      <c r="BL293" s="956"/>
      <c r="BM293" s="956"/>
    </row>
    <row r="294" spans="1:65" s="112" customFormat="1" ht="11">
      <c r="A294" s="110"/>
      <c r="B294" s="595"/>
      <c r="L294" s="184"/>
      <c r="M294" s="110"/>
      <c r="N294" s="110"/>
      <c r="O294" s="110"/>
      <c r="P294" s="110"/>
      <c r="Q294" s="174"/>
      <c r="R294" s="110"/>
      <c r="S294" s="110"/>
      <c r="T294" s="110"/>
      <c r="U294" s="110"/>
      <c r="V294" s="184"/>
      <c r="W294" s="110"/>
      <c r="X294" s="110"/>
      <c r="Y294" s="110"/>
      <c r="Z294" s="110"/>
      <c r="AA294" s="174"/>
      <c r="AB294" s="110"/>
      <c r="AC294" s="110"/>
      <c r="AD294" s="110"/>
      <c r="AE294" s="110"/>
      <c r="AF294" s="643"/>
      <c r="AG294" s="110"/>
      <c r="AH294" s="110"/>
      <c r="AI294" s="110"/>
      <c r="AJ294" s="110"/>
      <c r="AK294" s="110"/>
      <c r="AL294" s="110"/>
      <c r="AM294" s="110"/>
      <c r="AN294" s="110"/>
      <c r="AO294" s="110"/>
      <c r="AP294" s="643"/>
      <c r="AQ294" s="110"/>
      <c r="AR294" s="110"/>
      <c r="AS294" s="110"/>
      <c r="AT294" s="110"/>
      <c r="AU294" s="110"/>
      <c r="AV294" s="110"/>
      <c r="AX294" s="130"/>
      <c r="AY294" s="513"/>
      <c r="AZ294" s="513"/>
      <c r="BA294" s="577"/>
      <c r="BB294" s="577"/>
      <c r="BC294" s="579"/>
      <c r="BD294" s="526"/>
      <c r="BE294" s="526"/>
      <c r="BF294" s="526"/>
      <c r="BG294" s="526"/>
      <c r="BH294" s="526"/>
      <c r="BI294" s="526"/>
      <c r="BJ294" s="430"/>
      <c r="BK294" s="430"/>
      <c r="BL294" s="956"/>
      <c r="BM294" s="956"/>
    </row>
    <row r="295" spans="1:65" s="112" customFormat="1" ht="11">
      <c r="A295" s="110"/>
      <c r="B295" s="595"/>
      <c r="L295" s="184"/>
      <c r="M295" s="110"/>
      <c r="N295" s="110"/>
      <c r="O295" s="110"/>
      <c r="P295" s="110"/>
      <c r="Q295" s="174"/>
      <c r="R295" s="110"/>
      <c r="S295" s="110"/>
      <c r="T295" s="110"/>
      <c r="U295" s="110"/>
      <c r="V295" s="184"/>
      <c r="W295" s="110"/>
      <c r="X295" s="110"/>
      <c r="Y295" s="110"/>
      <c r="Z295" s="110"/>
      <c r="AA295" s="174"/>
      <c r="AB295" s="110"/>
      <c r="AC295" s="110"/>
      <c r="AD295" s="110"/>
      <c r="AE295" s="110"/>
      <c r="AF295" s="643"/>
      <c r="AG295" s="110"/>
      <c r="AH295" s="110"/>
      <c r="AI295" s="110"/>
      <c r="AJ295" s="110"/>
      <c r="AK295" s="110"/>
      <c r="AL295" s="110"/>
      <c r="AM295" s="110"/>
      <c r="AN295" s="110"/>
      <c r="AO295" s="110"/>
      <c r="AP295" s="643"/>
      <c r="AQ295" s="110"/>
      <c r="AR295" s="110"/>
      <c r="AS295" s="110"/>
      <c r="AT295" s="110"/>
      <c r="AU295" s="110"/>
      <c r="AV295" s="110"/>
      <c r="AX295" s="130"/>
      <c r="AY295" s="513"/>
      <c r="AZ295" s="513"/>
      <c r="BA295" s="577"/>
      <c r="BB295" s="577"/>
      <c r="BC295" s="579"/>
      <c r="BD295" s="526"/>
      <c r="BE295" s="526"/>
      <c r="BF295" s="526"/>
      <c r="BG295" s="526"/>
      <c r="BH295" s="526"/>
      <c r="BI295" s="526"/>
      <c r="BJ295" s="430"/>
      <c r="BK295" s="430"/>
      <c r="BL295" s="956"/>
      <c r="BM295" s="956"/>
    </row>
    <row r="296" spans="1:65">
      <c r="L296" s="596"/>
      <c r="Q296" s="11"/>
      <c r="V296" s="596"/>
      <c r="AA296" s="11"/>
      <c r="AY296" s="51"/>
      <c r="AZ296" s="51"/>
      <c r="BA296" s="374"/>
      <c r="BB296" s="374"/>
      <c r="BC296" s="467"/>
      <c r="BD296" s="530"/>
      <c r="BE296" s="530"/>
      <c r="BF296" s="530"/>
      <c r="BG296" s="530"/>
      <c r="BH296" s="530"/>
      <c r="BI296" s="530"/>
    </row>
    <row r="297" spans="1:65">
      <c r="L297" s="596"/>
      <c r="Q297" s="11"/>
      <c r="V297" s="596"/>
      <c r="AA297" s="11"/>
      <c r="AY297" s="51"/>
      <c r="AZ297" s="51"/>
      <c r="BA297" s="374"/>
      <c r="BB297" s="374"/>
      <c r="BC297" s="467"/>
      <c r="BD297" s="530"/>
      <c r="BE297" s="530"/>
      <c r="BF297" s="530"/>
      <c r="BG297" s="530"/>
      <c r="BH297" s="530"/>
      <c r="BI297" s="530"/>
    </row>
    <row r="298" spans="1:65">
      <c r="L298" s="596"/>
      <c r="Q298" s="11"/>
      <c r="V298" s="596"/>
      <c r="AA298" s="11"/>
      <c r="AY298" s="51"/>
      <c r="AZ298" s="51"/>
      <c r="BA298" s="374"/>
      <c r="BB298" s="374"/>
      <c r="BC298" s="467"/>
      <c r="BD298" s="530"/>
      <c r="BE298" s="530"/>
      <c r="BF298" s="530"/>
      <c r="BG298" s="530"/>
      <c r="BH298" s="530"/>
      <c r="BI298" s="530"/>
    </row>
    <row r="299" spans="1:65">
      <c r="L299" s="596"/>
      <c r="Q299" s="11"/>
      <c r="V299" s="596"/>
      <c r="AA299" s="11"/>
      <c r="AY299" s="51"/>
      <c r="AZ299" s="51"/>
      <c r="BA299" s="374"/>
      <c r="BB299" s="374"/>
      <c r="BC299" s="467"/>
      <c r="BD299" s="530"/>
      <c r="BE299" s="530"/>
      <c r="BF299" s="530"/>
      <c r="BG299" s="530"/>
      <c r="BH299" s="530"/>
      <c r="BI299" s="530"/>
    </row>
    <row r="300" spans="1:65">
      <c r="L300" s="596"/>
      <c r="Q300" s="11"/>
      <c r="V300" s="596"/>
      <c r="AA300" s="11"/>
      <c r="AY300" s="51"/>
      <c r="AZ300" s="51"/>
      <c r="BA300" s="374"/>
      <c r="BB300" s="374"/>
      <c r="BC300" s="467"/>
      <c r="BD300" s="530"/>
      <c r="BE300" s="530"/>
      <c r="BF300" s="530"/>
      <c r="BG300" s="530"/>
      <c r="BH300" s="530"/>
      <c r="BI300" s="530"/>
    </row>
    <row r="301" spans="1:65">
      <c r="AY301" s="51"/>
      <c r="AZ301" s="51"/>
      <c r="BA301" s="374"/>
      <c r="BB301" s="374"/>
      <c r="BC301" s="467"/>
      <c r="BD301" s="530"/>
      <c r="BE301" s="530"/>
      <c r="BF301" s="530"/>
      <c r="BG301" s="530"/>
      <c r="BH301" s="530"/>
      <c r="BI301" s="530"/>
    </row>
    <row r="302" spans="1:65">
      <c r="AY302" s="51"/>
      <c r="AZ302" s="51"/>
      <c r="BA302" s="374"/>
      <c r="BB302" s="374"/>
      <c r="BC302" s="467"/>
      <c r="BD302" s="530"/>
      <c r="BE302" s="530"/>
      <c r="BF302" s="530"/>
      <c r="BG302" s="530"/>
      <c r="BH302" s="530"/>
      <c r="BI302" s="530"/>
    </row>
    <row r="303" spans="1:65">
      <c r="AY303" s="51"/>
      <c r="AZ303" s="51"/>
      <c r="BA303" s="374"/>
      <c r="BB303" s="374"/>
      <c r="BC303" s="467"/>
      <c r="BD303" s="530"/>
      <c r="BE303" s="530"/>
      <c r="BF303" s="530"/>
      <c r="BG303" s="530"/>
      <c r="BH303" s="530"/>
      <c r="BI303" s="530"/>
    </row>
  </sheetData>
  <mergeCells count="2">
    <mergeCell ref="BJ5:BK5"/>
    <mergeCell ref="BL5:BM5"/>
  </mergeCells>
  <phoneticPr fontId="25" type="noConversion"/>
  <pageMargins left="0.2" right="0.21" top="0.5" bottom="0.38" header="0.25" footer="0.2"/>
  <pageSetup scale="80" fitToWidth="10" fitToHeight="10" pageOrder="overThenDown" orientation="landscape"/>
  <headerFooter alignWithMargins="0">
    <oddFooter>&amp;R&amp;8&amp;D    -- 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MasterA1(current$)</vt:lpstr>
      <vt:lpstr>MasterA2(constant$)</vt:lpstr>
      <vt:lpstr>MasterA3(FTEs)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Mager</dc:creator>
  <cp:lastModifiedBy>DJL</cp:lastModifiedBy>
  <cp:lastPrinted>2018-04-27T20:41:47Z</cp:lastPrinted>
  <dcterms:created xsi:type="dcterms:W3CDTF">1997-04-21T15:18:02Z</dcterms:created>
  <dcterms:modified xsi:type="dcterms:W3CDTF">2019-03-19T17:16:38Z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terial Description">
    <vt:lpwstr>FY2007 Regulator's Budget Staffing Budget Tables 3-14</vt:lpwstr>
  </property>
  <property fmtid="{D5CDD505-2E9C-101B-9397-08002B2CF9AE}" pid="3" name="Project Year">
    <vt:lpwstr>2006</vt:lpwstr>
  </property>
  <property fmtid="{D5CDD505-2E9C-101B-9397-08002B2CF9AE}" pid="4" name="Project">
    <vt:lpwstr>43</vt:lpwstr>
  </property>
  <property fmtid="{D5CDD505-2E9C-101B-9397-08002B2CF9AE}" pid="5" name="Material Type">
    <vt:lpwstr>23</vt:lpwstr>
  </property>
  <property fmtid="{D5CDD505-2E9C-101B-9397-08002B2CF9AE}" pid="6" name="Project Clarification">
    <vt:lpwstr>FY2007 Regulator's Budget Staffing Budget Tables 3-14</vt:lpwstr>
  </property>
</Properties>
</file>