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025EB49B-B304-4FA3-9342-CCF1D2C4D01A}" xr6:coauthVersionLast="31" xr6:coauthVersionMax="31" xr10:uidLastSave="{00000000-0000-0000-0000-000000000000}"/>
  <bookViews>
    <workbookView xWindow="0" yWindow="0" windowWidth="20490" windowHeight="7545" firstSheet="1" activeTab="9" xr2:uid="{00000000-000D-0000-FFFF-FFFF00000000}"/>
  </bookViews>
  <sheets>
    <sheet name="Model Formulation" sheetId="1" r:id="rId1"/>
    <sheet name="Optimization" sheetId="2" r:id="rId2"/>
    <sheet name="Sensitivity Report 1" sheetId="44" r:id="rId3"/>
    <sheet name="STS_2" sheetId="43" r:id="rId4"/>
    <sheet name="Decision Tree" sheetId="8" r:id="rId5"/>
    <sheet name="_PalUtilTempWorksheet" sheetId="10" state="hidden" r:id="rId6"/>
    <sheet name="treeCalc_1" sheetId="9" state="hidden" r:id="rId7"/>
    <sheet name="Answer Report 1_STS" sheetId="6" state="veryHidden" r:id="rId8"/>
    <sheet name="Sheet2_STS" sheetId="3" state="veryHidden" r:id="rId9"/>
    <sheet name="Optimal Tree" sheetId="27" r:id="rId10"/>
    <sheet name="Sensitivity Report 1_STS" sheetId="35" state="veryHidden" r:id="rId11"/>
  </sheets>
  <definedNames>
    <definedName name="ChartData" localSheetId="3">STS_2!$K$5:$K$35</definedName>
    <definedName name="InputValues" localSheetId="3">STS_2!$A$5:$A$35</definedName>
    <definedName name="OutputAddresses" localSheetId="3">STS_2!$B$4</definedName>
    <definedName name="OutputValues" localSheetId="3">STS_2!$B$5:$B$35</definedName>
    <definedName name="PalisadeReportWorksheetCreatedBy" localSheetId="9">"PrecisionTree"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30</definedName>
    <definedName name="PTree_SensitivityAnalysis_Inputs_1_Minimum" hidden="1">10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1</definedName>
    <definedName name="PTree_SensitivityAnalysis_Inputs_1_VariationMethod" hidden="1">2</definedName>
    <definedName name="PTree_SensitivityAnalysis_Inputs_1_VaryCell" hidden="1">'Decision Tree'!$B$10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30</definedName>
    <definedName name="PTree_SensitivityAnalysis_Inputs_2_Minimum" hidden="1">10</definedName>
    <definedName name="PTree_SensitivityAnalysis_Inputs_2_OneWayAnalysis" hidden="1">1</definedName>
    <definedName name="PTree_SensitivityAnalysis_Inputs_2_Steps" hidden="1">10</definedName>
    <definedName name="PTree_SensitivityAnalysis_Inputs_2_TwoWayAnalysis" hidden="1">2</definedName>
    <definedName name="PTree_SensitivityAnalysis_Inputs_2_VariationMethod" hidden="1">2</definedName>
    <definedName name="PTree_SensitivityAnalysis_Inputs_2_VaryCell" hidden="1">'Decision Tree'!$C$10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9">1</definedName>
    <definedName name="solver_adj" localSheetId="1" hidden="1">Optimization!$D$3:$D$5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Optimization!$C$10</definedName>
    <definedName name="solver_lhs2" localSheetId="1" hidden="1">Optimization!$C$11</definedName>
    <definedName name="solver_lhs3" localSheetId="1" hidden="1">Optimization!$C$12</definedName>
    <definedName name="solver_lhs4" localSheetId="1" hidden="1">Optimization!$C$14</definedName>
    <definedName name="solver_lhs5" localSheetId="1" hidden="1">Optimization!$C$15</definedName>
    <definedName name="solver_lhs6" localSheetId="1" hidden="1">Optimization!$C$16</definedName>
    <definedName name="solver_lhs7" localSheetId="1" hidden="1">Optimization!$C$18</definedName>
    <definedName name="solver_lhs8" localSheetId="1" hidden="1">Optimization!$D$3:$D$5</definedName>
    <definedName name="solver_lhs9" localSheetId="1" hidden="1">Optimization!$D$3:$D$5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Optimization!$C$7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el8" localSheetId="1" hidden="1">4</definedName>
    <definedName name="solver_rel9" localSheetId="1" hidden="1">4</definedName>
    <definedName name="solver_rhs1" localSheetId="1" hidden="1">Optimization!$E$10</definedName>
    <definedName name="solver_rhs2" localSheetId="1" hidden="1">Optimization!$E$11</definedName>
    <definedName name="solver_rhs3" localSheetId="1" hidden="1">Optimization!$E$12</definedName>
    <definedName name="solver_rhs4" localSheetId="1" hidden="1">Optimization!$E$14</definedName>
    <definedName name="solver_rhs5" localSheetId="1" hidden="1">Optimization!$E$15</definedName>
    <definedName name="solver_rhs6" localSheetId="1" hidden="1">Optimization!$E$16</definedName>
    <definedName name="solver_rhs7" localSheetId="1" hidden="1">Optimization!$E$18</definedName>
    <definedName name="solver_rhs8" localSheetId="1" hidden="1">integer</definedName>
    <definedName name="solver_rhs9" localSheetId="1" hidden="1">integer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8" l="1"/>
  <c r="J16" i="9"/>
  <c r="H33" i="8"/>
  <c r="J18" i="9"/>
  <c r="H41" i="8"/>
  <c r="J19" i="9"/>
  <c r="I31" i="8"/>
  <c r="J20" i="9"/>
  <c r="I39" i="8"/>
  <c r="J21" i="9"/>
  <c r="J29" i="8"/>
  <c r="J22" i="9"/>
  <c r="J37" i="8"/>
  <c r="J23" i="9"/>
  <c r="G47" i="8"/>
  <c r="J24" i="9"/>
  <c r="H53" i="8"/>
  <c r="J26" i="9"/>
  <c r="I51" i="8"/>
  <c r="J27" i="9"/>
  <c r="H43" i="8"/>
  <c r="J28" i="9"/>
  <c r="J11" i="9"/>
  <c r="J12" i="9"/>
  <c r="J13" i="9"/>
  <c r="F27" i="8"/>
  <c r="J14" i="9"/>
  <c r="K11" i="9"/>
  <c r="G24" i="8"/>
  <c r="K16" i="9"/>
  <c r="G34" i="8"/>
  <c r="K17" i="9"/>
  <c r="G46" i="8"/>
  <c r="K24" i="9"/>
  <c r="G54" i="8"/>
  <c r="K25" i="9"/>
  <c r="F49" i="8"/>
  <c r="J15" i="9"/>
  <c r="J17" i="9"/>
  <c r="J25" i="9"/>
  <c r="F2" i="9"/>
  <c r="K1" i="43"/>
  <c r="J4" i="43"/>
  <c r="K35" i="43"/>
  <c r="K34" i="43"/>
  <c r="K33" i="43"/>
  <c r="K32" i="43"/>
  <c r="K31" i="43"/>
  <c r="K30" i="43"/>
  <c r="K29" i="43"/>
  <c r="K28" i="43"/>
  <c r="K27" i="43"/>
  <c r="K26" i="43"/>
  <c r="K25" i="43"/>
  <c r="K24" i="43"/>
  <c r="K23" i="43"/>
  <c r="K22" i="43"/>
  <c r="K21" i="43"/>
  <c r="K20" i="43"/>
  <c r="K19" i="43"/>
  <c r="K18" i="43"/>
  <c r="K17" i="43"/>
  <c r="K16" i="43"/>
  <c r="K15" i="43"/>
  <c r="K14" i="43"/>
  <c r="K13" i="43"/>
  <c r="K12" i="43"/>
  <c r="K11" i="43"/>
  <c r="K10" i="43"/>
  <c r="K9" i="43"/>
  <c r="K8" i="43"/>
  <c r="K7" i="43"/>
  <c r="K6" i="43"/>
  <c r="K5" i="43"/>
  <c r="H42" i="8"/>
  <c r="H40" i="8"/>
  <c r="H32" i="8"/>
  <c r="H35" i="8"/>
  <c r="O17" i="9"/>
  <c r="C12" i="2"/>
  <c r="C11" i="2"/>
  <c r="C10" i="2"/>
  <c r="C15" i="2"/>
  <c r="C14" i="2"/>
  <c r="O26" i="9"/>
  <c r="O25" i="9"/>
  <c r="O15" i="9"/>
  <c r="O21" i="9"/>
  <c r="O20" i="9"/>
  <c r="O19" i="9"/>
  <c r="O18" i="9"/>
  <c r="O14" i="9"/>
  <c r="O12" i="9"/>
  <c r="O11" i="9"/>
  <c r="B11" i="9"/>
  <c r="B2" i="9"/>
  <c r="N3" i="2"/>
  <c r="N4" i="2"/>
  <c r="N5" i="2"/>
  <c r="C16" i="2"/>
  <c r="O4" i="2"/>
  <c r="O5" i="2"/>
  <c r="O3" i="2"/>
  <c r="C7" i="2"/>
  <c r="I50" i="8"/>
  <c r="J50" i="8"/>
  <c r="H52" i="8"/>
  <c r="J51" i="8"/>
  <c r="A27" i="9"/>
  <c r="I53" i="8"/>
  <c r="A26" i="9"/>
  <c r="J36" i="8"/>
  <c r="K36" i="8"/>
  <c r="K37" i="8"/>
  <c r="A23" i="9"/>
  <c r="I38" i="8"/>
  <c r="J39" i="8"/>
  <c r="A21" i="9"/>
  <c r="I41" i="8"/>
  <c r="A19" i="9"/>
  <c r="I33" i="8"/>
  <c r="A18" i="9"/>
  <c r="A17" i="9"/>
  <c r="H24" i="8"/>
  <c r="H25" i="8"/>
  <c r="A16" i="9"/>
  <c r="F26" i="8"/>
  <c r="E58" i="8"/>
  <c r="F58" i="8"/>
  <c r="F59" i="8"/>
  <c r="A13" i="9"/>
  <c r="F45" i="8"/>
  <c r="A12" i="9"/>
  <c r="E57" i="8"/>
  <c r="A11" i="9"/>
  <c r="E44" i="8"/>
  <c r="G27" i="8"/>
  <c r="A14" i="9"/>
  <c r="G49" i="8"/>
  <c r="A15" i="9"/>
  <c r="J31" i="8"/>
  <c r="A20" i="9"/>
  <c r="I30" i="8"/>
  <c r="K29" i="8"/>
  <c r="A22" i="9"/>
  <c r="K28" i="8"/>
  <c r="J28" i="8"/>
  <c r="F48" i="8"/>
  <c r="H47" i="8"/>
  <c r="A24" i="9"/>
  <c r="H46" i="8"/>
  <c r="H55" i="8"/>
  <c r="A25" i="9"/>
  <c r="I43" i="8"/>
  <c r="A28" i="9"/>
  <c r="I4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300-00000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300-00000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0000000-0006-0000-0300-00000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0000000-0006-0000-0300-00000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0000000-0006-0000-0300-00000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0000000-0006-0000-0300-00000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0000000-0006-0000-0300-000008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0000000-0006-0000-0300-000009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0000000-0006-0000-0300-00000A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0000000-0006-0000-0300-00000B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00000000-0006-0000-0300-00000C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00000000-0006-0000-0300-00000D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00000000-0006-0000-0300-00000E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00000000-0006-0000-0300-00000F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00000000-0006-0000-0300-000010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00000000-0006-0000-0300-00001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00000000-0006-0000-0300-00001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00000000-0006-0000-0300-00001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00000000-0006-0000-0300-00001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00000000-0006-0000-0300-00001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00000000-0006-0000-0300-00001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00000000-0006-0000-0300-00001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00000000-0006-0000-0300-000018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00000000-0006-0000-0300-000019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00000000-0006-0000-0300-00001A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00000000-0006-0000-0300-00001B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00000000-0006-0000-0300-00001C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00000000-0006-0000-0300-00001D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00000000-0006-0000-0300-00001E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00000000-0006-0000-0300-00001F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<sst xmlns="http://schemas.openxmlformats.org/spreadsheetml/2006/main" count="297" uniqueCount="179">
  <si>
    <t>Decision variables</t>
  </si>
  <si>
    <t>Decision</t>
  </si>
  <si>
    <t>Vegan</t>
  </si>
  <si>
    <t>Number of units</t>
  </si>
  <si>
    <t>Objective</t>
  </si>
  <si>
    <t>LHS</t>
  </si>
  <si>
    <t>RHS</t>
  </si>
  <si>
    <t>&gt;=</t>
  </si>
  <si>
    <t>&lt;=</t>
  </si>
  <si>
    <t>Microsoft Excel 16.0 Sensitivity Report</t>
  </si>
  <si>
    <t>Worksheet: [Project.xlsx]Sheet2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</si>
  <si>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</si>
  <si>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</si>
  <si>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</si>
  <si>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</si>
  <si>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</si>
  <si>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</si>
  <si>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</si>
  <si>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</si>
  <si>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</si>
  <si>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</si>
  <si>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</si>
  <si>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</si>
  <si>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</si>
  <si>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</si>
  <si>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</si>
  <si>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</si>
  <si>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$D$4</t>
  </si>
  <si>
    <t>$D$5</t>
  </si>
  <si>
    <t>$C$11</t>
  </si>
  <si>
    <t>$C$12</t>
  </si>
  <si>
    <t>$C$14</t>
  </si>
  <si>
    <t>$C$15</t>
  </si>
  <si>
    <t>$C$16</t>
  </si>
  <si>
    <t>Cost for:</t>
  </si>
  <si>
    <t xml:space="preserve">In house </t>
  </si>
  <si>
    <t>Outsource</t>
  </si>
  <si>
    <t>Growth</t>
  </si>
  <si>
    <t>In House</t>
  </si>
  <si>
    <t>Rise</t>
  </si>
  <si>
    <t>Fall</t>
  </si>
  <si>
    <t>Return</t>
  </si>
  <si>
    <t>Return from</t>
  </si>
  <si>
    <t>Selling</t>
  </si>
  <si>
    <t>Leasing</t>
  </si>
  <si>
    <t>6716A8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</si>
  <si>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</si>
  <si>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</si>
  <si>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</si>
  <si>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</si>
  <si>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</si>
  <si>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</si>
  <si>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</si>
  <si>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</si>
  <si>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</si>
  <si>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</si>
  <si>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</si>
  <si>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</si>
  <si>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</si>
  <si>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</si>
  <si>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</si>
  <si>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</si>
  <si>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</si>
  <si>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</si>
  <si>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</si>
  <si>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</si>
  <si>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</si>
  <si>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</si>
  <si>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</si>
  <si>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</si>
  <si>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</si>
  <si>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</si>
  <si>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</si>
  <si>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</si>
  <si>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</si>
  <si>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</si>
  <si>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</si>
  <si>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</si>
  <si>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</si>
  <si>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</si>
  <si>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</si>
  <si>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</si>
  <si>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</si>
  <si>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</si>
  <si>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</si>
  <si>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</si>
  <si>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</si>
  <si>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</si>
  <si>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</si>
  <si>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</si>
  <si>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4,0,0,0,1,0,0</t>
  </si>
  <si>
    <t>2,0,0,2,2,3,0,0,0</t>
  </si>
  <si>
    <t>Accept Offer</t>
  </si>
  <si>
    <t>Decline Offer</t>
  </si>
  <si>
    <t>2,0,0,2,4,5,1,0,0</t>
  </si>
  <si>
    <t>In-House</t>
  </si>
  <si>
    <t>Out-source</t>
  </si>
  <si>
    <t>4,0,0,0,4,0,0</t>
  </si>
  <si>
    <t>1,0,0,2,6,7,2,0,0</t>
  </si>
  <si>
    <t>Sell</t>
  </si>
  <si>
    <t>Lease</t>
  </si>
  <si>
    <t>2,0,0,1,10,7,0,0</t>
  </si>
  <si>
    <t>2,0,0,1,11,7,0,0</t>
  </si>
  <si>
    <t>4,0,0,0,10,0,0</t>
  </si>
  <si>
    <t>2,0,0,1,12,8,0,0</t>
  </si>
  <si>
    <t>4,0,0,0,11,0,0</t>
  </si>
  <si>
    <t>2,0,0,1,13,9,0,0</t>
  </si>
  <si>
    <t>4,0,0,0,5,0,0</t>
  </si>
  <si>
    <t>1,0,0,2,14,15,2,0,0</t>
  </si>
  <si>
    <t>2,0,0,1,16,5,0,0</t>
  </si>
  <si>
    <t>Revise Contract</t>
  </si>
  <si>
    <t>2,0,0,1,17,15,0,0</t>
  </si>
  <si>
    <t>4,0,0,0,16,0,0</t>
  </si>
  <si>
    <r>
      <t>Performed By:</t>
    </r>
    <r>
      <rPr>
        <sz val="8"/>
        <color theme="1"/>
        <rFont val="Tahoma"/>
        <family val="2"/>
      </rPr>
      <t xml:space="preserve"> Sanchit Podar</t>
    </r>
  </si>
  <si>
    <r>
      <t>Model:</t>
    </r>
    <r>
      <rPr>
        <sz val="8"/>
        <color theme="1"/>
        <rFont val="Tahoma"/>
        <family val="2"/>
      </rPr>
      <t xml:space="preserve"> Decision Tree 'Decision' in [Project.xlsx]Sheet3</t>
    </r>
  </si>
  <si>
    <t>PrecisionTree Policy Suggestion - Optimal Decision Tree</t>
  </si>
  <si>
    <t>Raw food Cost</t>
  </si>
  <si>
    <t>Gas and Refrigeration</t>
  </si>
  <si>
    <t>Labour</t>
  </si>
  <si>
    <t>M1</t>
  </si>
  <si>
    <t>M2</t>
  </si>
  <si>
    <t>M3</t>
  </si>
  <si>
    <t>Cost per meal(in dollars)</t>
  </si>
  <si>
    <t>Selling Price</t>
  </si>
  <si>
    <t>Budgets</t>
  </si>
  <si>
    <t>Raw Food</t>
  </si>
  <si>
    <t>Demand</t>
  </si>
  <si>
    <t>M1+M2+M3</t>
  </si>
  <si>
    <t>Maximize Profit</t>
  </si>
  <si>
    <t>MAX{[(M1*8.2)+M2(M2*9.3)+(M3*9.8)]-[M1(4.9+2.1+0.75)+M2(5.5+2.1+0.875)+M3(6.1+2.1+1)]}</t>
  </si>
  <si>
    <t xml:space="preserve">Model Formulation for Profit maximization of Bite Nutrition </t>
  </si>
  <si>
    <t>Vegetarian</t>
  </si>
  <si>
    <t>Non-Vegetarian</t>
  </si>
  <si>
    <t>Total Cost</t>
  </si>
  <si>
    <t>Profit</t>
  </si>
  <si>
    <t>Objective function</t>
  </si>
  <si>
    <t>Demand for:</t>
  </si>
  <si>
    <t>Non - Negativity</t>
  </si>
  <si>
    <t>M1,M2,M3&gt;=0</t>
  </si>
  <si>
    <t>Vegetarian Meal Plan</t>
  </si>
  <si>
    <t>Vegan Meal Plan</t>
  </si>
  <si>
    <t>Non-Vegetarian Meal Plan</t>
  </si>
  <si>
    <t>Total Capacity</t>
  </si>
  <si>
    <t>Labour Cost Budget</t>
  </si>
  <si>
    <t>Raw Food Budget</t>
  </si>
  <si>
    <t>Total Production Capacity(per day)</t>
  </si>
  <si>
    <t>Excel solver model for Profit maximization for Bite Nutrition</t>
  </si>
  <si>
    <t>Raw Food Cost</t>
  </si>
  <si>
    <t xml:space="preserve"> </t>
  </si>
  <si>
    <t>$D$3</t>
  </si>
  <si>
    <t>M1 Number of units</t>
  </si>
  <si>
    <t>M2 Number of units</t>
  </si>
  <si>
    <t>M3 Number of units</t>
  </si>
  <si>
    <t>$C$10</t>
  </si>
  <si>
    <t>Labour Cost Budget LHS</t>
  </si>
  <si>
    <t>Raw Food Budget LHS</t>
  </si>
  <si>
    <t>Total Capacity LHS</t>
  </si>
  <si>
    <t>M1 LHS</t>
  </si>
  <si>
    <t>M2 LHS</t>
  </si>
  <si>
    <t>M3 LHS</t>
  </si>
  <si>
    <t>Contract Revision</t>
  </si>
  <si>
    <t>4,0,0,0,7,0,0</t>
  </si>
  <si>
    <t>2,0,0,3,8,9,18,4,0,0</t>
  </si>
  <si>
    <t>Continue Production</t>
  </si>
  <si>
    <t>In House EMR</t>
  </si>
  <si>
    <t>Outsource EMR</t>
  </si>
  <si>
    <r>
      <t>Date:</t>
    </r>
    <r>
      <rPr>
        <sz val="8"/>
        <color theme="1"/>
        <rFont val="Tahoma"/>
        <family val="2"/>
      </rPr>
      <t xml:space="preserve"> Monday, 4 June, 2018 9:53:31 PM</t>
    </r>
  </si>
  <si>
    <t>$E$14</t>
  </si>
  <si>
    <t>$C$7</t>
  </si>
  <si>
    <t>Input2</t>
  </si>
  <si>
    <t>$E$12</t>
  </si>
  <si>
    <t>Oneway analysis for Solver model in Sheet2 worksheet</t>
  </si>
  <si>
    <t>Total Capacity (cell $E$12) values along side, output cell(s) along top</t>
  </si>
  <si>
    <t>Data for chart</t>
  </si>
  <si>
    <t>$E$10</t>
  </si>
  <si>
    <t xml:space="preserve">We plotted the constraints and ran the excel solver model to maximize per day profit for Bite Nutirion. We reached a conclusion that we should produce:
M1 : 6450
M2 : 4000
M3 : 4550  </t>
  </si>
  <si>
    <t>Report Created: 04-Jun-18 11:18:58 PM</t>
  </si>
  <si>
    <t>Miscellaneous</t>
  </si>
  <si>
    <t>Decision Tree Model Formulation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</si>
</sst>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i/>
      <sz val="1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9" fillId="2" borderId="0" xfId="0" applyFont="1" applyFill="1" applyBorder="1"/>
    <xf numFmtId="0" fontId="8" fillId="2" borderId="0" xfId="0" applyFont="1" applyFill="1" applyBorder="1"/>
    <xf numFmtId="0" fontId="8" fillId="2" borderId="5" xfId="0" applyFont="1" applyFill="1" applyBorder="1"/>
    <xf numFmtId="0" fontId="9" fillId="2" borderId="0" xfId="0" quotePrefix="1" applyFont="1" applyFill="1" applyBorder="1"/>
    <xf numFmtId="0" fontId="10" fillId="2" borderId="0" xfId="0" applyFont="1" applyFill="1" applyBorder="1"/>
    <xf numFmtId="0" fontId="10" fillId="2" borderId="5" xfId="0" applyFont="1" applyFill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0" xfId="0" applyNumberFormat="1"/>
    <xf numFmtId="0" fontId="4" fillId="0" borderId="0" xfId="0" applyNumberFormat="1" applyFont="1" applyAlignment="1">
      <alignment horizontal="right"/>
    </xf>
    <xf numFmtId="0" fontId="0" fillId="3" borderId="0" xfId="0" applyFill="1" applyAlignment="1">
      <alignment horizontal="right" textRotation="90"/>
    </xf>
    <xf numFmtId="0" fontId="14" fillId="0" borderId="0" xfId="0" applyFont="1"/>
    <xf numFmtId="0" fontId="0" fillId="0" borderId="0" xfId="0" applyAlignment="1">
      <alignment horizontal="right" textRotation="90"/>
    </xf>
    <xf numFmtId="0" fontId="0" fillId="0" borderId="23" xfId="0" applyNumberFormat="1" applyBorder="1"/>
    <xf numFmtId="0" fontId="0" fillId="0" borderId="22" xfId="0" applyNumberFormat="1" applyBorder="1"/>
    <xf numFmtId="0" fontId="0" fillId="0" borderId="21" xfId="0" applyNumberFormat="1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4" borderId="7" xfId="0" applyFont="1" applyFill="1" applyBorder="1" applyAlignment="1"/>
    <xf numFmtId="0" fontId="1" fillId="4" borderId="9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$C$7 to Total Capacity</c:v>
            </c:pt>
          </c:strCache>
        </c:strRef>
      </c:tx>
      <c:layout>
        <c:manualLayout>
          <c:xMode val="edge"/>
          <c:yMode val="edge"/>
          <c:x val="0.13397125164041995"/>
          <c:y val="3.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STS_2!$A$5:$A$35</c:f>
              <c:numCache>
                <c:formatCode>General</c:formatCode>
                <c:ptCount val="31"/>
                <c:pt idx="0">
                  <c:v>15000</c:v>
                </c:pt>
                <c:pt idx="1">
                  <c:v>15250</c:v>
                </c:pt>
                <c:pt idx="2">
                  <c:v>15500</c:v>
                </c:pt>
                <c:pt idx="3">
                  <c:v>15750</c:v>
                </c:pt>
                <c:pt idx="4">
                  <c:v>16000</c:v>
                </c:pt>
                <c:pt idx="5">
                  <c:v>16250</c:v>
                </c:pt>
                <c:pt idx="6">
                  <c:v>16500</c:v>
                </c:pt>
                <c:pt idx="7">
                  <c:v>16750</c:v>
                </c:pt>
                <c:pt idx="8">
                  <c:v>17000</c:v>
                </c:pt>
                <c:pt idx="9">
                  <c:v>17250</c:v>
                </c:pt>
                <c:pt idx="10">
                  <c:v>17500</c:v>
                </c:pt>
                <c:pt idx="11">
                  <c:v>17750</c:v>
                </c:pt>
                <c:pt idx="12">
                  <c:v>18000</c:v>
                </c:pt>
                <c:pt idx="13">
                  <c:v>18250</c:v>
                </c:pt>
                <c:pt idx="14">
                  <c:v>18500</c:v>
                </c:pt>
                <c:pt idx="15">
                  <c:v>18750</c:v>
                </c:pt>
                <c:pt idx="16">
                  <c:v>19000</c:v>
                </c:pt>
                <c:pt idx="17">
                  <c:v>19250</c:v>
                </c:pt>
                <c:pt idx="18">
                  <c:v>19500</c:v>
                </c:pt>
                <c:pt idx="19">
                  <c:v>19750</c:v>
                </c:pt>
                <c:pt idx="20">
                  <c:v>20000</c:v>
                </c:pt>
                <c:pt idx="21">
                  <c:v>20250</c:v>
                </c:pt>
                <c:pt idx="22">
                  <c:v>20500</c:v>
                </c:pt>
                <c:pt idx="23">
                  <c:v>20750</c:v>
                </c:pt>
                <c:pt idx="24">
                  <c:v>21000</c:v>
                </c:pt>
                <c:pt idx="25">
                  <c:v>21250</c:v>
                </c:pt>
                <c:pt idx="26">
                  <c:v>21500</c:v>
                </c:pt>
                <c:pt idx="27">
                  <c:v>21750</c:v>
                </c:pt>
                <c:pt idx="28">
                  <c:v>22000</c:v>
                </c:pt>
                <c:pt idx="29">
                  <c:v>22250</c:v>
                </c:pt>
                <c:pt idx="30">
                  <c:v>22500</c:v>
                </c:pt>
              </c:numCache>
            </c:numRef>
          </c:cat>
          <c:val>
            <c:numRef>
              <c:f>STS_2!$K$5:$K$35</c:f>
              <c:numCache>
                <c:formatCode>General</c:formatCode>
                <c:ptCount val="31"/>
                <c:pt idx="0">
                  <c:v>12190.003328323366</c:v>
                </c:pt>
                <c:pt idx="1">
                  <c:v>12415.003423690798</c:v>
                </c:pt>
                <c:pt idx="2">
                  <c:v>12640.003519058229</c:v>
                </c:pt>
                <c:pt idx="3">
                  <c:v>12865.003614425663</c:v>
                </c:pt>
                <c:pt idx="4">
                  <c:v>13090.003709793094</c:v>
                </c:pt>
                <c:pt idx="5">
                  <c:v>13315.003805160526</c:v>
                </c:pt>
                <c:pt idx="6">
                  <c:v>13540.003900527958</c:v>
                </c:pt>
                <c:pt idx="7">
                  <c:v>13765.003995895389</c:v>
                </c:pt>
                <c:pt idx="8">
                  <c:v>13990.004091262821</c:v>
                </c:pt>
                <c:pt idx="9">
                  <c:v>14215.004186630253</c:v>
                </c:pt>
                <c:pt idx="10">
                  <c:v>14440.004281997684</c:v>
                </c:pt>
                <c:pt idx="11">
                  <c:v>14665.004377365118</c:v>
                </c:pt>
                <c:pt idx="12">
                  <c:v>14890.004472732549</c:v>
                </c:pt>
                <c:pt idx="13">
                  <c:v>15115.004568099981</c:v>
                </c:pt>
                <c:pt idx="14">
                  <c:v>15340.004663467413</c:v>
                </c:pt>
                <c:pt idx="15">
                  <c:v>15565.004758834844</c:v>
                </c:pt>
                <c:pt idx="16">
                  <c:v>15790.004854202276</c:v>
                </c:pt>
                <c:pt idx="17">
                  <c:v>16015.004949569708</c:v>
                </c:pt>
                <c:pt idx="18">
                  <c:v>16240.005044937139</c:v>
                </c:pt>
                <c:pt idx="19">
                  <c:v>16465.005140304573</c:v>
                </c:pt>
                <c:pt idx="20">
                  <c:v>16690.005235672004</c:v>
                </c:pt>
                <c:pt idx="21">
                  <c:v>16915.005331039436</c:v>
                </c:pt>
                <c:pt idx="22">
                  <c:v>17140.005426406868</c:v>
                </c:pt>
                <c:pt idx="23">
                  <c:v>17365.005521774299</c:v>
                </c:pt>
                <c:pt idx="24">
                  <c:v>17590.005617141731</c:v>
                </c:pt>
                <c:pt idx="25">
                  <c:v>17815.005712509163</c:v>
                </c:pt>
                <c:pt idx="26">
                  <c:v>18040.005807876594</c:v>
                </c:pt>
                <c:pt idx="27">
                  <c:v>18265.005903244026</c:v>
                </c:pt>
                <c:pt idx="28">
                  <c:v>18490.005998611457</c:v>
                </c:pt>
                <c:pt idx="29">
                  <c:v>18715.006093978889</c:v>
                </c:pt>
                <c:pt idx="30">
                  <c:v>18940.006189346321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7-47D6-9EEC-018950DE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823759"/>
        <c:axId val="1479811999"/>
      </c:lineChart>
      <c:catAx>
        <c:axId val="148682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Capacity ($E$12)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11999"/>
        <c:crosses val="autoZero"/>
        <c:auto val="1"/>
        <c:lblAlgn val="ctr"/>
        <c:lblOffset val="100"/>
        <c:noMultiLvlLbl val="0"/>
      </c:catAx>
      <c:valAx>
        <c:axId val="14798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2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209550</xdr:colOff>
      <xdr:row>4</xdr:row>
      <xdr:rowOff>95250</xdr:rowOff>
    </xdr:from>
    <xdr:to>
      <xdr:col>9</xdr:col>
      <xdr:colOff>495300</xdr:colOff>
      <xdr:row>18</xdr:row>
      <xdr:rowOff>133349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9B993B2B-8DE6-412F-ABCF-47E2E65D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0FF366-FAA9-4A6E-B685-86EFFC4B5BBF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242697</xdr:colOff>
      <xdr:row>41</xdr:row>
      <xdr:rowOff>185420</xdr:rowOff>
    </xdr:from>
    <xdr:to>
      <xdr:col>8</xdr:col>
      <xdr:colOff>127</xdr:colOff>
      <xdr:row>41</xdr:row>
      <xdr:rowOff>185420</xdr:rowOff>
    </xdr:to>
    <xdr:cxnSp macro="_xll.PtreeEvent_ObjectClick">
      <xdr:nvCxnSpPr>
        <xdr:cNvPr id="57" name="PTObj_DBranchHLine_1_18">
          <a:extLst>
            <a:ext uri="{FF2B5EF4-FFF2-40B4-BE49-F238E27FC236}">
              <a16:creationId xmlns:a16="http://schemas.microsoft.com/office/drawing/2014/main" id="{9877E43E-6549-4A9D-9592-8A701707A5C5}"/>
            </a:ext>
          </a:extLst>
        </xdr:cNvPr>
        <xdr:cNvCxnSpPr/>
      </xdr:nvCxnSpPr>
      <xdr:spPr>
        <a:xfrm>
          <a:off x="8034147" y="7900670"/>
          <a:ext cx="1519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33</xdr:row>
      <xdr:rowOff>180340</xdr:rowOff>
    </xdr:from>
    <xdr:to>
      <xdr:col>7</xdr:col>
      <xdr:colOff>242697</xdr:colOff>
      <xdr:row>41</xdr:row>
      <xdr:rowOff>185420</xdr:rowOff>
    </xdr:to>
    <xdr:cxnSp macro="_xll.PtreeEvent_ObjectClick">
      <xdr:nvCxnSpPr>
        <xdr:cNvPr id="56" name="PTObj_DBranchDLine_1_18">
          <a:extLst>
            <a:ext uri="{FF2B5EF4-FFF2-40B4-BE49-F238E27FC236}">
              <a16:creationId xmlns:a16="http://schemas.microsoft.com/office/drawing/2014/main" id="{75D6A113-D38D-4791-971A-5BB895AC3105}"/>
            </a:ext>
          </a:extLst>
        </xdr:cNvPr>
        <xdr:cNvCxnSpPr/>
      </xdr:nvCxnSpPr>
      <xdr:spPr>
        <a:xfrm>
          <a:off x="7881747" y="637159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39</xdr:row>
      <xdr:rowOff>185420</xdr:rowOff>
    </xdr:from>
    <xdr:to>
      <xdr:col>8</xdr:col>
      <xdr:colOff>127</xdr:colOff>
      <xdr:row>39</xdr:row>
      <xdr:rowOff>185420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5AEFF3AD-A0CF-4EFF-904B-325770752659}"/>
            </a:ext>
          </a:extLst>
        </xdr:cNvPr>
        <xdr:cNvCxnSpPr/>
      </xdr:nvCxnSpPr>
      <xdr:spPr>
        <a:xfrm>
          <a:off x="8034147" y="7519670"/>
          <a:ext cx="1519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33</xdr:row>
      <xdr:rowOff>180340</xdr:rowOff>
    </xdr:from>
    <xdr:to>
      <xdr:col>7</xdr:col>
      <xdr:colOff>242697</xdr:colOff>
      <xdr:row>39</xdr:row>
      <xdr:rowOff>185420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37CCE4E5-DD22-474B-AD5E-0D5A1BD12D2D}"/>
            </a:ext>
          </a:extLst>
        </xdr:cNvPr>
        <xdr:cNvCxnSpPr/>
      </xdr:nvCxnSpPr>
      <xdr:spPr>
        <a:xfrm>
          <a:off x="7881747" y="6371590"/>
          <a:ext cx="152400" cy="1148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31</xdr:row>
      <xdr:rowOff>185420</xdr:rowOff>
    </xdr:from>
    <xdr:to>
      <xdr:col>8</xdr:col>
      <xdr:colOff>127</xdr:colOff>
      <xdr:row>31</xdr:row>
      <xdr:rowOff>185420</xdr:rowOff>
    </xdr:to>
    <xdr:cxnSp macro="_xll.PtreeEvent_ObjectClick">
      <xdr:nvCxnSpPr>
        <xdr:cNvPr id="47" name="PTObj_DBranchHLine_1_8">
          <a:extLst>
            <a:ext uri="{FF2B5EF4-FFF2-40B4-BE49-F238E27FC236}">
              <a16:creationId xmlns:a16="http://schemas.microsoft.com/office/drawing/2014/main" id="{B5A14E86-AC42-4EBA-9C6A-20C52C79F89A}"/>
            </a:ext>
          </a:extLst>
        </xdr:cNvPr>
        <xdr:cNvCxnSpPr/>
      </xdr:nvCxnSpPr>
      <xdr:spPr>
        <a:xfrm>
          <a:off x="8034147" y="5995670"/>
          <a:ext cx="1519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31</xdr:row>
      <xdr:rowOff>185420</xdr:rowOff>
    </xdr:from>
    <xdr:to>
      <xdr:col>7</xdr:col>
      <xdr:colOff>242697</xdr:colOff>
      <xdr:row>33</xdr:row>
      <xdr:rowOff>180340</xdr:rowOff>
    </xdr:to>
    <xdr:cxnSp macro="_xll.PtreeEvent_ObjectClick">
      <xdr:nvCxnSpPr>
        <xdr:cNvPr id="46" name="PTObj_DBranchDLine_1_8">
          <a:extLst>
            <a:ext uri="{FF2B5EF4-FFF2-40B4-BE49-F238E27FC236}">
              <a16:creationId xmlns:a16="http://schemas.microsoft.com/office/drawing/2014/main" id="{A0BB2F55-60CD-4AD7-BC7B-99863E3D35BC}"/>
            </a:ext>
          </a:extLst>
        </xdr:cNvPr>
        <xdr:cNvCxnSpPr/>
      </xdr:nvCxnSpPr>
      <xdr:spPr>
        <a:xfrm flipV="1">
          <a:off x="7881747" y="599567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33</xdr:row>
      <xdr:rowOff>185420</xdr:rowOff>
    </xdr:from>
    <xdr:to>
      <xdr:col>7</xdr:col>
      <xdr:colOff>127</xdr:colOff>
      <xdr:row>33</xdr:row>
      <xdr:rowOff>185420</xdr:rowOff>
    </xdr:to>
    <xdr:cxnSp macro="_xll.PtreeEvent_ObjectClick">
      <xdr:nvCxnSpPr>
        <xdr:cNvPr id="44" name="PTObj_DBranchHLine_1_7">
          <a:extLst>
            <a:ext uri="{FF2B5EF4-FFF2-40B4-BE49-F238E27FC236}">
              <a16:creationId xmlns:a16="http://schemas.microsoft.com/office/drawing/2014/main" id="{E87874AF-DEDF-49F0-B322-74A5CDD08962}"/>
            </a:ext>
          </a:extLst>
        </xdr:cNvPr>
        <xdr:cNvCxnSpPr/>
      </xdr:nvCxnSpPr>
      <xdr:spPr>
        <a:xfrm>
          <a:off x="6491097" y="637667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25</xdr:row>
      <xdr:rowOff>180340</xdr:rowOff>
    </xdr:from>
    <xdr:to>
      <xdr:col>6</xdr:col>
      <xdr:colOff>242697</xdr:colOff>
      <xdr:row>33</xdr:row>
      <xdr:rowOff>185420</xdr:rowOff>
    </xdr:to>
    <xdr:cxnSp macro="_xll.PtreeEvent_ObjectClick">
      <xdr:nvCxnSpPr>
        <xdr:cNvPr id="39" name="PTObj_DBranchDLine_1_7">
          <a:extLst>
            <a:ext uri="{FF2B5EF4-FFF2-40B4-BE49-F238E27FC236}">
              <a16:creationId xmlns:a16="http://schemas.microsoft.com/office/drawing/2014/main" id="{5A7A22C5-D712-4557-9ED6-01B654B3DE32}"/>
            </a:ext>
          </a:extLst>
        </xdr:cNvPr>
        <xdr:cNvCxnSpPr/>
      </xdr:nvCxnSpPr>
      <xdr:spPr>
        <a:xfrm>
          <a:off x="6338697" y="484759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49</xdr:row>
      <xdr:rowOff>185420</xdr:rowOff>
    </xdr:from>
    <xdr:to>
      <xdr:col>9</xdr:col>
      <xdr:colOff>127</xdr:colOff>
      <xdr:row>49</xdr:row>
      <xdr:rowOff>185420</xdr:rowOff>
    </xdr:to>
    <xdr:cxnSp macro="_xll.PtreeEvent_ObjectClick">
      <xdr:nvCxnSpPr>
        <xdr:cNvPr id="114" name="PTObj_DBranchHLine_1_17">
          <a:extLst>
            <a:ext uri="{FF2B5EF4-FFF2-40B4-BE49-F238E27FC236}">
              <a16:creationId xmlns:a16="http://schemas.microsoft.com/office/drawing/2014/main" id="{7B6038D4-C4F5-404E-9A21-C1670045B601}"/>
            </a:ext>
          </a:extLst>
        </xdr:cNvPr>
        <xdr:cNvCxnSpPr/>
      </xdr:nvCxnSpPr>
      <xdr:spPr>
        <a:xfrm>
          <a:off x="9348597" y="8948420"/>
          <a:ext cx="115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49</xdr:row>
      <xdr:rowOff>185420</xdr:rowOff>
    </xdr:from>
    <xdr:to>
      <xdr:col>8</xdr:col>
      <xdr:colOff>242697</xdr:colOff>
      <xdr:row>51</xdr:row>
      <xdr:rowOff>180339</xdr:rowOff>
    </xdr:to>
    <xdr:cxnSp macro="_xll.PtreeEvent_ObjectClick">
      <xdr:nvCxnSpPr>
        <xdr:cNvPr id="113" name="PTObj_DBranchDLine_1_17">
          <a:extLst>
            <a:ext uri="{FF2B5EF4-FFF2-40B4-BE49-F238E27FC236}">
              <a16:creationId xmlns:a16="http://schemas.microsoft.com/office/drawing/2014/main" id="{794EDF11-FA97-4660-8C96-C17B06EDB635}"/>
            </a:ext>
          </a:extLst>
        </xdr:cNvPr>
        <xdr:cNvCxnSpPr/>
      </xdr:nvCxnSpPr>
      <xdr:spPr>
        <a:xfrm flipV="1">
          <a:off x="9196197" y="8948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51</xdr:row>
      <xdr:rowOff>185420</xdr:rowOff>
    </xdr:from>
    <xdr:to>
      <xdr:col>8</xdr:col>
      <xdr:colOff>127</xdr:colOff>
      <xdr:row>51</xdr:row>
      <xdr:rowOff>185420</xdr:rowOff>
    </xdr:to>
    <xdr:cxnSp macro="_xll.PtreeEvent_ObjectClick">
      <xdr:nvCxnSpPr>
        <xdr:cNvPr id="110" name="PTObj_DBranchHLine_1_16">
          <a:extLst>
            <a:ext uri="{FF2B5EF4-FFF2-40B4-BE49-F238E27FC236}">
              <a16:creationId xmlns:a16="http://schemas.microsoft.com/office/drawing/2014/main" id="{AF2BA2CC-1ADC-428C-9FF8-1CC2F326109C}"/>
            </a:ext>
          </a:extLst>
        </xdr:cNvPr>
        <xdr:cNvCxnSpPr/>
      </xdr:nvCxnSpPr>
      <xdr:spPr>
        <a:xfrm>
          <a:off x="7796022" y="9329420"/>
          <a:ext cx="13100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51</xdr:row>
      <xdr:rowOff>185420</xdr:rowOff>
    </xdr:from>
    <xdr:to>
      <xdr:col>7</xdr:col>
      <xdr:colOff>242697</xdr:colOff>
      <xdr:row>53</xdr:row>
      <xdr:rowOff>180339</xdr:rowOff>
    </xdr:to>
    <xdr:cxnSp macro="_xll.PtreeEvent_ObjectClick">
      <xdr:nvCxnSpPr>
        <xdr:cNvPr id="109" name="PTObj_DBranchDLine_1_16">
          <a:extLst>
            <a:ext uri="{FF2B5EF4-FFF2-40B4-BE49-F238E27FC236}">
              <a16:creationId xmlns:a16="http://schemas.microsoft.com/office/drawing/2014/main" id="{F876FF21-311D-4568-8F8F-10FB9C72AB6C}"/>
            </a:ext>
          </a:extLst>
        </xdr:cNvPr>
        <xdr:cNvCxnSpPr/>
      </xdr:nvCxnSpPr>
      <xdr:spPr>
        <a:xfrm flipV="1">
          <a:off x="7643622" y="9329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53</xdr:row>
      <xdr:rowOff>185420</xdr:rowOff>
    </xdr:from>
    <xdr:to>
      <xdr:col>7</xdr:col>
      <xdr:colOff>127</xdr:colOff>
      <xdr:row>53</xdr:row>
      <xdr:rowOff>185420</xdr:rowOff>
    </xdr:to>
    <xdr:cxnSp macro="_xll.PtreeEvent_ObjectClick">
      <xdr:nvCxnSpPr>
        <xdr:cNvPr id="98" name="PTObj_DBranchHLine_1_15">
          <a:extLst>
            <a:ext uri="{FF2B5EF4-FFF2-40B4-BE49-F238E27FC236}">
              <a16:creationId xmlns:a16="http://schemas.microsoft.com/office/drawing/2014/main" id="{1D92FA07-494D-42FE-AD2E-FDBBAAF0EBF3}"/>
            </a:ext>
          </a:extLst>
        </xdr:cNvPr>
        <xdr:cNvCxnSpPr/>
      </xdr:nvCxnSpPr>
      <xdr:spPr>
        <a:xfrm>
          <a:off x="6252972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47</xdr:row>
      <xdr:rowOff>180339</xdr:rowOff>
    </xdr:from>
    <xdr:to>
      <xdr:col>6</xdr:col>
      <xdr:colOff>242697</xdr:colOff>
      <xdr:row>53</xdr:row>
      <xdr:rowOff>185420</xdr:rowOff>
    </xdr:to>
    <xdr:cxnSp macro="_xll.PtreeEvent_ObjectClick">
      <xdr:nvCxnSpPr>
        <xdr:cNvPr id="97" name="PTObj_DBranchDLine_1_15">
          <a:extLst>
            <a:ext uri="{FF2B5EF4-FFF2-40B4-BE49-F238E27FC236}">
              <a16:creationId xmlns:a16="http://schemas.microsoft.com/office/drawing/2014/main" id="{A86C0ADB-77BF-44E3-9D6B-1A14D95AB1D8}"/>
            </a:ext>
          </a:extLst>
        </xdr:cNvPr>
        <xdr:cNvCxnSpPr/>
      </xdr:nvCxnSpPr>
      <xdr:spPr>
        <a:xfrm>
          <a:off x="6100572" y="8562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45</xdr:row>
      <xdr:rowOff>185420</xdr:rowOff>
    </xdr:from>
    <xdr:to>
      <xdr:col>7</xdr:col>
      <xdr:colOff>127</xdr:colOff>
      <xdr:row>45</xdr:row>
      <xdr:rowOff>185420</xdr:rowOff>
    </xdr:to>
    <xdr:cxnSp macro="_xll.PtreeEvent_ObjectClick">
      <xdr:nvCxnSpPr>
        <xdr:cNvPr id="90" name="PTObj_DBranchHLine_1_14">
          <a:extLst>
            <a:ext uri="{FF2B5EF4-FFF2-40B4-BE49-F238E27FC236}">
              <a16:creationId xmlns:a16="http://schemas.microsoft.com/office/drawing/2014/main" id="{1A606C9D-B897-449A-9302-87EE497B3876}"/>
            </a:ext>
          </a:extLst>
        </xdr:cNvPr>
        <xdr:cNvCxnSpPr/>
      </xdr:nvCxnSpPr>
      <xdr:spPr>
        <a:xfrm>
          <a:off x="6252972" y="8186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45</xdr:row>
      <xdr:rowOff>185420</xdr:rowOff>
    </xdr:from>
    <xdr:to>
      <xdr:col>6</xdr:col>
      <xdr:colOff>242697</xdr:colOff>
      <xdr:row>47</xdr:row>
      <xdr:rowOff>180339</xdr:rowOff>
    </xdr:to>
    <xdr:cxnSp macro="_xll.PtreeEvent_ObjectClick">
      <xdr:nvCxnSpPr>
        <xdr:cNvPr id="89" name="PTObj_DBranchDLine_1_14">
          <a:extLst>
            <a:ext uri="{FF2B5EF4-FFF2-40B4-BE49-F238E27FC236}">
              <a16:creationId xmlns:a16="http://schemas.microsoft.com/office/drawing/2014/main" id="{D079D358-A36E-4D38-848C-9FA06CBE0211}"/>
            </a:ext>
          </a:extLst>
        </xdr:cNvPr>
        <xdr:cNvCxnSpPr/>
      </xdr:nvCxnSpPr>
      <xdr:spPr>
        <a:xfrm flipV="1">
          <a:off x="6100572" y="8186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47</xdr:row>
      <xdr:rowOff>185420</xdr:rowOff>
    </xdr:from>
    <xdr:to>
      <xdr:col>6</xdr:col>
      <xdr:colOff>127</xdr:colOff>
      <xdr:row>47</xdr:row>
      <xdr:rowOff>185420</xdr:rowOff>
    </xdr:to>
    <xdr:cxnSp macro="_xll.PtreeEvent_ObjectClick">
      <xdr:nvCxnSpPr>
        <xdr:cNvPr id="86" name="PTObj_DBranchHLine_1_5">
          <a:extLst>
            <a:ext uri="{FF2B5EF4-FFF2-40B4-BE49-F238E27FC236}">
              <a16:creationId xmlns:a16="http://schemas.microsoft.com/office/drawing/2014/main" id="{2488FDBA-0504-4EA5-B258-D9C2FB2344EA}"/>
            </a:ext>
          </a:extLst>
        </xdr:cNvPr>
        <xdr:cNvCxnSpPr/>
      </xdr:nvCxnSpPr>
      <xdr:spPr>
        <a:xfrm>
          <a:off x="4719447" y="8186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43</xdr:row>
      <xdr:rowOff>180339</xdr:rowOff>
    </xdr:from>
    <xdr:to>
      <xdr:col>5</xdr:col>
      <xdr:colOff>242697</xdr:colOff>
      <xdr:row>47</xdr:row>
      <xdr:rowOff>185420</xdr:rowOff>
    </xdr:to>
    <xdr:cxnSp macro="_xll.PtreeEvent_ObjectClick">
      <xdr:nvCxnSpPr>
        <xdr:cNvPr id="85" name="PTObj_DBranchDLine_1_5">
          <a:extLst>
            <a:ext uri="{FF2B5EF4-FFF2-40B4-BE49-F238E27FC236}">
              <a16:creationId xmlns:a16="http://schemas.microsoft.com/office/drawing/2014/main" id="{3B2D2286-3F62-4B11-B699-7907A36083A6}"/>
            </a:ext>
          </a:extLst>
        </xdr:cNvPr>
        <xdr:cNvCxnSpPr/>
      </xdr:nvCxnSpPr>
      <xdr:spPr>
        <a:xfrm>
          <a:off x="4567047" y="7800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242697</xdr:colOff>
      <xdr:row>35</xdr:row>
      <xdr:rowOff>185420</xdr:rowOff>
    </xdr:from>
    <xdr:to>
      <xdr:col>10</xdr:col>
      <xdr:colOff>127</xdr:colOff>
      <xdr:row>35</xdr:row>
      <xdr:rowOff>185420</xdr:rowOff>
    </xdr:to>
    <xdr:cxnSp macro="_xll.PtreeEvent_ObjectClick">
      <xdr:nvCxnSpPr>
        <xdr:cNvPr id="82" name="PTObj_DBranchHLine_1_13">
          <a:extLst>
            <a:ext uri="{FF2B5EF4-FFF2-40B4-BE49-F238E27FC236}">
              <a16:creationId xmlns:a16="http://schemas.microsoft.com/office/drawing/2014/main" id="{094D2E37-B527-4A11-9E15-D94105D1EFD4}"/>
            </a:ext>
          </a:extLst>
        </xdr:cNvPr>
        <xdr:cNvCxnSpPr/>
      </xdr:nvCxnSpPr>
      <xdr:spPr>
        <a:xfrm>
          <a:off x="10720197" y="6662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90297</xdr:colOff>
      <xdr:row>35</xdr:row>
      <xdr:rowOff>185420</xdr:rowOff>
    </xdr:from>
    <xdr:to>
      <xdr:col>9</xdr:col>
      <xdr:colOff>242697</xdr:colOff>
      <xdr:row>37</xdr:row>
      <xdr:rowOff>180339</xdr:rowOff>
    </xdr:to>
    <xdr:cxnSp macro="_xll.PtreeEvent_ObjectClick">
      <xdr:nvCxnSpPr>
        <xdr:cNvPr id="81" name="PTObj_DBranchDLine_1_13">
          <a:extLst>
            <a:ext uri="{FF2B5EF4-FFF2-40B4-BE49-F238E27FC236}">
              <a16:creationId xmlns:a16="http://schemas.microsoft.com/office/drawing/2014/main" id="{4AB4F542-F465-497F-A30D-CE9351591A9C}"/>
            </a:ext>
          </a:extLst>
        </xdr:cNvPr>
        <xdr:cNvCxnSpPr/>
      </xdr:nvCxnSpPr>
      <xdr:spPr>
        <a:xfrm flipV="1">
          <a:off x="10567797" y="6662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37</xdr:row>
      <xdr:rowOff>185420</xdr:rowOff>
    </xdr:from>
    <xdr:to>
      <xdr:col>9</xdr:col>
      <xdr:colOff>127</xdr:colOff>
      <xdr:row>37</xdr:row>
      <xdr:rowOff>185420</xdr:rowOff>
    </xdr:to>
    <xdr:cxnSp macro="_xll.PtreeEvent_ObjectClick">
      <xdr:nvCxnSpPr>
        <xdr:cNvPr id="78" name="PTObj_DBranchHLine_1_11">
          <a:extLst>
            <a:ext uri="{FF2B5EF4-FFF2-40B4-BE49-F238E27FC236}">
              <a16:creationId xmlns:a16="http://schemas.microsoft.com/office/drawing/2014/main" id="{E628C34E-DD42-4FC2-8AF0-64EE56B4E7E2}"/>
            </a:ext>
          </a:extLst>
        </xdr:cNvPr>
        <xdr:cNvCxnSpPr/>
      </xdr:nvCxnSpPr>
      <xdr:spPr>
        <a:xfrm>
          <a:off x="9320022" y="6662420"/>
          <a:ext cx="115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37</xdr:row>
      <xdr:rowOff>185420</xdr:rowOff>
    </xdr:from>
    <xdr:to>
      <xdr:col>8</xdr:col>
      <xdr:colOff>242697</xdr:colOff>
      <xdr:row>39</xdr:row>
      <xdr:rowOff>180339</xdr:rowOff>
    </xdr:to>
    <xdr:cxnSp macro="_xll.PtreeEvent_ObjectClick">
      <xdr:nvCxnSpPr>
        <xdr:cNvPr id="77" name="PTObj_DBranchDLine_1_11">
          <a:extLst>
            <a:ext uri="{FF2B5EF4-FFF2-40B4-BE49-F238E27FC236}">
              <a16:creationId xmlns:a16="http://schemas.microsoft.com/office/drawing/2014/main" id="{E37F6D68-5C81-4C84-9B0F-BDFA0FA166A3}"/>
            </a:ext>
          </a:extLst>
        </xdr:cNvPr>
        <xdr:cNvCxnSpPr/>
      </xdr:nvCxnSpPr>
      <xdr:spPr>
        <a:xfrm flipV="1">
          <a:off x="9167622" y="6662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242697</xdr:colOff>
      <xdr:row>27</xdr:row>
      <xdr:rowOff>185420</xdr:rowOff>
    </xdr:from>
    <xdr:to>
      <xdr:col>10</xdr:col>
      <xdr:colOff>127</xdr:colOff>
      <xdr:row>27</xdr:row>
      <xdr:rowOff>185420</xdr:rowOff>
    </xdr:to>
    <xdr:cxnSp macro="_xll.PtreeEvent_ObjectClick">
      <xdr:nvCxnSpPr>
        <xdr:cNvPr id="74" name="PTObj_DBranchHLine_1_12">
          <a:extLst>
            <a:ext uri="{FF2B5EF4-FFF2-40B4-BE49-F238E27FC236}">
              <a16:creationId xmlns:a16="http://schemas.microsoft.com/office/drawing/2014/main" id="{BF09476E-7BD0-43C7-AB02-683D2178288F}"/>
            </a:ext>
          </a:extLst>
        </xdr:cNvPr>
        <xdr:cNvCxnSpPr/>
      </xdr:nvCxnSpPr>
      <xdr:spPr>
        <a:xfrm>
          <a:off x="10720197" y="5138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90297</xdr:colOff>
      <xdr:row>27</xdr:row>
      <xdr:rowOff>185420</xdr:rowOff>
    </xdr:from>
    <xdr:to>
      <xdr:col>9</xdr:col>
      <xdr:colOff>242697</xdr:colOff>
      <xdr:row>29</xdr:row>
      <xdr:rowOff>180340</xdr:rowOff>
    </xdr:to>
    <xdr:cxnSp macro="_xll.PtreeEvent_ObjectClick">
      <xdr:nvCxnSpPr>
        <xdr:cNvPr id="73" name="PTObj_DBranchDLine_1_12">
          <a:extLst>
            <a:ext uri="{FF2B5EF4-FFF2-40B4-BE49-F238E27FC236}">
              <a16:creationId xmlns:a16="http://schemas.microsoft.com/office/drawing/2014/main" id="{33AC76A9-C07C-449E-BFED-16AC02049564}"/>
            </a:ext>
          </a:extLst>
        </xdr:cNvPr>
        <xdr:cNvCxnSpPr/>
      </xdr:nvCxnSpPr>
      <xdr:spPr>
        <a:xfrm flipV="1">
          <a:off x="10567797" y="5138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29</xdr:row>
      <xdr:rowOff>185420</xdr:rowOff>
    </xdr:from>
    <xdr:to>
      <xdr:col>9</xdr:col>
      <xdr:colOff>127</xdr:colOff>
      <xdr:row>29</xdr:row>
      <xdr:rowOff>185420</xdr:rowOff>
    </xdr:to>
    <xdr:cxnSp macro="_xll.PtreeEvent_ObjectClick">
      <xdr:nvCxnSpPr>
        <xdr:cNvPr id="70" name="PTObj_DBranchHLine_1_10">
          <a:extLst>
            <a:ext uri="{FF2B5EF4-FFF2-40B4-BE49-F238E27FC236}">
              <a16:creationId xmlns:a16="http://schemas.microsoft.com/office/drawing/2014/main" id="{E48A0E21-74C2-43AB-AF2F-1D82F84ADA53}"/>
            </a:ext>
          </a:extLst>
        </xdr:cNvPr>
        <xdr:cNvCxnSpPr/>
      </xdr:nvCxnSpPr>
      <xdr:spPr>
        <a:xfrm>
          <a:off x="9320022" y="5138420"/>
          <a:ext cx="115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29</xdr:row>
      <xdr:rowOff>185420</xdr:rowOff>
    </xdr:from>
    <xdr:to>
      <xdr:col>8</xdr:col>
      <xdr:colOff>242697</xdr:colOff>
      <xdr:row>31</xdr:row>
      <xdr:rowOff>180340</xdr:rowOff>
    </xdr:to>
    <xdr:cxnSp macro="_xll.PtreeEvent_ObjectClick">
      <xdr:nvCxnSpPr>
        <xdr:cNvPr id="69" name="PTObj_DBranchDLine_1_10">
          <a:extLst>
            <a:ext uri="{FF2B5EF4-FFF2-40B4-BE49-F238E27FC236}">
              <a16:creationId xmlns:a16="http://schemas.microsoft.com/office/drawing/2014/main" id="{8AC39479-21D7-436B-83C1-6C4D16DF2DE2}"/>
            </a:ext>
          </a:extLst>
        </xdr:cNvPr>
        <xdr:cNvCxnSpPr/>
      </xdr:nvCxnSpPr>
      <xdr:spPr>
        <a:xfrm flipV="1">
          <a:off x="9167622" y="5138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23</xdr:row>
      <xdr:rowOff>185420</xdr:rowOff>
    </xdr:from>
    <xdr:to>
      <xdr:col>7</xdr:col>
      <xdr:colOff>127</xdr:colOff>
      <xdr:row>23</xdr:row>
      <xdr:rowOff>185420</xdr:rowOff>
    </xdr:to>
    <xdr:cxnSp macro="_xll.PtreeEvent_ObjectClick">
      <xdr:nvCxnSpPr>
        <xdr:cNvPr id="34" name="PTObj_DBranchHLine_1_6">
          <a:extLst>
            <a:ext uri="{FF2B5EF4-FFF2-40B4-BE49-F238E27FC236}">
              <a16:creationId xmlns:a16="http://schemas.microsoft.com/office/drawing/2014/main" id="{48529F2C-A29A-45C3-AF23-34D1DCDF305D}"/>
            </a:ext>
          </a:extLst>
        </xdr:cNvPr>
        <xdr:cNvCxnSpPr/>
      </xdr:nvCxnSpPr>
      <xdr:spPr>
        <a:xfrm>
          <a:off x="6252972" y="4376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23</xdr:row>
      <xdr:rowOff>185420</xdr:rowOff>
    </xdr:from>
    <xdr:to>
      <xdr:col>6</xdr:col>
      <xdr:colOff>242697</xdr:colOff>
      <xdr:row>25</xdr:row>
      <xdr:rowOff>180340</xdr:rowOff>
    </xdr:to>
    <xdr:cxnSp macro="_xll.PtreeEvent_ObjectClick">
      <xdr:nvCxnSpPr>
        <xdr:cNvPr id="33" name="PTObj_DBranchDLine_1_6">
          <a:extLst>
            <a:ext uri="{FF2B5EF4-FFF2-40B4-BE49-F238E27FC236}">
              <a16:creationId xmlns:a16="http://schemas.microsoft.com/office/drawing/2014/main" id="{DEA9AF18-CA6B-469B-8809-6AD877C4C699}"/>
            </a:ext>
          </a:extLst>
        </xdr:cNvPr>
        <xdr:cNvCxnSpPr/>
      </xdr:nvCxnSpPr>
      <xdr:spPr>
        <a:xfrm flipV="1">
          <a:off x="6100572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25</xdr:row>
      <xdr:rowOff>185420</xdr:rowOff>
    </xdr:from>
    <xdr:to>
      <xdr:col>6</xdr:col>
      <xdr:colOff>127</xdr:colOff>
      <xdr:row>25</xdr:row>
      <xdr:rowOff>185420</xdr:rowOff>
    </xdr:to>
    <xdr:cxnSp macro="_xll.PtreeEvent_ObjectClick">
      <xdr:nvCxnSpPr>
        <xdr:cNvPr id="30" name="PTObj_DBranchHLine_1_4">
          <a:extLst>
            <a:ext uri="{FF2B5EF4-FFF2-40B4-BE49-F238E27FC236}">
              <a16:creationId xmlns:a16="http://schemas.microsoft.com/office/drawing/2014/main" id="{002939C5-055F-4326-8173-C17E76A9924D}"/>
            </a:ext>
          </a:extLst>
        </xdr:cNvPr>
        <xdr:cNvCxnSpPr/>
      </xdr:nvCxnSpPr>
      <xdr:spPr>
        <a:xfrm>
          <a:off x="4719447" y="4376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25</xdr:row>
      <xdr:rowOff>185420</xdr:rowOff>
    </xdr:from>
    <xdr:to>
      <xdr:col>5</xdr:col>
      <xdr:colOff>242697</xdr:colOff>
      <xdr:row>43</xdr:row>
      <xdr:rowOff>180340</xdr:rowOff>
    </xdr:to>
    <xdr:cxnSp macro="_xll.PtreeEvent_ObjectClick">
      <xdr:nvCxnSpPr>
        <xdr:cNvPr id="29" name="PTObj_DBranchDLine_1_4">
          <a:extLst>
            <a:ext uri="{FF2B5EF4-FFF2-40B4-BE49-F238E27FC236}">
              <a16:creationId xmlns:a16="http://schemas.microsoft.com/office/drawing/2014/main" id="{A6DA377F-37E9-4262-8B29-6517CD504701}"/>
            </a:ext>
          </a:extLst>
        </xdr:cNvPr>
        <xdr:cNvCxnSpPr/>
      </xdr:nvCxnSpPr>
      <xdr:spPr>
        <a:xfrm flipV="1">
          <a:off x="4567047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43</xdr:row>
      <xdr:rowOff>185420</xdr:rowOff>
    </xdr:from>
    <xdr:to>
      <xdr:col>5</xdr:col>
      <xdr:colOff>127</xdr:colOff>
      <xdr:row>43</xdr:row>
      <xdr:rowOff>185420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7BAC5067-2D84-4818-84E7-81F4524A99E0}"/>
            </a:ext>
          </a:extLst>
        </xdr:cNvPr>
        <xdr:cNvCxnSpPr/>
      </xdr:nvCxnSpPr>
      <xdr:spPr>
        <a:xfrm>
          <a:off x="3185922" y="4376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43</xdr:row>
      <xdr:rowOff>185420</xdr:rowOff>
    </xdr:from>
    <xdr:to>
      <xdr:col>4</xdr:col>
      <xdr:colOff>242697</xdr:colOff>
      <xdr:row>55</xdr:row>
      <xdr:rowOff>180340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E8251F18-A0A4-4C61-9457-3C5C1C8D08F7}"/>
            </a:ext>
          </a:extLst>
        </xdr:cNvPr>
        <xdr:cNvCxnSpPr/>
      </xdr:nvCxnSpPr>
      <xdr:spPr>
        <a:xfrm flipV="1">
          <a:off x="3033522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57</xdr:row>
      <xdr:rowOff>185420</xdr:rowOff>
    </xdr:from>
    <xdr:to>
      <xdr:col>5</xdr:col>
      <xdr:colOff>127</xdr:colOff>
      <xdr:row>57</xdr:row>
      <xdr:rowOff>185420</xdr:rowOff>
    </xdr:to>
    <xdr:cxnSp macro="_xll.PtreeEvent_ObjectClick">
      <xdr:nvCxnSpPr>
        <xdr:cNvPr id="14" name="PTObj_DBranchHLine_1_3">
          <a:extLst>
            <a:ext uri="{FF2B5EF4-FFF2-40B4-BE49-F238E27FC236}">
              <a16:creationId xmlns:a16="http://schemas.microsoft.com/office/drawing/2014/main" id="{EE986089-C245-424B-8093-078B5059DA4C}"/>
            </a:ext>
          </a:extLst>
        </xdr:cNvPr>
        <xdr:cNvCxnSpPr/>
      </xdr:nvCxnSpPr>
      <xdr:spPr>
        <a:xfrm>
          <a:off x="3185922" y="5138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55</xdr:row>
      <xdr:rowOff>180340</xdr:rowOff>
    </xdr:from>
    <xdr:to>
      <xdr:col>4</xdr:col>
      <xdr:colOff>242697</xdr:colOff>
      <xdr:row>57</xdr:row>
      <xdr:rowOff>185420</xdr:rowOff>
    </xdr:to>
    <xdr:cxnSp macro="_xll.PtreeEvent_ObjectClick">
      <xdr:nvCxnSpPr>
        <xdr:cNvPr id="13" name="PTObj_DBranchDLine_1_3">
          <a:extLst>
            <a:ext uri="{FF2B5EF4-FFF2-40B4-BE49-F238E27FC236}">
              <a16:creationId xmlns:a16="http://schemas.microsoft.com/office/drawing/2014/main" id="{38F3011A-E89F-44D6-B12A-85BEDA640E52}"/>
            </a:ext>
          </a:extLst>
        </xdr:cNvPr>
        <xdr:cNvCxnSpPr/>
      </xdr:nvCxnSpPr>
      <xdr:spPr>
        <a:xfrm>
          <a:off x="3033522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177800</xdr:colOff>
      <xdr:row>55</xdr:row>
      <xdr:rowOff>185420</xdr:rowOff>
    </xdr:from>
    <xdr:to>
      <xdr:col>4</xdr:col>
      <xdr:colOff>127</xdr:colOff>
      <xdr:row>55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AB8E098C-DFCD-42B2-94C8-1D4E83242B81}"/>
            </a:ext>
          </a:extLst>
        </xdr:cNvPr>
        <xdr:cNvCxnSpPr/>
      </xdr:nvCxnSpPr>
      <xdr:spPr>
        <a:xfrm>
          <a:off x="2006600" y="4376420"/>
          <a:ext cx="9367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127</xdr:colOff>
      <xdr:row>55</xdr:row>
      <xdr:rowOff>90170</xdr:rowOff>
    </xdr:from>
    <xdr:to>
      <xdr:col>4</xdr:col>
      <xdr:colOff>190627</xdr:colOff>
      <xdr:row>56</xdr:row>
      <xdr:rowOff>90169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E1F3363B-5871-443B-B2CC-4DE36C91CC31}"/>
            </a:ext>
          </a:extLst>
        </xdr:cNvPr>
        <xdr:cNvSpPr/>
      </xdr:nvSpPr>
      <xdr:spPr>
        <a:xfrm>
          <a:off x="2943352" y="4281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215900</xdr:colOff>
      <xdr:row>55</xdr:row>
      <xdr:rowOff>95107</xdr:rowOff>
    </xdr:from>
    <xdr:ext cx="408189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EABDB0AB-6E4F-46B2-9834-7087A3CD483F}"/>
            </a:ext>
          </a:extLst>
        </xdr:cNvPr>
        <xdr:cNvSpPr txBox="1"/>
      </xdr:nvSpPr>
      <xdr:spPr>
        <a:xfrm>
          <a:off x="2044700" y="4286107"/>
          <a:ext cx="4081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Decision</a:t>
          </a:r>
        </a:p>
      </xdr:txBody>
    </xdr:sp>
    <xdr:clientData/>
  </xdr:oneCellAnchor>
  <xdr:twoCellAnchor editAs="oneCell">
    <xdr:from>
      <xdr:col>5</xdr:col>
      <xdr:colOff>127</xdr:colOff>
      <xdr:row>57</xdr:row>
      <xdr:rowOff>90170</xdr:rowOff>
    </xdr:from>
    <xdr:to>
      <xdr:col>5</xdr:col>
      <xdr:colOff>190627</xdr:colOff>
      <xdr:row>58</xdr:row>
      <xdr:rowOff>90170</xdr:rowOff>
    </xdr:to>
    <xdr:sp macro="_xll.PtreeEvent_ObjectClick" textlink="">
      <xdr:nvSpPr>
        <xdr:cNvPr id="12" name="PTObj_DNode_1_3">
          <a:extLst>
            <a:ext uri="{FF2B5EF4-FFF2-40B4-BE49-F238E27FC236}">
              <a16:creationId xmlns:a16="http://schemas.microsoft.com/office/drawing/2014/main" id="{6A941CCF-6885-4F9D-9F22-2C3B2732C0D7}"/>
            </a:ext>
          </a:extLst>
        </xdr:cNvPr>
        <xdr:cNvSpPr/>
      </xdr:nvSpPr>
      <xdr:spPr>
        <a:xfrm rot="-5400000">
          <a:off x="433400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57</xdr:row>
      <xdr:rowOff>95107</xdr:rowOff>
    </xdr:from>
    <xdr:ext cx="605486" cy="180627"/>
    <xdr:sp macro="_xll.PtreeEvent_ObjectClick" textlink="">
      <xdr:nvSpPr>
        <xdr:cNvPr id="15" name="PTObj_DBranchName_1_3">
          <a:extLst>
            <a:ext uri="{FF2B5EF4-FFF2-40B4-BE49-F238E27FC236}">
              <a16:creationId xmlns:a16="http://schemas.microsoft.com/office/drawing/2014/main" id="{9810E8F9-F76F-449A-B4BE-62100103B12C}"/>
            </a:ext>
          </a:extLst>
        </xdr:cNvPr>
        <xdr:cNvSpPr txBox="1"/>
      </xdr:nvSpPr>
      <xdr:spPr>
        <a:xfrm>
          <a:off x="3224022" y="5048107"/>
          <a:ext cx="6054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Decline Offer</a:t>
          </a:r>
        </a:p>
      </xdr:txBody>
    </xdr:sp>
    <xdr:clientData/>
  </xdr:oneCellAnchor>
  <xdr:twoCellAnchor editAs="oneCell">
    <xdr:from>
      <xdr:col>5</xdr:col>
      <xdr:colOff>127</xdr:colOff>
      <xdr:row>43</xdr:row>
      <xdr:rowOff>90170</xdr:rowOff>
    </xdr:from>
    <xdr:to>
      <xdr:col>5</xdr:col>
      <xdr:colOff>190627</xdr:colOff>
      <xdr:row>44</xdr:row>
      <xdr:rowOff>90170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DB18BDAA-47C8-4C33-8DC9-D121DDC8F0A6}"/>
            </a:ext>
          </a:extLst>
        </xdr:cNvPr>
        <xdr:cNvSpPr/>
      </xdr:nvSpPr>
      <xdr:spPr>
        <a:xfrm>
          <a:off x="4476877" y="4281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43</xdr:row>
      <xdr:rowOff>95107</xdr:rowOff>
    </xdr:from>
    <xdr:ext cx="581441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8B4B309A-9BE1-4A52-87ED-7250DFE7BECB}"/>
            </a:ext>
          </a:extLst>
        </xdr:cNvPr>
        <xdr:cNvSpPr txBox="1"/>
      </xdr:nvSpPr>
      <xdr:spPr>
        <a:xfrm>
          <a:off x="3224022" y="4286107"/>
          <a:ext cx="581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 Offer</a:t>
          </a:r>
        </a:p>
      </xdr:txBody>
    </xdr:sp>
    <xdr:clientData/>
  </xdr:oneCellAnchor>
  <xdr:twoCellAnchor editAs="oneCell">
    <xdr:from>
      <xdr:col>6</xdr:col>
      <xdr:colOff>127</xdr:colOff>
      <xdr:row>25</xdr:row>
      <xdr:rowOff>90170</xdr:rowOff>
    </xdr:from>
    <xdr:to>
      <xdr:col>6</xdr:col>
      <xdr:colOff>190627</xdr:colOff>
      <xdr:row>26</xdr:row>
      <xdr:rowOff>90169</xdr:rowOff>
    </xdr:to>
    <xdr:sp macro="_xll.PtreeEvent_ObjectClick" textlink="">
      <xdr:nvSpPr>
        <xdr:cNvPr id="28" name="PTObj_DNode_1_4">
          <a:extLst>
            <a:ext uri="{FF2B5EF4-FFF2-40B4-BE49-F238E27FC236}">
              <a16:creationId xmlns:a16="http://schemas.microsoft.com/office/drawing/2014/main" id="{EEEFD25D-D066-4B38-A27D-0D81D5029FB4}"/>
            </a:ext>
          </a:extLst>
        </xdr:cNvPr>
        <xdr:cNvSpPr/>
      </xdr:nvSpPr>
      <xdr:spPr>
        <a:xfrm>
          <a:off x="6010402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25</xdr:row>
      <xdr:rowOff>95107</xdr:rowOff>
    </xdr:from>
    <xdr:ext cx="429733" cy="180627"/>
    <xdr:sp macro="_xll.PtreeEvent_ObjectClick" textlink="">
      <xdr:nvSpPr>
        <xdr:cNvPr id="31" name="PTObj_DBranchName_1_4">
          <a:extLst>
            <a:ext uri="{FF2B5EF4-FFF2-40B4-BE49-F238E27FC236}">
              <a16:creationId xmlns:a16="http://schemas.microsoft.com/office/drawing/2014/main" id="{DA883C88-3663-4BAF-AACE-A6E512917109}"/>
            </a:ext>
          </a:extLst>
        </xdr:cNvPr>
        <xdr:cNvSpPr txBox="1"/>
      </xdr:nvSpPr>
      <xdr:spPr>
        <a:xfrm>
          <a:off x="4757547" y="4286107"/>
          <a:ext cx="4297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In-House</a:t>
          </a:r>
        </a:p>
      </xdr:txBody>
    </xdr:sp>
    <xdr:clientData/>
  </xdr:oneCellAnchor>
  <xdr:twoCellAnchor editAs="oneCell">
    <xdr:from>
      <xdr:col>7</xdr:col>
      <xdr:colOff>127</xdr:colOff>
      <xdr:row>23</xdr:row>
      <xdr:rowOff>90170</xdr:rowOff>
    </xdr:from>
    <xdr:to>
      <xdr:col>7</xdr:col>
      <xdr:colOff>190627</xdr:colOff>
      <xdr:row>24</xdr:row>
      <xdr:rowOff>90170</xdr:rowOff>
    </xdr:to>
    <xdr:sp macro="_xll.PtreeEvent_ObjectClick" textlink="">
      <xdr:nvSpPr>
        <xdr:cNvPr id="32" name="PTObj_DNode_1_6">
          <a:extLst>
            <a:ext uri="{FF2B5EF4-FFF2-40B4-BE49-F238E27FC236}">
              <a16:creationId xmlns:a16="http://schemas.microsoft.com/office/drawing/2014/main" id="{EE131313-337D-4F0F-9BCE-8653A1F21169}"/>
            </a:ext>
          </a:extLst>
        </xdr:cNvPr>
        <xdr:cNvSpPr/>
      </xdr:nvSpPr>
      <xdr:spPr>
        <a:xfrm rot="-5400000">
          <a:off x="7124827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23</xdr:row>
      <xdr:rowOff>95107</xdr:rowOff>
    </xdr:from>
    <xdr:ext cx="225831" cy="180627"/>
    <xdr:sp macro="_xll.PtreeEvent_ObjectClick" textlink="">
      <xdr:nvSpPr>
        <xdr:cNvPr id="35" name="PTObj_DBranchName_1_6">
          <a:extLst>
            <a:ext uri="{FF2B5EF4-FFF2-40B4-BE49-F238E27FC236}">
              <a16:creationId xmlns:a16="http://schemas.microsoft.com/office/drawing/2014/main" id="{883B2991-ED13-48E8-82FC-FCEF96BBC23A}"/>
            </a:ext>
          </a:extLst>
        </xdr:cNvPr>
        <xdr:cNvSpPr txBox="1"/>
      </xdr:nvSpPr>
      <xdr:spPr>
        <a:xfrm>
          <a:off x="6291072" y="4286107"/>
          <a:ext cx="2258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Rise</a:t>
          </a:r>
        </a:p>
      </xdr:txBody>
    </xdr:sp>
    <xdr:clientData/>
  </xdr:oneCellAnchor>
  <xdr:twoCellAnchor editAs="oneCell">
    <xdr:from>
      <xdr:col>8</xdr:col>
      <xdr:colOff>127</xdr:colOff>
      <xdr:row>31</xdr:row>
      <xdr:rowOff>90170</xdr:rowOff>
    </xdr:from>
    <xdr:to>
      <xdr:col>8</xdr:col>
      <xdr:colOff>190627</xdr:colOff>
      <xdr:row>32</xdr:row>
      <xdr:rowOff>90170</xdr:rowOff>
    </xdr:to>
    <xdr:sp macro="_xll.PtreeEvent_ObjectClick" textlink="">
      <xdr:nvSpPr>
        <xdr:cNvPr id="52" name="PTObj_DNode_1_8">
          <a:extLst>
            <a:ext uri="{FF2B5EF4-FFF2-40B4-BE49-F238E27FC236}">
              <a16:creationId xmlns:a16="http://schemas.microsoft.com/office/drawing/2014/main" id="{3B77C557-72B8-41C8-B757-ED2865FB3981}"/>
            </a:ext>
          </a:extLst>
        </xdr:cNvPr>
        <xdr:cNvSpPr/>
      </xdr:nvSpPr>
      <xdr:spPr>
        <a:xfrm>
          <a:off x="9077452" y="5043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</xdr:colOff>
      <xdr:row>39</xdr:row>
      <xdr:rowOff>90170</xdr:rowOff>
    </xdr:from>
    <xdr:to>
      <xdr:col>8</xdr:col>
      <xdr:colOff>190627</xdr:colOff>
      <xdr:row>40</xdr:row>
      <xdr:rowOff>90169</xdr:rowOff>
    </xdr:to>
    <xdr:sp macro="_xll.PtreeEvent_ObjectClick" textlink="">
      <xdr:nvSpPr>
        <xdr:cNvPr id="60" name="PTObj_DNode_1_9">
          <a:extLst>
            <a:ext uri="{FF2B5EF4-FFF2-40B4-BE49-F238E27FC236}">
              <a16:creationId xmlns:a16="http://schemas.microsoft.com/office/drawing/2014/main" id="{B5B51827-8D46-4433-82F4-33749DFAD8B2}"/>
            </a:ext>
          </a:extLst>
        </xdr:cNvPr>
        <xdr:cNvSpPr/>
      </xdr:nvSpPr>
      <xdr:spPr>
        <a:xfrm>
          <a:off x="9077452" y="6186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127</xdr:colOff>
      <xdr:row>29</xdr:row>
      <xdr:rowOff>90170</xdr:rowOff>
    </xdr:from>
    <xdr:to>
      <xdr:col>9</xdr:col>
      <xdr:colOff>190627</xdr:colOff>
      <xdr:row>30</xdr:row>
      <xdr:rowOff>90170</xdr:rowOff>
    </xdr:to>
    <xdr:sp macro="_xll.PtreeEvent_ObjectClick" textlink="">
      <xdr:nvSpPr>
        <xdr:cNvPr id="68" name="PTObj_DNode_1_10">
          <a:extLst>
            <a:ext uri="{FF2B5EF4-FFF2-40B4-BE49-F238E27FC236}">
              <a16:creationId xmlns:a16="http://schemas.microsoft.com/office/drawing/2014/main" id="{77FADADA-57E6-4028-9BBF-E92C9087854C}"/>
            </a:ext>
          </a:extLst>
        </xdr:cNvPr>
        <xdr:cNvSpPr/>
      </xdr:nvSpPr>
      <xdr:spPr>
        <a:xfrm>
          <a:off x="10477627" y="5043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29</xdr:row>
      <xdr:rowOff>95107</xdr:rowOff>
    </xdr:from>
    <xdr:ext cx="490006" cy="180627"/>
    <xdr:sp macro="_xll.PtreeEvent_ObjectClick" textlink="">
      <xdr:nvSpPr>
        <xdr:cNvPr id="71" name="PTObj_DBranchName_1_10">
          <a:extLst>
            <a:ext uri="{FF2B5EF4-FFF2-40B4-BE49-F238E27FC236}">
              <a16:creationId xmlns:a16="http://schemas.microsoft.com/office/drawing/2014/main" id="{5AF6874B-665C-4BF7-8048-F1E249E63D9F}"/>
            </a:ext>
          </a:extLst>
        </xdr:cNvPr>
        <xdr:cNvSpPr txBox="1"/>
      </xdr:nvSpPr>
      <xdr:spPr>
        <a:xfrm>
          <a:off x="9358122" y="5048107"/>
          <a:ext cx="49000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Outsource</a:t>
          </a:r>
        </a:p>
      </xdr:txBody>
    </xdr:sp>
    <xdr:clientData/>
  </xdr:oneCellAnchor>
  <xdr:twoCellAnchor editAs="oneCell">
    <xdr:from>
      <xdr:col>10</xdr:col>
      <xdr:colOff>127</xdr:colOff>
      <xdr:row>27</xdr:row>
      <xdr:rowOff>90170</xdr:rowOff>
    </xdr:from>
    <xdr:to>
      <xdr:col>10</xdr:col>
      <xdr:colOff>190627</xdr:colOff>
      <xdr:row>28</xdr:row>
      <xdr:rowOff>90170</xdr:rowOff>
    </xdr:to>
    <xdr:sp macro="_xll.PtreeEvent_ObjectClick" textlink="">
      <xdr:nvSpPr>
        <xdr:cNvPr id="72" name="PTObj_DNode_1_12">
          <a:extLst>
            <a:ext uri="{FF2B5EF4-FFF2-40B4-BE49-F238E27FC236}">
              <a16:creationId xmlns:a16="http://schemas.microsoft.com/office/drawing/2014/main" id="{3EBC11BD-5F97-40E4-AFB4-0E144807A5A6}"/>
            </a:ext>
          </a:extLst>
        </xdr:cNvPr>
        <xdr:cNvSpPr/>
      </xdr:nvSpPr>
      <xdr:spPr>
        <a:xfrm rot="-5400000">
          <a:off x="1159205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280797</xdr:colOff>
      <xdr:row>27</xdr:row>
      <xdr:rowOff>95107</xdr:rowOff>
    </xdr:from>
    <xdr:ext cx="340158" cy="180627"/>
    <xdr:sp macro="_xll.PtreeEvent_ObjectClick" textlink="">
      <xdr:nvSpPr>
        <xdr:cNvPr id="75" name="PTObj_DBranchName_1_12">
          <a:extLst>
            <a:ext uri="{FF2B5EF4-FFF2-40B4-BE49-F238E27FC236}">
              <a16:creationId xmlns:a16="http://schemas.microsoft.com/office/drawing/2014/main" id="{788D9B50-2365-418D-BA36-514A16F4EDE8}"/>
            </a:ext>
          </a:extLst>
        </xdr:cNvPr>
        <xdr:cNvSpPr txBox="1"/>
      </xdr:nvSpPr>
      <xdr:spPr>
        <a:xfrm>
          <a:off x="10758297" y="5048107"/>
          <a:ext cx="34015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Return</a:t>
          </a:r>
        </a:p>
      </xdr:txBody>
    </xdr:sp>
    <xdr:clientData/>
  </xdr:oneCellAnchor>
  <xdr:twoCellAnchor editAs="oneCell">
    <xdr:from>
      <xdr:col>9</xdr:col>
      <xdr:colOff>127</xdr:colOff>
      <xdr:row>37</xdr:row>
      <xdr:rowOff>90170</xdr:rowOff>
    </xdr:from>
    <xdr:to>
      <xdr:col>9</xdr:col>
      <xdr:colOff>190627</xdr:colOff>
      <xdr:row>38</xdr:row>
      <xdr:rowOff>90170</xdr:rowOff>
    </xdr:to>
    <xdr:sp macro="_xll.PtreeEvent_ObjectClick" textlink="">
      <xdr:nvSpPr>
        <xdr:cNvPr id="76" name="PTObj_DNode_1_11">
          <a:extLst>
            <a:ext uri="{FF2B5EF4-FFF2-40B4-BE49-F238E27FC236}">
              <a16:creationId xmlns:a16="http://schemas.microsoft.com/office/drawing/2014/main" id="{279C9E4A-19C7-4C95-90C7-7ED5A7AD3D1D}"/>
            </a:ext>
          </a:extLst>
        </xdr:cNvPr>
        <xdr:cNvSpPr/>
      </xdr:nvSpPr>
      <xdr:spPr>
        <a:xfrm>
          <a:off x="10477627" y="6567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37</xdr:row>
      <xdr:rowOff>95107</xdr:rowOff>
    </xdr:from>
    <xdr:ext cx="490006" cy="180627"/>
    <xdr:sp macro="_xll.PtreeEvent_ObjectClick" textlink="">
      <xdr:nvSpPr>
        <xdr:cNvPr id="79" name="PTObj_DBranchName_1_11">
          <a:extLst>
            <a:ext uri="{FF2B5EF4-FFF2-40B4-BE49-F238E27FC236}">
              <a16:creationId xmlns:a16="http://schemas.microsoft.com/office/drawing/2014/main" id="{0FAF0DEF-C04F-4B15-9ED1-E2E1BE19B60E}"/>
            </a:ext>
          </a:extLst>
        </xdr:cNvPr>
        <xdr:cNvSpPr txBox="1"/>
      </xdr:nvSpPr>
      <xdr:spPr>
        <a:xfrm>
          <a:off x="9358122" y="6572107"/>
          <a:ext cx="49000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Outsource</a:t>
          </a:r>
        </a:p>
      </xdr:txBody>
    </xdr:sp>
    <xdr:clientData/>
  </xdr:oneCellAnchor>
  <xdr:twoCellAnchor editAs="oneCell">
    <xdr:from>
      <xdr:col>10</xdr:col>
      <xdr:colOff>127</xdr:colOff>
      <xdr:row>35</xdr:row>
      <xdr:rowOff>90170</xdr:rowOff>
    </xdr:from>
    <xdr:to>
      <xdr:col>10</xdr:col>
      <xdr:colOff>190627</xdr:colOff>
      <xdr:row>36</xdr:row>
      <xdr:rowOff>90171</xdr:rowOff>
    </xdr:to>
    <xdr:sp macro="_xll.PtreeEvent_ObjectClick" textlink="">
      <xdr:nvSpPr>
        <xdr:cNvPr id="80" name="PTObj_DNode_1_13">
          <a:extLst>
            <a:ext uri="{FF2B5EF4-FFF2-40B4-BE49-F238E27FC236}">
              <a16:creationId xmlns:a16="http://schemas.microsoft.com/office/drawing/2014/main" id="{31148F43-B7A9-48A6-B70C-E7F9BB6BA229}"/>
            </a:ext>
          </a:extLst>
        </xdr:cNvPr>
        <xdr:cNvSpPr/>
      </xdr:nvSpPr>
      <xdr:spPr>
        <a:xfrm rot="-5400000">
          <a:off x="11868277" y="656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280797</xdr:colOff>
      <xdr:row>35</xdr:row>
      <xdr:rowOff>95107</xdr:rowOff>
    </xdr:from>
    <xdr:ext cx="340158" cy="180627"/>
    <xdr:sp macro="_xll.PtreeEvent_ObjectClick" textlink="">
      <xdr:nvSpPr>
        <xdr:cNvPr id="83" name="PTObj_DBranchName_1_13">
          <a:extLst>
            <a:ext uri="{FF2B5EF4-FFF2-40B4-BE49-F238E27FC236}">
              <a16:creationId xmlns:a16="http://schemas.microsoft.com/office/drawing/2014/main" id="{DC6C2CEA-B5C6-4F2D-9189-A153444EE564}"/>
            </a:ext>
          </a:extLst>
        </xdr:cNvPr>
        <xdr:cNvSpPr txBox="1"/>
      </xdr:nvSpPr>
      <xdr:spPr>
        <a:xfrm>
          <a:off x="10758297" y="6572107"/>
          <a:ext cx="3401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Return</a:t>
          </a:r>
        </a:p>
      </xdr:txBody>
    </xdr:sp>
    <xdr:clientData/>
  </xdr:oneCellAnchor>
  <xdr:twoCellAnchor editAs="oneCell">
    <xdr:from>
      <xdr:col>6</xdr:col>
      <xdr:colOff>127</xdr:colOff>
      <xdr:row>47</xdr:row>
      <xdr:rowOff>90170</xdr:rowOff>
    </xdr:from>
    <xdr:to>
      <xdr:col>6</xdr:col>
      <xdr:colOff>190627</xdr:colOff>
      <xdr:row>48</xdr:row>
      <xdr:rowOff>90170</xdr:rowOff>
    </xdr:to>
    <xdr:sp macro="_xll.PtreeEvent_ObjectClick" textlink="">
      <xdr:nvSpPr>
        <xdr:cNvPr id="84" name="PTObj_DNode_1_5">
          <a:extLst>
            <a:ext uri="{FF2B5EF4-FFF2-40B4-BE49-F238E27FC236}">
              <a16:creationId xmlns:a16="http://schemas.microsoft.com/office/drawing/2014/main" id="{F6090945-CB96-4FB4-B4F0-0249FBAC1609}"/>
            </a:ext>
          </a:extLst>
        </xdr:cNvPr>
        <xdr:cNvSpPr/>
      </xdr:nvSpPr>
      <xdr:spPr>
        <a:xfrm>
          <a:off x="6010402" y="809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47</xdr:row>
      <xdr:rowOff>95107</xdr:rowOff>
    </xdr:from>
    <xdr:ext cx="521425" cy="180627"/>
    <xdr:sp macro="_xll.PtreeEvent_ObjectClick" textlink="">
      <xdr:nvSpPr>
        <xdr:cNvPr id="87" name="PTObj_DBranchName_1_5">
          <a:extLst>
            <a:ext uri="{FF2B5EF4-FFF2-40B4-BE49-F238E27FC236}">
              <a16:creationId xmlns:a16="http://schemas.microsoft.com/office/drawing/2014/main" id="{A998D161-CA90-4D8D-AE3D-BCC1C8523074}"/>
            </a:ext>
          </a:extLst>
        </xdr:cNvPr>
        <xdr:cNvSpPr txBox="1"/>
      </xdr:nvSpPr>
      <xdr:spPr>
        <a:xfrm>
          <a:off x="4757547" y="8096107"/>
          <a:ext cx="5214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Out-source</a:t>
          </a:r>
        </a:p>
      </xdr:txBody>
    </xdr:sp>
    <xdr:clientData/>
  </xdr:oneCellAnchor>
  <xdr:twoCellAnchor editAs="oneCell">
    <xdr:from>
      <xdr:col>7</xdr:col>
      <xdr:colOff>127</xdr:colOff>
      <xdr:row>45</xdr:row>
      <xdr:rowOff>90170</xdr:rowOff>
    </xdr:from>
    <xdr:to>
      <xdr:col>7</xdr:col>
      <xdr:colOff>190627</xdr:colOff>
      <xdr:row>46</xdr:row>
      <xdr:rowOff>90170</xdr:rowOff>
    </xdr:to>
    <xdr:sp macro="_xll.PtreeEvent_ObjectClick" textlink="">
      <xdr:nvSpPr>
        <xdr:cNvPr id="88" name="PTObj_DNode_1_14">
          <a:extLst>
            <a:ext uri="{FF2B5EF4-FFF2-40B4-BE49-F238E27FC236}">
              <a16:creationId xmlns:a16="http://schemas.microsoft.com/office/drawing/2014/main" id="{AC666B22-1664-4B03-8A5A-083C73AB48C7}"/>
            </a:ext>
          </a:extLst>
        </xdr:cNvPr>
        <xdr:cNvSpPr/>
      </xdr:nvSpPr>
      <xdr:spPr>
        <a:xfrm rot="-5400000">
          <a:off x="7543927" y="809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45</xdr:row>
      <xdr:rowOff>95107</xdr:rowOff>
    </xdr:from>
    <xdr:ext cx="225831" cy="180627"/>
    <xdr:sp macro="_xll.PtreeEvent_ObjectClick" textlink="">
      <xdr:nvSpPr>
        <xdr:cNvPr id="91" name="PTObj_DBranchName_1_14">
          <a:extLst>
            <a:ext uri="{FF2B5EF4-FFF2-40B4-BE49-F238E27FC236}">
              <a16:creationId xmlns:a16="http://schemas.microsoft.com/office/drawing/2014/main" id="{18AB94C4-6B15-4618-85DF-E04F3D71CA7B}"/>
            </a:ext>
          </a:extLst>
        </xdr:cNvPr>
        <xdr:cNvSpPr txBox="1"/>
      </xdr:nvSpPr>
      <xdr:spPr>
        <a:xfrm>
          <a:off x="6291072" y="8096107"/>
          <a:ext cx="2258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Rise</a:t>
          </a:r>
        </a:p>
      </xdr:txBody>
    </xdr:sp>
    <xdr:clientData/>
  </xdr:oneCellAnchor>
  <xdr:twoCellAnchor editAs="oneCell">
    <xdr:from>
      <xdr:col>7</xdr:col>
      <xdr:colOff>127</xdr:colOff>
      <xdr:row>53</xdr:row>
      <xdr:rowOff>90170</xdr:rowOff>
    </xdr:from>
    <xdr:to>
      <xdr:col>7</xdr:col>
      <xdr:colOff>190627</xdr:colOff>
      <xdr:row>54</xdr:row>
      <xdr:rowOff>90170</xdr:rowOff>
    </xdr:to>
    <xdr:sp macro="_xll.PtreeEvent_ObjectClick" textlink="">
      <xdr:nvSpPr>
        <xdr:cNvPr id="96" name="PTObj_DNode_1_15">
          <a:extLst>
            <a:ext uri="{FF2B5EF4-FFF2-40B4-BE49-F238E27FC236}">
              <a16:creationId xmlns:a16="http://schemas.microsoft.com/office/drawing/2014/main" id="{EA8BA91C-EAC8-4C63-8E27-7C768F32C9B4}"/>
            </a:ext>
          </a:extLst>
        </xdr:cNvPr>
        <xdr:cNvSpPr/>
      </xdr:nvSpPr>
      <xdr:spPr>
        <a:xfrm>
          <a:off x="7553452" y="8853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53</xdr:row>
      <xdr:rowOff>95107</xdr:rowOff>
    </xdr:from>
    <xdr:ext cx="198709" cy="180627"/>
    <xdr:sp macro="_xll.PtreeEvent_ObjectClick" textlink="">
      <xdr:nvSpPr>
        <xdr:cNvPr id="99" name="PTObj_DBranchName_1_15">
          <a:extLst>
            <a:ext uri="{FF2B5EF4-FFF2-40B4-BE49-F238E27FC236}">
              <a16:creationId xmlns:a16="http://schemas.microsoft.com/office/drawing/2014/main" id="{43C82095-F555-409E-8365-D0943F39DFAD}"/>
            </a:ext>
          </a:extLst>
        </xdr:cNvPr>
        <xdr:cNvSpPr txBox="1"/>
      </xdr:nvSpPr>
      <xdr:spPr>
        <a:xfrm>
          <a:off x="6291072" y="8858107"/>
          <a:ext cx="1987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Fall</a:t>
          </a:r>
        </a:p>
      </xdr:txBody>
    </xdr:sp>
    <xdr:clientData/>
  </xdr:oneCellAnchor>
  <xdr:twoCellAnchor editAs="oneCell">
    <xdr:from>
      <xdr:col>8</xdr:col>
      <xdr:colOff>127</xdr:colOff>
      <xdr:row>51</xdr:row>
      <xdr:rowOff>90170</xdr:rowOff>
    </xdr:from>
    <xdr:to>
      <xdr:col>8</xdr:col>
      <xdr:colOff>190627</xdr:colOff>
      <xdr:row>52</xdr:row>
      <xdr:rowOff>90171</xdr:rowOff>
    </xdr:to>
    <xdr:sp macro="_xll.PtreeEvent_ObjectClick" textlink="">
      <xdr:nvSpPr>
        <xdr:cNvPr id="108" name="PTObj_DNode_1_16">
          <a:extLst>
            <a:ext uri="{FF2B5EF4-FFF2-40B4-BE49-F238E27FC236}">
              <a16:creationId xmlns:a16="http://schemas.microsoft.com/office/drawing/2014/main" id="{A40C9EEE-FDFF-4D71-A6C8-178958E90FD3}"/>
            </a:ext>
          </a:extLst>
        </xdr:cNvPr>
        <xdr:cNvSpPr/>
      </xdr:nvSpPr>
      <xdr:spPr>
        <a:xfrm>
          <a:off x="9106027" y="9234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51</xdr:row>
      <xdr:rowOff>95107</xdr:rowOff>
    </xdr:from>
    <xdr:ext cx="706219" cy="180627"/>
    <xdr:sp macro="_xll.PtreeEvent_ObjectClick" textlink="">
      <xdr:nvSpPr>
        <xdr:cNvPr id="111" name="PTObj_DBranchName_1_16">
          <a:extLst>
            <a:ext uri="{FF2B5EF4-FFF2-40B4-BE49-F238E27FC236}">
              <a16:creationId xmlns:a16="http://schemas.microsoft.com/office/drawing/2014/main" id="{D59B33F9-869C-4AA0-B6A4-B8418D3BAEF4}"/>
            </a:ext>
          </a:extLst>
        </xdr:cNvPr>
        <xdr:cNvSpPr txBox="1"/>
      </xdr:nvSpPr>
      <xdr:spPr>
        <a:xfrm>
          <a:off x="7834122" y="9239107"/>
          <a:ext cx="70621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Revise Contract</a:t>
          </a:r>
        </a:p>
      </xdr:txBody>
    </xdr:sp>
    <xdr:clientData/>
  </xdr:oneCellAnchor>
  <xdr:twoCellAnchor editAs="oneCell">
    <xdr:from>
      <xdr:col>9</xdr:col>
      <xdr:colOff>127</xdr:colOff>
      <xdr:row>49</xdr:row>
      <xdr:rowOff>90170</xdr:rowOff>
    </xdr:from>
    <xdr:to>
      <xdr:col>9</xdr:col>
      <xdr:colOff>190627</xdr:colOff>
      <xdr:row>50</xdr:row>
      <xdr:rowOff>90170</xdr:rowOff>
    </xdr:to>
    <xdr:sp macro="_xll.PtreeEvent_ObjectClick" textlink="">
      <xdr:nvSpPr>
        <xdr:cNvPr id="112" name="PTObj_DNode_1_17">
          <a:extLst>
            <a:ext uri="{FF2B5EF4-FFF2-40B4-BE49-F238E27FC236}">
              <a16:creationId xmlns:a16="http://schemas.microsoft.com/office/drawing/2014/main" id="{EDDDBBAC-D6C9-44B5-A3A5-BF4C677E3249}"/>
            </a:ext>
          </a:extLst>
        </xdr:cNvPr>
        <xdr:cNvSpPr/>
      </xdr:nvSpPr>
      <xdr:spPr>
        <a:xfrm rot="-5400000">
          <a:off x="10506202" y="885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49</xdr:row>
      <xdr:rowOff>95107</xdr:rowOff>
    </xdr:from>
    <xdr:ext cx="340157" cy="180627"/>
    <xdr:sp macro="_xll.PtreeEvent_ObjectClick" textlink="">
      <xdr:nvSpPr>
        <xdr:cNvPr id="115" name="PTObj_DBranchName_1_17">
          <a:extLst>
            <a:ext uri="{FF2B5EF4-FFF2-40B4-BE49-F238E27FC236}">
              <a16:creationId xmlns:a16="http://schemas.microsoft.com/office/drawing/2014/main" id="{C88524B3-337B-44EB-878C-F023C5D83A74}"/>
            </a:ext>
          </a:extLst>
        </xdr:cNvPr>
        <xdr:cNvSpPr txBox="1"/>
      </xdr:nvSpPr>
      <xdr:spPr>
        <a:xfrm>
          <a:off x="9386697" y="8858107"/>
          <a:ext cx="3401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Return</a:t>
          </a:r>
        </a:p>
      </xdr:txBody>
    </xdr:sp>
    <xdr:clientData/>
  </xdr:oneCellAnchor>
  <xdr:twoCellAnchor editAs="oneCell">
    <xdr:from>
      <xdr:col>8</xdr:col>
      <xdr:colOff>127</xdr:colOff>
      <xdr:row>41</xdr:row>
      <xdr:rowOff>90170</xdr:rowOff>
    </xdr:from>
    <xdr:to>
      <xdr:col>8</xdr:col>
      <xdr:colOff>190627</xdr:colOff>
      <xdr:row>42</xdr:row>
      <xdr:rowOff>90170</xdr:rowOff>
    </xdr:to>
    <xdr:sp macro="_xll.PtreeEvent_ObjectClick" textlink="">
      <xdr:nvSpPr>
        <xdr:cNvPr id="2" name="PTObj_DNode_1_18">
          <a:extLst>
            <a:ext uri="{FF2B5EF4-FFF2-40B4-BE49-F238E27FC236}">
              <a16:creationId xmlns:a16="http://schemas.microsoft.com/office/drawing/2014/main" id="{3B4BC7E9-65A9-4E62-85F0-02F08A942BE1}"/>
            </a:ext>
          </a:extLst>
        </xdr:cNvPr>
        <xdr:cNvSpPr/>
      </xdr:nvSpPr>
      <xdr:spPr>
        <a:xfrm rot="-5400000">
          <a:off x="9344152" y="780542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33</xdr:row>
      <xdr:rowOff>90170</xdr:rowOff>
    </xdr:from>
    <xdr:to>
      <xdr:col>7</xdr:col>
      <xdr:colOff>190627</xdr:colOff>
      <xdr:row>34</xdr:row>
      <xdr:rowOff>90170</xdr:rowOff>
    </xdr:to>
    <xdr:sp macro="_xll.PtreeEvent_ObjectClick" textlink="">
      <xdr:nvSpPr>
        <xdr:cNvPr id="38" name="PTObj_DNode_1_7">
          <a:extLst>
            <a:ext uri="{FF2B5EF4-FFF2-40B4-BE49-F238E27FC236}">
              <a16:creationId xmlns:a16="http://schemas.microsoft.com/office/drawing/2014/main" id="{392AB0D1-BE25-4ADB-91C9-73CEBF0770FA}"/>
            </a:ext>
          </a:extLst>
        </xdr:cNvPr>
        <xdr:cNvSpPr/>
      </xdr:nvSpPr>
      <xdr:spPr>
        <a:xfrm>
          <a:off x="7791577" y="628142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33</xdr:row>
      <xdr:rowOff>95107</xdr:rowOff>
    </xdr:from>
    <xdr:ext cx="198709" cy="180627"/>
    <xdr:sp macro="_xll.PtreeEvent_ObjectClick" textlink="">
      <xdr:nvSpPr>
        <xdr:cNvPr id="45" name="PTObj_DBranchName_1_7">
          <a:extLst>
            <a:ext uri="{FF2B5EF4-FFF2-40B4-BE49-F238E27FC236}">
              <a16:creationId xmlns:a16="http://schemas.microsoft.com/office/drawing/2014/main" id="{4B526334-D987-4D2F-903A-CB494A2D14D1}"/>
            </a:ext>
          </a:extLst>
        </xdr:cNvPr>
        <xdr:cNvSpPr txBox="1"/>
      </xdr:nvSpPr>
      <xdr:spPr>
        <a:xfrm>
          <a:off x="6529197" y="6286357"/>
          <a:ext cx="1987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Fall</a:t>
          </a:r>
        </a:p>
      </xdr:txBody>
    </xdr:sp>
    <xdr:clientData/>
  </xdr:oneCellAnchor>
  <xdr:oneCellAnchor>
    <xdr:from>
      <xdr:col>7</xdr:col>
      <xdr:colOff>280797</xdr:colOff>
      <xdr:row>31</xdr:row>
      <xdr:rowOff>95107</xdr:rowOff>
    </xdr:from>
    <xdr:ext cx="200631" cy="180627"/>
    <xdr:sp macro="_xll.PtreeEvent_ObjectClick" textlink="">
      <xdr:nvSpPr>
        <xdr:cNvPr id="48" name="PTObj_DBranchName_1_8">
          <a:extLst>
            <a:ext uri="{FF2B5EF4-FFF2-40B4-BE49-F238E27FC236}">
              <a16:creationId xmlns:a16="http://schemas.microsoft.com/office/drawing/2014/main" id="{EA0C97B9-FCBF-4E05-8A81-1103EAE2C97C}"/>
            </a:ext>
          </a:extLst>
        </xdr:cNvPr>
        <xdr:cNvSpPr txBox="1"/>
      </xdr:nvSpPr>
      <xdr:spPr>
        <a:xfrm>
          <a:off x="8072247" y="5905357"/>
          <a:ext cx="2006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</a:t>
          </a:r>
        </a:p>
      </xdr:txBody>
    </xdr:sp>
    <xdr:clientData/>
  </xdr:oneCellAnchor>
  <xdr:oneCellAnchor>
    <xdr:from>
      <xdr:col>7</xdr:col>
      <xdr:colOff>280797</xdr:colOff>
      <xdr:row>39</xdr:row>
      <xdr:rowOff>95107</xdr:rowOff>
    </xdr:from>
    <xdr:ext cx="289887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33351ABF-E37B-424E-8CD6-2E7B3FB3F46C}"/>
            </a:ext>
          </a:extLst>
        </xdr:cNvPr>
        <xdr:cNvSpPr txBox="1"/>
      </xdr:nvSpPr>
      <xdr:spPr>
        <a:xfrm>
          <a:off x="8072247" y="7429357"/>
          <a:ext cx="2898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</a:t>
          </a:r>
        </a:p>
      </xdr:txBody>
    </xdr:sp>
    <xdr:clientData/>
  </xdr:oneCellAnchor>
  <xdr:oneCellAnchor>
    <xdr:from>
      <xdr:col>7</xdr:col>
      <xdr:colOff>280797</xdr:colOff>
      <xdr:row>41</xdr:row>
      <xdr:rowOff>95107</xdr:rowOff>
    </xdr:from>
    <xdr:ext cx="918264" cy="180627"/>
    <xdr:sp macro="_xll.PtreeEvent_ObjectClick" textlink="">
      <xdr:nvSpPr>
        <xdr:cNvPr id="58" name="PTObj_DBranchName_1_18">
          <a:extLst>
            <a:ext uri="{FF2B5EF4-FFF2-40B4-BE49-F238E27FC236}">
              <a16:creationId xmlns:a16="http://schemas.microsoft.com/office/drawing/2014/main" id="{DEAC5CB1-9317-42F4-9B77-D6B280C97878}"/>
            </a:ext>
          </a:extLst>
        </xdr:cNvPr>
        <xdr:cNvSpPr txBox="1"/>
      </xdr:nvSpPr>
      <xdr:spPr>
        <a:xfrm>
          <a:off x="8072247" y="7810357"/>
          <a:ext cx="91826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Continue Production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15</xdr:row>
      <xdr:rowOff>185420</xdr:rowOff>
    </xdr:from>
    <xdr:to>
      <xdr:col>5</xdr:col>
      <xdr:colOff>127</xdr:colOff>
      <xdr:row>15</xdr:row>
      <xdr:rowOff>185420</xdr:rowOff>
    </xdr:to>
    <xdr:cxnSp macro="">
      <xdr:nvCxnSpPr>
        <xdr:cNvPr id="4" name="PTObj_DBranchHLine_1_9">
          <a:extLst>
            <a:ext uri="{FF2B5EF4-FFF2-40B4-BE49-F238E27FC236}">
              <a16:creationId xmlns:a16="http://schemas.microsoft.com/office/drawing/2014/main" id="{44EBBB6D-7361-4C2E-B7F3-6AE6F22BB392}"/>
            </a:ext>
          </a:extLst>
        </xdr:cNvPr>
        <xdr:cNvCxnSpPr/>
      </xdr:nvCxnSpPr>
      <xdr:spPr>
        <a:xfrm>
          <a:off x="8034147" y="7519670"/>
          <a:ext cx="1519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9</xdr:row>
      <xdr:rowOff>180340</xdr:rowOff>
    </xdr:from>
    <xdr:to>
      <xdr:col>4</xdr:col>
      <xdr:colOff>242697</xdr:colOff>
      <xdr:row>15</xdr:row>
      <xdr:rowOff>185420</xdr:rowOff>
    </xdr:to>
    <xdr:cxnSp macro="">
      <xdr:nvCxnSpPr>
        <xdr:cNvPr id="5" name="PTObj_DBranchDLine_1_9">
          <a:extLst>
            <a:ext uri="{FF2B5EF4-FFF2-40B4-BE49-F238E27FC236}">
              <a16:creationId xmlns:a16="http://schemas.microsoft.com/office/drawing/2014/main" id="{EB5A7879-832C-4F21-8B08-54706F7E44A3}"/>
            </a:ext>
          </a:extLst>
        </xdr:cNvPr>
        <xdr:cNvCxnSpPr/>
      </xdr:nvCxnSpPr>
      <xdr:spPr>
        <a:xfrm>
          <a:off x="7881747" y="6371590"/>
          <a:ext cx="152400" cy="1148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9</xdr:row>
      <xdr:rowOff>185420</xdr:rowOff>
    </xdr:from>
    <xdr:to>
      <xdr:col>4</xdr:col>
      <xdr:colOff>127</xdr:colOff>
      <xdr:row>9</xdr:row>
      <xdr:rowOff>185420</xdr:rowOff>
    </xdr:to>
    <xdr:cxnSp macro="">
      <xdr:nvCxnSpPr>
        <xdr:cNvPr id="8" name="PTObj_DBranchHLine_1_7">
          <a:extLst>
            <a:ext uri="{FF2B5EF4-FFF2-40B4-BE49-F238E27FC236}">
              <a16:creationId xmlns:a16="http://schemas.microsoft.com/office/drawing/2014/main" id="{41D918B7-D217-4304-A6FB-0DA6E15EAA1B}"/>
            </a:ext>
          </a:extLst>
        </xdr:cNvPr>
        <xdr:cNvCxnSpPr/>
      </xdr:nvCxnSpPr>
      <xdr:spPr>
        <a:xfrm>
          <a:off x="6491097" y="637667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7</xdr:row>
      <xdr:rowOff>180340</xdr:rowOff>
    </xdr:from>
    <xdr:to>
      <xdr:col>3</xdr:col>
      <xdr:colOff>242697</xdr:colOff>
      <xdr:row>9</xdr:row>
      <xdr:rowOff>185420</xdr:rowOff>
    </xdr:to>
    <xdr:cxnSp macro="">
      <xdr:nvCxnSpPr>
        <xdr:cNvPr id="9" name="PTObj_DBranchDLine_1_7">
          <a:extLst>
            <a:ext uri="{FF2B5EF4-FFF2-40B4-BE49-F238E27FC236}">
              <a16:creationId xmlns:a16="http://schemas.microsoft.com/office/drawing/2014/main" id="{7F4AEF6E-4B53-4AF7-945C-1A44F523D261}"/>
            </a:ext>
          </a:extLst>
        </xdr:cNvPr>
        <xdr:cNvCxnSpPr/>
      </xdr:nvCxnSpPr>
      <xdr:spPr>
        <a:xfrm>
          <a:off x="6338697" y="484759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11</xdr:row>
      <xdr:rowOff>185420</xdr:rowOff>
    </xdr:from>
    <xdr:to>
      <xdr:col>7</xdr:col>
      <xdr:colOff>127</xdr:colOff>
      <xdr:row>11</xdr:row>
      <xdr:rowOff>185420</xdr:rowOff>
    </xdr:to>
    <xdr:cxnSp macro="">
      <xdr:nvCxnSpPr>
        <xdr:cNvPr id="20" name="PTObj_DBranchHLine_1_13">
          <a:extLst>
            <a:ext uri="{FF2B5EF4-FFF2-40B4-BE49-F238E27FC236}">
              <a16:creationId xmlns:a16="http://schemas.microsoft.com/office/drawing/2014/main" id="{5E9C7D20-2754-449E-9DF0-F1B3170EBA8D}"/>
            </a:ext>
          </a:extLst>
        </xdr:cNvPr>
        <xdr:cNvCxnSpPr/>
      </xdr:nvCxnSpPr>
      <xdr:spPr>
        <a:xfrm>
          <a:off x="11196447" y="6757670"/>
          <a:ext cx="115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11</xdr:row>
      <xdr:rowOff>185420</xdr:rowOff>
    </xdr:from>
    <xdr:to>
      <xdr:col>6</xdr:col>
      <xdr:colOff>242697</xdr:colOff>
      <xdr:row>13</xdr:row>
      <xdr:rowOff>180339</xdr:rowOff>
    </xdr:to>
    <xdr:cxnSp macro="">
      <xdr:nvCxnSpPr>
        <xdr:cNvPr id="21" name="PTObj_DBranchDLine_1_13">
          <a:extLst>
            <a:ext uri="{FF2B5EF4-FFF2-40B4-BE49-F238E27FC236}">
              <a16:creationId xmlns:a16="http://schemas.microsoft.com/office/drawing/2014/main" id="{96EA5FD9-01BB-4381-961C-033DBA7DBF1B}"/>
            </a:ext>
          </a:extLst>
        </xdr:cNvPr>
        <xdr:cNvCxnSpPr/>
      </xdr:nvCxnSpPr>
      <xdr:spPr>
        <a:xfrm flipV="1">
          <a:off x="11044047" y="675767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13</xdr:row>
      <xdr:rowOff>185420</xdr:rowOff>
    </xdr:from>
    <xdr:to>
      <xdr:col>6</xdr:col>
      <xdr:colOff>127</xdr:colOff>
      <xdr:row>13</xdr:row>
      <xdr:rowOff>185420</xdr:rowOff>
    </xdr:to>
    <xdr:cxnSp macro="">
      <xdr:nvCxnSpPr>
        <xdr:cNvPr id="22" name="PTObj_DBranchHLine_1_11">
          <a:extLst>
            <a:ext uri="{FF2B5EF4-FFF2-40B4-BE49-F238E27FC236}">
              <a16:creationId xmlns:a16="http://schemas.microsoft.com/office/drawing/2014/main" id="{A1590937-D0A3-4CDA-9770-9AE93F19B3B1}"/>
            </a:ext>
          </a:extLst>
        </xdr:cNvPr>
        <xdr:cNvCxnSpPr/>
      </xdr:nvCxnSpPr>
      <xdr:spPr>
        <a:xfrm>
          <a:off x="9796272" y="7138670"/>
          <a:ext cx="115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13</xdr:row>
      <xdr:rowOff>185420</xdr:rowOff>
    </xdr:from>
    <xdr:to>
      <xdr:col>5</xdr:col>
      <xdr:colOff>242697</xdr:colOff>
      <xdr:row>15</xdr:row>
      <xdr:rowOff>180339</xdr:rowOff>
    </xdr:to>
    <xdr:cxnSp macro="">
      <xdr:nvCxnSpPr>
        <xdr:cNvPr id="23" name="PTObj_DBranchDLine_1_11">
          <a:extLst>
            <a:ext uri="{FF2B5EF4-FFF2-40B4-BE49-F238E27FC236}">
              <a16:creationId xmlns:a16="http://schemas.microsoft.com/office/drawing/2014/main" id="{930F2F7D-38F7-4452-9DEA-9AD632AE0477}"/>
            </a:ext>
          </a:extLst>
        </xdr:cNvPr>
        <xdr:cNvCxnSpPr/>
      </xdr:nvCxnSpPr>
      <xdr:spPr>
        <a:xfrm flipV="1">
          <a:off x="9643872" y="713867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</xdr:row>
      <xdr:rowOff>185420</xdr:rowOff>
    </xdr:from>
    <xdr:to>
      <xdr:col>4</xdr:col>
      <xdr:colOff>127</xdr:colOff>
      <xdr:row>5</xdr:row>
      <xdr:rowOff>185420</xdr:rowOff>
    </xdr:to>
    <xdr:cxnSp macro="">
      <xdr:nvCxnSpPr>
        <xdr:cNvPr id="28" name="PTObj_DBranchHLine_1_6">
          <a:extLst>
            <a:ext uri="{FF2B5EF4-FFF2-40B4-BE49-F238E27FC236}">
              <a16:creationId xmlns:a16="http://schemas.microsoft.com/office/drawing/2014/main" id="{B6EB54DD-19E9-4F90-B7B9-3491B9A29477}"/>
            </a:ext>
          </a:extLst>
        </xdr:cNvPr>
        <xdr:cNvCxnSpPr/>
      </xdr:nvCxnSpPr>
      <xdr:spPr>
        <a:xfrm>
          <a:off x="6491097" y="447167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</xdr:row>
      <xdr:rowOff>185420</xdr:rowOff>
    </xdr:from>
    <xdr:to>
      <xdr:col>3</xdr:col>
      <xdr:colOff>242697</xdr:colOff>
      <xdr:row>7</xdr:row>
      <xdr:rowOff>180340</xdr:rowOff>
    </xdr:to>
    <xdr:cxnSp macro="">
      <xdr:nvCxnSpPr>
        <xdr:cNvPr id="29" name="PTObj_DBranchDLine_1_6">
          <a:extLst>
            <a:ext uri="{FF2B5EF4-FFF2-40B4-BE49-F238E27FC236}">
              <a16:creationId xmlns:a16="http://schemas.microsoft.com/office/drawing/2014/main" id="{377574DB-88B8-4A74-9A78-517EA34A1E42}"/>
            </a:ext>
          </a:extLst>
        </xdr:cNvPr>
        <xdr:cNvCxnSpPr/>
      </xdr:nvCxnSpPr>
      <xdr:spPr>
        <a:xfrm flipV="1">
          <a:off x="6338697" y="447167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7</xdr:row>
      <xdr:rowOff>185420</xdr:rowOff>
    </xdr:from>
    <xdr:to>
      <xdr:col>3</xdr:col>
      <xdr:colOff>127</xdr:colOff>
      <xdr:row>7</xdr:row>
      <xdr:rowOff>185420</xdr:rowOff>
    </xdr:to>
    <xdr:cxnSp macro="">
      <xdr:nvCxnSpPr>
        <xdr:cNvPr id="30" name="PTObj_DBranchHLine_1_4">
          <a:extLst>
            <a:ext uri="{FF2B5EF4-FFF2-40B4-BE49-F238E27FC236}">
              <a16:creationId xmlns:a16="http://schemas.microsoft.com/office/drawing/2014/main" id="{63563A94-BE40-4ECA-9037-79657F502219}"/>
            </a:ext>
          </a:extLst>
        </xdr:cNvPr>
        <xdr:cNvCxnSpPr/>
      </xdr:nvCxnSpPr>
      <xdr:spPr>
        <a:xfrm>
          <a:off x="4957572" y="48526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7</xdr:row>
      <xdr:rowOff>185420</xdr:rowOff>
    </xdr:from>
    <xdr:to>
      <xdr:col>2</xdr:col>
      <xdr:colOff>242697</xdr:colOff>
      <xdr:row>17</xdr:row>
      <xdr:rowOff>180340</xdr:rowOff>
    </xdr:to>
    <xdr:cxnSp macro="">
      <xdr:nvCxnSpPr>
        <xdr:cNvPr id="31" name="PTObj_DBranchDLine_1_4">
          <a:extLst>
            <a:ext uri="{FF2B5EF4-FFF2-40B4-BE49-F238E27FC236}">
              <a16:creationId xmlns:a16="http://schemas.microsoft.com/office/drawing/2014/main" id="{3A453B48-B7F1-4247-89AC-7BF65F40A864}"/>
            </a:ext>
          </a:extLst>
        </xdr:cNvPr>
        <xdr:cNvCxnSpPr/>
      </xdr:nvCxnSpPr>
      <xdr:spPr>
        <a:xfrm flipV="1">
          <a:off x="4805172" y="4852670"/>
          <a:ext cx="152400" cy="3423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17</xdr:row>
      <xdr:rowOff>185420</xdr:rowOff>
    </xdr:from>
    <xdr:to>
      <xdr:col>2</xdr:col>
      <xdr:colOff>127</xdr:colOff>
      <xdr:row>17</xdr:row>
      <xdr:rowOff>185420</xdr:rowOff>
    </xdr:to>
    <xdr:cxnSp macro="">
      <xdr:nvCxnSpPr>
        <xdr:cNvPr id="32" name="PTObj_DBranchHLine_1_2">
          <a:extLst>
            <a:ext uri="{FF2B5EF4-FFF2-40B4-BE49-F238E27FC236}">
              <a16:creationId xmlns:a16="http://schemas.microsoft.com/office/drawing/2014/main" id="{1B9CA4DC-F82A-40BD-B5CB-2CCBE60D5FD7}"/>
            </a:ext>
          </a:extLst>
        </xdr:cNvPr>
        <xdr:cNvCxnSpPr/>
      </xdr:nvCxnSpPr>
      <xdr:spPr>
        <a:xfrm>
          <a:off x="3424047" y="82816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17</xdr:row>
      <xdr:rowOff>185420</xdr:rowOff>
    </xdr:from>
    <xdr:to>
      <xdr:col>1</xdr:col>
      <xdr:colOff>242697</xdr:colOff>
      <xdr:row>19</xdr:row>
      <xdr:rowOff>180340</xdr:rowOff>
    </xdr:to>
    <xdr:cxnSp macro="">
      <xdr:nvCxnSpPr>
        <xdr:cNvPr id="33" name="PTObj_DBranchDLine_1_2">
          <a:extLst>
            <a:ext uri="{FF2B5EF4-FFF2-40B4-BE49-F238E27FC236}">
              <a16:creationId xmlns:a16="http://schemas.microsoft.com/office/drawing/2014/main" id="{F75F70B1-8B52-4033-8713-134FA32D66C5}"/>
            </a:ext>
          </a:extLst>
        </xdr:cNvPr>
        <xdr:cNvCxnSpPr/>
      </xdr:nvCxnSpPr>
      <xdr:spPr>
        <a:xfrm flipV="1">
          <a:off x="3271647" y="8281670"/>
          <a:ext cx="152400" cy="2280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19</xdr:row>
      <xdr:rowOff>185420</xdr:rowOff>
    </xdr:from>
    <xdr:to>
      <xdr:col>1</xdr:col>
      <xdr:colOff>127</xdr:colOff>
      <xdr:row>19</xdr:row>
      <xdr:rowOff>185420</xdr:rowOff>
    </xdr:to>
    <xdr:cxnSp macro="">
      <xdr:nvCxnSpPr>
        <xdr:cNvPr id="36" name="PTObj_DBranchHLine_1_1">
          <a:extLst>
            <a:ext uri="{FF2B5EF4-FFF2-40B4-BE49-F238E27FC236}">
              <a16:creationId xmlns:a16="http://schemas.microsoft.com/office/drawing/2014/main" id="{FB20A880-6C70-4C20-97E5-7F8CFF2CF71F}"/>
            </a:ext>
          </a:extLst>
        </xdr:cNvPr>
        <xdr:cNvCxnSpPr/>
      </xdr:nvCxnSpPr>
      <xdr:spPr>
        <a:xfrm>
          <a:off x="2244725" y="10567670"/>
          <a:ext cx="9367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19</xdr:row>
      <xdr:rowOff>90170</xdr:rowOff>
    </xdr:from>
    <xdr:to>
      <xdr:col>1</xdr:col>
      <xdr:colOff>190627</xdr:colOff>
      <xdr:row>20</xdr:row>
      <xdr:rowOff>90169</xdr:rowOff>
    </xdr:to>
    <xdr:sp macro="" textlink="">
      <xdr:nvSpPr>
        <xdr:cNvPr id="37" name="PTObj_DNode_1_1">
          <a:extLst>
            <a:ext uri="{FF2B5EF4-FFF2-40B4-BE49-F238E27FC236}">
              <a16:creationId xmlns:a16="http://schemas.microsoft.com/office/drawing/2014/main" id="{497760D9-640A-4857-93DB-607BB88764E7}"/>
            </a:ext>
          </a:extLst>
        </xdr:cNvPr>
        <xdr:cNvSpPr/>
      </xdr:nvSpPr>
      <xdr:spPr>
        <a:xfrm>
          <a:off x="3181477" y="10472420"/>
          <a:ext cx="190500" cy="190499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19</xdr:row>
      <xdr:rowOff>95107</xdr:rowOff>
    </xdr:from>
    <xdr:ext cx="408189" cy="180627"/>
    <xdr:sp macro="" textlink="">
      <xdr:nvSpPr>
        <xdr:cNvPr id="38" name="PTObj_DBranchName_1_1">
          <a:extLst>
            <a:ext uri="{FF2B5EF4-FFF2-40B4-BE49-F238E27FC236}">
              <a16:creationId xmlns:a16="http://schemas.microsoft.com/office/drawing/2014/main" id="{1FBA002A-1C06-419E-89C4-B1E9300F0B02}"/>
            </a:ext>
          </a:extLst>
        </xdr:cNvPr>
        <xdr:cNvSpPr txBox="1"/>
      </xdr:nvSpPr>
      <xdr:spPr>
        <a:xfrm>
          <a:off x="2282825" y="10477357"/>
          <a:ext cx="4081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Decision</a:t>
          </a:r>
        </a:p>
      </xdr:txBody>
    </xdr:sp>
    <xdr:clientData/>
  </xdr:oneCellAnchor>
  <xdr:twoCellAnchor editAs="oneCell">
    <xdr:from>
      <xdr:col>2</xdr:col>
      <xdr:colOff>127</xdr:colOff>
      <xdr:row>17</xdr:row>
      <xdr:rowOff>90170</xdr:rowOff>
    </xdr:from>
    <xdr:to>
      <xdr:col>2</xdr:col>
      <xdr:colOff>190627</xdr:colOff>
      <xdr:row>18</xdr:row>
      <xdr:rowOff>90170</xdr:rowOff>
    </xdr:to>
    <xdr:sp macro="" textlink="">
      <xdr:nvSpPr>
        <xdr:cNvPr id="41" name="PTObj_DNode_1_2">
          <a:extLst>
            <a:ext uri="{FF2B5EF4-FFF2-40B4-BE49-F238E27FC236}">
              <a16:creationId xmlns:a16="http://schemas.microsoft.com/office/drawing/2014/main" id="{A9EC6A99-7999-4F92-9076-26313BB5BC54}"/>
            </a:ext>
          </a:extLst>
        </xdr:cNvPr>
        <xdr:cNvSpPr/>
      </xdr:nvSpPr>
      <xdr:spPr>
        <a:xfrm>
          <a:off x="4715002" y="818642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17</xdr:row>
      <xdr:rowOff>95107</xdr:rowOff>
    </xdr:from>
    <xdr:ext cx="581441" cy="180627"/>
    <xdr:sp macro="" textlink="">
      <xdr:nvSpPr>
        <xdr:cNvPr id="42" name="PTObj_DBranchName_1_2">
          <a:extLst>
            <a:ext uri="{FF2B5EF4-FFF2-40B4-BE49-F238E27FC236}">
              <a16:creationId xmlns:a16="http://schemas.microsoft.com/office/drawing/2014/main" id="{C133F57A-B0FA-49A2-A00E-19D65CB497D4}"/>
            </a:ext>
          </a:extLst>
        </xdr:cNvPr>
        <xdr:cNvSpPr txBox="1"/>
      </xdr:nvSpPr>
      <xdr:spPr>
        <a:xfrm>
          <a:off x="3462147" y="8191357"/>
          <a:ext cx="581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 Offer</a:t>
          </a:r>
        </a:p>
      </xdr:txBody>
    </xdr:sp>
    <xdr:clientData/>
  </xdr:oneCellAnchor>
  <xdr:twoCellAnchor editAs="oneCell">
    <xdr:from>
      <xdr:col>3</xdr:col>
      <xdr:colOff>127</xdr:colOff>
      <xdr:row>7</xdr:row>
      <xdr:rowOff>90170</xdr:rowOff>
    </xdr:from>
    <xdr:to>
      <xdr:col>3</xdr:col>
      <xdr:colOff>190627</xdr:colOff>
      <xdr:row>8</xdr:row>
      <xdr:rowOff>90169</xdr:rowOff>
    </xdr:to>
    <xdr:sp macro="" textlink="">
      <xdr:nvSpPr>
        <xdr:cNvPr id="43" name="PTObj_DNode_1_4">
          <a:extLst>
            <a:ext uri="{FF2B5EF4-FFF2-40B4-BE49-F238E27FC236}">
              <a16:creationId xmlns:a16="http://schemas.microsoft.com/office/drawing/2014/main" id="{AD4E0A67-EE13-491E-B162-A6E8A726660C}"/>
            </a:ext>
          </a:extLst>
        </xdr:cNvPr>
        <xdr:cNvSpPr/>
      </xdr:nvSpPr>
      <xdr:spPr>
        <a:xfrm>
          <a:off x="6248527" y="4757420"/>
          <a:ext cx="190500" cy="190499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7</xdr:row>
      <xdr:rowOff>95107</xdr:rowOff>
    </xdr:from>
    <xdr:ext cx="429733" cy="180627"/>
    <xdr:sp macro="" textlink="">
      <xdr:nvSpPr>
        <xdr:cNvPr id="44" name="PTObj_DBranchName_1_4">
          <a:extLst>
            <a:ext uri="{FF2B5EF4-FFF2-40B4-BE49-F238E27FC236}">
              <a16:creationId xmlns:a16="http://schemas.microsoft.com/office/drawing/2014/main" id="{0F4F1760-0002-407F-9748-61186771CB8F}"/>
            </a:ext>
          </a:extLst>
        </xdr:cNvPr>
        <xdr:cNvSpPr txBox="1"/>
      </xdr:nvSpPr>
      <xdr:spPr>
        <a:xfrm>
          <a:off x="4995672" y="4762357"/>
          <a:ext cx="4297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In-House</a:t>
          </a:r>
        </a:p>
      </xdr:txBody>
    </xdr:sp>
    <xdr:clientData/>
  </xdr:oneCellAnchor>
  <xdr:twoCellAnchor editAs="oneCell">
    <xdr:from>
      <xdr:col>4</xdr:col>
      <xdr:colOff>127</xdr:colOff>
      <xdr:row>5</xdr:row>
      <xdr:rowOff>90170</xdr:rowOff>
    </xdr:from>
    <xdr:to>
      <xdr:col>4</xdr:col>
      <xdr:colOff>190627</xdr:colOff>
      <xdr:row>6</xdr:row>
      <xdr:rowOff>90170</xdr:rowOff>
    </xdr:to>
    <xdr:sp macro="" textlink="">
      <xdr:nvSpPr>
        <xdr:cNvPr id="45" name="PTObj_DNode_1_6">
          <a:extLst>
            <a:ext uri="{FF2B5EF4-FFF2-40B4-BE49-F238E27FC236}">
              <a16:creationId xmlns:a16="http://schemas.microsoft.com/office/drawing/2014/main" id="{8C6931CA-6EE9-4B6B-8E96-C972D968BB57}"/>
            </a:ext>
          </a:extLst>
        </xdr:cNvPr>
        <xdr:cNvSpPr/>
      </xdr:nvSpPr>
      <xdr:spPr>
        <a:xfrm rot="-5400000">
          <a:off x="7791577" y="437642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5</xdr:row>
      <xdr:rowOff>95107</xdr:rowOff>
    </xdr:from>
    <xdr:ext cx="225831" cy="180627"/>
    <xdr:sp macro="" textlink="">
      <xdr:nvSpPr>
        <xdr:cNvPr id="46" name="PTObj_DBranchName_1_6">
          <a:extLst>
            <a:ext uri="{FF2B5EF4-FFF2-40B4-BE49-F238E27FC236}">
              <a16:creationId xmlns:a16="http://schemas.microsoft.com/office/drawing/2014/main" id="{DBC531A6-A815-4C47-A205-8D51F3B96155}"/>
            </a:ext>
          </a:extLst>
        </xdr:cNvPr>
        <xdr:cNvSpPr txBox="1"/>
      </xdr:nvSpPr>
      <xdr:spPr>
        <a:xfrm>
          <a:off x="6529197" y="4381357"/>
          <a:ext cx="2258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Rise</a:t>
          </a:r>
        </a:p>
      </xdr:txBody>
    </xdr:sp>
    <xdr:clientData/>
  </xdr:oneCellAnchor>
  <xdr:twoCellAnchor editAs="oneCell">
    <xdr:from>
      <xdr:col>5</xdr:col>
      <xdr:colOff>127</xdr:colOff>
      <xdr:row>15</xdr:row>
      <xdr:rowOff>90170</xdr:rowOff>
    </xdr:from>
    <xdr:to>
      <xdr:col>5</xdr:col>
      <xdr:colOff>190627</xdr:colOff>
      <xdr:row>16</xdr:row>
      <xdr:rowOff>90169</xdr:rowOff>
    </xdr:to>
    <xdr:sp macro="" textlink="">
      <xdr:nvSpPr>
        <xdr:cNvPr id="48" name="PTObj_DNode_1_9">
          <a:extLst>
            <a:ext uri="{FF2B5EF4-FFF2-40B4-BE49-F238E27FC236}">
              <a16:creationId xmlns:a16="http://schemas.microsoft.com/office/drawing/2014/main" id="{1F0AE81E-2653-4236-A487-0ABC7FA4F791}"/>
            </a:ext>
          </a:extLst>
        </xdr:cNvPr>
        <xdr:cNvSpPr/>
      </xdr:nvSpPr>
      <xdr:spPr>
        <a:xfrm>
          <a:off x="9553702" y="7424420"/>
          <a:ext cx="190500" cy="190499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127</xdr:colOff>
      <xdr:row>13</xdr:row>
      <xdr:rowOff>90170</xdr:rowOff>
    </xdr:from>
    <xdr:to>
      <xdr:col>6</xdr:col>
      <xdr:colOff>190627</xdr:colOff>
      <xdr:row>14</xdr:row>
      <xdr:rowOff>90170</xdr:rowOff>
    </xdr:to>
    <xdr:sp macro="" textlink="">
      <xdr:nvSpPr>
        <xdr:cNvPr id="53" name="PTObj_DNode_1_11">
          <a:extLst>
            <a:ext uri="{FF2B5EF4-FFF2-40B4-BE49-F238E27FC236}">
              <a16:creationId xmlns:a16="http://schemas.microsoft.com/office/drawing/2014/main" id="{790F2276-398C-4595-AEFA-2A45586B35BA}"/>
            </a:ext>
          </a:extLst>
        </xdr:cNvPr>
        <xdr:cNvSpPr/>
      </xdr:nvSpPr>
      <xdr:spPr>
        <a:xfrm>
          <a:off x="10953877" y="704342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13</xdr:row>
      <xdr:rowOff>95107</xdr:rowOff>
    </xdr:from>
    <xdr:ext cx="490006" cy="180627"/>
    <xdr:sp macro="" textlink="">
      <xdr:nvSpPr>
        <xdr:cNvPr id="54" name="PTObj_DBranchName_1_11">
          <a:extLst>
            <a:ext uri="{FF2B5EF4-FFF2-40B4-BE49-F238E27FC236}">
              <a16:creationId xmlns:a16="http://schemas.microsoft.com/office/drawing/2014/main" id="{2453B718-29D5-4805-83BD-2B05F5E870BC}"/>
            </a:ext>
          </a:extLst>
        </xdr:cNvPr>
        <xdr:cNvSpPr txBox="1"/>
      </xdr:nvSpPr>
      <xdr:spPr>
        <a:xfrm>
          <a:off x="9834372" y="7048357"/>
          <a:ext cx="49000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Outsource</a:t>
          </a:r>
        </a:p>
      </xdr:txBody>
    </xdr:sp>
    <xdr:clientData/>
  </xdr:oneCellAnchor>
  <xdr:twoCellAnchor editAs="oneCell">
    <xdr:from>
      <xdr:col>7</xdr:col>
      <xdr:colOff>127</xdr:colOff>
      <xdr:row>11</xdr:row>
      <xdr:rowOff>90170</xdr:rowOff>
    </xdr:from>
    <xdr:to>
      <xdr:col>7</xdr:col>
      <xdr:colOff>190627</xdr:colOff>
      <xdr:row>12</xdr:row>
      <xdr:rowOff>90171</xdr:rowOff>
    </xdr:to>
    <xdr:sp macro="" textlink="">
      <xdr:nvSpPr>
        <xdr:cNvPr id="55" name="PTObj_DNode_1_13">
          <a:extLst>
            <a:ext uri="{FF2B5EF4-FFF2-40B4-BE49-F238E27FC236}">
              <a16:creationId xmlns:a16="http://schemas.microsoft.com/office/drawing/2014/main" id="{D04F5B72-1444-4AAF-8E29-372EC27D0245}"/>
            </a:ext>
          </a:extLst>
        </xdr:cNvPr>
        <xdr:cNvSpPr/>
      </xdr:nvSpPr>
      <xdr:spPr>
        <a:xfrm rot="-5400000">
          <a:off x="12354051" y="6662421"/>
          <a:ext cx="190501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11</xdr:row>
      <xdr:rowOff>95107</xdr:rowOff>
    </xdr:from>
    <xdr:ext cx="340158" cy="180627"/>
    <xdr:sp macro="" textlink="">
      <xdr:nvSpPr>
        <xdr:cNvPr id="56" name="PTObj_DBranchName_1_13">
          <a:extLst>
            <a:ext uri="{FF2B5EF4-FFF2-40B4-BE49-F238E27FC236}">
              <a16:creationId xmlns:a16="http://schemas.microsoft.com/office/drawing/2014/main" id="{3816C921-B490-4C6C-9B95-7518BB0C31D3}"/>
            </a:ext>
          </a:extLst>
        </xdr:cNvPr>
        <xdr:cNvSpPr txBox="1"/>
      </xdr:nvSpPr>
      <xdr:spPr>
        <a:xfrm>
          <a:off x="11234547" y="6667357"/>
          <a:ext cx="3401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Return</a:t>
          </a:r>
        </a:p>
      </xdr:txBody>
    </xdr:sp>
    <xdr:clientData/>
  </xdr:oneCellAnchor>
  <xdr:twoCellAnchor editAs="oneCell">
    <xdr:from>
      <xdr:col>4</xdr:col>
      <xdr:colOff>127</xdr:colOff>
      <xdr:row>9</xdr:row>
      <xdr:rowOff>90170</xdr:rowOff>
    </xdr:from>
    <xdr:to>
      <xdr:col>4</xdr:col>
      <xdr:colOff>190627</xdr:colOff>
      <xdr:row>10</xdr:row>
      <xdr:rowOff>90170</xdr:rowOff>
    </xdr:to>
    <xdr:sp macro="" textlink="">
      <xdr:nvSpPr>
        <xdr:cNvPr id="68" name="PTObj_DNode_1_7">
          <a:extLst>
            <a:ext uri="{FF2B5EF4-FFF2-40B4-BE49-F238E27FC236}">
              <a16:creationId xmlns:a16="http://schemas.microsoft.com/office/drawing/2014/main" id="{804D6B36-8CC6-4D43-ACE1-1BD96B069971}"/>
            </a:ext>
          </a:extLst>
        </xdr:cNvPr>
        <xdr:cNvSpPr/>
      </xdr:nvSpPr>
      <xdr:spPr>
        <a:xfrm>
          <a:off x="7791577" y="628142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9</xdr:row>
      <xdr:rowOff>95107</xdr:rowOff>
    </xdr:from>
    <xdr:ext cx="198709" cy="180627"/>
    <xdr:sp macro="" textlink="">
      <xdr:nvSpPr>
        <xdr:cNvPr id="69" name="PTObj_DBranchName_1_7">
          <a:extLst>
            <a:ext uri="{FF2B5EF4-FFF2-40B4-BE49-F238E27FC236}">
              <a16:creationId xmlns:a16="http://schemas.microsoft.com/office/drawing/2014/main" id="{03CCD9F0-9D4A-45F2-A879-80776289F0B9}"/>
            </a:ext>
          </a:extLst>
        </xdr:cNvPr>
        <xdr:cNvSpPr txBox="1"/>
      </xdr:nvSpPr>
      <xdr:spPr>
        <a:xfrm>
          <a:off x="6529197" y="6286357"/>
          <a:ext cx="1987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Fall</a:t>
          </a:r>
        </a:p>
      </xdr:txBody>
    </xdr:sp>
    <xdr:clientData/>
  </xdr:oneCellAnchor>
  <xdr:oneCellAnchor>
    <xdr:from>
      <xdr:col>4</xdr:col>
      <xdr:colOff>280797</xdr:colOff>
      <xdr:row>15</xdr:row>
      <xdr:rowOff>95107</xdr:rowOff>
    </xdr:from>
    <xdr:ext cx="289887" cy="180627"/>
    <xdr:sp macro="" textlink="">
      <xdr:nvSpPr>
        <xdr:cNvPr id="71" name="PTObj_DBranchName_1_9">
          <a:extLst>
            <a:ext uri="{FF2B5EF4-FFF2-40B4-BE49-F238E27FC236}">
              <a16:creationId xmlns:a16="http://schemas.microsoft.com/office/drawing/2014/main" id="{6867E60B-BE63-4DCA-9DEC-377E73AF3EFB}"/>
            </a:ext>
          </a:extLst>
        </xdr:cNvPr>
        <xdr:cNvSpPr txBox="1"/>
      </xdr:nvSpPr>
      <xdr:spPr>
        <a:xfrm>
          <a:off x="8072247" y="7429357"/>
          <a:ext cx="2898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zoomScaleNormal="100" workbookViewId="0">
      <selection activeCell="O8" sqref="O8"/>
    </sheetView>
  </sheetViews>
  <sheetFormatPr defaultRowHeight="15" x14ac:dyDescent="0.25"/>
  <cols>
    <col min="1" max="5" width="9.140625" style="23"/>
    <col min="6" max="6" width="11" style="23" customWidth="1"/>
    <col min="7" max="7" width="10.42578125" style="23" customWidth="1"/>
    <col min="8" max="16384" width="9.140625" style="23"/>
  </cols>
  <sheetData>
    <row r="1" spans="1:13" ht="21.75" thickBot="1" x14ac:dyDescent="0.4">
      <c r="A1" s="63" t="s">
        <v>130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3" ht="15.75" thickBot="1" x14ac:dyDescent="0.3">
      <c r="A2" s="70" t="s">
        <v>0</v>
      </c>
      <c r="B2" s="71"/>
      <c r="C2" s="71"/>
      <c r="D2" s="85"/>
      <c r="E2" s="70" t="s">
        <v>122</v>
      </c>
      <c r="F2" s="71"/>
      <c r="G2" s="71"/>
      <c r="H2" s="71"/>
      <c r="I2" s="85"/>
      <c r="J2" s="70" t="s">
        <v>123</v>
      </c>
      <c r="K2" s="85"/>
      <c r="M2" s="32"/>
    </row>
    <row r="3" spans="1:13" ht="15.75" thickBot="1" x14ac:dyDescent="0.3">
      <c r="A3" s="89" t="s">
        <v>139</v>
      </c>
      <c r="B3" s="90"/>
      <c r="C3" s="91"/>
      <c r="D3" s="59" t="s">
        <v>119</v>
      </c>
      <c r="E3" s="68"/>
      <c r="F3" s="86"/>
      <c r="G3" s="54" t="s">
        <v>119</v>
      </c>
      <c r="H3" s="54" t="s">
        <v>120</v>
      </c>
      <c r="I3" s="54" t="s">
        <v>121</v>
      </c>
      <c r="J3" s="34" t="s">
        <v>119</v>
      </c>
      <c r="K3" s="26">
        <v>8.6</v>
      </c>
    </row>
    <row r="4" spans="1:13" x14ac:dyDescent="0.25">
      <c r="A4" s="87" t="s">
        <v>140</v>
      </c>
      <c r="B4" s="92"/>
      <c r="C4" s="88"/>
      <c r="D4" s="60" t="s">
        <v>120</v>
      </c>
      <c r="E4" s="87" t="s">
        <v>116</v>
      </c>
      <c r="F4" s="88"/>
      <c r="G4" s="28">
        <v>5</v>
      </c>
      <c r="H4" s="28">
        <v>5.5</v>
      </c>
      <c r="I4" s="28">
        <v>6</v>
      </c>
      <c r="J4" s="35" t="s">
        <v>120</v>
      </c>
      <c r="K4" s="28">
        <v>9.3000000000000007</v>
      </c>
    </row>
    <row r="5" spans="1:13" ht="15.75" thickBot="1" x14ac:dyDescent="0.3">
      <c r="A5" s="93" t="s">
        <v>141</v>
      </c>
      <c r="B5" s="94"/>
      <c r="C5" s="95"/>
      <c r="D5" s="61" t="s">
        <v>121</v>
      </c>
      <c r="E5" s="87" t="s">
        <v>117</v>
      </c>
      <c r="F5" s="88"/>
      <c r="G5" s="28">
        <v>2.1</v>
      </c>
      <c r="H5" s="28">
        <v>2.1</v>
      </c>
      <c r="I5" s="28">
        <v>2.1</v>
      </c>
      <c r="J5" s="36" t="s">
        <v>121</v>
      </c>
      <c r="K5" s="29">
        <v>9.8000000000000007</v>
      </c>
    </row>
    <row r="6" spans="1:13" ht="15.75" thickBot="1" x14ac:dyDescent="0.3">
      <c r="A6" s="68"/>
      <c r="B6" s="69"/>
      <c r="C6" s="69"/>
      <c r="D6" s="86"/>
      <c r="E6" s="93" t="s">
        <v>118</v>
      </c>
      <c r="F6" s="95"/>
      <c r="G6" s="29">
        <v>0.6</v>
      </c>
      <c r="H6" s="29">
        <v>0.8</v>
      </c>
      <c r="I6" s="29">
        <v>1</v>
      </c>
      <c r="J6" s="68"/>
      <c r="K6" s="86"/>
    </row>
    <row r="7" spans="1:13" ht="15.75" thickBot="1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86"/>
    </row>
    <row r="8" spans="1:13" ht="15.75" thickBot="1" x14ac:dyDescent="0.3">
      <c r="A8" s="70" t="s">
        <v>4</v>
      </c>
      <c r="B8" s="71"/>
      <c r="C8" s="71"/>
      <c r="D8" s="71"/>
      <c r="E8" s="71"/>
      <c r="F8" s="71"/>
      <c r="G8" s="71"/>
      <c r="H8" s="71"/>
      <c r="I8" s="71"/>
      <c r="J8" s="71"/>
      <c r="K8" s="85"/>
    </row>
    <row r="9" spans="1:13" ht="15.75" thickBot="1" x14ac:dyDescent="0.3">
      <c r="A9" s="66" t="s">
        <v>128</v>
      </c>
      <c r="B9" s="78"/>
      <c r="C9" s="68" t="s">
        <v>129</v>
      </c>
      <c r="D9" s="69"/>
      <c r="E9" s="69"/>
      <c r="F9" s="69"/>
      <c r="G9" s="69"/>
      <c r="H9" s="69"/>
      <c r="I9" s="69"/>
      <c r="J9" s="69"/>
      <c r="K9" s="86"/>
    </row>
    <row r="10" spans="1:13" ht="15.75" thickBot="1" x14ac:dyDescent="0.3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7"/>
    </row>
    <row r="11" spans="1:13" ht="15.75" thickBot="1" x14ac:dyDescent="0.3">
      <c r="A11" s="70" t="s">
        <v>22</v>
      </c>
      <c r="B11" s="71"/>
      <c r="C11" s="71"/>
      <c r="D11" s="71"/>
      <c r="E11" s="71"/>
      <c r="F11" s="71"/>
      <c r="G11" s="71"/>
      <c r="H11" s="71"/>
      <c r="I11" s="71"/>
      <c r="J11" s="71"/>
      <c r="K11" s="72"/>
    </row>
    <row r="12" spans="1:13" ht="15.75" thickBot="1" x14ac:dyDescent="0.3">
      <c r="A12" s="66" t="s">
        <v>124</v>
      </c>
      <c r="B12" s="78"/>
      <c r="C12" s="66" t="s">
        <v>126</v>
      </c>
      <c r="D12" s="78"/>
      <c r="E12" s="66" t="s">
        <v>145</v>
      </c>
      <c r="F12" s="67"/>
      <c r="G12" s="78"/>
      <c r="H12" s="66" t="s">
        <v>137</v>
      </c>
      <c r="I12" s="67"/>
      <c r="J12" s="67"/>
      <c r="K12" s="73"/>
    </row>
    <row r="13" spans="1:13" ht="15.75" thickBot="1" x14ac:dyDescent="0.3">
      <c r="A13" s="34" t="s">
        <v>118</v>
      </c>
      <c r="B13" s="26">
        <v>19000</v>
      </c>
      <c r="C13" s="34" t="s">
        <v>119</v>
      </c>
      <c r="D13" s="26">
        <v>4200</v>
      </c>
      <c r="E13" s="75" t="s">
        <v>127</v>
      </c>
      <c r="F13" s="77"/>
      <c r="G13" s="27">
        <v>15000</v>
      </c>
      <c r="H13" s="68" t="s">
        <v>138</v>
      </c>
      <c r="I13" s="69"/>
      <c r="J13" s="69"/>
      <c r="K13" s="73"/>
    </row>
    <row r="14" spans="1:13" ht="15.75" thickBot="1" x14ac:dyDescent="0.3">
      <c r="A14" s="36" t="s">
        <v>125</v>
      </c>
      <c r="B14" s="29">
        <v>125000</v>
      </c>
      <c r="C14" s="35" t="s">
        <v>120</v>
      </c>
      <c r="D14" s="28">
        <v>4000</v>
      </c>
      <c r="E14" s="79"/>
      <c r="F14" s="80"/>
      <c r="G14" s="80"/>
      <c r="H14" s="80"/>
      <c r="I14" s="80"/>
      <c r="J14" s="81"/>
      <c r="K14" s="73"/>
    </row>
    <row r="15" spans="1:13" ht="15.75" thickBot="1" x14ac:dyDescent="0.3">
      <c r="A15" s="68"/>
      <c r="B15" s="69"/>
      <c r="C15" s="36" t="s">
        <v>121</v>
      </c>
      <c r="D15" s="29">
        <v>4550</v>
      </c>
      <c r="E15" s="82"/>
      <c r="F15" s="83"/>
      <c r="G15" s="83"/>
      <c r="H15" s="83"/>
      <c r="I15" s="83"/>
      <c r="J15" s="84"/>
      <c r="K15" s="74"/>
    </row>
  </sheetData>
  <mergeCells count="28">
    <mergeCell ref="A2:D2"/>
    <mergeCell ref="E2:I2"/>
    <mergeCell ref="C9:K9"/>
    <mergeCell ref="A9:B9"/>
    <mergeCell ref="A3:C3"/>
    <mergeCell ref="A4:C4"/>
    <mergeCell ref="A5:C5"/>
    <mergeCell ref="E6:F6"/>
    <mergeCell ref="A6:D6"/>
    <mergeCell ref="J6:K6"/>
    <mergeCell ref="A7:K7"/>
    <mergeCell ref="A8:K8"/>
    <mergeCell ref="A1:K1"/>
    <mergeCell ref="H12:J12"/>
    <mergeCell ref="H13:J13"/>
    <mergeCell ref="A11:J11"/>
    <mergeCell ref="K11:K15"/>
    <mergeCell ref="A10:K10"/>
    <mergeCell ref="A12:B12"/>
    <mergeCell ref="A15:B15"/>
    <mergeCell ref="E14:J15"/>
    <mergeCell ref="E12:G12"/>
    <mergeCell ref="E13:F13"/>
    <mergeCell ref="C12:D12"/>
    <mergeCell ref="J2:K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1"/>
  <sheetViews>
    <sheetView showGridLines="0" tabSelected="1" workbookViewId="0"/>
  </sheetViews>
  <sheetFormatPr defaultRowHeight="15" x14ac:dyDescent="0.25"/>
  <cols>
    <col min="1" max="1" width="16.7109375" customWidth="1"/>
    <col min="2" max="3" width="23" customWidth="1"/>
    <col min="4" max="4" width="23.140625" customWidth="1"/>
    <col min="5" max="5" width="26.42578125" customWidth="1"/>
    <col min="6" max="7" width="21" customWidth="1"/>
    <col min="8" max="8" width="16.7109375" customWidth="1"/>
  </cols>
  <sheetData>
    <row r="1" spans="1:8" s="17" customFormat="1" ht="18" x14ac:dyDescent="0.25">
      <c r="A1" s="20" t="s">
        <v>115</v>
      </c>
    </row>
    <row r="2" spans="1:8" s="18" customFormat="1" ht="10.5" x14ac:dyDescent="0.15">
      <c r="A2" s="21" t="s">
        <v>113</v>
      </c>
    </row>
    <row r="3" spans="1:8" s="18" customFormat="1" ht="10.5" x14ac:dyDescent="0.15">
      <c r="A3" s="21" t="s">
        <v>166</v>
      </c>
    </row>
    <row r="4" spans="1:8" s="19" customFormat="1" ht="10.5" x14ac:dyDescent="0.15">
      <c r="A4" s="22" t="s">
        <v>114</v>
      </c>
    </row>
    <row r="6" spans="1:8" ht="15" customHeight="1" x14ac:dyDescent="0.25">
      <c r="D6" s="16">
        <v>0.5</v>
      </c>
      <c r="E6" s="9">
        <v>0.5</v>
      </c>
    </row>
    <row r="7" spans="1:8" ht="15" customHeight="1" x14ac:dyDescent="0.25">
      <c r="D7" s="10">
        <v>21.94</v>
      </c>
      <c r="E7" s="8">
        <v>13.940000000000001</v>
      </c>
    </row>
    <row r="8" spans="1:8" ht="15" customHeight="1" x14ac:dyDescent="0.25">
      <c r="C8" s="13" t="b">
        <v>1</v>
      </c>
      <c r="D8" s="14" t="s">
        <v>164</v>
      </c>
    </row>
    <row r="9" spans="1:8" ht="15" customHeight="1" x14ac:dyDescent="0.25">
      <c r="C9" s="10">
        <v>-8</v>
      </c>
      <c r="D9" s="15">
        <v>11.845000000000001</v>
      </c>
    </row>
    <row r="10" spans="1:8" ht="15" customHeight="1" x14ac:dyDescent="0.25">
      <c r="D10" s="16">
        <v>0.5</v>
      </c>
      <c r="E10" s="11" t="s">
        <v>1</v>
      </c>
    </row>
    <row r="11" spans="1:8" ht="15" customHeight="1" x14ac:dyDescent="0.25">
      <c r="D11" s="10">
        <v>0</v>
      </c>
      <c r="E11" s="12">
        <v>9.75</v>
      </c>
    </row>
    <row r="12" spans="1:8" ht="15" customHeight="1" x14ac:dyDescent="0.25">
      <c r="G12" s="13" t="b">
        <v>1</v>
      </c>
      <c r="H12" s="9">
        <v>0.5</v>
      </c>
    </row>
    <row r="13" spans="1:8" ht="15" customHeight="1" x14ac:dyDescent="0.25">
      <c r="G13" s="10">
        <v>15.75</v>
      </c>
      <c r="H13" s="8">
        <v>9.75</v>
      </c>
    </row>
    <row r="14" spans="1:8" ht="15" customHeight="1" x14ac:dyDescent="0.25">
      <c r="F14" s="13" t="b">
        <v>1</v>
      </c>
      <c r="G14" s="11" t="s">
        <v>1</v>
      </c>
    </row>
    <row r="15" spans="1:8" ht="15" customHeight="1" x14ac:dyDescent="0.25">
      <c r="F15" s="10">
        <v>-8</v>
      </c>
      <c r="G15" s="12">
        <v>9.75</v>
      </c>
    </row>
    <row r="16" spans="1:8" ht="15" customHeight="1" x14ac:dyDescent="0.25">
      <c r="E16" s="40" t="b">
        <v>1</v>
      </c>
      <c r="F16" s="11" t="s">
        <v>1</v>
      </c>
    </row>
    <row r="17" spans="1:6" ht="15" customHeight="1" x14ac:dyDescent="0.25">
      <c r="E17" s="10">
        <v>10</v>
      </c>
      <c r="F17" s="12">
        <v>9.75</v>
      </c>
    </row>
    <row r="18" spans="1:6" ht="15" customHeight="1" x14ac:dyDescent="0.25">
      <c r="B18" s="13" t="b">
        <v>1</v>
      </c>
      <c r="C18" s="11" t="s">
        <v>1</v>
      </c>
    </row>
    <row r="19" spans="1:6" ht="15" customHeight="1" x14ac:dyDescent="0.25">
      <c r="B19" s="10">
        <v>0</v>
      </c>
      <c r="C19" s="12">
        <v>11.845000000000001</v>
      </c>
    </row>
    <row r="20" spans="1:6" ht="15" customHeight="1" x14ac:dyDescent="0.25">
      <c r="A20" s="10"/>
      <c r="B20" s="11" t="s">
        <v>1</v>
      </c>
    </row>
    <row r="21" spans="1:6" ht="15" customHeight="1" x14ac:dyDescent="0.25">
      <c r="A21" s="10"/>
      <c r="B21" s="12">
        <v>11.845000000000001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8:B15"/>
  <sheetViews>
    <sheetView workbookViewId="0"/>
  </sheetViews>
  <sheetFormatPr defaultRowHeight="15" x14ac:dyDescent="0.25"/>
  <sheetData>
    <row r="8" spans="1:2" x14ac:dyDescent="0.25">
      <c r="A8" s="1"/>
      <c r="B8" s="1"/>
    </row>
    <row r="15" spans="1:2" x14ac:dyDescent="0.25">
      <c r="B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zoomScaleNormal="100" workbookViewId="0">
      <selection activeCell="R5" sqref="R5"/>
    </sheetView>
  </sheetViews>
  <sheetFormatPr defaultRowHeight="15" x14ac:dyDescent="0.25"/>
  <cols>
    <col min="1" max="13" width="9.140625" style="23"/>
    <col min="14" max="14" width="10.140625" style="23" customWidth="1"/>
    <col min="15" max="15" width="10" style="23" customWidth="1"/>
    <col min="16" max="16384" width="9.140625" style="23"/>
  </cols>
  <sheetData>
    <row r="1" spans="1:15" ht="21.75" thickBot="1" x14ac:dyDescent="0.4">
      <c r="A1" s="63" t="s">
        <v>146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ht="15.75" thickBot="1" x14ac:dyDescent="0.3">
      <c r="A2" s="70" t="s">
        <v>1</v>
      </c>
      <c r="B2" s="71"/>
      <c r="C2" s="85"/>
      <c r="D2" s="51" t="s">
        <v>3</v>
      </c>
      <c r="E2" s="52"/>
      <c r="F2" s="51" t="s">
        <v>147</v>
      </c>
      <c r="G2" s="52"/>
      <c r="H2" s="51" t="s">
        <v>177</v>
      </c>
      <c r="I2" s="52"/>
      <c r="J2" s="51" t="s">
        <v>118</v>
      </c>
      <c r="K2" s="52"/>
      <c r="L2" s="51" t="s">
        <v>123</v>
      </c>
      <c r="M2" s="52"/>
      <c r="N2" s="53" t="s">
        <v>133</v>
      </c>
      <c r="O2" s="53" t="s">
        <v>134</v>
      </c>
    </row>
    <row r="3" spans="1:15" x14ac:dyDescent="0.25">
      <c r="A3" s="89" t="s">
        <v>131</v>
      </c>
      <c r="B3" s="91"/>
      <c r="C3" s="56" t="s">
        <v>119</v>
      </c>
      <c r="D3" s="79">
        <v>6450</v>
      </c>
      <c r="E3" s="81"/>
      <c r="F3" s="79">
        <v>5</v>
      </c>
      <c r="G3" s="81"/>
      <c r="H3" s="79">
        <v>2.1</v>
      </c>
      <c r="I3" s="81"/>
      <c r="J3" s="79">
        <v>0.6</v>
      </c>
      <c r="K3" s="81"/>
      <c r="L3" s="79">
        <v>8.6</v>
      </c>
      <c r="M3" s="81"/>
      <c r="N3" s="26">
        <f>F3+H3+J3</f>
        <v>7.6999999999999993</v>
      </c>
      <c r="O3" s="26">
        <f>L3-N3</f>
        <v>0.90000000000000036</v>
      </c>
    </row>
    <row r="4" spans="1:15" x14ac:dyDescent="0.25">
      <c r="A4" s="87" t="s">
        <v>2</v>
      </c>
      <c r="B4" s="88"/>
      <c r="C4" s="57" t="s">
        <v>120</v>
      </c>
      <c r="D4" s="98">
        <v>4000</v>
      </c>
      <c r="E4" s="99"/>
      <c r="F4" s="96">
        <v>5.5</v>
      </c>
      <c r="G4" s="97"/>
      <c r="H4" s="96">
        <v>2.1</v>
      </c>
      <c r="I4" s="97"/>
      <c r="J4" s="96">
        <v>0.8</v>
      </c>
      <c r="K4" s="97"/>
      <c r="L4" s="96">
        <v>9.1999999999999993</v>
      </c>
      <c r="M4" s="97"/>
      <c r="N4" s="28">
        <f>F4+H4+J4</f>
        <v>8.4</v>
      </c>
      <c r="O4" s="28">
        <f t="shared" ref="O4:O5" si="0">L4-N4</f>
        <v>0.79999999999999893</v>
      </c>
    </row>
    <row r="5" spans="1:15" ht="15.75" thickBot="1" x14ac:dyDescent="0.3">
      <c r="A5" s="93" t="s">
        <v>132</v>
      </c>
      <c r="B5" s="95"/>
      <c r="C5" s="58" t="s">
        <v>121</v>
      </c>
      <c r="D5" s="82">
        <v>4550</v>
      </c>
      <c r="E5" s="84"/>
      <c r="F5" s="82">
        <v>6</v>
      </c>
      <c r="G5" s="84"/>
      <c r="H5" s="82">
        <v>2.1</v>
      </c>
      <c r="I5" s="84"/>
      <c r="J5" s="82">
        <v>1</v>
      </c>
      <c r="K5" s="84"/>
      <c r="L5" s="82">
        <v>9.8000000000000007</v>
      </c>
      <c r="M5" s="84"/>
      <c r="N5" s="29">
        <f>F5+H5+J5</f>
        <v>9.1</v>
      </c>
      <c r="O5" s="29">
        <f t="shared" si="0"/>
        <v>0.70000000000000107</v>
      </c>
    </row>
    <row r="6" spans="1:15" ht="15.75" thickBot="1" x14ac:dyDescent="0.3">
      <c r="D6" s="23" t="s">
        <v>148</v>
      </c>
      <c r="F6" s="100" t="s">
        <v>175</v>
      </c>
      <c r="G6" s="101"/>
      <c r="H6" s="101"/>
      <c r="I6" s="101"/>
      <c r="J6" s="101"/>
      <c r="K6" s="101"/>
      <c r="L6" s="101"/>
      <c r="M6" s="101"/>
      <c r="N6" s="101"/>
      <c r="O6" s="102"/>
    </row>
    <row r="7" spans="1:15" ht="15.75" thickBot="1" x14ac:dyDescent="0.3">
      <c r="A7" s="70" t="s">
        <v>135</v>
      </c>
      <c r="B7" s="85"/>
      <c r="C7" s="27">
        <f>SUMPRODUCT(D3:D5,O3:O5)</f>
        <v>12190.000000000004</v>
      </c>
      <c r="F7" s="103"/>
      <c r="G7" s="104"/>
      <c r="H7" s="104"/>
      <c r="I7" s="104"/>
      <c r="J7" s="104"/>
      <c r="K7" s="104"/>
      <c r="L7" s="104"/>
      <c r="M7" s="104"/>
      <c r="N7" s="104"/>
      <c r="O7" s="105"/>
    </row>
    <row r="8" spans="1:15" ht="15.75" thickBot="1" x14ac:dyDescent="0.3">
      <c r="F8" s="103"/>
      <c r="G8" s="104"/>
      <c r="H8" s="104"/>
      <c r="I8" s="104"/>
      <c r="J8" s="104"/>
      <c r="K8" s="104"/>
      <c r="L8" s="104"/>
      <c r="M8" s="104"/>
      <c r="N8" s="104"/>
      <c r="O8" s="105"/>
    </row>
    <row r="9" spans="1:15" ht="15.75" thickBot="1" x14ac:dyDescent="0.3">
      <c r="A9" s="70" t="s">
        <v>22</v>
      </c>
      <c r="B9" s="85"/>
      <c r="C9" s="53" t="s">
        <v>5</v>
      </c>
      <c r="D9" s="33"/>
      <c r="E9" s="55" t="s">
        <v>6</v>
      </c>
      <c r="F9" s="103"/>
      <c r="G9" s="104"/>
      <c r="H9" s="104"/>
      <c r="I9" s="104"/>
      <c r="J9" s="104"/>
      <c r="K9" s="104"/>
      <c r="L9" s="104"/>
      <c r="M9" s="104"/>
      <c r="N9" s="104"/>
      <c r="O9" s="105"/>
    </row>
    <row r="10" spans="1:15" x14ac:dyDescent="0.25">
      <c r="A10" s="89" t="s">
        <v>143</v>
      </c>
      <c r="B10" s="91"/>
      <c r="C10" s="26">
        <f>SUMPRODUCT(D3:D5,J3:J5)</f>
        <v>11620</v>
      </c>
      <c r="D10" s="26" t="s">
        <v>8</v>
      </c>
      <c r="E10" s="24">
        <v>19000</v>
      </c>
      <c r="F10" s="103"/>
      <c r="G10" s="104"/>
      <c r="H10" s="104"/>
      <c r="I10" s="104"/>
      <c r="J10" s="104"/>
      <c r="K10" s="104"/>
      <c r="L10" s="104"/>
      <c r="M10" s="104"/>
      <c r="N10" s="104"/>
      <c r="O10" s="105"/>
    </row>
    <row r="11" spans="1:15" x14ac:dyDescent="0.25">
      <c r="A11" s="87" t="s">
        <v>144</v>
      </c>
      <c r="B11" s="88"/>
      <c r="C11" s="28">
        <f>SUMPRODUCT(D3:D5,F3:F5)</f>
        <v>81550</v>
      </c>
      <c r="D11" s="28" t="s">
        <v>8</v>
      </c>
      <c r="E11" s="25">
        <v>125000</v>
      </c>
      <c r="F11" s="103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1:15" x14ac:dyDescent="0.25">
      <c r="A12" s="87" t="s">
        <v>142</v>
      </c>
      <c r="B12" s="88"/>
      <c r="C12" s="30">
        <f>SUM(D3:D5)</f>
        <v>15000</v>
      </c>
      <c r="D12" s="28" t="s">
        <v>8</v>
      </c>
      <c r="E12" s="25">
        <v>15000</v>
      </c>
      <c r="F12" s="103"/>
      <c r="G12" s="104"/>
      <c r="H12" s="104"/>
      <c r="I12" s="104"/>
      <c r="J12" s="104"/>
      <c r="K12" s="104"/>
      <c r="L12" s="104"/>
      <c r="M12" s="104"/>
      <c r="N12" s="104"/>
      <c r="O12" s="105"/>
    </row>
    <row r="13" spans="1:15" x14ac:dyDescent="0.25">
      <c r="A13" s="87" t="s">
        <v>136</v>
      </c>
      <c r="B13" s="88"/>
      <c r="C13" s="30"/>
      <c r="D13" s="28"/>
      <c r="E13" s="25"/>
      <c r="F13" s="103"/>
      <c r="G13" s="104"/>
      <c r="H13" s="104"/>
      <c r="I13" s="104"/>
      <c r="J13" s="104"/>
      <c r="K13" s="104"/>
      <c r="L13" s="104"/>
      <c r="M13" s="104"/>
      <c r="N13" s="104"/>
      <c r="O13" s="105"/>
    </row>
    <row r="14" spans="1:15" x14ac:dyDescent="0.25">
      <c r="A14" s="87" t="s">
        <v>119</v>
      </c>
      <c r="B14" s="88"/>
      <c r="C14" s="28">
        <f>D3</f>
        <v>6450</v>
      </c>
      <c r="D14" s="28" t="s">
        <v>7</v>
      </c>
      <c r="E14" s="25">
        <v>4200</v>
      </c>
      <c r="F14" s="103"/>
      <c r="G14" s="104"/>
      <c r="H14" s="104"/>
      <c r="I14" s="104"/>
      <c r="J14" s="104"/>
      <c r="K14" s="104"/>
      <c r="L14" s="104"/>
      <c r="M14" s="104"/>
      <c r="N14" s="104"/>
      <c r="O14" s="105"/>
    </row>
    <row r="15" spans="1:15" x14ac:dyDescent="0.25">
      <c r="A15" s="87" t="s">
        <v>120</v>
      </c>
      <c r="B15" s="88"/>
      <c r="C15" s="30">
        <f>D4</f>
        <v>4000</v>
      </c>
      <c r="D15" s="28" t="s">
        <v>7</v>
      </c>
      <c r="E15" s="25">
        <v>4000</v>
      </c>
      <c r="F15" s="103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1:15" ht="15.75" thickBot="1" x14ac:dyDescent="0.3">
      <c r="A16" s="93" t="s">
        <v>121</v>
      </c>
      <c r="B16" s="95"/>
      <c r="C16" s="29">
        <f>D5</f>
        <v>4550</v>
      </c>
      <c r="D16" s="29" t="s">
        <v>7</v>
      </c>
      <c r="E16" s="31">
        <v>4550</v>
      </c>
      <c r="F16" s="106"/>
      <c r="G16" s="107"/>
      <c r="H16" s="107"/>
      <c r="I16" s="107"/>
      <c r="J16" s="107"/>
      <c r="K16" s="107"/>
      <c r="L16" s="107"/>
      <c r="M16" s="107"/>
      <c r="N16" s="107"/>
      <c r="O16" s="108"/>
    </row>
  </sheetData>
  <mergeCells count="30">
    <mergeCell ref="A1:O1"/>
    <mergeCell ref="F6:O16"/>
    <mergeCell ref="A16:B16"/>
    <mergeCell ref="A12:B12"/>
    <mergeCell ref="A13:B13"/>
    <mergeCell ref="A7:B7"/>
    <mergeCell ref="A9:B9"/>
    <mergeCell ref="A10:B10"/>
    <mergeCell ref="A11:B11"/>
    <mergeCell ref="A14:B14"/>
    <mergeCell ref="A15:B15"/>
    <mergeCell ref="A2:C2"/>
    <mergeCell ref="A3:B3"/>
    <mergeCell ref="A4:B4"/>
    <mergeCell ref="A5:B5"/>
    <mergeCell ref="D3:E3"/>
    <mergeCell ref="D4:E4"/>
    <mergeCell ref="D5:E5"/>
    <mergeCell ref="F3:G3"/>
    <mergeCell ref="F4:G4"/>
    <mergeCell ref="F5:G5"/>
    <mergeCell ref="L3:M3"/>
    <mergeCell ref="L4:M4"/>
    <mergeCell ref="L5:M5"/>
    <mergeCell ref="H3:I3"/>
    <mergeCell ref="H4:I4"/>
    <mergeCell ref="H5:I5"/>
    <mergeCell ref="J3:K3"/>
    <mergeCell ref="J4:K4"/>
    <mergeCell ref="J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2" bestFit="1" customWidth="1"/>
    <col min="4" max="4" width="6.140625" bestFit="1" customWidth="1"/>
    <col min="5" max="5" width="12.7109375" bestFit="1" customWidth="1"/>
    <col min="6" max="8" width="12" bestFit="1" customWidth="1"/>
  </cols>
  <sheetData>
    <row r="1" spans="1:8" x14ac:dyDescent="0.25">
      <c r="A1" s="2" t="s">
        <v>9</v>
      </c>
    </row>
    <row r="2" spans="1:8" x14ac:dyDescent="0.25">
      <c r="A2" s="2" t="s">
        <v>10</v>
      </c>
    </row>
    <row r="3" spans="1:8" x14ac:dyDescent="0.25">
      <c r="A3" s="2" t="s">
        <v>176</v>
      </c>
    </row>
    <row r="6" spans="1:8" ht="15.75" thickBot="1" x14ac:dyDescent="0.3">
      <c r="A6" t="s">
        <v>11</v>
      </c>
    </row>
    <row r="7" spans="1:8" x14ac:dyDescent="0.25">
      <c r="B7" s="37"/>
      <c r="C7" s="37"/>
      <c r="D7" s="37" t="s">
        <v>14</v>
      </c>
      <c r="E7" s="37" t="s">
        <v>16</v>
      </c>
      <c r="F7" s="37" t="s">
        <v>4</v>
      </c>
      <c r="G7" s="37" t="s">
        <v>19</v>
      </c>
      <c r="H7" s="37" t="s">
        <v>19</v>
      </c>
    </row>
    <row r="8" spans="1:8" ht="15.75" thickBot="1" x14ac:dyDescent="0.3">
      <c r="B8" s="38" t="s">
        <v>12</v>
      </c>
      <c r="C8" s="38" t="s">
        <v>13</v>
      </c>
      <c r="D8" s="38" t="s">
        <v>15</v>
      </c>
      <c r="E8" s="38" t="s">
        <v>17</v>
      </c>
      <c r="F8" s="38" t="s">
        <v>18</v>
      </c>
      <c r="G8" s="38" t="s">
        <v>20</v>
      </c>
      <c r="H8" s="38" t="s">
        <v>21</v>
      </c>
    </row>
    <row r="9" spans="1:8" x14ac:dyDescent="0.25">
      <c r="B9" s="3" t="s">
        <v>149</v>
      </c>
      <c r="C9" s="3" t="s">
        <v>150</v>
      </c>
      <c r="D9" s="3">
        <v>6450</v>
      </c>
      <c r="E9" s="3">
        <v>0</v>
      </c>
      <c r="F9" s="3">
        <v>0.90000038146972727</v>
      </c>
      <c r="G9" s="3">
        <v>1E+30</v>
      </c>
      <c r="H9" s="3">
        <v>0.10000038146972834</v>
      </c>
    </row>
    <row r="10" spans="1:8" x14ac:dyDescent="0.25">
      <c r="B10" s="3" t="s">
        <v>27</v>
      </c>
      <c r="C10" s="3" t="s">
        <v>151</v>
      </c>
      <c r="D10" s="3">
        <v>4000</v>
      </c>
      <c r="E10" s="3">
        <v>0</v>
      </c>
      <c r="F10" s="3">
        <v>0.79999999999999893</v>
      </c>
      <c r="G10" s="3">
        <v>0.10000038146972834</v>
      </c>
      <c r="H10" s="3">
        <v>1E+30</v>
      </c>
    </row>
    <row r="11" spans="1:8" ht="15.75" thickBot="1" x14ac:dyDescent="0.3">
      <c r="B11" s="4" t="s">
        <v>28</v>
      </c>
      <c r="C11" s="4" t="s">
        <v>152</v>
      </c>
      <c r="D11" s="4">
        <v>4550</v>
      </c>
      <c r="E11" s="4">
        <v>0</v>
      </c>
      <c r="F11" s="4">
        <v>0.70000019073486364</v>
      </c>
      <c r="G11" s="4">
        <v>0.20000019073486364</v>
      </c>
      <c r="H11" s="4">
        <v>1E+30</v>
      </c>
    </row>
    <row r="13" spans="1:8" ht="15.75" thickBot="1" x14ac:dyDescent="0.3">
      <c r="A13" t="s">
        <v>22</v>
      </c>
    </row>
    <row r="14" spans="1:8" x14ac:dyDescent="0.25">
      <c r="B14" s="37"/>
      <c r="C14" s="37"/>
      <c r="D14" s="37" t="s">
        <v>14</v>
      </c>
      <c r="E14" s="37" t="s">
        <v>23</v>
      </c>
      <c r="F14" s="37" t="s">
        <v>25</v>
      </c>
      <c r="G14" s="37" t="s">
        <v>19</v>
      </c>
      <c r="H14" s="37" t="s">
        <v>19</v>
      </c>
    </row>
    <row r="15" spans="1:8" ht="15.75" thickBot="1" x14ac:dyDescent="0.3">
      <c r="B15" s="38" t="s">
        <v>12</v>
      </c>
      <c r="C15" s="38" t="s">
        <v>13</v>
      </c>
      <c r="D15" s="38" t="s">
        <v>15</v>
      </c>
      <c r="E15" s="38" t="s">
        <v>24</v>
      </c>
      <c r="F15" s="38" t="s">
        <v>26</v>
      </c>
      <c r="G15" s="38" t="s">
        <v>20</v>
      </c>
      <c r="H15" s="38" t="s">
        <v>21</v>
      </c>
    </row>
    <row r="16" spans="1:8" x14ac:dyDescent="0.25">
      <c r="B16" s="3" t="s">
        <v>153</v>
      </c>
      <c r="C16" s="3" t="s">
        <v>154</v>
      </c>
      <c r="D16" s="3">
        <v>11620</v>
      </c>
      <c r="E16" s="3">
        <v>0</v>
      </c>
      <c r="F16" s="3">
        <v>19000</v>
      </c>
      <c r="G16" s="3">
        <v>1E+30</v>
      </c>
      <c r="H16" s="3">
        <v>7380</v>
      </c>
    </row>
    <row r="17" spans="2:8" x14ac:dyDescent="0.25">
      <c r="B17" s="3" t="s">
        <v>29</v>
      </c>
      <c r="C17" s="3" t="s">
        <v>155</v>
      </c>
      <c r="D17" s="3">
        <v>81550</v>
      </c>
      <c r="E17" s="3">
        <v>0</v>
      </c>
      <c r="F17" s="3">
        <v>125000</v>
      </c>
      <c r="G17" s="3">
        <v>1E+30</v>
      </c>
      <c r="H17" s="3">
        <v>43450</v>
      </c>
    </row>
    <row r="18" spans="2:8" x14ac:dyDescent="0.25">
      <c r="B18" s="3" t="s">
        <v>30</v>
      </c>
      <c r="C18" s="3" t="s">
        <v>156</v>
      </c>
      <c r="D18" s="3">
        <v>15000</v>
      </c>
      <c r="E18" s="3">
        <v>0.90000038146972727</v>
      </c>
      <c r="F18" s="3">
        <v>15000</v>
      </c>
      <c r="G18" s="3">
        <v>8690</v>
      </c>
      <c r="H18" s="3">
        <v>2250</v>
      </c>
    </row>
    <row r="19" spans="2:8" x14ac:dyDescent="0.25">
      <c r="B19" s="3" t="s">
        <v>31</v>
      </c>
      <c r="C19" s="3" t="s">
        <v>157</v>
      </c>
      <c r="D19" s="3">
        <v>6450</v>
      </c>
      <c r="E19" s="3">
        <v>0</v>
      </c>
      <c r="F19" s="3">
        <v>4200</v>
      </c>
      <c r="G19" s="3">
        <v>2250</v>
      </c>
      <c r="H19" s="3">
        <v>1E+30</v>
      </c>
    </row>
    <row r="20" spans="2:8" x14ac:dyDescent="0.25">
      <c r="B20" s="3" t="s">
        <v>32</v>
      </c>
      <c r="C20" s="3" t="s">
        <v>158</v>
      </c>
      <c r="D20" s="3">
        <v>4000</v>
      </c>
      <c r="E20" s="3">
        <v>-0.10000038146972834</v>
      </c>
      <c r="F20" s="3">
        <v>4000</v>
      </c>
      <c r="G20" s="3">
        <v>2250</v>
      </c>
      <c r="H20" s="3">
        <v>4000</v>
      </c>
    </row>
    <row r="21" spans="2:8" ht="15.75" thickBot="1" x14ac:dyDescent="0.3">
      <c r="B21" s="4" t="s">
        <v>33</v>
      </c>
      <c r="C21" s="4" t="s">
        <v>159</v>
      </c>
      <c r="D21" s="4">
        <v>4550</v>
      </c>
      <c r="E21" s="4">
        <v>-0.20000019073486364</v>
      </c>
      <c r="F21" s="4">
        <v>4550</v>
      </c>
      <c r="G21" s="4">
        <v>2250</v>
      </c>
      <c r="H21" s="4">
        <v>4550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topLeftCell="B1" workbookViewId="0">
      <selection activeCell="M10" sqref="M10"/>
    </sheetView>
  </sheetViews>
  <sheetFormatPr defaultRowHeight="15" x14ac:dyDescent="0.25"/>
  <sheetData>
    <row r="1" spans="1:11" x14ac:dyDescent="0.25">
      <c r="A1" s="2" t="s">
        <v>171</v>
      </c>
      <c r="K1" s="42" t="str">
        <f>CONCATENATE("Sensitivity of ",$K$4," to ","Total Capacity")</f>
        <v>Sensitivity of $C$7 to Total Capacity</v>
      </c>
    </row>
    <row r="3" spans="1:11" x14ac:dyDescent="0.25">
      <c r="A3" t="s">
        <v>172</v>
      </c>
      <c r="K3" t="s">
        <v>173</v>
      </c>
    </row>
    <row r="4" spans="1:11" ht="27" x14ac:dyDescent="0.25">
      <c r="B4" s="43" t="s">
        <v>168</v>
      </c>
      <c r="J4" s="42">
        <f>MATCH($K$4,OutputAddresses,0)</f>
        <v>1</v>
      </c>
      <c r="K4" s="41" t="s">
        <v>168</v>
      </c>
    </row>
    <row r="5" spans="1:11" x14ac:dyDescent="0.25">
      <c r="A5" s="39">
        <v>15000</v>
      </c>
      <c r="B5" s="44">
        <v>12190.003328323366</v>
      </c>
      <c r="K5">
        <f>INDEX(OutputValues,1,$J$4)</f>
        <v>12190.003328323366</v>
      </c>
    </row>
    <row r="6" spans="1:11" x14ac:dyDescent="0.25">
      <c r="A6" s="39">
        <v>15250</v>
      </c>
      <c r="B6" s="45">
        <v>12415.003423690798</v>
      </c>
      <c r="K6">
        <f>INDEX(OutputValues,2,$J$4)</f>
        <v>12415.003423690798</v>
      </c>
    </row>
    <row r="7" spans="1:11" x14ac:dyDescent="0.25">
      <c r="A7" s="39">
        <v>15500</v>
      </c>
      <c r="B7" s="45">
        <v>12640.003519058229</v>
      </c>
      <c r="K7">
        <f>INDEX(OutputValues,3,$J$4)</f>
        <v>12640.003519058229</v>
      </c>
    </row>
    <row r="8" spans="1:11" x14ac:dyDescent="0.25">
      <c r="A8" s="39">
        <v>15750</v>
      </c>
      <c r="B8" s="45">
        <v>12865.003614425663</v>
      </c>
      <c r="K8">
        <f>INDEX(OutputValues,4,$J$4)</f>
        <v>12865.003614425663</v>
      </c>
    </row>
    <row r="9" spans="1:11" x14ac:dyDescent="0.25">
      <c r="A9" s="39">
        <v>16000</v>
      </c>
      <c r="B9" s="45">
        <v>13090.003709793094</v>
      </c>
      <c r="K9">
        <f>INDEX(OutputValues,5,$J$4)</f>
        <v>13090.003709793094</v>
      </c>
    </row>
    <row r="10" spans="1:11" x14ac:dyDescent="0.25">
      <c r="A10" s="39">
        <v>16250</v>
      </c>
      <c r="B10" s="45">
        <v>13315.003805160526</v>
      </c>
      <c r="K10">
        <f>INDEX(OutputValues,6,$J$4)</f>
        <v>13315.003805160526</v>
      </c>
    </row>
    <row r="11" spans="1:11" x14ac:dyDescent="0.25">
      <c r="A11" s="39">
        <v>16500</v>
      </c>
      <c r="B11" s="45">
        <v>13540.003900527958</v>
      </c>
      <c r="K11">
        <f>INDEX(OutputValues,7,$J$4)</f>
        <v>13540.003900527958</v>
      </c>
    </row>
    <row r="12" spans="1:11" x14ac:dyDescent="0.25">
      <c r="A12" s="39">
        <v>16750</v>
      </c>
      <c r="B12" s="45">
        <v>13765.003995895389</v>
      </c>
      <c r="K12">
        <f>INDEX(OutputValues,8,$J$4)</f>
        <v>13765.003995895389</v>
      </c>
    </row>
    <row r="13" spans="1:11" x14ac:dyDescent="0.25">
      <c r="A13" s="39">
        <v>17000</v>
      </c>
      <c r="B13" s="45">
        <v>13990.004091262821</v>
      </c>
      <c r="K13">
        <f>INDEX(OutputValues,9,$J$4)</f>
        <v>13990.004091262821</v>
      </c>
    </row>
    <row r="14" spans="1:11" x14ac:dyDescent="0.25">
      <c r="A14" s="39">
        <v>17250</v>
      </c>
      <c r="B14" s="45">
        <v>14215.004186630253</v>
      </c>
      <c r="K14">
        <f>INDEX(OutputValues,10,$J$4)</f>
        <v>14215.004186630253</v>
      </c>
    </row>
    <row r="15" spans="1:11" x14ac:dyDescent="0.25">
      <c r="A15" s="39">
        <v>17500</v>
      </c>
      <c r="B15" s="45">
        <v>14440.004281997684</v>
      </c>
      <c r="K15">
        <f>INDEX(OutputValues,11,$J$4)</f>
        <v>14440.004281997684</v>
      </c>
    </row>
    <row r="16" spans="1:11" x14ac:dyDescent="0.25">
      <c r="A16" s="39">
        <v>17750</v>
      </c>
      <c r="B16" s="45">
        <v>14665.004377365118</v>
      </c>
      <c r="K16">
        <f>INDEX(OutputValues,12,$J$4)</f>
        <v>14665.004377365118</v>
      </c>
    </row>
    <row r="17" spans="1:11" x14ac:dyDescent="0.25">
      <c r="A17" s="39">
        <v>18000</v>
      </c>
      <c r="B17" s="45">
        <v>14890.004472732549</v>
      </c>
      <c r="K17">
        <f>INDEX(OutputValues,13,$J$4)</f>
        <v>14890.004472732549</v>
      </c>
    </row>
    <row r="18" spans="1:11" x14ac:dyDescent="0.25">
      <c r="A18" s="39">
        <v>18250</v>
      </c>
      <c r="B18" s="45">
        <v>15115.004568099981</v>
      </c>
      <c r="K18">
        <f>INDEX(OutputValues,14,$J$4)</f>
        <v>15115.004568099981</v>
      </c>
    </row>
    <row r="19" spans="1:11" x14ac:dyDescent="0.25">
      <c r="A19" s="39">
        <v>18500</v>
      </c>
      <c r="B19" s="45">
        <v>15340.004663467413</v>
      </c>
      <c r="K19">
        <f>INDEX(OutputValues,15,$J$4)</f>
        <v>15340.004663467413</v>
      </c>
    </row>
    <row r="20" spans="1:11" x14ac:dyDescent="0.25">
      <c r="A20" s="39">
        <v>18750</v>
      </c>
      <c r="B20" s="45">
        <v>15565.004758834844</v>
      </c>
      <c r="K20">
        <f>INDEX(OutputValues,16,$J$4)</f>
        <v>15565.004758834844</v>
      </c>
    </row>
    <row r="21" spans="1:11" x14ac:dyDescent="0.25">
      <c r="A21" s="39">
        <v>19000</v>
      </c>
      <c r="B21" s="45">
        <v>15790.004854202276</v>
      </c>
      <c r="K21">
        <f>INDEX(OutputValues,17,$J$4)</f>
        <v>15790.004854202276</v>
      </c>
    </row>
    <row r="22" spans="1:11" x14ac:dyDescent="0.25">
      <c r="A22" s="39">
        <v>19250</v>
      </c>
      <c r="B22" s="45">
        <v>16015.004949569708</v>
      </c>
      <c r="K22">
        <f>INDEX(OutputValues,18,$J$4)</f>
        <v>16015.004949569708</v>
      </c>
    </row>
    <row r="23" spans="1:11" x14ac:dyDescent="0.25">
      <c r="A23" s="39">
        <v>19500</v>
      </c>
      <c r="B23" s="45">
        <v>16240.005044937139</v>
      </c>
      <c r="K23">
        <f>INDEX(OutputValues,19,$J$4)</f>
        <v>16240.005044937139</v>
      </c>
    </row>
    <row r="24" spans="1:11" x14ac:dyDescent="0.25">
      <c r="A24" s="39">
        <v>19750</v>
      </c>
      <c r="B24" s="45">
        <v>16465.005140304573</v>
      </c>
      <c r="K24">
        <f>INDEX(OutputValues,20,$J$4)</f>
        <v>16465.005140304573</v>
      </c>
    </row>
    <row r="25" spans="1:11" x14ac:dyDescent="0.25">
      <c r="A25" s="39">
        <v>20000</v>
      </c>
      <c r="B25" s="45">
        <v>16690.005235672004</v>
      </c>
      <c r="K25">
        <f>INDEX(OutputValues,21,$J$4)</f>
        <v>16690.005235672004</v>
      </c>
    </row>
    <row r="26" spans="1:11" x14ac:dyDescent="0.25">
      <c r="A26" s="39">
        <v>20250</v>
      </c>
      <c r="B26" s="45">
        <v>16915.005331039436</v>
      </c>
      <c r="K26">
        <f>INDEX(OutputValues,22,$J$4)</f>
        <v>16915.005331039436</v>
      </c>
    </row>
    <row r="27" spans="1:11" x14ac:dyDescent="0.25">
      <c r="A27" s="39">
        <v>20500</v>
      </c>
      <c r="B27" s="45">
        <v>17140.005426406868</v>
      </c>
      <c r="K27">
        <f>INDEX(OutputValues,23,$J$4)</f>
        <v>17140.005426406868</v>
      </c>
    </row>
    <row r="28" spans="1:11" x14ac:dyDescent="0.25">
      <c r="A28" s="39">
        <v>20750</v>
      </c>
      <c r="B28" s="45">
        <v>17365.005521774299</v>
      </c>
      <c r="K28">
        <f>INDEX(OutputValues,24,$J$4)</f>
        <v>17365.005521774299</v>
      </c>
    </row>
    <row r="29" spans="1:11" x14ac:dyDescent="0.25">
      <c r="A29" s="39">
        <v>21000</v>
      </c>
      <c r="B29" s="45">
        <v>17590.005617141731</v>
      </c>
      <c r="K29">
        <f>INDEX(OutputValues,25,$J$4)</f>
        <v>17590.005617141731</v>
      </c>
    </row>
    <row r="30" spans="1:11" x14ac:dyDescent="0.25">
      <c r="A30" s="39">
        <v>21250</v>
      </c>
      <c r="B30" s="45">
        <v>17815.005712509163</v>
      </c>
      <c r="K30">
        <f>INDEX(OutputValues,26,$J$4)</f>
        <v>17815.005712509163</v>
      </c>
    </row>
    <row r="31" spans="1:11" x14ac:dyDescent="0.25">
      <c r="A31" s="39">
        <v>21500</v>
      </c>
      <c r="B31" s="45">
        <v>18040.005807876594</v>
      </c>
      <c r="K31">
        <f>INDEX(OutputValues,27,$J$4)</f>
        <v>18040.005807876594</v>
      </c>
    </row>
    <row r="32" spans="1:11" x14ac:dyDescent="0.25">
      <c r="A32" s="39">
        <v>21750</v>
      </c>
      <c r="B32" s="45">
        <v>18265.005903244026</v>
      </c>
      <c r="K32">
        <f>INDEX(OutputValues,28,$J$4)</f>
        <v>18265.005903244026</v>
      </c>
    </row>
    <row r="33" spans="1:11" x14ac:dyDescent="0.25">
      <c r="A33" s="39">
        <v>22000</v>
      </c>
      <c r="B33" s="45">
        <v>18490.005998611457</v>
      </c>
      <c r="K33">
        <f>INDEX(OutputValues,29,$J$4)</f>
        <v>18490.005998611457</v>
      </c>
    </row>
    <row r="34" spans="1:11" x14ac:dyDescent="0.25">
      <c r="A34" s="39">
        <v>22250</v>
      </c>
      <c r="B34" s="45">
        <v>18715.006093978889</v>
      </c>
      <c r="K34">
        <f>INDEX(OutputValues,30,$J$4)</f>
        <v>18715.006093978889</v>
      </c>
    </row>
    <row r="35" spans="1:11" x14ac:dyDescent="0.25">
      <c r="A35" s="39">
        <v>22500</v>
      </c>
      <c r="B35" s="46">
        <v>18940.006189346321</v>
      </c>
      <c r="K35">
        <f>INDEX(OutputValues,31,$J$4)</f>
        <v>18940.006189346321</v>
      </c>
    </row>
  </sheetData>
  <dataValidations count="1">
    <dataValidation type="list" allowBlank="1" showInputMessage="1" showErrorMessage="1" sqref="K4" xr:uid="{00000000-0002-0000-03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zoomScale="75" zoomScaleNormal="75" workbookViewId="0">
      <selection activeCell="F5" sqref="F5"/>
    </sheetView>
  </sheetViews>
  <sheetFormatPr defaultRowHeight="15" x14ac:dyDescent="0.25"/>
  <cols>
    <col min="1" max="1" width="11.7109375" style="23" bestFit="1" customWidth="1"/>
    <col min="2" max="2" width="9.140625" style="23"/>
    <col min="3" max="3" width="10.140625" style="23" bestFit="1" customWidth="1"/>
    <col min="4" max="4" width="20.85546875" style="23" customWidth="1"/>
    <col min="5" max="5" width="33.42578125" style="23" customWidth="1"/>
    <col min="6" max="6" width="30.7109375" style="23" customWidth="1"/>
    <col min="7" max="7" width="26.42578125" style="23" customWidth="1"/>
    <col min="8" max="8" width="42.85546875" style="23" customWidth="1"/>
    <col min="9" max="9" width="30" style="23" customWidth="1"/>
    <col min="10" max="10" width="25.7109375" style="23" customWidth="1"/>
    <col min="11" max="11" width="16.7109375" style="23" customWidth="1"/>
    <col min="12" max="16384" width="9.140625" style="23"/>
  </cols>
  <sheetData>
    <row r="1" spans="1:4" ht="23.25" x14ac:dyDescent="0.35">
      <c r="A1" s="114" t="s">
        <v>178</v>
      </c>
      <c r="B1" s="113"/>
      <c r="C1" s="113"/>
      <c r="D1" s="113"/>
    </row>
    <row r="2" spans="1:4" ht="15.75" thickBot="1" x14ac:dyDescent="0.3"/>
    <row r="3" spans="1:4" ht="15.75" thickBot="1" x14ac:dyDescent="0.3">
      <c r="A3" s="109" t="s">
        <v>34</v>
      </c>
      <c r="B3" s="110"/>
      <c r="C3" s="72"/>
    </row>
    <row r="4" spans="1:4" x14ac:dyDescent="0.25">
      <c r="A4" s="47" t="s">
        <v>35</v>
      </c>
      <c r="B4" s="62">
        <v>8</v>
      </c>
      <c r="C4" s="73"/>
    </row>
    <row r="5" spans="1:4" ht="15.75" thickBot="1" x14ac:dyDescent="0.3">
      <c r="A5" s="48" t="s">
        <v>36</v>
      </c>
      <c r="B5" s="50">
        <v>8</v>
      </c>
      <c r="C5" s="74"/>
    </row>
    <row r="6" spans="1:4" ht="15.75" thickBot="1" x14ac:dyDescent="0.3">
      <c r="A6" s="111" t="s">
        <v>37</v>
      </c>
      <c r="B6" s="111" t="s">
        <v>38</v>
      </c>
      <c r="C6" s="111" t="s">
        <v>36</v>
      </c>
    </row>
    <row r="7" spans="1:4" x14ac:dyDescent="0.25">
      <c r="A7" s="47" t="s">
        <v>39</v>
      </c>
      <c r="B7" s="47">
        <v>0.5</v>
      </c>
      <c r="C7" s="49">
        <v>0.3</v>
      </c>
    </row>
    <row r="8" spans="1:4" ht="15.75" thickBot="1" x14ac:dyDescent="0.3">
      <c r="A8" s="48" t="s">
        <v>40</v>
      </c>
      <c r="B8" s="48">
        <v>0.5</v>
      </c>
      <c r="C8" s="50">
        <v>0.7</v>
      </c>
    </row>
    <row r="9" spans="1:4" ht="15.75" thickBot="1" x14ac:dyDescent="0.3">
      <c r="A9" s="111" t="s">
        <v>41</v>
      </c>
      <c r="B9" s="111" t="s">
        <v>38</v>
      </c>
      <c r="C9" s="111" t="s">
        <v>36</v>
      </c>
    </row>
    <row r="10" spans="1:4" x14ac:dyDescent="0.25">
      <c r="A10" s="47" t="s">
        <v>39</v>
      </c>
      <c r="B10" s="47">
        <v>21.94</v>
      </c>
      <c r="C10" s="47">
        <v>25.19</v>
      </c>
    </row>
    <row r="11" spans="1:4" ht="15.75" thickBot="1" x14ac:dyDescent="0.3">
      <c r="A11" s="48" t="s">
        <v>40</v>
      </c>
      <c r="B11" s="48">
        <v>15.36</v>
      </c>
      <c r="C11" s="48">
        <v>15.75</v>
      </c>
    </row>
    <row r="12" spans="1:4" ht="15.75" thickBot="1" x14ac:dyDescent="0.3">
      <c r="A12" s="109" t="s">
        <v>42</v>
      </c>
      <c r="B12" s="110"/>
      <c r="C12" s="72"/>
    </row>
    <row r="13" spans="1:4" x14ac:dyDescent="0.25">
      <c r="A13" s="47" t="s">
        <v>43</v>
      </c>
      <c r="B13" s="47">
        <v>9</v>
      </c>
      <c r="C13" s="73"/>
    </row>
    <row r="14" spans="1:4" ht="15.75" thickBot="1" x14ac:dyDescent="0.3">
      <c r="A14" s="48" t="s">
        <v>44</v>
      </c>
      <c r="B14" s="48">
        <v>10</v>
      </c>
      <c r="C14" s="74"/>
    </row>
    <row r="15" spans="1:4" ht="15.75" thickBot="1" x14ac:dyDescent="0.3">
      <c r="A15" s="109" t="s">
        <v>160</v>
      </c>
      <c r="B15" s="110"/>
      <c r="C15" s="27">
        <v>2.5</v>
      </c>
    </row>
    <row r="16" spans="1:4" x14ac:dyDescent="0.25">
      <c r="A16" s="112"/>
    </row>
    <row r="17" spans="1:11" x14ac:dyDescent="0.25">
      <c r="A17" s="112"/>
    </row>
    <row r="24" spans="1:11" ht="15" customHeight="1" x14ac:dyDescent="0.25">
      <c r="G24" s="23">
        <f>$B$7</f>
        <v>0.5</v>
      </c>
      <c r="H24" s="23">
        <f>_xll.PTreeNodeProbability(treeCalc_1!$F$2,6)</f>
        <v>0.5</v>
      </c>
    </row>
    <row r="25" spans="1:11" ht="15" customHeight="1" x14ac:dyDescent="0.25">
      <c r="G25" s="23">
        <f>B10</f>
        <v>21.94</v>
      </c>
      <c r="H25" s="23">
        <f>_xll.PTreeNodeValue(treeCalc_1!$F$2,6)</f>
        <v>13.940000000000001</v>
      </c>
    </row>
    <row r="26" spans="1:11" ht="15" customHeight="1" x14ac:dyDescent="0.25">
      <c r="F26" s="23" t="b">
        <f>_xll.PTreeNodeDecision(treeCalc_1!$F$2,4)</f>
        <v>1</v>
      </c>
      <c r="G26" s="23" t="s">
        <v>164</v>
      </c>
    </row>
    <row r="27" spans="1:11" ht="15" customHeight="1" x14ac:dyDescent="0.25">
      <c r="F27" s="23">
        <f>-B4</f>
        <v>-8</v>
      </c>
      <c r="G27" s="23">
        <f>_xll.PTreeNodeValue(treeCalc_1!$F$2,4)</f>
        <v>11.845000000000001</v>
      </c>
    </row>
    <row r="28" spans="1:11" ht="15" customHeight="1" x14ac:dyDescent="0.25">
      <c r="J28" s="23" t="b">
        <f>_xll.PTreeNodeDecision(treeCalc_1!$F$2,12)</f>
        <v>1</v>
      </c>
      <c r="K28" s="23">
        <f>_xll.PTreeNodeProbability(treeCalc_1!$F$2,12)</f>
        <v>0</v>
      </c>
    </row>
    <row r="29" spans="1:11" ht="15" customHeight="1" x14ac:dyDescent="0.25">
      <c r="J29" s="23">
        <f>C11</f>
        <v>15.75</v>
      </c>
      <c r="K29" s="23">
        <f>_xll.PTreeNodeValue(treeCalc_1!$F$2,12)</f>
        <v>8.75</v>
      </c>
    </row>
    <row r="30" spans="1:11" ht="15" customHeight="1" x14ac:dyDescent="0.25">
      <c r="I30" s="23" t="b">
        <f>_xll.PTreeNodeDecision(treeCalc_1!$F$2,10)</f>
        <v>1</v>
      </c>
      <c r="J30" s="23" t="s">
        <v>1</v>
      </c>
    </row>
    <row r="31" spans="1:11" ht="15" customHeight="1" x14ac:dyDescent="0.25">
      <c r="I31" s="23">
        <f>-B5</f>
        <v>-8</v>
      </c>
      <c r="J31" s="23">
        <f>_xll.PTreeNodeValue(treeCalc_1!$F$2,10)</f>
        <v>8.75</v>
      </c>
    </row>
    <row r="32" spans="1:11" ht="15" customHeight="1" x14ac:dyDescent="0.25">
      <c r="H32" s="23" t="b">
        <f>_xll.PTreeNodeDecision(treeCalc_1!$F$2,8)</f>
        <v>0</v>
      </c>
      <c r="I32" s="23" t="s">
        <v>1</v>
      </c>
    </row>
    <row r="33" spans="5:11" ht="15" customHeight="1" x14ac:dyDescent="0.25">
      <c r="H33" s="23">
        <f>B13</f>
        <v>9</v>
      </c>
      <c r="I33" s="23">
        <f>_xll.PTreeNodeValue(treeCalc_1!$F$2,8)</f>
        <v>8.75</v>
      </c>
    </row>
    <row r="34" spans="5:11" ht="15" customHeight="1" x14ac:dyDescent="0.25">
      <c r="G34" s="23">
        <f>$B$8</f>
        <v>0.5</v>
      </c>
      <c r="H34" s="23" t="s">
        <v>1</v>
      </c>
    </row>
    <row r="35" spans="5:11" ht="15" customHeight="1" x14ac:dyDescent="0.25">
      <c r="G35" s="23">
        <v>0</v>
      </c>
      <c r="H35" s="23">
        <f>_xll.PTreeNodeValue(treeCalc_1!$F$2,7)</f>
        <v>9.75</v>
      </c>
    </row>
    <row r="36" spans="5:11" ht="15" customHeight="1" x14ac:dyDescent="0.25">
      <c r="J36" s="23" t="b">
        <f>_xll.PTreeNodeDecision(treeCalc_1!$F$2,13)</f>
        <v>1</v>
      </c>
      <c r="K36" s="23">
        <f>_xll.PTreeNodeProbability(treeCalc_1!$F$2,13)</f>
        <v>0.5</v>
      </c>
    </row>
    <row r="37" spans="5:11" ht="15" customHeight="1" x14ac:dyDescent="0.25">
      <c r="J37" s="23">
        <f>C11</f>
        <v>15.75</v>
      </c>
      <c r="K37" s="23">
        <f>_xll.PTreeNodeValue(treeCalc_1!$F$2,13)</f>
        <v>9.75</v>
      </c>
    </row>
    <row r="38" spans="5:11" ht="15" customHeight="1" x14ac:dyDescent="0.25">
      <c r="I38" s="23" t="b">
        <f>_xll.PTreeNodeDecision(treeCalc_1!$F$2,11)</f>
        <v>1</v>
      </c>
      <c r="J38" s="23" t="s">
        <v>1</v>
      </c>
    </row>
    <row r="39" spans="5:11" ht="15" customHeight="1" x14ac:dyDescent="0.25">
      <c r="I39" s="23">
        <f>-B5</f>
        <v>-8</v>
      </c>
      <c r="J39" s="23">
        <f>_xll.PTreeNodeValue(treeCalc_1!$F$2,11)</f>
        <v>9.75</v>
      </c>
    </row>
    <row r="40" spans="5:11" ht="15" customHeight="1" x14ac:dyDescent="0.25">
      <c r="H40" s="23" t="b">
        <f>_xll.PTreeNodeDecision(treeCalc_1!$F$2,9)</f>
        <v>1</v>
      </c>
      <c r="I40" s="23" t="s">
        <v>1</v>
      </c>
    </row>
    <row r="41" spans="5:11" ht="15" customHeight="1" x14ac:dyDescent="0.25">
      <c r="H41" s="23">
        <f>B14</f>
        <v>10</v>
      </c>
      <c r="I41" s="23">
        <f>_xll.PTreeNodeValue(treeCalc_1!$F$2,9)</f>
        <v>9.75</v>
      </c>
    </row>
    <row r="42" spans="5:11" ht="15" customHeight="1" x14ac:dyDescent="0.25">
      <c r="H42" s="23" t="b">
        <f>_xll.PTreeNodeDecision(treeCalc_1!$F$2,18)</f>
        <v>0</v>
      </c>
      <c r="I42" s="23">
        <f>_xll.PTreeNodeProbability(treeCalc_1!$F$2,18)</f>
        <v>0</v>
      </c>
    </row>
    <row r="43" spans="5:11" ht="15" customHeight="1" x14ac:dyDescent="0.25">
      <c r="H43" s="23">
        <f>B11</f>
        <v>15.36</v>
      </c>
      <c r="I43" s="23">
        <f>_xll.PTreeNodeValue(treeCalc_1!$F$2,18)</f>
        <v>7.3599999999999994</v>
      </c>
    </row>
    <row r="44" spans="5:11" ht="15" customHeight="1" x14ac:dyDescent="0.25">
      <c r="E44" s="23" t="b">
        <f>_xll.PTreeNodeDecision(treeCalc_1!$F$2,2)</f>
        <v>1</v>
      </c>
      <c r="F44" s="23" t="s">
        <v>1</v>
      </c>
    </row>
    <row r="45" spans="5:11" ht="15" customHeight="1" x14ac:dyDescent="0.25">
      <c r="E45" s="23">
        <v>0</v>
      </c>
      <c r="F45" s="23">
        <f>_xll.PTreeNodeValue(treeCalc_1!$F$2,2)</f>
        <v>11.845000000000001</v>
      </c>
    </row>
    <row r="46" spans="5:11" ht="15" customHeight="1" x14ac:dyDescent="0.25">
      <c r="G46" s="23">
        <f>$C$7</f>
        <v>0.3</v>
      </c>
      <c r="H46" s="23">
        <f>_xll.PTreeNodeProbability(treeCalc_1!$F$2,14)</f>
        <v>0</v>
      </c>
    </row>
    <row r="47" spans="5:11" ht="15" customHeight="1" x14ac:dyDescent="0.25">
      <c r="G47" s="23">
        <f>C10</f>
        <v>25.19</v>
      </c>
      <c r="H47" s="23">
        <f>_xll.PTreeNodeValue(treeCalc_1!$F$2,14)</f>
        <v>17.190000000000001</v>
      </c>
    </row>
    <row r="48" spans="5:11" ht="15" customHeight="1" x14ac:dyDescent="0.25">
      <c r="F48" s="23" t="b">
        <f>_xll.PTreeNodeDecision(treeCalc_1!$F$2,5)</f>
        <v>0</v>
      </c>
      <c r="G48" s="23" t="s">
        <v>165</v>
      </c>
    </row>
    <row r="49" spans="5:10" ht="15" customHeight="1" x14ac:dyDescent="0.25">
      <c r="F49" s="23">
        <f>-B5</f>
        <v>-8</v>
      </c>
      <c r="G49" s="23">
        <f>_xll.PTreeNodeValue(treeCalc_1!$F$2,5)</f>
        <v>8.8320000000000007</v>
      </c>
    </row>
    <row r="50" spans="5:10" ht="15" customHeight="1" x14ac:dyDescent="0.25">
      <c r="I50" s="23" t="b">
        <f>_xll.PTreeNodeDecision(treeCalc_1!$F$2,17)</f>
        <v>1</v>
      </c>
      <c r="J50" s="23">
        <f>_xll.PTreeNodeProbability(treeCalc_1!$F$2,17)</f>
        <v>0</v>
      </c>
    </row>
    <row r="51" spans="5:10" ht="15" customHeight="1" x14ac:dyDescent="0.25">
      <c r="I51" s="23">
        <f>C11</f>
        <v>15.75</v>
      </c>
      <c r="J51" s="23">
        <f>_xll.PTreeNodeValue(treeCalc_1!$F$2,17)</f>
        <v>5.25</v>
      </c>
    </row>
    <row r="52" spans="5:10" ht="15" customHeight="1" x14ac:dyDescent="0.25">
      <c r="H52" s="23" t="b">
        <f>_xll.PTreeNodeDecision(treeCalc_1!$F$2,16)</f>
        <v>1</v>
      </c>
      <c r="I52" s="23" t="s">
        <v>1</v>
      </c>
    </row>
    <row r="53" spans="5:10" ht="15" customHeight="1" x14ac:dyDescent="0.25">
      <c r="H53" s="23">
        <f>-C15</f>
        <v>-2.5</v>
      </c>
      <c r="I53" s="23">
        <f>_xll.PTreeNodeValue(treeCalc_1!$F$2,16)</f>
        <v>5.25</v>
      </c>
    </row>
    <row r="54" spans="5:10" ht="15" customHeight="1" x14ac:dyDescent="0.25">
      <c r="G54" s="23">
        <f>$C$8</f>
        <v>0.7</v>
      </c>
      <c r="H54" s="23" t="s">
        <v>1</v>
      </c>
    </row>
    <row r="55" spans="5:10" ht="15" customHeight="1" x14ac:dyDescent="0.25">
      <c r="G55" s="23">
        <v>0</v>
      </c>
      <c r="H55" s="23">
        <f>_xll.PTreeNodeValue(treeCalc_1!$F$2,15)</f>
        <v>5.25</v>
      </c>
    </row>
    <row r="56" spans="5:10" ht="15" customHeight="1" x14ac:dyDescent="0.25">
      <c r="E56" s="23" t="s">
        <v>1</v>
      </c>
    </row>
    <row r="57" spans="5:10" ht="15" customHeight="1" x14ac:dyDescent="0.25">
      <c r="E57" s="23">
        <f>_xll.PTreeNodeValue(treeCalc_1!$F$2,1)</f>
        <v>11.845000000000001</v>
      </c>
    </row>
    <row r="58" spans="5:10" ht="15" customHeight="1" x14ac:dyDescent="0.25">
      <c r="E58" s="23" t="b">
        <f>_xll.PTreeNodeDecision(treeCalc_1!$F$2,3)</f>
        <v>0</v>
      </c>
      <c r="F58" s="23">
        <f>_xll.PTreeNodeProbability(treeCalc_1!$F$2,3)</f>
        <v>0</v>
      </c>
    </row>
    <row r="59" spans="5:10" ht="15" customHeight="1" x14ac:dyDescent="0.25">
      <c r="E59" s="23">
        <v>0</v>
      </c>
      <c r="F59" s="23">
        <f>_xll.PTreeNodeValue(treeCalc_1!$F$2,3)</f>
        <v>0</v>
      </c>
    </row>
  </sheetData>
  <mergeCells count="6">
    <mergeCell ref="A1:D1"/>
    <mergeCell ref="A3:B3"/>
    <mergeCell ref="A12:B12"/>
    <mergeCell ref="A15:B15"/>
    <mergeCell ref="C3:C5"/>
    <mergeCell ref="C12:C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workbookViewId="0"/>
  </sheetViews>
  <sheetFormatPr defaultColWidth="15.7109375" defaultRowHeight="15" x14ac:dyDescent="0.25"/>
  <cols>
    <col min="1" max="16384" width="15.7109375" style="6"/>
  </cols>
  <sheetData>
    <row r="1" spans="1:16" x14ac:dyDescent="0.25">
      <c r="A1" s="6" t="s">
        <v>13</v>
      </c>
      <c r="B1" s="5" t="s">
        <v>1</v>
      </c>
      <c r="E1" s="6" t="s">
        <v>53</v>
      </c>
      <c r="F1" s="6">
        <v>3</v>
      </c>
      <c r="H1" s="6" t="s">
        <v>60</v>
      </c>
      <c r="I1" s="5" t="s">
        <v>86</v>
      </c>
      <c r="K1" s="6" t="s">
        <v>65</v>
      </c>
      <c r="L1" s="6">
        <v>100</v>
      </c>
    </row>
    <row r="2" spans="1:16" x14ac:dyDescent="0.25">
      <c r="A2" s="6" t="s">
        <v>46</v>
      </c>
      <c r="B2" s="6" t="e">
        <f>'Decision Tree'!#REF!</f>
        <v>#REF!</v>
      </c>
      <c r="E2" s="6" t="s">
        <v>55</v>
      </c>
      <c r="F2" s="6">
        <f>_xll.PTreeEvaluate5(B3,$L$11:$L$28,$J$11:$J$28,$K$11:$K$28,$N$11:$N$28,$G$11:$G$28,,L1)</f>
        <v>2727169</v>
      </c>
    </row>
    <row r="3" spans="1:16" x14ac:dyDescent="0.25">
      <c r="A3" s="6" t="s">
        <v>47</v>
      </c>
      <c r="B3" s="6" t="s">
        <v>89</v>
      </c>
      <c r="E3" s="6" t="s">
        <v>56</v>
      </c>
      <c r="F3" s="5" t="s">
        <v>82</v>
      </c>
      <c r="H3" s="6" t="s">
        <v>61</v>
      </c>
      <c r="I3" s="7" t="s">
        <v>84</v>
      </c>
    </row>
    <row r="4" spans="1:16" x14ac:dyDescent="0.25">
      <c r="A4" s="6" t="s">
        <v>48</v>
      </c>
      <c r="B4" s="6" t="s">
        <v>81</v>
      </c>
      <c r="E4" s="6" t="s">
        <v>57</v>
      </c>
      <c r="F4" s="5" t="s">
        <v>83</v>
      </c>
      <c r="H4" s="6" t="s">
        <v>62</v>
      </c>
      <c r="I4" s="5" t="s">
        <v>85</v>
      </c>
    </row>
    <row r="5" spans="1:16" x14ac:dyDescent="0.25">
      <c r="A5" s="6" t="s">
        <v>49</v>
      </c>
      <c r="B5" s="6">
        <v>0</v>
      </c>
      <c r="E5" s="6" t="s">
        <v>58</v>
      </c>
      <c r="F5" s="5" t="s">
        <v>83</v>
      </c>
      <c r="H5" s="6" t="s">
        <v>63</v>
      </c>
      <c r="I5" s="7" t="s">
        <v>84</v>
      </c>
    </row>
    <row r="6" spans="1:16" x14ac:dyDescent="0.25">
      <c r="A6" s="6" t="s">
        <v>50</v>
      </c>
      <c r="E6" s="6" t="s">
        <v>59</v>
      </c>
      <c r="F6" s="5" t="s">
        <v>82</v>
      </c>
      <c r="H6" s="6" t="s">
        <v>64</v>
      </c>
      <c r="I6" s="5" t="s">
        <v>85</v>
      </c>
    </row>
    <row r="7" spans="1:16" x14ac:dyDescent="0.25">
      <c r="A7" s="6" t="s">
        <v>51</v>
      </c>
      <c r="E7" s="6" t="s">
        <v>54</v>
      </c>
      <c r="F7" s="5" t="s">
        <v>45</v>
      </c>
    </row>
    <row r="8" spans="1:16" x14ac:dyDescent="0.25">
      <c r="A8" s="6" t="s">
        <v>52</v>
      </c>
      <c r="B8" s="6">
        <v>18</v>
      </c>
    </row>
    <row r="10" spans="1:16" x14ac:dyDescent="0.25">
      <c r="A10" s="6" t="s">
        <v>66</v>
      </c>
      <c r="B10" s="6" t="s">
        <v>67</v>
      </c>
      <c r="C10" s="6" t="s">
        <v>68</v>
      </c>
      <c r="D10" s="6" t="s">
        <v>69</v>
      </c>
      <c r="E10" s="6" t="s">
        <v>70</v>
      </c>
      <c r="F10" s="6" t="s">
        <v>71</v>
      </c>
      <c r="G10" s="6" t="s">
        <v>72</v>
      </c>
      <c r="H10" s="6" t="s">
        <v>73</v>
      </c>
      <c r="I10" s="6" t="s">
        <v>74</v>
      </c>
      <c r="J10" s="6" t="s">
        <v>75</v>
      </c>
      <c r="K10" s="6" t="s">
        <v>76</v>
      </c>
      <c r="L10" s="6" t="s">
        <v>47</v>
      </c>
      <c r="M10" s="6" t="s">
        <v>77</v>
      </c>
      <c r="N10" s="6" t="s">
        <v>78</v>
      </c>
      <c r="O10" s="6" t="s">
        <v>79</v>
      </c>
      <c r="P10" s="6" t="s">
        <v>80</v>
      </c>
    </row>
    <row r="11" spans="1:16" x14ac:dyDescent="0.25">
      <c r="A11" s="6">
        <f>'Decision Tree'!$E$57</f>
        <v>11.845000000000001</v>
      </c>
      <c r="B11" s="6" t="str">
        <f>B1</f>
        <v>Decision</v>
      </c>
      <c r="C11" s="6">
        <v>0</v>
      </c>
      <c r="I11" s="6" t="s">
        <v>87</v>
      </c>
      <c r="J11" s="6">
        <f>'Decision Tree'!$D$57</f>
        <v>0</v>
      </c>
      <c r="K11" s="6">
        <f>'Decision Tree'!$D$56</f>
        <v>0</v>
      </c>
      <c r="L11" s="6" t="s">
        <v>91</v>
      </c>
      <c r="M11" s="5" t="s">
        <v>88</v>
      </c>
      <c r="O11" s="6" t="str">
        <f>'Decision Tree'!$E$56</f>
        <v>Decision</v>
      </c>
      <c r="P11" s="6" t="b">
        <v>0</v>
      </c>
    </row>
    <row r="12" spans="1:16" x14ac:dyDescent="0.25">
      <c r="A12" s="6">
        <f>'Decision Tree'!$F$45</f>
        <v>11.845000000000001</v>
      </c>
      <c r="B12" s="5" t="s">
        <v>92</v>
      </c>
      <c r="C12" s="6">
        <v>0</v>
      </c>
      <c r="I12" s="6" t="s">
        <v>87</v>
      </c>
      <c r="J12" s="6">
        <f>'Decision Tree'!$E$45</f>
        <v>0</v>
      </c>
      <c r="L12" s="6" t="s">
        <v>94</v>
      </c>
      <c r="M12" s="5" t="s">
        <v>88</v>
      </c>
      <c r="O12" s="6" t="str">
        <f>'Decision Tree'!$F$44</f>
        <v>Decision</v>
      </c>
      <c r="P12" s="6" t="b">
        <v>0</v>
      </c>
    </row>
    <row r="13" spans="1:16" x14ac:dyDescent="0.25">
      <c r="A13" s="6">
        <f>'Decision Tree'!$F$59</f>
        <v>0</v>
      </c>
      <c r="B13" s="5" t="s">
        <v>93</v>
      </c>
      <c r="C13" s="6">
        <v>0</v>
      </c>
      <c r="H13" s="6" t="s">
        <v>87</v>
      </c>
      <c r="I13" s="6" t="s">
        <v>87</v>
      </c>
      <c r="J13" s="6">
        <f>'Decision Tree'!$E$59</f>
        <v>0</v>
      </c>
      <c r="L13" s="6" t="s">
        <v>90</v>
      </c>
      <c r="M13" s="5" t="s">
        <v>88</v>
      </c>
      <c r="P13" s="6" t="b">
        <v>0</v>
      </c>
    </row>
    <row r="14" spans="1:16" x14ac:dyDescent="0.25">
      <c r="A14" s="6">
        <f>'Decision Tree'!$G$27</f>
        <v>11.845000000000001</v>
      </c>
      <c r="B14" s="5" t="s">
        <v>95</v>
      </c>
      <c r="C14" s="6">
        <v>0</v>
      </c>
      <c r="I14" s="6" t="s">
        <v>87</v>
      </c>
      <c r="J14" s="6">
        <f>'Decision Tree'!$F$27</f>
        <v>-8</v>
      </c>
      <c r="L14" s="6" t="s">
        <v>98</v>
      </c>
      <c r="M14" s="5" t="s">
        <v>88</v>
      </c>
      <c r="O14" s="6" t="str">
        <f>'Decision Tree'!$G$26</f>
        <v>In House EMR</v>
      </c>
      <c r="P14" s="6" t="b">
        <v>0</v>
      </c>
    </row>
    <row r="15" spans="1:16" x14ac:dyDescent="0.25">
      <c r="A15" s="6">
        <f>'Decision Tree'!$G$49</f>
        <v>8.8320000000000007</v>
      </c>
      <c r="B15" s="5" t="s">
        <v>96</v>
      </c>
      <c r="C15" s="6">
        <v>0</v>
      </c>
      <c r="I15" s="6" t="s">
        <v>87</v>
      </c>
      <c r="J15" s="6">
        <f>'Decision Tree'!$F$49</f>
        <v>-8</v>
      </c>
      <c r="L15" s="6" t="s">
        <v>108</v>
      </c>
      <c r="M15" s="5" t="s">
        <v>88</v>
      </c>
      <c r="O15" s="6" t="str">
        <f>'Decision Tree'!$G$48</f>
        <v>Outsource EMR</v>
      </c>
      <c r="P15" s="6" t="b">
        <v>0</v>
      </c>
    </row>
    <row r="16" spans="1:16" x14ac:dyDescent="0.25">
      <c r="A16" s="6">
        <f>'Decision Tree'!$H$25</f>
        <v>13.940000000000001</v>
      </c>
      <c r="B16" s="5" t="s">
        <v>39</v>
      </c>
      <c r="C16" s="6">
        <v>0</v>
      </c>
      <c r="H16" s="6" t="s">
        <v>87</v>
      </c>
      <c r="I16" s="6" t="s">
        <v>87</v>
      </c>
      <c r="J16" s="6">
        <f>'Decision Tree'!$G$25</f>
        <v>21.94</v>
      </c>
      <c r="K16" s="6">
        <f>'Decision Tree'!$G$24</f>
        <v>0.5</v>
      </c>
      <c r="L16" s="6" t="s">
        <v>97</v>
      </c>
      <c r="M16" s="5" t="s">
        <v>88</v>
      </c>
      <c r="P16" s="6" t="b">
        <v>0</v>
      </c>
    </row>
    <row r="17" spans="1:16" x14ac:dyDescent="0.25">
      <c r="A17" s="6">
        <f>'Decision Tree'!$H$35</f>
        <v>9.75</v>
      </c>
      <c r="B17" s="5" t="s">
        <v>40</v>
      </c>
      <c r="C17" s="6">
        <v>0</v>
      </c>
      <c r="I17" s="6" t="s">
        <v>87</v>
      </c>
      <c r="J17" s="6">
        <f>'Decision Tree'!$G$35</f>
        <v>0</v>
      </c>
      <c r="K17" s="6">
        <f>'Decision Tree'!$G$34</f>
        <v>0.5</v>
      </c>
      <c r="L17" s="6" t="s">
        <v>162</v>
      </c>
      <c r="M17" s="5" t="s">
        <v>88</v>
      </c>
      <c r="O17" s="6" t="str">
        <f>'Decision Tree'!$H$34</f>
        <v>Decision</v>
      </c>
      <c r="P17" s="6" t="b">
        <v>0</v>
      </c>
    </row>
    <row r="18" spans="1:16" x14ac:dyDescent="0.25">
      <c r="A18" s="6">
        <f>'Decision Tree'!$I$33</f>
        <v>8.75</v>
      </c>
      <c r="B18" s="5" t="s">
        <v>99</v>
      </c>
      <c r="C18" s="6">
        <v>0</v>
      </c>
      <c r="I18" s="6" t="s">
        <v>87</v>
      </c>
      <c r="J18" s="6">
        <f>'Decision Tree'!$H$33</f>
        <v>9</v>
      </c>
      <c r="L18" s="6" t="s">
        <v>101</v>
      </c>
      <c r="M18" s="5" t="s">
        <v>88</v>
      </c>
      <c r="O18" s="6" t="str">
        <f>'Decision Tree'!$I$32</f>
        <v>Decision</v>
      </c>
      <c r="P18" s="6" t="b">
        <v>0</v>
      </c>
    </row>
    <row r="19" spans="1:16" x14ac:dyDescent="0.25">
      <c r="A19" s="6">
        <f>'Decision Tree'!$I$41</f>
        <v>9.75</v>
      </c>
      <c r="B19" s="5" t="s">
        <v>100</v>
      </c>
      <c r="C19" s="6">
        <v>0</v>
      </c>
      <c r="I19" s="6" t="s">
        <v>87</v>
      </c>
      <c r="J19" s="6">
        <f>'Decision Tree'!$H$41</f>
        <v>10</v>
      </c>
      <c r="L19" s="6" t="s">
        <v>102</v>
      </c>
      <c r="M19" s="5" t="s">
        <v>88</v>
      </c>
      <c r="O19" s="6" t="str">
        <f>'Decision Tree'!$I$40</f>
        <v>Decision</v>
      </c>
      <c r="P19" s="6" t="b">
        <v>0</v>
      </c>
    </row>
    <row r="20" spans="1:16" x14ac:dyDescent="0.25">
      <c r="A20" s="6">
        <f>'Decision Tree'!$J$31</f>
        <v>8.75</v>
      </c>
      <c r="B20" s="5" t="s">
        <v>36</v>
      </c>
      <c r="C20" s="6">
        <v>0</v>
      </c>
      <c r="I20" s="6" t="s">
        <v>87</v>
      </c>
      <c r="J20" s="6">
        <f>'Decision Tree'!$I$31</f>
        <v>-8</v>
      </c>
      <c r="L20" s="6" t="s">
        <v>104</v>
      </c>
      <c r="M20" s="5" t="s">
        <v>88</v>
      </c>
      <c r="O20" s="6" t="str">
        <f>'Decision Tree'!$J$30</f>
        <v>Decision</v>
      </c>
      <c r="P20" s="6" t="b">
        <v>0</v>
      </c>
    </row>
    <row r="21" spans="1:16" x14ac:dyDescent="0.25">
      <c r="A21" s="6">
        <f>'Decision Tree'!$J$39</f>
        <v>9.75</v>
      </c>
      <c r="B21" s="5" t="s">
        <v>36</v>
      </c>
      <c r="C21" s="6">
        <v>0</v>
      </c>
      <c r="I21" s="6" t="s">
        <v>87</v>
      </c>
      <c r="J21" s="6">
        <f>'Decision Tree'!$I$39</f>
        <v>-8</v>
      </c>
      <c r="L21" s="6" t="s">
        <v>106</v>
      </c>
      <c r="M21" s="5" t="s">
        <v>88</v>
      </c>
      <c r="O21" s="6" t="str">
        <f>'Decision Tree'!$J$38</f>
        <v>Decision</v>
      </c>
      <c r="P21" s="6" t="b">
        <v>0</v>
      </c>
    </row>
    <row r="22" spans="1:16" x14ac:dyDescent="0.25">
      <c r="A22" s="6">
        <f>'Decision Tree'!$K$29</f>
        <v>8.75</v>
      </c>
      <c r="B22" s="5" t="s">
        <v>41</v>
      </c>
      <c r="C22" s="6">
        <v>0</v>
      </c>
      <c r="H22" s="6" t="s">
        <v>87</v>
      </c>
      <c r="I22" s="6" t="s">
        <v>87</v>
      </c>
      <c r="J22" s="6">
        <f>'Decision Tree'!$J$29</f>
        <v>15.75</v>
      </c>
      <c r="L22" s="6" t="s">
        <v>103</v>
      </c>
      <c r="M22" s="5" t="s">
        <v>88</v>
      </c>
      <c r="P22" s="6" t="b">
        <v>0</v>
      </c>
    </row>
    <row r="23" spans="1:16" x14ac:dyDescent="0.25">
      <c r="A23" s="6">
        <f>'Decision Tree'!$K$37</f>
        <v>9.75</v>
      </c>
      <c r="B23" s="5" t="s">
        <v>41</v>
      </c>
      <c r="C23" s="6">
        <v>0</v>
      </c>
      <c r="H23" s="6" t="s">
        <v>87</v>
      </c>
      <c r="I23" s="6" t="s">
        <v>87</v>
      </c>
      <c r="J23" s="6">
        <f>'Decision Tree'!$J$37</f>
        <v>15.75</v>
      </c>
      <c r="L23" s="6" t="s">
        <v>105</v>
      </c>
      <c r="M23" s="5" t="s">
        <v>88</v>
      </c>
      <c r="P23" s="6" t="b">
        <v>0</v>
      </c>
    </row>
    <row r="24" spans="1:16" x14ac:dyDescent="0.25">
      <c r="A24" s="6">
        <f>'Decision Tree'!$H$47</f>
        <v>17.190000000000001</v>
      </c>
      <c r="B24" s="5" t="s">
        <v>39</v>
      </c>
      <c r="C24" s="6">
        <v>0</v>
      </c>
      <c r="H24" s="6" t="s">
        <v>87</v>
      </c>
      <c r="I24" s="6" t="s">
        <v>87</v>
      </c>
      <c r="J24" s="6">
        <f>'Decision Tree'!$G$47</f>
        <v>25.19</v>
      </c>
      <c r="K24" s="6">
        <f>'Decision Tree'!$G$46</f>
        <v>0.3</v>
      </c>
      <c r="L24" s="6" t="s">
        <v>107</v>
      </c>
      <c r="M24" s="5" t="s">
        <v>88</v>
      </c>
      <c r="P24" s="6" t="b">
        <v>0</v>
      </c>
    </row>
    <row r="25" spans="1:16" x14ac:dyDescent="0.25">
      <c r="A25" s="6">
        <f>'Decision Tree'!$H$55</f>
        <v>5.25</v>
      </c>
      <c r="B25" s="5" t="s">
        <v>40</v>
      </c>
      <c r="C25" s="6">
        <v>0</v>
      </c>
      <c r="I25" s="6" t="s">
        <v>87</v>
      </c>
      <c r="J25" s="6">
        <f>'Decision Tree'!$G$55</f>
        <v>0</v>
      </c>
      <c r="K25" s="6">
        <f>'Decision Tree'!$G$54</f>
        <v>0.7</v>
      </c>
      <c r="L25" s="6" t="s">
        <v>109</v>
      </c>
      <c r="M25" s="5" t="s">
        <v>88</v>
      </c>
      <c r="O25" s="6" t="str">
        <f>'Decision Tree'!$H$54</f>
        <v>Decision</v>
      </c>
      <c r="P25" s="6" t="b">
        <v>0</v>
      </c>
    </row>
    <row r="26" spans="1:16" x14ac:dyDescent="0.25">
      <c r="A26" s="6">
        <f>'Decision Tree'!$I$53</f>
        <v>5.25</v>
      </c>
      <c r="B26" s="5" t="s">
        <v>110</v>
      </c>
      <c r="C26" s="6">
        <v>0</v>
      </c>
      <c r="I26" s="6" t="s">
        <v>87</v>
      </c>
      <c r="J26" s="6">
        <f>'Decision Tree'!$H$53</f>
        <v>-2.5</v>
      </c>
      <c r="L26" s="6" t="s">
        <v>111</v>
      </c>
      <c r="M26" s="5" t="s">
        <v>88</v>
      </c>
      <c r="O26" s="6" t="str">
        <f>'Decision Tree'!$I$52</f>
        <v>Decision</v>
      </c>
      <c r="P26" s="6" t="b">
        <v>0</v>
      </c>
    </row>
    <row r="27" spans="1:16" x14ac:dyDescent="0.25">
      <c r="A27" s="6">
        <f>'Decision Tree'!$J$51</f>
        <v>5.25</v>
      </c>
      <c r="B27" s="5" t="s">
        <v>41</v>
      </c>
      <c r="C27" s="6">
        <v>0</v>
      </c>
      <c r="H27" s="6" t="s">
        <v>87</v>
      </c>
      <c r="I27" s="6" t="s">
        <v>87</v>
      </c>
      <c r="J27" s="6">
        <f>'Decision Tree'!$I$51</f>
        <v>15.75</v>
      </c>
      <c r="L27" s="6" t="s">
        <v>112</v>
      </c>
      <c r="M27" s="5" t="s">
        <v>88</v>
      </c>
      <c r="P27" s="6" t="b">
        <v>0</v>
      </c>
    </row>
    <row r="28" spans="1:16" x14ac:dyDescent="0.25">
      <c r="A28" s="6">
        <f>'Decision Tree'!$I$43</f>
        <v>7.3599999999999994</v>
      </c>
      <c r="B28" s="5" t="s">
        <v>163</v>
      </c>
      <c r="C28" s="6">
        <v>0</v>
      </c>
      <c r="H28" s="6" t="s">
        <v>87</v>
      </c>
      <c r="I28" s="6" t="s">
        <v>87</v>
      </c>
      <c r="J28" s="6">
        <f>'Decision Tree'!$H$43</f>
        <v>15.36</v>
      </c>
      <c r="L28" s="6" t="s">
        <v>161</v>
      </c>
      <c r="M28" s="5" t="s">
        <v>88</v>
      </c>
      <c r="P28" s="6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B15"/>
  <sheetViews>
    <sheetView workbookViewId="0"/>
  </sheetViews>
  <sheetFormatPr defaultRowHeight="15" x14ac:dyDescent="0.25"/>
  <sheetData>
    <row r="8" spans="1:2" x14ac:dyDescent="0.25">
      <c r="A8" s="1"/>
      <c r="B8" s="1"/>
    </row>
    <row r="15" spans="1:2" x14ac:dyDescent="0.25">
      <c r="B1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170</v>
      </c>
      <c r="B2" t="s">
        <v>174</v>
      </c>
    </row>
    <row r="3" spans="1:2" x14ac:dyDescent="0.25">
      <c r="A3">
        <v>1</v>
      </c>
      <c r="B3">
        <v>1</v>
      </c>
    </row>
    <row r="4" spans="1:2" x14ac:dyDescent="0.25">
      <c r="A4">
        <v>15000</v>
      </c>
      <c r="B4">
        <v>13200</v>
      </c>
    </row>
    <row r="5" spans="1:2" x14ac:dyDescent="0.25">
      <c r="A5">
        <v>22500</v>
      </c>
      <c r="B5">
        <v>19000</v>
      </c>
    </row>
    <row r="6" spans="1:2" x14ac:dyDescent="0.25">
      <c r="A6">
        <v>250</v>
      </c>
      <c r="B6">
        <v>200</v>
      </c>
    </row>
    <row r="8" spans="1:2" x14ac:dyDescent="0.25">
      <c r="A8" s="1"/>
      <c r="B8" s="1" t="s">
        <v>86</v>
      </c>
    </row>
    <row r="9" spans="1:2" x14ac:dyDescent="0.25">
      <c r="A9" t="s">
        <v>168</v>
      </c>
      <c r="B9" t="s">
        <v>167</v>
      </c>
    </row>
    <row r="10" spans="1:2" x14ac:dyDescent="0.25">
      <c r="A10" t="s">
        <v>142</v>
      </c>
      <c r="B10">
        <v>1</v>
      </c>
    </row>
    <row r="11" spans="1:2" x14ac:dyDescent="0.25">
      <c r="B11">
        <v>15000</v>
      </c>
    </row>
    <row r="12" spans="1:2" x14ac:dyDescent="0.25">
      <c r="B12">
        <v>22500</v>
      </c>
    </row>
    <row r="13" spans="1:2" x14ac:dyDescent="0.25">
      <c r="B13">
        <v>200</v>
      </c>
    </row>
    <row r="15" spans="1:2" x14ac:dyDescent="0.25">
      <c r="B15" s="1" t="s">
        <v>86</v>
      </c>
    </row>
    <row r="16" spans="1:2" x14ac:dyDescent="0.25">
      <c r="B16" t="s">
        <v>168</v>
      </c>
    </row>
    <row r="17" spans="2:2" x14ac:dyDescent="0.25">
      <c r="B17" t="s">
        <v>143</v>
      </c>
    </row>
    <row r="18" spans="2:2" x14ac:dyDescent="0.25">
      <c r="B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Model Formulation</vt:lpstr>
      <vt:lpstr>Optimization</vt:lpstr>
      <vt:lpstr>Sensitivity Report 1</vt:lpstr>
      <vt:lpstr>STS_2</vt:lpstr>
      <vt:lpstr>Decision Tree</vt:lpstr>
      <vt:lpstr>_PalUtilTempWorksheet</vt:lpstr>
      <vt:lpstr>treeCalc_1</vt:lpstr>
      <vt:lpstr>Optimal Tree</vt:lpstr>
      <vt:lpstr>STS_2!ChartData</vt:lpstr>
      <vt:lpstr>STS_2!InputValues</vt:lpstr>
      <vt:lpstr>STS_2!OutputAddresses</vt:lpstr>
      <vt:lpstr>STS_2!OutputValues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2018-06-06T01:07:17Z</dcterms:modified>
</cp:coreProperties>
</file>