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chi\PycharmProjects\MP_calc\Final_Excels\"/>
    </mc:Choice>
  </mc:AlternateContent>
  <xr:revisionPtr revIDLastSave="0" documentId="13_ncr:1_{0BF58719-8105-4BE3-90F9-84367B2EE66A}" xr6:coauthVersionLast="47" xr6:coauthVersionMax="47" xr10:uidLastSave="{00000000-0000-0000-0000-000000000000}"/>
  <bookViews>
    <workbookView xWindow="20370" yWindow="-120" windowWidth="29040" windowHeight="15840" tabRatio="671" xr2:uid="{00000000-000D-0000-FFFF-FFFF00000000}"/>
  </bookViews>
  <sheets>
    <sheet name="PE_aug" sheetId="1" r:id="rId1"/>
    <sheet name="PE_may" sheetId="2" r:id="rId2"/>
    <sheet name="PP" sheetId="3" r:id="rId3"/>
    <sheet name="PS" sheetId="4" r:id="rId4"/>
    <sheet name="PMMA" sheetId="5" r:id="rId5"/>
    <sheet name="PET_aug" sheetId="6" r:id="rId6"/>
    <sheet name="PET_may" sheetId="7" r:id="rId7"/>
    <sheet name="PA" sheetId="8" r:id="rId8"/>
    <sheet name="SBR" sheetId="9" r:id="rId9"/>
    <sheet name="Zusammenfassung" sheetId="10" r:id="rId10"/>
    <sheet name="Bewertung_PE" sheetId="11" r:id="rId11"/>
    <sheet name="Bewertung_PP" sheetId="12" r:id="rId12"/>
  </sheets>
  <definedNames>
    <definedName name="_xlnm._FilterDatabase" localSheetId="7" hidden="1">PA!$A$1:$K$217</definedName>
    <definedName name="_xlnm._FilterDatabase" localSheetId="0" hidden="1">PE_aug!$A$1:$AS$438</definedName>
    <definedName name="_xlnm._FilterDatabase" localSheetId="1" hidden="1">PE_may!$A$1:$AK$217</definedName>
    <definedName name="_xlnm._FilterDatabase" localSheetId="5" hidden="1">PET_aug!$A$1:$U$217</definedName>
    <definedName name="_xlnm._FilterDatabase" localSheetId="6" hidden="1">PET_may!$A$1:$V$217</definedName>
    <definedName name="_xlnm._FilterDatabase" localSheetId="4" hidden="1">PMMA!$A$1:$K$217</definedName>
    <definedName name="_xlnm._FilterDatabase" localSheetId="2" hidden="1">PP!$A$1:$AD$217</definedName>
    <definedName name="_xlnm._FilterDatabase" localSheetId="3" hidden="1">PS!$A$1:$W$217</definedName>
    <definedName name="_xlnm._FilterDatabase" localSheetId="8" hidden="1">SBR!$A$1:$K$1</definedName>
    <definedName name="_xlnm._FilterDatabase" localSheetId="9" hidden="1">Zusammenfassung!$A$1:$W$95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56" i="1" l="1"/>
  <c r="AD456" i="1" s="1"/>
  <c r="AE456" i="1" s="1"/>
  <c r="AG456" i="1"/>
  <c r="AH456" i="1"/>
  <c r="AI456" i="1"/>
  <c r="AJ456" i="1"/>
  <c r="AK456" i="1"/>
  <c r="AL456" i="1"/>
  <c r="AF457" i="1"/>
  <c r="AD457" i="1" s="1"/>
  <c r="AE457" i="1" s="1"/>
  <c r="AG457" i="1"/>
  <c r="AH457" i="1"/>
  <c r="AI457" i="1"/>
  <c r="AJ457" i="1"/>
  <c r="AK457" i="1"/>
  <c r="AL457" i="1"/>
  <c r="AD458" i="1"/>
  <c r="AE458" i="1"/>
  <c r="AF458" i="1"/>
  <c r="AG458" i="1"/>
  <c r="AH458" i="1"/>
  <c r="AI458" i="1"/>
  <c r="AJ458" i="1"/>
  <c r="AK458" i="1"/>
  <c r="AL458" i="1"/>
  <c r="AD459" i="1"/>
  <c r="AE459" i="1" s="1"/>
  <c r="AF459" i="1"/>
  <c r="AG459" i="1"/>
  <c r="AH459" i="1"/>
  <c r="AI459" i="1"/>
  <c r="AJ459" i="1"/>
  <c r="AK459" i="1"/>
  <c r="AL459" i="1"/>
  <c r="AF460" i="1"/>
  <c r="AD460" i="1" s="1"/>
  <c r="AE460" i="1" s="1"/>
  <c r="AG460" i="1"/>
  <c r="AH460" i="1"/>
  <c r="AI460" i="1"/>
  <c r="AJ460" i="1"/>
  <c r="AK460" i="1"/>
  <c r="AL460" i="1" s="1"/>
  <c r="AF461" i="1"/>
  <c r="AD461" i="1" s="1"/>
  <c r="AE461" i="1" s="1"/>
  <c r="AG461" i="1"/>
  <c r="AH461" i="1"/>
  <c r="AI461" i="1"/>
  <c r="AJ461" i="1"/>
  <c r="AK461" i="1"/>
  <c r="AL461" i="1"/>
  <c r="AD462" i="1"/>
  <c r="AE462" i="1"/>
  <c r="AF462" i="1"/>
  <c r="AG462" i="1"/>
  <c r="AH462" i="1"/>
  <c r="AI462" i="1"/>
  <c r="AJ462" i="1"/>
  <c r="AK462" i="1"/>
  <c r="AL462" i="1"/>
  <c r="AD463" i="1"/>
  <c r="AE463" i="1" s="1"/>
  <c r="AF463" i="1"/>
  <c r="AG463" i="1"/>
  <c r="AH463" i="1"/>
  <c r="AI463" i="1"/>
  <c r="AJ463" i="1"/>
  <c r="AK463" i="1"/>
  <c r="AL463" i="1"/>
  <c r="AF464" i="1"/>
  <c r="AD464" i="1" s="1"/>
  <c r="AE464" i="1" s="1"/>
  <c r="AG464" i="1"/>
  <c r="AH464" i="1"/>
  <c r="AI464" i="1"/>
  <c r="AJ464" i="1"/>
  <c r="AK464" i="1"/>
  <c r="AL464" i="1"/>
  <c r="AF465" i="1"/>
  <c r="AD465" i="1" s="1"/>
  <c r="AE465" i="1" s="1"/>
  <c r="AG465" i="1"/>
  <c r="AH465" i="1"/>
  <c r="AI465" i="1"/>
  <c r="AJ465" i="1"/>
  <c r="AK465" i="1"/>
  <c r="AL465" i="1"/>
  <c r="AD466" i="1"/>
  <c r="AE466" i="1"/>
  <c r="AF466" i="1"/>
  <c r="AG466" i="1"/>
  <c r="AH466" i="1"/>
  <c r="AI466" i="1"/>
  <c r="AJ466" i="1"/>
  <c r="AK466" i="1"/>
  <c r="AL466" i="1"/>
  <c r="AD467" i="1"/>
  <c r="AE467" i="1" s="1"/>
  <c r="AF467" i="1"/>
  <c r="AG467" i="1"/>
  <c r="AH467" i="1"/>
  <c r="AI467" i="1"/>
  <c r="AJ467" i="1"/>
  <c r="AK467" i="1"/>
  <c r="AL467" i="1"/>
  <c r="AF468" i="1"/>
  <c r="AD468" i="1" s="1"/>
  <c r="AE468" i="1" s="1"/>
  <c r="AG468" i="1"/>
  <c r="AH468" i="1"/>
  <c r="AI468" i="1"/>
  <c r="AJ468" i="1"/>
  <c r="AK468" i="1"/>
  <c r="AL468" i="1" s="1"/>
  <c r="AF469" i="1"/>
  <c r="AD469" i="1" s="1"/>
  <c r="AE469" i="1" s="1"/>
  <c r="AG469" i="1"/>
  <c r="AH469" i="1"/>
  <c r="AI469" i="1"/>
  <c r="AJ469" i="1"/>
  <c r="AK469" i="1"/>
  <c r="AL469" i="1"/>
  <c r="AD470" i="1"/>
  <c r="AE470" i="1"/>
  <c r="AF470" i="1"/>
  <c r="AG470" i="1"/>
  <c r="AH470" i="1"/>
  <c r="AI470" i="1"/>
  <c r="AJ470" i="1"/>
  <c r="AK470" i="1"/>
  <c r="AL470" i="1"/>
  <c r="AD471" i="1"/>
  <c r="AE471" i="1" s="1"/>
  <c r="AF471" i="1"/>
  <c r="AG471" i="1"/>
  <c r="AH471" i="1"/>
  <c r="AI471" i="1"/>
  <c r="AJ471" i="1"/>
  <c r="AK471" i="1"/>
  <c r="AL471" i="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K425" i="10"/>
  <c r="B425" i="10"/>
  <c r="A425" i="10"/>
  <c r="K424" i="10"/>
  <c r="B424" i="10"/>
  <c r="A424" i="10"/>
  <c r="K423" i="10"/>
  <c r="B423" i="10"/>
  <c r="A423" i="10"/>
  <c r="K422" i="10"/>
  <c r="B422" i="10"/>
  <c r="A422" i="10"/>
  <c r="K421" i="10"/>
  <c r="B421" i="10"/>
  <c r="A421" i="10"/>
  <c r="K420" i="10"/>
  <c r="B420" i="10"/>
  <c r="A420" i="10"/>
  <c r="K419" i="10"/>
  <c r="B419" i="10"/>
  <c r="A419" i="10"/>
  <c r="K418" i="10"/>
  <c r="B418" i="10"/>
  <c r="A418" i="10"/>
  <c r="K417" i="10"/>
  <c r="B417" i="10"/>
  <c r="A417" i="10"/>
  <c r="K416" i="10"/>
  <c r="B416" i="10"/>
  <c r="A416" i="10"/>
  <c r="K415" i="10"/>
  <c r="B415" i="10"/>
  <c r="A415" i="10"/>
  <c r="K414" i="10"/>
  <c r="B414" i="10"/>
  <c r="A414" i="10"/>
  <c r="K413" i="10"/>
  <c r="B413" i="10"/>
  <c r="A413" i="10"/>
  <c r="K412" i="10"/>
  <c r="B412" i="10"/>
  <c r="A412" i="10"/>
  <c r="K411" i="10"/>
  <c r="B411" i="10"/>
  <c r="A411" i="10"/>
  <c r="K410" i="10"/>
  <c r="B410" i="10"/>
  <c r="A410" i="10"/>
  <c r="K409" i="10"/>
  <c r="B409" i="10"/>
  <c r="A409" i="10"/>
  <c r="K408" i="10"/>
  <c r="B408" i="10"/>
  <c r="A408" i="10"/>
  <c r="K407" i="10"/>
  <c r="B407" i="10"/>
  <c r="A407" i="10"/>
  <c r="K406" i="10"/>
  <c r="B406" i="10"/>
  <c r="A406" i="10"/>
  <c r="K405" i="10"/>
  <c r="B405" i="10"/>
  <c r="A405" i="10"/>
  <c r="K404" i="10"/>
  <c r="B404" i="10"/>
  <c r="A404" i="10"/>
  <c r="K403" i="10"/>
  <c r="B403" i="10"/>
  <c r="A403" i="10"/>
  <c r="K402" i="10"/>
  <c r="B402" i="10"/>
  <c r="A402" i="10"/>
  <c r="K401" i="10"/>
  <c r="B401" i="10"/>
  <c r="A401" i="10"/>
  <c r="K400" i="10"/>
  <c r="B400" i="10"/>
  <c r="A400" i="10"/>
  <c r="K399" i="10"/>
  <c r="B399" i="10"/>
  <c r="A399" i="10"/>
  <c r="K398" i="10"/>
  <c r="B398" i="10"/>
  <c r="A398" i="10"/>
  <c r="K397" i="10"/>
  <c r="B397" i="10"/>
  <c r="A397" i="10"/>
  <c r="K396" i="10"/>
  <c r="B396" i="10"/>
  <c r="A396" i="10"/>
  <c r="K395" i="10"/>
  <c r="B395" i="10"/>
  <c r="A395" i="10"/>
  <c r="K394" i="10"/>
  <c r="B394" i="10"/>
  <c r="A394" i="10"/>
  <c r="K393" i="10"/>
  <c r="B393" i="10"/>
  <c r="A393" i="10"/>
  <c r="K392" i="10"/>
  <c r="B392" i="10"/>
  <c r="A392" i="10"/>
  <c r="K391" i="10"/>
  <c r="B391" i="10"/>
  <c r="A391" i="10"/>
  <c r="K390" i="10"/>
  <c r="B390" i="10"/>
  <c r="A390" i="10"/>
  <c r="K389" i="10"/>
  <c r="B389" i="10"/>
  <c r="A389" i="10"/>
  <c r="K388" i="10"/>
  <c r="B388" i="10"/>
  <c r="A388" i="10"/>
  <c r="K387" i="10"/>
  <c r="B387" i="10"/>
  <c r="A387" i="10"/>
  <c r="K386" i="10"/>
  <c r="B386" i="10"/>
  <c r="A386" i="10"/>
  <c r="K385" i="10"/>
  <c r="B385" i="10"/>
  <c r="A385" i="10"/>
  <c r="K384" i="10"/>
  <c r="B384" i="10"/>
  <c r="A384" i="10"/>
  <c r="K383" i="10"/>
  <c r="B383" i="10"/>
  <c r="A383" i="10"/>
  <c r="K382" i="10"/>
  <c r="B382" i="10"/>
  <c r="A382" i="10"/>
  <c r="K381" i="10"/>
  <c r="B381" i="10"/>
  <c r="A381" i="10"/>
  <c r="K380" i="10"/>
  <c r="B380" i="10"/>
  <c r="A380" i="10"/>
  <c r="K379" i="10"/>
  <c r="B379" i="10"/>
  <c r="A379" i="10"/>
  <c r="K378" i="10"/>
  <c r="B378" i="10"/>
  <c r="A378" i="10"/>
  <c r="K377" i="10"/>
  <c r="B377" i="10"/>
  <c r="A377" i="10"/>
  <c r="K376" i="10"/>
  <c r="B376" i="10"/>
  <c r="A376" i="10"/>
  <c r="K375" i="10"/>
  <c r="B375" i="10"/>
  <c r="A375" i="10"/>
  <c r="K374" i="10"/>
  <c r="B374" i="10"/>
  <c r="A374" i="10"/>
  <c r="K373" i="10"/>
  <c r="B373" i="10"/>
  <c r="A373" i="10"/>
  <c r="K372" i="10"/>
  <c r="B372" i="10"/>
  <c r="A372" i="10"/>
  <c r="K371" i="10"/>
  <c r="B371" i="10"/>
  <c r="A371" i="10"/>
  <c r="K370" i="10"/>
  <c r="B370" i="10"/>
  <c r="A370" i="10"/>
  <c r="K369" i="10"/>
  <c r="B369" i="10"/>
  <c r="A369" i="10"/>
  <c r="K368" i="10"/>
  <c r="B368" i="10"/>
  <c r="A368" i="10"/>
  <c r="K367" i="10"/>
  <c r="B367" i="10"/>
  <c r="A367" i="10"/>
  <c r="K366" i="10"/>
  <c r="B366" i="10"/>
  <c r="A366" i="10"/>
  <c r="K365" i="10"/>
  <c r="B365" i="10"/>
  <c r="A365" i="10"/>
  <c r="K364" i="10"/>
  <c r="B364" i="10"/>
  <c r="A364" i="10"/>
  <c r="K363" i="10"/>
  <c r="B363" i="10"/>
  <c r="A363" i="10"/>
  <c r="K362" i="10"/>
  <c r="B362" i="10"/>
  <c r="A362" i="10"/>
  <c r="K361" i="10"/>
  <c r="B361" i="10"/>
  <c r="A361" i="10"/>
  <c r="K360" i="10"/>
  <c r="B360" i="10"/>
  <c r="A360" i="10"/>
  <c r="K359" i="10"/>
  <c r="B359" i="10"/>
  <c r="A359" i="10"/>
  <c r="K358" i="10"/>
  <c r="B358" i="10"/>
  <c r="A358" i="10"/>
  <c r="K357" i="10"/>
  <c r="B357" i="10"/>
  <c r="A357" i="10"/>
  <c r="K356" i="10"/>
  <c r="B356" i="10"/>
  <c r="A356" i="10"/>
  <c r="K355" i="10"/>
  <c r="B355" i="10"/>
  <c r="A355" i="10"/>
  <c r="K354" i="10"/>
  <c r="B354" i="10"/>
  <c r="A354" i="10"/>
  <c r="K353" i="10"/>
  <c r="B353" i="10"/>
  <c r="A353" i="10"/>
  <c r="K352" i="10"/>
  <c r="B352" i="10"/>
  <c r="A352" i="10"/>
  <c r="K351" i="10"/>
  <c r="B351" i="10"/>
  <c r="A351" i="10"/>
  <c r="K350" i="10"/>
  <c r="B350" i="10"/>
  <c r="A350" i="10"/>
  <c r="K349" i="10"/>
  <c r="B349" i="10"/>
  <c r="A349" i="10"/>
  <c r="K348" i="10"/>
  <c r="B348" i="10"/>
  <c r="A348" i="10"/>
  <c r="K347" i="10"/>
  <c r="B347" i="10"/>
  <c r="A347" i="10"/>
  <c r="K346" i="10"/>
  <c r="B346" i="10"/>
  <c r="A346" i="10"/>
  <c r="K345" i="10"/>
  <c r="B345" i="10"/>
  <c r="A345" i="10"/>
  <c r="K344" i="10"/>
  <c r="B344" i="10"/>
  <c r="A344" i="10"/>
  <c r="K343" i="10"/>
  <c r="B343" i="10"/>
  <c r="A343" i="10"/>
  <c r="K342" i="10"/>
  <c r="B342" i="10"/>
  <c r="A342" i="10"/>
  <c r="K341" i="10"/>
  <c r="B341" i="10"/>
  <c r="A341" i="10"/>
  <c r="K340" i="10"/>
  <c r="B340" i="10"/>
  <c r="A340" i="10"/>
  <c r="K339" i="10"/>
  <c r="B339" i="10"/>
  <c r="A339" i="10"/>
  <c r="K338" i="10"/>
  <c r="B338" i="10"/>
  <c r="A338" i="10"/>
  <c r="K337" i="10"/>
  <c r="B337" i="10"/>
  <c r="A337" i="10"/>
  <c r="K336" i="10"/>
  <c r="B336" i="10"/>
  <c r="A336" i="10"/>
  <c r="K335" i="10"/>
  <c r="B335" i="10"/>
  <c r="A335" i="10"/>
  <c r="K334" i="10"/>
  <c r="B334" i="10"/>
  <c r="A334" i="10"/>
  <c r="K333" i="10"/>
  <c r="B333" i="10"/>
  <c r="A333" i="10"/>
  <c r="K332" i="10"/>
  <c r="B332" i="10"/>
  <c r="A332" i="10"/>
  <c r="K331" i="10"/>
  <c r="B331" i="10"/>
  <c r="A331" i="10"/>
  <c r="K330" i="10"/>
  <c r="B330" i="10"/>
  <c r="A330" i="10"/>
  <c r="K329" i="10"/>
  <c r="B329" i="10"/>
  <c r="A329" i="10"/>
  <c r="K328" i="10"/>
  <c r="B328" i="10"/>
  <c r="A328" i="10"/>
  <c r="K327" i="10"/>
  <c r="B327" i="10"/>
  <c r="A327" i="10"/>
  <c r="K326" i="10"/>
  <c r="B326" i="10"/>
  <c r="A326" i="10"/>
  <c r="K325" i="10"/>
  <c r="B325" i="10"/>
  <c r="A325" i="10"/>
  <c r="K324" i="10"/>
  <c r="B324" i="10"/>
  <c r="A324" i="10"/>
  <c r="K323" i="10"/>
  <c r="B323" i="10"/>
  <c r="A323" i="10"/>
  <c r="K322" i="10"/>
  <c r="B322" i="10"/>
  <c r="A322" i="10"/>
  <c r="K321" i="10"/>
  <c r="B321" i="10"/>
  <c r="A321" i="10"/>
  <c r="K320" i="10"/>
  <c r="B320" i="10"/>
  <c r="A320" i="10"/>
  <c r="K319" i="10"/>
  <c r="B319" i="10"/>
  <c r="A319" i="10"/>
  <c r="K318" i="10"/>
  <c r="B318" i="10"/>
  <c r="A318" i="10"/>
  <c r="K317" i="10"/>
  <c r="B317" i="10"/>
  <c r="A317" i="10"/>
  <c r="K316" i="10"/>
  <c r="B316" i="10"/>
  <c r="A316" i="10"/>
  <c r="K315" i="10"/>
  <c r="B315" i="10"/>
  <c r="A315" i="10"/>
  <c r="K314" i="10"/>
  <c r="B314" i="10"/>
  <c r="A314" i="10"/>
  <c r="K313" i="10"/>
  <c r="B313" i="10"/>
  <c r="A313" i="10"/>
  <c r="K312" i="10"/>
  <c r="B312" i="10"/>
  <c r="A312" i="10"/>
  <c r="K311" i="10"/>
  <c r="B311" i="10"/>
  <c r="A311" i="10"/>
  <c r="K310" i="10"/>
  <c r="B310" i="10"/>
  <c r="A310" i="10"/>
  <c r="K309" i="10"/>
  <c r="B309" i="10"/>
  <c r="A309" i="10"/>
  <c r="K308" i="10"/>
  <c r="B308" i="10"/>
  <c r="A308" i="10"/>
  <c r="K307" i="10"/>
  <c r="B307" i="10"/>
  <c r="A307" i="10"/>
  <c r="K306" i="10"/>
  <c r="B306" i="10"/>
  <c r="A306" i="10"/>
  <c r="K305" i="10"/>
  <c r="B305" i="10"/>
  <c r="A305" i="10"/>
  <c r="K304" i="10"/>
  <c r="B304" i="10"/>
  <c r="A304" i="10"/>
  <c r="K303" i="10"/>
  <c r="B303" i="10"/>
  <c r="A303" i="10"/>
  <c r="K302" i="10"/>
  <c r="B302" i="10"/>
  <c r="A302" i="10"/>
  <c r="K301" i="10"/>
  <c r="B301" i="10"/>
  <c r="A301" i="10"/>
  <c r="K300" i="10"/>
  <c r="B300" i="10"/>
  <c r="A300" i="10"/>
  <c r="K299" i="10"/>
  <c r="B299" i="10"/>
  <c r="A299" i="10"/>
  <c r="K298" i="10"/>
  <c r="B298" i="10"/>
  <c r="A298" i="10"/>
  <c r="K297" i="10"/>
  <c r="B297" i="10"/>
  <c r="A297" i="10"/>
  <c r="K296" i="10"/>
  <c r="B296" i="10"/>
  <c r="A296" i="10"/>
  <c r="K295" i="10"/>
  <c r="B295" i="10"/>
  <c r="A295" i="10"/>
  <c r="K294" i="10"/>
  <c r="B294" i="10"/>
  <c r="A294" i="10"/>
  <c r="K293" i="10"/>
  <c r="B293" i="10"/>
  <c r="A293" i="10"/>
  <c r="K292" i="10"/>
  <c r="B292" i="10"/>
  <c r="A292" i="10"/>
  <c r="K291" i="10"/>
  <c r="B291" i="10"/>
  <c r="A291" i="10"/>
  <c r="K290" i="10"/>
  <c r="B290" i="10"/>
  <c r="A290" i="10"/>
  <c r="K289" i="10"/>
  <c r="B289" i="10"/>
  <c r="A289" i="10"/>
  <c r="K288" i="10"/>
  <c r="B288" i="10"/>
  <c r="A288" i="10"/>
  <c r="K287" i="10"/>
  <c r="B287" i="10"/>
  <c r="A287" i="10"/>
  <c r="K286" i="10"/>
  <c r="B286" i="10"/>
  <c r="A286" i="10"/>
  <c r="K285" i="10"/>
  <c r="B285" i="10"/>
  <c r="A285" i="10"/>
  <c r="K284" i="10"/>
  <c r="B284" i="10"/>
  <c r="A284" i="10"/>
  <c r="K283" i="10"/>
  <c r="B283" i="10"/>
  <c r="A283" i="10"/>
  <c r="K282" i="10"/>
  <c r="B282" i="10"/>
  <c r="A282" i="10"/>
  <c r="K281" i="10"/>
  <c r="B281" i="10"/>
  <c r="A281" i="10"/>
  <c r="K280" i="10"/>
  <c r="B280" i="10"/>
  <c r="A280" i="10"/>
  <c r="K279" i="10"/>
  <c r="B279" i="10"/>
  <c r="A279" i="10"/>
  <c r="K278" i="10"/>
  <c r="B278" i="10"/>
  <c r="A278" i="10"/>
  <c r="K277" i="10"/>
  <c r="B277" i="10"/>
  <c r="A277" i="10"/>
  <c r="K276" i="10"/>
  <c r="B276" i="10"/>
  <c r="A276" i="10"/>
  <c r="K275" i="10"/>
  <c r="B275" i="10"/>
  <c r="A275" i="10"/>
  <c r="K274" i="10"/>
  <c r="B274" i="10"/>
  <c r="A274" i="10"/>
  <c r="K273" i="10"/>
  <c r="B273" i="10"/>
  <c r="A273" i="10"/>
  <c r="K272" i="10"/>
  <c r="B272" i="10"/>
  <c r="A272" i="10"/>
  <c r="K271" i="10"/>
  <c r="B271" i="10"/>
  <c r="A271" i="10"/>
  <c r="K270" i="10"/>
  <c r="B270" i="10"/>
  <c r="A270" i="10"/>
  <c r="K269" i="10"/>
  <c r="B269" i="10"/>
  <c r="A269" i="10"/>
  <c r="K268" i="10"/>
  <c r="B268" i="10"/>
  <c r="A268" i="10"/>
  <c r="K267" i="10"/>
  <c r="B267" i="10"/>
  <c r="A267" i="10"/>
  <c r="K266" i="10"/>
  <c r="E266" i="10"/>
  <c r="B266" i="10"/>
  <c r="A266" i="10"/>
  <c r="K265" i="10"/>
  <c r="E265" i="10"/>
  <c r="B265" i="10"/>
  <c r="A265" i="10"/>
  <c r="K264" i="10"/>
  <c r="E264" i="10"/>
  <c r="B264" i="10"/>
  <c r="A264" i="10"/>
  <c r="K263" i="10"/>
  <c r="B263" i="10"/>
  <c r="A263" i="10"/>
  <c r="K262" i="10"/>
  <c r="B262" i="10"/>
  <c r="A262" i="10"/>
  <c r="K261" i="10"/>
  <c r="B261" i="10"/>
  <c r="A261" i="10"/>
  <c r="K260" i="10"/>
  <c r="B260" i="10"/>
  <c r="A260" i="10"/>
  <c r="K259" i="10"/>
  <c r="B259" i="10"/>
  <c r="A259" i="10"/>
  <c r="K258" i="10"/>
  <c r="B258" i="10"/>
  <c r="A258" i="10"/>
  <c r="K257" i="10"/>
  <c r="B257" i="10"/>
  <c r="A257" i="10"/>
  <c r="K256" i="10"/>
  <c r="B256" i="10"/>
  <c r="A256" i="10"/>
  <c r="K255" i="10"/>
  <c r="B255" i="10"/>
  <c r="A255" i="10"/>
  <c r="K254" i="10"/>
  <c r="B254" i="10"/>
  <c r="A254" i="10"/>
  <c r="K253" i="10"/>
  <c r="B253" i="10"/>
  <c r="A253" i="10"/>
  <c r="K252" i="10"/>
  <c r="B252" i="10"/>
  <c r="A252" i="10"/>
  <c r="K251" i="10"/>
  <c r="B251" i="10"/>
  <c r="A251" i="10"/>
  <c r="K250" i="10"/>
  <c r="B250" i="10"/>
  <c r="A250" i="10"/>
  <c r="K249" i="10"/>
  <c r="B249" i="10"/>
  <c r="A249" i="10"/>
  <c r="K248" i="10"/>
  <c r="B248" i="10"/>
  <c r="A248" i="10"/>
  <c r="K247" i="10"/>
  <c r="B247" i="10"/>
  <c r="A247" i="10"/>
  <c r="K246" i="10"/>
  <c r="B246" i="10"/>
  <c r="A246" i="10"/>
  <c r="K245" i="10"/>
  <c r="B245" i="10"/>
  <c r="A245" i="10"/>
  <c r="K244" i="10"/>
  <c r="B244" i="10"/>
  <c r="A244" i="10"/>
  <c r="K243" i="10"/>
  <c r="B243" i="10"/>
  <c r="A243" i="10"/>
  <c r="K242" i="10"/>
  <c r="B242" i="10"/>
  <c r="A242" i="10"/>
  <c r="K241" i="10"/>
  <c r="B241" i="10"/>
  <c r="A241" i="10"/>
  <c r="K240" i="10"/>
  <c r="B240" i="10"/>
  <c r="A240" i="10"/>
  <c r="K239" i="10"/>
  <c r="B239" i="10"/>
  <c r="A239" i="10"/>
  <c r="K238" i="10"/>
  <c r="B238" i="10"/>
  <c r="A238" i="10"/>
  <c r="K237" i="10"/>
  <c r="B237" i="10"/>
  <c r="A237" i="10"/>
  <c r="K236" i="10"/>
  <c r="B236" i="10"/>
  <c r="A236" i="10"/>
  <c r="K235" i="10"/>
  <c r="B235" i="10"/>
  <c r="A235" i="10"/>
  <c r="K234" i="10"/>
  <c r="B234" i="10"/>
  <c r="A234" i="10"/>
  <c r="K233" i="10"/>
  <c r="B233" i="10"/>
  <c r="A233" i="10"/>
  <c r="K232" i="10"/>
  <c r="B232" i="10"/>
  <c r="A232" i="10"/>
  <c r="K231" i="10"/>
  <c r="B231" i="10"/>
  <c r="A231" i="10"/>
  <c r="K230" i="10"/>
  <c r="B230" i="10"/>
  <c r="A230" i="10"/>
  <c r="K229" i="10"/>
  <c r="B229" i="10"/>
  <c r="A229" i="10"/>
  <c r="K228" i="10"/>
  <c r="B228" i="10"/>
  <c r="A228" i="10"/>
  <c r="K227" i="10"/>
  <c r="B227" i="10"/>
  <c r="A227" i="10"/>
  <c r="K226" i="10"/>
  <c r="B226" i="10"/>
  <c r="A226" i="10"/>
  <c r="K225" i="10"/>
  <c r="B225" i="10"/>
  <c r="A225" i="10"/>
  <c r="K224" i="10"/>
  <c r="B224" i="10"/>
  <c r="A224" i="10"/>
  <c r="K223" i="10"/>
  <c r="B223" i="10"/>
  <c r="A223" i="10"/>
  <c r="K222" i="10"/>
  <c r="B222" i="10"/>
  <c r="A222" i="10"/>
  <c r="K221" i="10"/>
  <c r="B221" i="10"/>
  <c r="A221" i="10"/>
  <c r="K220" i="10"/>
  <c r="B220" i="10"/>
  <c r="A220" i="10"/>
  <c r="K219" i="10"/>
  <c r="B219" i="10"/>
  <c r="A219" i="10"/>
  <c r="K218" i="10"/>
  <c r="B218" i="10"/>
  <c r="A218" i="10"/>
  <c r="K217" i="10"/>
  <c r="B217" i="10"/>
  <c r="A217" i="10"/>
  <c r="K216" i="10"/>
  <c r="B216" i="10"/>
  <c r="A216" i="10"/>
  <c r="K215" i="10"/>
  <c r="B215" i="10"/>
  <c r="A215" i="10"/>
  <c r="K214" i="10"/>
  <c r="B214" i="10"/>
  <c r="A214" i="10"/>
  <c r="K213" i="10"/>
  <c r="B213" i="10"/>
  <c r="A213" i="10"/>
  <c r="K212" i="10"/>
  <c r="B212" i="10"/>
  <c r="A212" i="10"/>
  <c r="K211" i="10"/>
  <c r="B211" i="10"/>
  <c r="A211" i="10"/>
  <c r="K210" i="10"/>
  <c r="B210" i="10"/>
  <c r="A210" i="10"/>
  <c r="K209" i="10"/>
  <c r="J209" i="10"/>
  <c r="B209" i="10"/>
  <c r="A209" i="10"/>
  <c r="K208" i="10"/>
  <c r="B208" i="10"/>
  <c r="A208" i="10"/>
  <c r="K207" i="10"/>
  <c r="B207" i="10"/>
  <c r="A207" i="10"/>
  <c r="K206" i="10"/>
  <c r="B206" i="10"/>
  <c r="A206" i="10"/>
  <c r="K205" i="10"/>
  <c r="J205" i="10"/>
  <c r="B205" i="10"/>
  <c r="A205" i="10"/>
  <c r="K204" i="10"/>
  <c r="B204" i="10"/>
  <c r="A204" i="10"/>
  <c r="K203" i="10"/>
  <c r="B203" i="10"/>
  <c r="A203" i="10"/>
  <c r="K202" i="10"/>
  <c r="B202" i="10"/>
  <c r="A202" i="10"/>
  <c r="K201" i="10"/>
  <c r="B201" i="10"/>
  <c r="A201" i="10"/>
  <c r="K200" i="10"/>
  <c r="B200" i="10"/>
  <c r="A200" i="10"/>
  <c r="B199" i="10"/>
  <c r="A199" i="10"/>
  <c r="K198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J185" i="10"/>
  <c r="B185" i="10"/>
  <c r="A185" i="10"/>
  <c r="B184" i="10"/>
  <c r="A184" i="10"/>
  <c r="B183" i="10"/>
  <c r="A183" i="10"/>
  <c r="K182" i="10"/>
  <c r="B182" i="10"/>
  <c r="A182" i="10"/>
  <c r="B181" i="10"/>
  <c r="A181" i="10"/>
  <c r="B180" i="10"/>
  <c r="A180" i="10"/>
  <c r="B179" i="10"/>
  <c r="A179" i="10"/>
  <c r="B178" i="10"/>
  <c r="A178" i="10"/>
  <c r="K177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J164" i="10"/>
  <c r="B164" i="10"/>
  <c r="A164" i="10"/>
  <c r="B163" i="10"/>
  <c r="A163" i="10"/>
  <c r="B162" i="10"/>
  <c r="A162" i="10"/>
  <c r="K161" i="10"/>
  <c r="B161" i="10"/>
  <c r="A161" i="10"/>
  <c r="B160" i="10"/>
  <c r="A160" i="10"/>
  <c r="B159" i="10"/>
  <c r="A159" i="10"/>
  <c r="K158" i="10"/>
  <c r="B158" i="10"/>
  <c r="A158" i="10"/>
  <c r="K157" i="10"/>
  <c r="B157" i="10"/>
  <c r="A157" i="10"/>
  <c r="K156" i="10"/>
  <c r="J156" i="10"/>
  <c r="B156" i="10"/>
  <c r="A156" i="10"/>
  <c r="K155" i="10"/>
  <c r="B155" i="10"/>
  <c r="A155" i="10"/>
  <c r="K154" i="10"/>
  <c r="B154" i="10"/>
  <c r="A154" i="10"/>
  <c r="B153" i="10"/>
  <c r="A153" i="10"/>
  <c r="J152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K138" i="10"/>
  <c r="B138" i="10"/>
  <c r="A138" i="10"/>
  <c r="B137" i="10"/>
  <c r="A137" i="10"/>
  <c r="B136" i="10"/>
  <c r="A136" i="10"/>
  <c r="B135" i="10"/>
  <c r="A135" i="10"/>
  <c r="J134" i="10"/>
  <c r="B134" i="10"/>
  <c r="A134" i="10"/>
  <c r="B133" i="10"/>
  <c r="A133" i="10"/>
  <c r="B132" i="10"/>
  <c r="A132" i="10"/>
  <c r="B131" i="10"/>
  <c r="A131" i="10"/>
  <c r="K130" i="10"/>
  <c r="B130" i="10"/>
  <c r="A130" i="10"/>
  <c r="B129" i="10"/>
  <c r="A129" i="10"/>
  <c r="K128" i="10"/>
  <c r="B128" i="10"/>
  <c r="A128" i="10"/>
  <c r="K127" i="10"/>
  <c r="B127" i="10"/>
  <c r="A127" i="10"/>
  <c r="K126" i="10"/>
  <c r="J126" i="10"/>
  <c r="B126" i="10"/>
  <c r="A126" i="10"/>
  <c r="K125" i="10"/>
  <c r="B125" i="10"/>
  <c r="A125" i="10"/>
  <c r="K124" i="10"/>
  <c r="B124" i="10"/>
  <c r="A124" i="10"/>
  <c r="K123" i="10"/>
  <c r="B123" i="10"/>
  <c r="A123" i="10"/>
  <c r="K122" i="10"/>
  <c r="B122" i="10"/>
  <c r="A122" i="10"/>
  <c r="K121" i="10"/>
  <c r="B121" i="10"/>
  <c r="A121" i="10"/>
  <c r="K120" i="10"/>
  <c r="B120" i="10"/>
  <c r="A120" i="10"/>
  <c r="K119" i="10"/>
  <c r="B119" i="10"/>
  <c r="A119" i="10"/>
  <c r="K118" i="10"/>
  <c r="B118" i="10"/>
  <c r="A118" i="10"/>
  <c r="K117" i="10"/>
  <c r="B117" i="10"/>
  <c r="A117" i="10"/>
  <c r="K116" i="10"/>
  <c r="B116" i="10"/>
  <c r="A116" i="10"/>
  <c r="K115" i="10"/>
  <c r="B115" i="10"/>
  <c r="A115" i="10"/>
  <c r="K114" i="10"/>
  <c r="B114" i="10"/>
  <c r="A114" i="10"/>
  <c r="K113" i="10"/>
  <c r="B113" i="10"/>
  <c r="A113" i="10"/>
  <c r="K112" i="10"/>
  <c r="B112" i="10"/>
  <c r="A112" i="10"/>
  <c r="K111" i="10"/>
  <c r="B111" i="10"/>
  <c r="A111" i="10"/>
  <c r="K110" i="10"/>
  <c r="B110" i="10"/>
  <c r="A110" i="10"/>
  <c r="K109" i="10"/>
  <c r="B109" i="10"/>
  <c r="A109" i="10"/>
  <c r="K108" i="10"/>
  <c r="B108" i="10"/>
  <c r="A108" i="10"/>
  <c r="K107" i="10"/>
  <c r="B107" i="10"/>
  <c r="A107" i="10"/>
  <c r="K106" i="10"/>
  <c r="B106" i="10"/>
  <c r="A106" i="10"/>
  <c r="K105" i="10"/>
  <c r="B105" i="10"/>
  <c r="A105" i="10"/>
  <c r="K104" i="10"/>
  <c r="B104" i="10"/>
  <c r="A104" i="10"/>
  <c r="K103" i="10"/>
  <c r="B103" i="10"/>
  <c r="A103" i="10"/>
  <c r="K102" i="10"/>
  <c r="B102" i="10"/>
  <c r="A102" i="10"/>
  <c r="K101" i="10"/>
  <c r="B101" i="10"/>
  <c r="A101" i="10"/>
  <c r="K100" i="10"/>
  <c r="B100" i="10"/>
  <c r="A100" i="10"/>
  <c r="B99" i="10"/>
  <c r="A99" i="10"/>
  <c r="B98" i="10"/>
  <c r="A98" i="10"/>
  <c r="B97" i="10"/>
  <c r="A97" i="10"/>
  <c r="B96" i="10"/>
  <c r="A96" i="10"/>
  <c r="K95" i="10"/>
  <c r="B95" i="10"/>
  <c r="A95" i="10"/>
  <c r="B94" i="10"/>
  <c r="A94" i="10"/>
  <c r="J93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K87" i="10"/>
  <c r="B87" i="10"/>
  <c r="A87" i="10"/>
  <c r="B86" i="10"/>
  <c r="A86" i="10"/>
  <c r="J85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K79" i="10"/>
  <c r="B79" i="10"/>
  <c r="A79" i="10"/>
  <c r="B78" i="10"/>
  <c r="A78" i="10"/>
  <c r="J77" i="10"/>
  <c r="B77" i="10"/>
  <c r="A77" i="10"/>
  <c r="B76" i="10"/>
  <c r="A76" i="10"/>
  <c r="K75" i="10"/>
  <c r="B75" i="10"/>
  <c r="A75" i="10"/>
  <c r="K74" i="10"/>
  <c r="B74" i="10"/>
  <c r="A74" i="10"/>
  <c r="K73" i="10"/>
  <c r="B73" i="10"/>
  <c r="A73" i="10"/>
  <c r="K72" i="10"/>
  <c r="B72" i="10"/>
  <c r="A72" i="10"/>
  <c r="K71" i="10"/>
  <c r="B71" i="10"/>
  <c r="A71" i="10"/>
  <c r="K70" i="10"/>
  <c r="B70" i="10"/>
  <c r="A70" i="10"/>
  <c r="B69" i="10"/>
  <c r="A69" i="10"/>
  <c r="B68" i="10"/>
  <c r="A68" i="10"/>
  <c r="K67" i="10"/>
  <c r="B67" i="10"/>
  <c r="A67" i="10"/>
  <c r="B66" i="10"/>
  <c r="A66" i="10"/>
  <c r="J65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K59" i="10"/>
  <c r="B59" i="10"/>
  <c r="A59" i="10"/>
  <c r="B58" i="10"/>
  <c r="A58" i="10"/>
  <c r="J57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K51" i="10"/>
  <c r="B51" i="10"/>
  <c r="A51" i="10"/>
  <c r="B50" i="10"/>
  <c r="A50" i="10"/>
  <c r="J49" i="10"/>
  <c r="B49" i="10"/>
  <c r="A49" i="10"/>
  <c r="B48" i="10"/>
  <c r="A48" i="10"/>
  <c r="B47" i="10"/>
  <c r="A47" i="10"/>
  <c r="B46" i="10"/>
  <c r="A46" i="10"/>
  <c r="K45" i="10"/>
  <c r="J45" i="10"/>
  <c r="B45" i="10"/>
  <c r="A45" i="10"/>
  <c r="B44" i="10"/>
  <c r="A44" i="10"/>
  <c r="B43" i="10"/>
  <c r="A43" i="10"/>
  <c r="B42" i="10"/>
  <c r="A42" i="10"/>
  <c r="K41" i="10"/>
  <c r="J41" i="10"/>
  <c r="B41" i="10"/>
  <c r="A41" i="10"/>
  <c r="B40" i="10"/>
  <c r="A40" i="10"/>
  <c r="B39" i="10"/>
  <c r="A39" i="10"/>
  <c r="B38" i="10"/>
  <c r="A38" i="10"/>
  <c r="K37" i="10"/>
  <c r="J37" i="10"/>
  <c r="B37" i="10"/>
  <c r="A37" i="10"/>
  <c r="B36" i="10"/>
  <c r="A36" i="10"/>
  <c r="B35" i="10"/>
  <c r="A35" i="10"/>
  <c r="B34" i="10"/>
  <c r="A34" i="10"/>
  <c r="K33" i="10"/>
  <c r="B33" i="10"/>
  <c r="A33" i="10"/>
  <c r="J32" i="10"/>
  <c r="B32" i="10"/>
  <c r="A32" i="10"/>
  <c r="B31" i="10"/>
  <c r="A31" i="10"/>
  <c r="B30" i="10"/>
  <c r="A30" i="10"/>
  <c r="K29" i="10"/>
  <c r="B29" i="10"/>
  <c r="A29" i="10"/>
  <c r="J28" i="10"/>
  <c r="B28" i="10"/>
  <c r="A28" i="10"/>
  <c r="B27" i="10"/>
  <c r="A27" i="10"/>
  <c r="B26" i="10"/>
  <c r="A26" i="10"/>
  <c r="K25" i="10"/>
  <c r="B25" i="10"/>
  <c r="A25" i="10"/>
  <c r="J24" i="10"/>
  <c r="B24" i="10"/>
  <c r="A24" i="10"/>
  <c r="B23" i="10"/>
  <c r="A23" i="10"/>
  <c r="B22" i="10"/>
  <c r="A22" i="10"/>
  <c r="K21" i="10"/>
  <c r="B21" i="10"/>
  <c r="A21" i="10"/>
  <c r="J20" i="10"/>
  <c r="B20" i="10"/>
  <c r="A20" i="10"/>
  <c r="B19" i="10"/>
  <c r="A19" i="10"/>
  <c r="B18" i="10"/>
  <c r="A18" i="10"/>
  <c r="K17" i="10"/>
  <c r="B17" i="10"/>
  <c r="A17" i="10"/>
  <c r="B16" i="10"/>
  <c r="A16" i="10"/>
  <c r="B15" i="10"/>
  <c r="A15" i="10"/>
  <c r="B14" i="10"/>
  <c r="A14" i="10"/>
  <c r="K13" i="10"/>
  <c r="J13" i="10"/>
  <c r="B13" i="10"/>
  <c r="A13" i="10"/>
  <c r="B12" i="10"/>
  <c r="A12" i="10"/>
  <c r="B11" i="10"/>
  <c r="A11" i="10"/>
  <c r="B10" i="10"/>
  <c r="A10" i="10"/>
  <c r="K9" i="10"/>
  <c r="J9" i="10"/>
  <c r="B9" i="10"/>
  <c r="A9" i="10"/>
  <c r="B8" i="10"/>
  <c r="A8" i="10"/>
  <c r="B7" i="10"/>
  <c r="A7" i="10"/>
  <c r="B6" i="10"/>
  <c r="A6" i="10"/>
  <c r="K5" i="10"/>
  <c r="J5" i="10"/>
  <c r="B5" i="10"/>
  <c r="A5" i="10"/>
  <c r="B4" i="10"/>
  <c r="A4" i="10"/>
  <c r="B3" i="10"/>
  <c r="A3" i="10"/>
  <c r="I212" i="9"/>
  <c r="J212" i="9" s="1"/>
  <c r="I207" i="9"/>
  <c r="J207" i="9" s="1"/>
  <c r="I206" i="9"/>
  <c r="J206" i="9" s="1"/>
  <c r="I205" i="9"/>
  <c r="J205" i="9" s="1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G157" i="9"/>
  <c r="K199" i="10" s="1"/>
  <c r="K156" i="9"/>
  <c r="G156" i="9"/>
  <c r="K155" i="9"/>
  <c r="G155" i="9"/>
  <c r="K197" i="10" s="1"/>
  <c r="K154" i="9"/>
  <c r="G154" i="9"/>
  <c r="K196" i="10" s="1"/>
  <c r="K153" i="9"/>
  <c r="G153" i="9"/>
  <c r="K195" i="10" s="1"/>
  <c r="K152" i="9"/>
  <c r="G152" i="9"/>
  <c r="K194" i="10" s="1"/>
  <c r="K151" i="9"/>
  <c r="G151" i="9"/>
  <c r="K193" i="10" s="1"/>
  <c r="K150" i="9"/>
  <c r="G150" i="9"/>
  <c r="K192" i="10" s="1"/>
  <c r="K149" i="9"/>
  <c r="G149" i="9"/>
  <c r="K191" i="10" s="1"/>
  <c r="K148" i="9"/>
  <c r="G148" i="9"/>
  <c r="K190" i="10" s="1"/>
  <c r="K147" i="9"/>
  <c r="G147" i="9"/>
  <c r="K189" i="10" s="1"/>
  <c r="K146" i="9"/>
  <c r="G146" i="9"/>
  <c r="K188" i="10" s="1"/>
  <c r="K145" i="9"/>
  <c r="G145" i="9"/>
  <c r="K187" i="10" s="1"/>
  <c r="K144" i="9"/>
  <c r="G144" i="9"/>
  <c r="K186" i="10" s="1"/>
  <c r="K143" i="9"/>
  <c r="G143" i="9"/>
  <c r="K185" i="10" s="1"/>
  <c r="K142" i="9"/>
  <c r="G142" i="9"/>
  <c r="K184" i="10" s="1"/>
  <c r="K141" i="9"/>
  <c r="G141" i="9"/>
  <c r="K183" i="10" s="1"/>
  <c r="K140" i="9"/>
  <c r="G140" i="9"/>
  <c r="K139" i="9"/>
  <c r="G139" i="9"/>
  <c r="K181" i="10" s="1"/>
  <c r="K138" i="9"/>
  <c r="G138" i="9"/>
  <c r="K180" i="10" s="1"/>
  <c r="K137" i="9"/>
  <c r="G137" i="9"/>
  <c r="K179" i="10" s="1"/>
  <c r="K136" i="9"/>
  <c r="G136" i="9"/>
  <c r="K178" i="10" s="1"/>
  <c r="K135" i="9"/>
  <c r="G135" i="9"/>
  <c r="K176" i="10" s="1"/>
  <c r="K134" i="9"/>
  <c r="G134" i="9"/>
  <c r="K175" i="10" s="1"/>
  <c r="K133" i="9"/>
  <c r="G133" i="9"/>
  <c r="K174" i="10" s="1"/>
  <c r="K132" i="9"/>
  <c r="G132" i="9"/>
  <c r="K173" i="10" s="1"/>
  <c r="K131" i="9"/>
  <c r="G131" i="9"/>
  <c r="K172" i="10" s="1"/>
  <c r="K130" i="9"/>
  <c r="G130" i="9"/>
  <c r="K171" i="10" s="1"/>
  <c r="K129" i="9"/>
  <c r="G129" i="9"/>
  <c r="K170" i="10" s="1"/>
  <c r="K128" i="9"/>
  <c r="G128" i="9"/>
  <c r="K169" i="10" s="1"/>
  <c r="K127" i="9"/>
  <c r="G127" i="9"/>
  <c r="K168" i="10" s="1"/>
  <c r="K126" i="9"/>
  <c r="G126" i="9"/>
  <c r="K167" i="10" s="1"/>
  <c r="K125" i="9"/>
  <c r="G125" i="9"/>
  <c r="K166" i="10" s="1"/>
  <c r="K124" i="9"/>
  <c r="G124" i="9"/>
  <c r="K165" i="10" s="1"/>
  <c r="K123" i="9"/>
  <c r="G123" i="9"/>
  <c r="K164" i="10" s="1"/>
  <c r="K122" i="9"/>
  <c r="G122" i="9"/>
  <c r="K163" i="10" s="1"/>
  <c r="K121" i="9"/>
  <c r="G121" i="9"/>
  <c r="K162" i="10" s="1"/>
  <c r="K120" i="9"/>
  <c r="G120" i="9"/>
  <c r="K119" i="9"/>
  <c r="G119" i="9"/>
  <c r="K160" i="10" s="1"/>
  <c r="K118" i="9"/>
  <c r="G118" i="9"/>
  <c r="K159" i="10" s="1"/>
  <c r="K117" i="9"/>
  <c r="G117" i="9"/>
  <c r="K153" i="10" s="1"/>
  <c r="K116" i="9"/>
  <c r="G116" i="9"/>
  <c r="K152" i="10" s="1"/>
  <c r="K115" i="9"/>
  <c r="G115" i="9"/>
  <c r="K151" i="10" s="1"/>
  <c r="K114" i="9"/>
  <c r="G114" i="9"/>
  <c r="K150" i="10" s="1"/>
  <c r="K113" i="9"/>
  <c r="G113" i="9"/>
  <c r="K149" i="10" s="1"/>
  <c r="K112" i="9"/>
  <c r="G112" i="9"/>
  <c r="K148" i="10" s="1"/>
  <c r="K111" i="9"/>
  <c r="G111" i="9"/>
  <c r="K147" i="10" s="1"/>
  <c r="K110" i="9"/>
  <c r="G110" i="9"/>
  <c r="K146" i="10" s="1"/>
  <c r="K109" i="9"/>
  <c r="G109" i="9"/>
  <c r="K145" i="10" s="1"/>
  <c r="K108" i="9"/>
  <c r="G108" i="9"/>
  <c r="K144" i="10" s="1"/>
  <c r="K107" i="9"/>
  <c r="G107" i="9"/>
  <c r="K143" i="10" s="1"/>
  <c r="K106" i="9"/>
  <c r="G106" i="9"/>
  <c r="K142" i="10" s="1"/>
  <c r="K105" i="9"/>
  <c r="G105" i="9"/>
  <c r="K141" i="10" s="1"/>
  <c r="K104" i="9"/>
  <c r="G104" i="9"/>
  <c r="K140" i="10" s="1"/>
  <c r="K103" i="9"/>
  <c r="G103" i="9"/>
  <c r="K139" i="10" s="1"/>
  <c r="K102" i="9"/>
  <c r="G102" i="9"/>
  <c r="K101" i="9"/>
  <c r="G101" i="9"/>
  <c r="K137" i="10" s="1"/>
  <c r="K100" i="9"/>
  <c r="G100" i="9"/>
  <c r="K136" i="10" s="1"/>
  <c r="K99" i="9"/>
  <c r="G99" i="9"/>
  <c r="K135" i="10" s="1"/>
  <c r="K98" i="9"/>
  <c r="G98" i="9"/>
  <c r="K134" i="10" s="1"/>
  <c r="K97" i="9"/>
  <c r="G97" i="9"/>
  <c r="K133" i="10" s="1"/>
  <c r="K96" i="9"/>
  <c r="G96" i="9"/>
  <c r="K132" i="10" s="1"/>
  <c r="K95" i="9"/>
  <c r="G95" i="9"/>
  <c r="K131" i="10" s="1"/>
  <c r="K94" i="9"/>
  <c r="G94" i="9"/>
  <c r="K93" i="9"/>
  <c r="G93" i="9"/>
  <c r="K129" i="10" s="1"/>
  <c r="K92" i="9"/>
  <c r="G92" i="9"/>
  <c r="K99" i="10" s="1"/>
  <c r="K91" i="9"/>
  <c r="G91" i="9"/>
  <c r="K98" i="10" s="1"/>
  <c r="K90" i="9"/>
  <c r="G90" i="9"/>
  <c r="K97" i="10" s="1"/>
  <c r="K89" i="9"/>
  <c r="G89" i="9"/>
  <c r="K96" i="10" s="1"/>
  <c r="K88" i="9"/>
  <c r="G88" i="9"/>
  <c r="K87" i="9"/>
  <c r="G87" i="9"/>
  <c r="K94" i="10" s="1"/>
  <c r="K86" i="9"/>
  <c r="G86" i="9"/>
  <c r="K93" i="10" s="1"/>
  <c r="K85" i="9"/>
  <c r="G85" i="9"/>
  <c r="K92" i="10" s="1"/>
  <c r="K84" i="9"/>
  <c r="G84" i="9"/>
  <c r="K91" i="10" s="1"/>
  <c r="K83" i="9"/>
  <c r="G83" i="9"/>
  <c r="K90" i="10" s="1"/>
  <c r="K82" i="9"/>
  <c r="G82" i="9"/>
  <c r="K89" i="10" s="1"/>
  <c r="K81" i="9"/>
  <c r="G81" i="9"/>
  <c r="K88" i="10" s="1"/>
  <c r="K80" i="9"/>
  <c r="G80" i="9"/>
  <c r="K79" i="9"/>
  <c r="G79" i="9"/>
  <c r="K86" i="10" s="1"/>
  <c r="K78" i="9"/>
  <c r="G78" i="9"/>
  <c r="K85" i="10" s="1"/>
  <c r="K77" i="9"/>
  <c r="G77" i="9"/>
  <c r="K84" i="10" s="1"/>
  <c r="K76" i="9"/>
  <c r="G76" i="9"/>
  <c r="K83" i="10" s="1"/>
  <c r="K75" i="9"/>
  <c r="G75" i="9"/>
  <c r="K82" i="10" s="1"/>
  <c r="K74" i="9"/>
  <c r="G74" i="9"/>
  <c r="K81" i="10" s="1"/>
  <c r="K73" i="9"/>
  <c r="G73" i="9"/>
  <c r="K80" i="10" s="1"/>
  <c r="K72" i="9"/>
  <c r="G72" i="9"/>
  <c r="K71" i="9"/>
  <c r="G71" i="9"/>
  <c r="K78" i="10" s="1"/>
  <c r="K70" i="9"/>
  <c r="G70" i="9"/>
  <c r="K77" i="10" s="1"/>
  <c r="K69" i="9"/>
  <c r="G69" i="9"/>
  <c r="K76" i="10" s="1"/>
  <c r="K68" i="9"/>
  <c r="G68" i="9"/>
  <c r="K69" i="10" s="1"/>
  <c r="K67" i="9"/>
  <c r="G67" i="9"/>
  <c r="K68" i="10" s="1"/>
  <c r="K66" i="9"/>
  <c r="G66" i="9"/>
  <c r="K65" i="9"/>
  <c r="G65" i="9"/>
  <c r="K66" i="10" s="1"/>
  <c r="K64" i="9"/>
  <c r="G64" i="9"/>
  <c r="K65" i="10" s="1"/>
  <c r="K63" i="9"/>
  <c r="G63" i="9"/>
  <c r="K64" i="10" s="1"/>
  <c r="K62" i="9"/>
  <c r="G62" i="9"/>
  <c r="K63" i="10" s="1"/>
  <c r="K61" i="9"/>
  <c r="G61" i="9"/>
  <c r="K62" i="10" s="1"/>
  <c r="K60" i="9"/>
  <c r="G60" i="9"/>
  <c r="K61" i="10" s="1"/>
  <c r="K59" i="9"/>
  <c r="G59" i="9"/>
  <c r="K60" i="10" s="1"/>
  <c r="K58" i="9"/>
  <c r="G58" i="9"/>
  <c r="K57" i="9"/>
  <c r="G57" i="9"/>
  <c r="K58" i="10" s="1"/>
  <c r="K56" i="9"/>
  <c r="G56" i="9"/>
  <c r="K57" i="10" s="1"/>
  <c r="K55" i="9"/>
  <c r="G55" i="9"/>
  <c r="K56" i="10" s="1"/>
  <c r="K54" i="9"/>
  <c r="G54" i="9"/>
  <c r="K55" i="10" s="1"/>
  <c r="K53" i="9"/>
  <c r="G53" i="9"/>
  <c r="K54" i="10" s="1"/>
  <c r="K52" i="9"/>
  <c r="G52" i="9"/>
  <c r="K53" i="10" s="1"/>
  <c r="K51" i="9"/>
  <c r="G51" i="9"/>
  <c r="K52" i="10" s="1"/>
  <c r="K50" i="9"/>
  <c r="G50" i="9"/>
  <c r="K49" i="9"/>
  <c r="G49" i="9"/>
  <c r="K50" i="10" s="1"/>
  <c r="K48" i="9"/>
  <c r="G48" i="9"/>
  <c r="K49" i="10" s="1"/>
  <c r="K47" i="9"/>
  <c r="G47" i="9"/>
  <c r="K48" i="10" s="1"/>
  <c r="K46" i="9"/>
  <c r="G46" i="9"/>
  <c r="K47" i="10" s="1"/>
  <c r="K45" i="9"/>
  <c r="G45" i="9"/>
  <c r="K46" i="10" s="1"/>
  <c r="K44" i="9"/>
  <c r="G44" i="9"/>
  <c r="K43" i="9"/>
  <c r="G43" i="9"/>
  <c r="K44" i="10" s="1"/>
  <c r="K42" i="9"/>
  <c r="G42" i="9"/>
  <c r="K43" i="10" s="1"/>
  <c r="K41" i="9"/>
  <c r="G41" i="9"/>
  <c r="K42" i="10" s="1"/>
  <c r="K40" i="9"/>
  <c r="G40" i="9"/>
  <c r="K39" i="9"/>
  <c r="G39" i="9"/>
  <c r="K40" i="10" s="1"/>
  <c r="K38" i="9"/>
  <c r="G38" i="9"/>
  <c r="K39" i="10" s="1"/>
  <c r="K37" i="9"/>
  <c r="G37" i="9"/>
  <c r="K38" i="10" s="1"/>
  <c r="K36" i="9"/>
  <c r="G36" i="9"/>
  <c r="K35" i="9"/>
  <c r="G35" i="9"/>
  <c r="K36" i="10" s="1"/>
  <c r="K34" i="9"/>
  <c r="G34" i="9"/>
  <c r="K35" i="10" s="1"/>
  <c r="K33" i="9"/>
  <c r="G33" i="9"/>
  <c r="K34" i="10" s="1"/>
  <c r="K32" i="9"/>
  <c r="G32" i="9"/>
  <c r="K31" i="9"/>
  <c r="G31" i="9"/>
  <c r="K32" i="10" s="1"/>
  <c r="K30" i="9"/>
  <c r="G30" i="9"/>
  <c r="K31" i="10" s="1"/>
  <c r="K29" i="9"/>
  <c r="G29" i="9"/>
  <c r="K30" i="10" s="1"/>
  <c r="K28" i="9"/>
  <c r="G28" i="9"/>
  <c r="K27" i="9"/>
  <c r="G27" i="9"/>
  <c r="K28" i="10" s="1"/>
  <c r="K26" i="9"/>
  <c r="G26" i="9"/>
  <c r="K27" i="10" s="1"/>
  <c r="K25" i="9"/>
  <c r="G25" i="9"/>
  <c r="K26" i="10" s="1"/>
  <c r="K24" i="9"/>
  <c r="G24" i="9"/>
  <c r="K23" i="9"/>
  <c r="G23" i="9"/>
  <c r="K24" i="10" s="1"/>
  <c r="K22" i="9"/>
  <c r="G22" i="9"/>
  <c r="K23" i="10" s="1"/>
  <c r="K21" i="9"/>
  <c r="G21" i="9"/>
  <c r="K22" i="10" s="1"/>
  <c r="K20" i="9"/>
  <c r="G20" i="9"/>
  <c r="K19" i="9"/>
  <c r="G19" i="9"/>
  <c r="K20" i="10" s="1"/>
  <c r="K18" i="9"/>
  <c r="G18" i="9"/>
  <c r="K19" i="10" s="1"/>
  <c r="K17" i="9"/>
  <c r="G17" i="9"/>
  <c r="K18" i="10" s="1"/>
  <c r="K16" i="9"/>
  <c r="G16" i="9"/>
  <c r="K15" i="9"/>
  <c r="G15" i="9"/>
  <c r="K16" i="10" s="1"/>
  <c r="K14" i="9"/>
  <c r="G14" i="9"/>
  <c r="K15" i="10" s="1"/>
  <c r="K13" i="9"/>
  <c r="G13" i="9"/>
  <c r="K14" i="10" s="1"/>
  <c r="K12" i="9"/>
  <c r="G12" i="9"/>
  <c r="K11" i="9"/>
  <c r="G11" i="9"/>
  <c r="K12" i="10" s="1"/>
  <c r="K10" i="9"/>
  <c r="G10" i="9"/>
  <c r="K11" i="10" s="1"/>
  <c r="K9" i="9"/>
  <c r="G9" i="9"/>
  <c r="K10" i="10" s="1"/>
  <c r="K8" i="9"/>
  <c r="G8" i="9"/>
  <c r="K7" i="9"/>
  <c r="G7" i="9"/>
  <c r="K8" i="10" s="1"/>
  <c r="K6" i="9"/>
  <c r="G6" i="9"/>
  <c r="K7" i="10" s="1"/>
  <c r="K5" i="9"/>
  <c r="G5" i="9"/>
  <c r="K6" i="10" s="1"/>
  <c r="K4" i="9"/>
  <c r="G4" i="9"/>
  <c r="K3" i="9"/>
  <c r="G3" i="9"/>
  <c r="K4" i="10" s="1"/>
  <c r="K2" i="9"/>
  <c r="G2" i="9"/>
  <c r="K3" i="10" s="1"/>
  <c r="K466" i="8"/>
  <c r="G466" i="8"/>
  <c r="K465" i="8"/>
  <c r="G465" i="8"/>
  <c r="K464" i="8"/>
  <c r="G464" i="8"/>
  <c r="K463" i="8"/>
  <c r="G463" i="8"/>
  <c r="K462" i="8"/>
  <c r="G462" i="8"/>
  <c r="K461" i="8"/>
  <c r="G461" i="8"/>
  <c r="K460" i="8"/>
  <c r="G460" i="8"/>
  <c r="K459" i="8"/>
  <c r="G459" i="8"/>
  <c r="K458" i="8"/>
  <c r="G458" i="8"/>
  <c r="K457" i="8"/>
  <c r="G457" i="8"/>
  <c r="K456" i="8"/>
  <c r="G456" i="8"/>
  <c r="K455" i="8"/>
  <c r="G455" i="8"/>
  <c r="K454" i="8"/>
  <c r="G454" i="8"/>
  <c r="K453" i="8"/>
  <c r="G453" i="8"/>
  <c r="K452" i="8"/>
  <c r="G452" i="8"/>
  <c r="K451" i="8"/>
  <c r="G451" i="8"/>
  <c r="K450" i="8"/>
  <c r="G450" i="8"/>
  <c r="K449" i="8"/>
  <c r="G449" i="8"/>
  <c r="K448" i="8"/>
  <c r="G448" i="8"/>
  <c r="K447" i="8"/>
  <c r="G447" i="8"/>
  <c r="K446" i="8"/>
  <c r="G446" i="8"/>
  <c r="K445" i="8"/>
  <c r="G445" i="8"/>
  <c r="K444" i="8"/>
  <c r="G444" i="8"/>
  <c r="K443" i="8"/>
  <c r="G443" i="8"/>
  <c r="K442" i="8"/>
  <c r="G442" i="8"/>
  <c r="K441" i="8"/>
  <c r="G441" i="8"/>
  <c r="K440" i="8"/>
  <c r="G440" i="8"/>
  <c r="K439" i="8"/>
  <c r="G439" i="8"/>
  <c r="K438" i="8"/>
  <c r="G438" i="8"/>
  <c r="K437" i="8"/>
  <c r="G437" i="8"/>
  <c r="K436" i="8"/>
  <c r="G436" i="8"/>
  <c r="K435" i="8"/>
  <c r="G435" i="8"/>
  <c r="K434" i="8"/>
  <c r="G434" i="8"/>
  <c r="K433" i="8"/>
  <c r="G433" i="8"/>
  <c r="K432" i="8"/>
  <c r="G432" i="8"/>
  <c r="K431" i="8"/>
  <c r="G431" i="8"/>
  <c r="K430" i="8"/>
  <c r="G430" i="8"/>
  <c r="K429" i="8"/>
  <c r="G429" i="8"/>
  <c r="K428" i="8"/>
  <c r="G428" i="8"/>
  <c r="K427" i="8"/>
  <c r="I427" i="8"/>
  <c r="J427" i="8" s="1"/>
  <c r="G427" i="8"/>
  <c r="K426" i="8"/>
  <c r="G426" i="8"/>
  <c r="K425" i="8"/>
  <c r="G425" i="8"/>
  <c r="K424" i="8"/>
  <c r="G424" i="8"/>
  <c r="J425" i="10" s="1"/>
  <c r="K423" i="8"/>
  <c r="G423" i="8"/>
  <c r="J424" i="10" s="1"/>
  <c r="K422" i="8"/>
  <c r="G422" i="8"/>
  <c r="J423" i="10" s="1"/>
  <c r="K421" i="8"/>
  <c r="G421" i="8"/>
  <c r="J422" i="10" s="1"/>
  <c r="K420" i="8"/>
  <c r="G420" i="8"/>
  <c r="J421" i="10" s="1"/>
  <c r="K419" i="8"/>
  <c r="G419" i="8"/>
  <c r="J420" i="10" s="1"/>
  <c r="K418" i="8"/>
  <c r="G418" i="8"/>
  <c r="J419" i="10" s="1"/>
  <c r="K417" i="8"/>
  <c r="G417" i="8"/>
  <c r="J418" i="10" s="1"/>
  <c r="K416" i="8"/>
  <c r="G416" i="8"/>
  <c r="J417" i="10" s="1"/>
  <c r="K415" i="8"/>
  <c r="G415" i="8"/>
  <c r="J416" i="10" s="1"/>
  <c r="K414" i="8"/>
  <c r="G414" i="8"/>
  <c r="J415" i="10" s="1"/>
  <c r="K413" i="8"/>
  <c r="G413" i="8"/>
  <c r="J414" i="10" s="1"/>
  <c r="K412" i="8"/>
  <c r="G412" i="8"/>
  <c r="J413" i="10" s="1"/>
  <c r="K411" i="8"/>
  <c r="G411" i="8"/>
  <c r="J412" i="10" s="1"/>
  <c r="K410" i="8"/>
  <c r="G410" i="8"/>
  <c r="J411" i="10" s="1"/>
  <c r="K409" i="8"/>
  <c r="G409" i="8"/>
  <c r="J410" i="10" s="1"/>
  <c r="K408" i="8"/>
  <c r="G408" i="8"/>
  <c r="J409" i="10" s="1"/>
  <c r="K407" i="8"/>
  <c r="G407" i="8"/>
  <c r="J408" i="10" s="1"/>
  <c r="K406" i="8"/>
  <c r="G406" i="8"/>
  <c r="J407" i="10" s="1"/>
  <c r="K405" i="8"/>
  <c r="G405" i="8"/>
  <c r="J406" i="10" s="1"/>
  <c r="K404" i="8"/>
  <c r="G404" i="8"/>
  <c r="J405" i="10" s="1"/>
  <c r="K403" i="8"/>
  <c r="G403" i="8"/>
  <c r="J404" i="10" s="1"/>
  <c r="K402" i="8"/>
  <c r="G402" i="8"/>
  <c r="J403" i="10" s="1"/>
  <c r="K401" i="8"/>
  <c r="G401" i="8"/>
  <c r="J402" i="10" s="1"/>
  <c r="K400" i="8"/>
  <c r="G400" i="8"/>
  <c r="J401" i="10" s="1"/>
  <c r="K399" i="8"/>
  <c r="G399" i="8"/>
  <c r="J400" i="10" s="1"/>
  <c r="K398" i="8"/>
  <c r="G398" i="8"/>
  <c r="J399" i="10" s="1"/>
  <c r="K397" i="8"/>
  <c r="G397" i="8"/>
  <c r="J398" i="10" s="1"/>
  <c r="K396" i="8"/>
  <c r="G396" i="8"/>
  <c r="J397" i="10" s="1"/>
  <c r="K395" i="8"/>
  <c r="G395" i="8"/>
  <c r="J396" i="10" s="1"/>
  <c r="K394" i="8"/>
  <c r="G394" i="8"/>
  <c r="J395" i="10" s="1"/>
  <c r="K393" i="8"/>
  <c r="G393" i="8"/>
  <c r="J394" i="10" s="1"/>
  <c r="K392" i="8"/>
  <c r="G392" i="8"/>
  <c r="J393" i="10" s="1"/>
  <c r="K391" i="8"/>
  <c r="G391" i="8"/>
  <c r="J392" i="10" s="1"/>
  <c r="K390" i="8"/>
  <c r="G390" i="8"/>
  <c r="J391" i="10" s="1"/>
  <c r="K389" i="8"/>
  <c r="G389" i="8"/>
  <c r="J390" i="10" s="1"/>
  <c r="K388" i="8"/>
  <c r="G388" i="8"/>
  <c r="J389" i="10" s="1"/>
  <c r="K387" i="8"/>
  <c r="G387" i="8"/>
  <c r="J388" i="10" s="1"/>
  <c r="K386" i="8"/>
  <c r="G386" i="8"/>
  <c r="J387" i="10" s="1"/>
  <c r="K385" i="8"/>
  <c r="G385" i="8"/>
  <c r="J386" i="10" s="1"/>
  <c r="K384" i="8"/>
  <c r="G384" i="8"/>
  <c r="J385" i="10" s="1"/>
  <c r="K383" i="8"/>
  <c r="G383" i="8"/>
  <c r="J384" i="10" s="1"/>
  <c r="K382" i="8"/>
  <c r="G382" i="8"/>
  <c r="J383" i="10" s="1"/>
  <c r="K381" i="8"/>
  <c r="G381" i="8"/>
  <c r="J382" i="10" s="1"/>
  <c r="K380" i="8"/>
  <c r="G380" i="8"/>
  <c r="J381" i="10" s="1"/>
  <c r="K379" i="8"/>
  <c r="G379" i="8"/>
  <c r="J380" i="10" s="1"/>
  <c r="K378" i="8"/>
  <c r="G378" i="8"/>
  <c r="J379" i="10" s="1"/>
  <c r="K377" i="8"/>
  <c r="G377" i="8"/>
  <c r="J378" i="10" s="1"/>
  <c r="K376" i="8"/>
  <c r="G376" i="8"/>
  <c r="J377" i="10" s="1"/>
  <c r="K375" i="8"/>
  <c r="G375" i="8"/>
  <c r="J376" i="10" s="1"/>
  <c r="K374" i="8"/>
  <c r="G374" i="8"/>
  <c r="J375" i="10" s="1"/>
  <c r="K373" i="8"/>
  <c r="G373" i="8"/>
  <c r="J374" i="10" s="1"/>
  <c r="K372" i="8"/>
  <c r="G372" i="8"/>
  <c r="J373" i="10" s="1"/>
  <c r="K371" i="8"/>
  <c r="G371" i="8"/>
  <c r="J372" i="10" s="1"/>
  <c r="K370" i="8"/>
  <c r="G370" i="8"/>
  <c r="J371" i="10" s="1"/>
  <c r="K369" i="8"/>
  <c r="G369" i="8"/>
  <c r="J370" i="10" s="1"/>
  <c r="K368" i="8"/>
  <c r="G368" i="8"/>
  <c r="J369" i="10" s="1"/>
  <c r="K367" i="8"/>
  <c r="G367" i="8"/>
  <c r="J368" i="10" s="1"/>
  <c r="K366" i="8"/>
  <c r="G366" i="8"/>
  <c r="J367" i="10" s="1"/>
  <c r="K365" i="8"/>
  <c r="G365" i="8"/>
  <c r="J366" i="10" s="1"/>
  <c r="K364" i="8"/>
  <c r="G364" i="8"/>
  <c r="J365" i="10" s="1"/>
  <c r="K363" i="8"/>
  <c r="G363" i="8"/>
  <c r="J364" i="10" s="1"/>
  <c r="K362" i="8"/>
  <c r="G362" i="8"/>
  <c r="J363" i="10" s="1"/>
  <c r="K361" i="8"/>
  <c r="G361" i="8"/>
  <c r="J362" i="10" s="1"/>
  <c r="K360" i="8"/>
  <c r="G360" i="8"/>
  <c r="J361" i="10" s="1"/>
  <c r="K359" i="8"/>
  <c r="G359" i="8"/>
  <c r="J360" i="10" s="1"/>
  <c r="K358" i="8"/>
  <c r="G358" i="8"/>
  <c r="J359" i="10" s="1"/>
  <c r="K357" i="8"/>
  <c r="G357" i="8"/>
  <c r="J358" i="10" s="1"/>
  <c r="K356" i="8"/>
  <c r="G356" i="8"/>
  <c r="J357" i="10" s="1"/>
  <c r="K355" i="8"/>
  <c r="G355" i="8"/>
  <c r="J356" i="10" s="1"/>
  <c r="K354" i="8"/>
  <c r="G354" i="8"/>
  <c r="J355" i="10" s="1"/>
  <c r="K353" i="8"/>
  <c r="G353" i="8"/>
  <c r="J354" i="10" s="1"/>
  <c r="K352" i="8"/>
  <c r="G352" i="8"/>
  <c r="J353" i="10" s="1"/>
  <c r="K351" i="8"/>
  <c r="G351" i="8"/>
  <c r="J352" i="10" s="1"/>
  <c r="K350" i="8"/>
  <c r="G350" i="8"/>
  <c r="J351" i="10" s="1"/>
  <c r="K349" i="8"/>
  <c r="G349" i="8"/>
  <c r="J350" i="10" s="1"/>
  <c r="K348" i="8"/>
  <c r="G348" i="8"/>
  <c r="J349" i="10" s="1"/>
  <c r="K347" i="8"/>
  <c r="G347" i="8"/>
  <c r="J348" i="10" s="1"/>
  <c r="K346" i="8"/>
  <c r="G346" i="8"/>
  <c r="J347" i="10" s="1"/>
  <c r="K345" i="8"/>
  <c r="G345" i="8"/>
  <c r="J346" i="10" s="1"/>
  <c r="K344" i="8"/>
  <c r="G344" i="8"/>
  <c r="J345" i="10" s="1"/>
  <c r="K343" i="8"/>
  <c r="G343" i="8"/>
  <c r="J344" i="10" s="1"/>
  <c r="K342" i="8"/>
  <c r="G342" i="8"/>
  <c r="J343" i="10" s="1"/>
  <c r="K341" i="8"/>
  <c r="G341" i="8"/>
  <c r="J342" i="10" s="1"/>
  <c r="K340" i="8"/>
  <c r="G340" i="8"/>
  <c r="J341" i="10" s="1"/>
  <c r="K339" i="8"/>
  <c r="G339" i="8"/>
  <c r="J340" i="10" s="1"/>
  <c r="K338" i="8"/>
  <c r="G338" i="8"/>
  <c r="J339" i="10" s="1"/>
  <c r="K337" i="8"/>
  <c r="G337" i="8"/>
  <c r="J338" i="10" s="1"/>
  <c r="K336" i="8"/>
  <c r="G336" i="8"/>
  <c r="J337" i="10" s="1"/>
  <c r="K335" i="8"/>
  <c r="G335" i="8"/>
  <c r="J336" i="10" s="1"/>
  <c r="K334" i="8"/>
  <c r="G334" i="8"/>
  <c r="J335" i="10" s="1"/>
  <c r="K333" i="8"/>
  <c r="G333" i="8"/>
  <c r="J334" i="10" s="1"/>
  <c r="K332" i="8"/>
  <c r="G332" i="8"/>
  <c r="J333" i="10" s="1"/>
  <c r="K331" i="8"/>
  <c r="G331" i="8"/>
  <c r="J332" i="10" s="1"/>
  <c r="K330" i="8"/>
  <c r="G330" i="8"/>
  <c r="J331" i="10" s="1"/>
  <c r="K329" i="8"/>
  <c r="G329" i="8"/>
  <c r="J330" i="10" s="1"/>
  <c r="K328" i="8"/>
  <c r="G328" i="8"/>
  <c r="J329" i="10" s="1"/>
  <c r="K327" i="8"/>
  <c r="G327" i="8"/>
  <c r="J328" i="10" s="1"/>
  <c r="K326" i="8"/>
  <c r="G326" i="8"/>
  <c r="J327" i="10" s="1"/>
  <c r="K325" i="8"/>
  <c r="G325" i="8"/>
  <c r="J326" i="10" s="1"/>
  <c r="K324" i="8"/>
  <c r="G324" i="8"/>
  <c r="J325" i="10" s="1"/>
  <c r="K323" i="8"/>
  <c r="G323" i="8"/>
  <c r="J324" i="10" s="1"/>
  <c r="K322" i="8"/>
  <c r="G322" i="8"/>
  <c r="J323" i="10" s="1"/>
  <c r="K321" i="8"/>
  <c r="G321" i="8"/>
  <c r="J322" i="10" s="1"/>
  <c r="K320" i="8"/>
  <c r="G320" i="8"/>
  <c r="J321" i="10" s="1"/>
  <c r="K319" i="8"/>
  <c r="G319" i="8"/>
  <c r="J320" i="10" s="1"/>
  <c r="K318" i="8"/>
  <c r="G318" i="8"/>
  <c r="J319" i="10" s="1"/>
  <c r="K317" i="8"/>
  <c r="G317" i="8"/>
  <c r="J318" i="10" s="1"/>
  <c r="K316" i="8"/>
  <c r="G316" i="8"/>
  <c r="J317" i="10" s="1"/>
  <c r="K315" i="8"/>
  <c r="G315" i="8"/>
  <c r="J316" i="10" s="1"/>
  <c r="K314" i="8"/>
  <c r="G314" i="8"/>
  <c r="J315" i="10" s="1"/>
  <c r="K313" i="8"/>
  <c r="G313" i="8"/>
  <c r="J314" i="10" s="1"/>
  <c r="K312" i="8"/>
  <c r="G312" i="8"/>
  <c r="J313" i="10" s="1"/>
  <c r="K311" i="8"/>
  <c r="G311" i="8"/>
  <c r="J312" i="10" s="1"/>
  <c r="K310" i="8"/>
  <c r="G310" i="8"/>
  <c r="J311" i="10" s="1"/>
  <c r="K309" i="8"/>
  <c r="G309" i="8"/>
  <c r="J310" i="10" s="1"/>
  <c r="K308" i="8"/>
  <c r="G308" i="8"/>
  <c r="J309" i="10" s="1"/>
  <c r="K307" i="8"/>
  <c r="G307" i="8"/>
  <c r="J308" i="10" s="1"/>
  <c r="K306" i="8"/>
  <c r="G306" i="8"/>
  <c r="J307" i="10" s="1"/>
  <c r="K305" i="8"/>
  <c r="G305" i="8"/>
  <c r="J306" i="10" s="1"/>
  <c r="K304" i="8"/>
  <c r="G304" i="8"/>
  <c r="J305" i="10" s="1"/>
  <c r="K303" i="8"/>
  <c r="G303" i="8"/>
  <c r="J304" i="10" s="1"/>
  <c r="K302" i="8"/>
  <c r="G302" i="8"/>
  <c r="J303" i="10" s="1"/>
  <c r="K301" i="8"/>
  <c r="G301" i="8"/>
  <c r="J302" i="10" s="1"/>
  <c r="K300" i="8"/>
  <c r="G300" i="8"/>
  <c r="J301" i="10" s="1"/>
  <c r="K299" i="8"/>
  <c r="G299" i="8"/>
  <c r="J300" i="10" s="1"/>
  <c r="K298" i="8"/>
  <c r="G298" i="8"/>
  <c r="J299" i="10" s="1"/>
  <c r="K297" i="8"/>
  <c r="G297" i="8"/>
  <c r="J298" i="10" s="1"/>
  <c r="K296" i="8"/>
  <c r="G296" i="8"/>
  <c r="J297" i="10" s="1"/>
  <c r="K295" i="8"/>
  <c r="G295" i="8"/>
  <c r="J296" i="10" s="1"/>
  <c r="K294" i="8"/>
  <c r="G294" i="8"/>
  <c r="J295" i="10" s="1"/>
  <c r="K293" i="8"/>
  <c r="G293" i="8"/>
  <c r="J294" i="10" s="1"/>
  <c r="K292" i="8"/>
  <c r="G292" i="8"/>
  <c r="J293" i="10" s="1"/>
  <c r="K291" i="8"/>
  <c r="G291" i="8"/>
  <c r="J292" i="10" s="1"/>
  <c r="K290" i="8"/>
  <c r="G290" i="8"/>
  <c r="J291" i="10" s="1"/>
  <c r="K289" i="8"/>
  <c r="G289" i="8"/>
  <c r="J290" i="10" s="1"/>
  <c r="K288" i="8"/>
  <c r="G288" i="8"/>
  <c r="J289" i="10" s="1"/>
  <c r="K287" i="8"/>
  <c r="G287" i="8"/>
  <c r="J288" i="10" s="1"/>
  <c r="K286" i="8"/>
  <c r="G286" i="8"/>
  <c r="J287" i="10" s="1"/>
  <c r="K285" i="8"/>
  <c r="G285" i="8"/>
  <c r="J286" i="10" s="1"/>
  <c r="K284" i="8"/>
  <c r="G284" i="8"/>
  <c r="J285" i="10" s="1"/>
  <c r="K283" i="8"/>
  <c r="G283" i="8"/>
  <c r="J284" i="10" s="1"/>
  <c r="K282" i="8"/>
  <c r="G282" i="8"/>
  <c r="J283" i="10" s="1"/>
  <c r="K281" i="8"/>
  <c r="G281" i="8"/>
  <c r="J282" i="10" s="1"/>
  <c r="K280" i="8"/>
  <c r="G280" i="8"/>
  <c r="J281" i="10" s="1"/>
  <c r="K279" i="8"/>
  <c r="G279" i="8"/>
  <c r="J280" i="10" s="1"/>
  <c r="K278" i="8"/>
  <c r="G278" i="8"/>
  <c r="J279" i="10" s="1"/>
  <c r="K277" i="8"/>
  <c r="G277" i="8"/>
  <c r="J278" i="10" s="1"/>
  <c r="K276" i="8"/>
  <c r="G276" i="8"/>
  <c r="J277" i="10" s="1"/>
  <c r="K275" i="8"/>
  <c r="G275" i="8"/>
  <c r="J276" i="10" s="1"/>
  <c r="K274" i="8"/>
  <c r="G274" i="8"/>
  <c r="J275" i="10" s="1"/>
  <c r="K273" i="8"/>
  <c r="G273" i="8"/>
  <c r="J274" i="10" s="1"/>
  <c r="K272" i="8"/>
  <c r="G272" i="8"/>
  <c r="J273" i="10" s="1"/>
  <c r="K271" i="8"/>
  <c r="G271" i="8"/>
  <c r="J272" i="10" s="1"/>
  <c r="K270" i="8"/>
  <c r="G270" i="8"/>
  <c r="J271" i="10" s="1"/>
  <c r="K269" i="8"/>
  <c r="G269" i="8"/>
  <c r="J270" i="10" s="1"/>
  <c r="K268" i="8"/>
  <c r="G268" i="8"/>
  <c r="J269" i="10" s="1"/>
  <c r="K267" i="8"/>
  <c r="G267" i="8"/>
  <c r="J268" i="10" s="1"/>
  <c r="K266" i="8"/>
  <c r="G266" i="8"/>
  <c r="J267" i="10" s="1"/>
  <c r="K265" i="8"/>
  <c r="G265" i="8"/>
  <c r="J266" i="10" s="1"/>
  <c r="K264" i="8"/>
  <c r="G264" i="8"/>
  <c r="J265" i="10" s="1"/>
  <c r="K263" i="8"/>
  <c r="G263" i="8"/>
  <c r="J264" i="10" s="1"/>
  <c r="K262" i="8"/>
  <c r="G262" i="8"/>
  <c r="J263" i="10" s="1"/>
  <c r="K261" i="8"/>
  <c r="G261" i="8"/>
  <c r="J262" i="10" s="1"/>
  <c r="K260" i="8"/>
  <c r="G260" i="8"/>
  <c r="J261" i="10" s="1"/>
  <c r="K259" i="8"/>
  <c r="G259" i="8"/>
  <c r="J260" i="10" s="1"/>
  <c r="K258" i="8"/>
  <c r="G258" i="8"/>
  <c r="J259" i="10" s="1"/>
  <c r="K257" i="8"/>
  <c r="G257" i="8"/>
  <c r="J258" i="10" s="1"/>
  <c r="K256" i="8"/>
  <c r="G256" i="8"/>
  <c r="J257" i="10" s="1"/>
  <c r="K255" i="8"/>
  <c r="G255" i="8"/>
  <c r="J256" i="10" s="1"/>
  <c r="K254" i="8"/>
  <c r="G254" i="8"/>
  <c r="J255" i="10" s="1"/>
  <c r="K253" i="8"/>
  <c r="G253" i="8"/>
  <c r="J254" i="10" s="1"/>
  <c r="K252" i="8"/>
  <c r="G252" i="8"/>
  <c r="J253" i="10" s="1"/>
  <c r="K251" i="8"/>
  <c r="J251" i="8"/>
  <c r="I251" i="8"/>
  <c r="G251" i="8"/>
  <c r="J252" i="10" s="1"/>
  <c r="K250" i="8"/>
  <c r="G250" i="8"/>
  <c r="J251" i="10" s="1"/>
  <c r="K249" i="8"/>
  <c r="G249" i="8"/>
  <c r="J250" i="10" s="1"/>
  <c r="K248" i="8"/>
  <c r="G248" i="8"/>
  <c r="J249" i="10" s="1"/>
  <c r="K247" i="8"/>
  <c r="G247" i="8"/>
  <c r="J248" i="10" s="1"/>
  <c r="K246" i="8"/>
  <c r="G246" i="8"/>
  <c r="J247" i="10" s="1"/>
  <c r="K245" i="8"/>
  <c r="G245" i="8"/>
  <c r="J246" i="10" s="1"/>
  <c r="K244" i="8"/>
  <c r="G244" i="8"/>
  <c r="J245" i="10" s="1"/>
  <c r="K243" i="8"/>
  <c r="G243" i="8"/>
  <c r="J244" i="10" s="1"/>
  <c r="K242" i="8"/>
  <c r="G242" i="8"/>
  <c r="J243" i="10" s="1"/>
  <c r="K241" i="8"/>
  <c r="G241" i="8"/>
  <c r="J242" i="10" s="1"/>
  <c r="K240" i="8"/>
  <c r="G240" i="8"/>
  <c r="J241" i="10" s="1"/>
  <c r="K239" i="8"/>
  <c r="G239" i="8"/>
  <c r="J240" i="10" s="1"/>
  <c r="K238" i="8"/>
  <c r="G238" i="8"/>
  <c r="J239" i="10" s="1"/>
  <c r="K237" i="8"/>
  <c r="G237" i="8"/>
  <c r="J238" i="10" s="1"/>
  <c r="K236" i="8"/>
  <c r="G236" i="8"/>
  <c r="J237" i="10" s="1"/>
  <c r="K235" i="8"/>
  <c r="G235" i="8"/>
  <c r="J236" i="10" s="1"/>
  <c r="K234" i="8"/>
  <c r="G234" i="8"/>
  <c r="J235" i="10" s="1"/>
  <c r="K233" i="8"/>
  <c r="G233" i="8"/>
  <c r="J234" i="10" s="1"/>
  <c r="K232" i="8"/>
  <c r="G232" i="8"/>
  <c r="J233" i="10" s="1"/>
  <c r="K231" i="8"/>
  <c r="G231" i="8"/>
  <c r="J232" i="10" s="1"/>
  <c r="K230" i="8"/>
  <c r="G230" i="8"/>
  <c r="J231" i="10" s="1"/>
  <c r="K229" i="8"/>
  <c r="G229" i="8"/>
  <c r="J230" i="10" s="1"/>
  <c r="K228" i="8"/>
  <c r="G228" i="8"/>
  <c r="J229" i="10" s="1"/>
  <c r="K227" i="8"/>
  <c r="G227" i="8"/>
  <c r="J228" i="10" s="1"/>
  <c r="K226" i="8"/>
  <c r="G226" i="8"/>
  <c r="J227" i="10" s="1"/>
  <c r="K225" i="8"/>
  <c r="G225" i="8"/>
  <c r="J226" i="10" s="1"/>
  <c r="K224" i="8"/>
  <c r="G224" i="8"/>
  <c r="J225" i="10" s="1"/>
  <c r="K223" i="8"/>
  <c r="G223" i="8"/>
  <c r="J224" i="10" s="1"/>
  <c r="K222" i="8"/>
  <c r="G222" i="8"/>
  <c r="J223" i="10" s="1"/>
  <c r="K221" i="8"/>
  <c r="G221" i="8"/>
  <c r="J222" i="10" s="1"/>
  <c r="K220" i="8"/>
  <c r="G220" i="8"/>
  <c r="J221" i="10" s="1"/>
  <c r="K219" i="8"/>
  <c r="G219" i="8"/>
  <c r="J220" i="10" s="1"/>
  <c r="K218" i="8"/>
  <c r="G218" i="8"/>
  <c r="J219" i="10" s="1"/>
  <c r="K217" i="8"/>
  <c r="G217" i="8"/>
  <c r="J218" i="10" s="1"/>
  <c r="K216" i="8"/>
  <c r="G216" i="8"/>
  <c r="J217" i="10" s="1"/>
  <c r="K215" i="8"/>
  <c r="J215" i="8"/>
  <c r="G215" i="8"/>
  <c r="J216" i="10" s="1"/>
  <c r="K214" i="8"/>
  <c r="G214" i="8"/>
  <c r="J215" i="10" s="1"/>
  <c r="K213" i="8"/>
  <c r="G213" i="8"/>
  <c r="J214" i="10" s="1"/>
  <c r="K212" i="8"/>
  <c r="G212" i="8"/>
  <c r="J213" i="10" s="1"/>
  <c r="K211" i="8"/>
  <c r="G211" i="8"/>
  <c r="J212" i="10" s="1"/>
  <c r="K210" i="8"/>
  <c r="G210" i="8"/>
  <c r="J211" i="10" s="1"/>
  <c r="K209" i="8"/>
  <c r="G209" i="8"/>
  <c r="J210" i="10" s="1"/>
  <c r="K208" i="8"/>
  <c r="G208" i="8"/>
  <c r="K207" i="8"/>
  <c r="G207" i="8"/>
  <c r="J208" i="10" s="1"/>
  <c r="K206" i="8"/>
  <c r="G206" i="8"/>
  <c r="J207" i="10" s="1"/>
  <c r="K205" i="8"/>
  <c r="G205" i="8"/>
  <c r="J206" i="10" s="1"/>
  <c r="K204" i="8"/>
  <c r="G204" i="8"/>
  <c r="K203" i="8"/>
  <c r="G203" i="8"/>
  <c r="J204" i="10" s="1"/>
  <c r="K202" i="8"/>
  <c r="G202" i="8"/>
  <c r="J203" i="10" s="1"/>
  <c r="K201" i="8"/>
  <c r="G201" i="8"/>
  <c r="J202" i="10" s="1"/>
  <c r="K200" i="8"/>
  <c r="G200" i="8"/>
  <c r="J201" i="10" s="1"/>
  <c r="K199" i="8"/>
  <c r="G199" i="8"/>
  <c r="J200" i="10" s="1"/>
  <c r="K198" i="8"/>
  <c r="G198" i="8"/>
  <c r="J199" i="10" s="1"/>
  <c r="K197" i="8"/>
  <c r="G197" i="8"/>
  <c r="J198" i="10" s="1"/>
  <c r="K196" i="8"/>
  <c r="G196" i="8"/>
  <c r="J197" i="10" s="1"/>
  <c r="K195" i="8"/>
  <c r="G195" i="8"/>
  <c r="J196" i="10" s="1"/>
  <c r="K194" i="8"/>
  <c r="G194" i="8"/>
  <c r="J195" i="10" s="1"/>
  <c r="K193" i="8"/>
  <c r="G193" i="8"/>
  <c r="J194" i="10" s="1"/>
  <c r="K192" i="8"/>
  <c r="G192" i="8"/>
  <c r="J193" i="10" s="1"/>
  <c r="K191" i="8"/>
  <c r="G191" i="8"/>
  <c r="J192" i="10" s="1"/>
  <c r="K190" i="8"/>
  <c r="G190" i="8"/>
  <c r="J191" i="10" s="1"/>
  <c r="K189" i="8"/>
  <c r="G189" i="8"/>
  <c r="J190" i="10" s="1"/>
  <c r="K188" i="8"/>
  <c r="G188" i="8"/>
  <c r="J189" i="10" s="1"/>
  <c r="K187" i="8"/>
  <c r="G187" i="8"/>
  <c r="J188" i="10" s="1"/>
  <c r="K186" i="8"/>
  <c r="G186" i="8"/>
  <c r="J187" i="10" s="1"/>
  <c r="K185" i="8"/>
  <c r="G185" i="8"/>
  <c r="J186" i="10" s="1"/>
  <c r="K184" i="8"/>
  <c r="G184" i="8"/>
  <c r="K183" i="8"/>
  <c r="G183" i="8"/>
  <c r="J184" i="10" s="1"/>
  <c r="K182" i="8"/>
  <c r="G182" i="8"/>
  <c r="J183" i="10" s="1"/>
  <c r="K181" i="8"/>
  <c r="G181" i="8"/>
  <c r="J182" i="10" s="1"/>
  <c r="K180" i="8"/>
  <c r="G180" i="8"/>
  <c r="J181" i="10" s="1"/>
  <c r="K179" i="8"/>
  <c r="G179" i="8"/>
  <c r="J180" i="10" s="1"/>
  <c r="K178" i="8"/>
  <c r="G178" i="8"/>
  <c r="J179" i="10" s="1"/>
  <c r="K177" i="8"/>
  <c r="G177" i="8"/>
  <c r="J178" i="10" s="1"/>
  <c r="K176" i="8"/>
  <c r="G176" i="8"/>
  <c r="J177" i="10" s="1"/>
  <c r="K175" i="8"/>
  <c r="G175" i="8"/>
  <c r="J176" i="10" s="1"/>
  <c r="K174" i="8"/>
  <c r="G174" i="8"/>
  <c r="J175" i="10" s="1"/>
  <c r="K173" i="8"/>
  <c r="G173" i="8"/>
  <c r="J174" i="10" s="1"/>
  <c r="K172" i="8"/>
  <c r="G172" i="8"/>
  <c r="J173" i="10" s="1"/>
  <c r="K171" i="8"/>
  <c r="G171" i="8"/>
  <c r="J172" i="10" s="1"/>
  <c r="K170" i="8"/>
  <c r="G170" i="8"/>
  <c r="J171" i="10" s="1"/>
  <c r="K169" i="8"/>
  <c r="G169" i="8"/>
  <c r="J170" i="10" s="1"/>
  <c r="K168" i="8"/>
  <c r="G168" i="8"/>
  <c r="K167" i="8"/>
  <c r="G167" i="8"/>
  <c r="J168" i="10" s="1"/>
  <c r="K166" i="8"/>
  <c r="G166" i="8"/>
  <c r="J167" i="10" s="1"/>
  <c r="K165" i="8"/>
  <c r="G165" i="8"/>
  <c r="J166" i="10" s="1"/>
  <c r="K164" i="8"/>
  <c r="G164" i="8"/>
  <c r="J165" i="10" s="1"/>
  <c r="K163" i="8"/>
  <c r="G163" i="8"/>
  <c r="K162" i="8"/>
  <c r="G162" i="8"/>
  <c r="J163" i="10" s="1"/>
  <c r="K161" i="8"/>
  <c r="G161" i="8"/>
  <c r="J162" i="10" s="1"/>
  <c r="K160" i="8"/>
  <c r="G160" i="8"/>
  <c r="J161" i="10" s="1"/>
  <c r="K159" i="8"/>
  <c r="G159" i="8"/>
  <c r="J160" i="10" s="1"/>
  <c r="K158" i="8"/>
  <c r="G158" i="8"/>
  <c r="J159" i="10" s="1"/>
  <c r="K157" i="8"/>
  <c r="G157" i="8"/>
  <c r="J158" i="10" s="1"/>
  <c r="K156" i="8"/>
  <c r="G156" i="8"/>
  <c r="J157" i="10" s="1"/>
  <c r="K155" i="8"/>
  <c r="G155" i="8"/>
  <c r="K154" i="8"/>
  <c r="G154" i="8"/>
  <c r="J155" i="10" s="1"/>
  <c r="K153" i="8"/>
  <c r="G153" i="8"/>
  <c r="J154" i="10" s="1"/>
  <c r="K152" i="8"/>
  <c r="G152" i="8"/>
  <c r="J153" i="10" s="1"/>
  <c r="K151" i="8"/>
  <c r="G151" i="8"/>
  <c r="K150" i="8"/>
  <c r="G150" i="8"/>
  <c r="J151" i="10" s="1"/>
  <c r="K149" i="8"/>
  <c r="G149" i="8"/>
  <c r="J150" i="10" s="1"/>
  <c r="K148" i="8"/>
  <c r="G148" i="8"/>
  <c r="J149" i="10" s="1"/>
  <c r="K147" i="8"/>
  <c r="G147" i="8"/>
  <c r="J148" i="10" s="1"/>
  <c r="K146" i="8"/>
  <c r="G146" i="8"/>
  <c r="J147" i="10" s="1"/>
  <c r="K145" i="8"/>
  <c r="G145" i="8"/>
  <c r="J146" i="10" s="1"/>
  <c r="K144" i="8"/>
  <c r="G144" i="8"/>
  <c r="J145" i="10" s="1"/>
  <c r="K143" i="8"/>
  <c r="G143" i="8"/>
  <c r="J144" i="10" s="1"/>
  <c r="K142" i="8"/>
  <c r="G142" i="8"/>
  <c r="J143" i="10" s="1"/>
  <c r="K141" i="8"/>
  <c r="G141" i="8"/>
  <c r="J142" i="10" s="1"/>
  <c r="K140" i="8"/>
  <c r="G140" i="8"/>
  <c r="J141" i="10" s="1"/>
  <c r="K139" i="8"/>
  <c r="G139" i="8"/>
  <c r="J140" i="10" s="1"/>
  <c r="K138" i="8"/>
  <c r="G138" i="8"/>
  <c r="J139" i="10" s="1"/>
  <c r="K137" i="8"/>
  <c r="G137" i="8"/>
  <c r="J138" i="10" s="1"/>
  <c r="K136" i="8"/>
  <c r="G136" i="8"/>
  <c r="J137" i="10" s="1"/>
  <c r="K135" i="8"/>
  <c r="G135" i="8"/>
  <c r="J136" i="10" s="1"/>
  <c r="K134" i="8"/>
  <c r="G134" i="8"/>
  <c r="J135" i="10" s="1"/>
  <c r="K133" i="8"/>
  <c r="G133" i="8"/>
  <c r="K132" i="8"/>
  <c r="G132" i="8"/>
  <c r="J133" i="10" s="1"/>
  <c r="K131" i="8"/>
  <c r="G131" i="8"/>
  <c r="J132" i="10" s="1"/>
  <c r="K130" i="8"/>
  <c r="G130" i="8"/>
  <c r="J131" i="10" s="1"/>
  <c r="K129" i="8"/>
  <c r="G129" i="8"/>
  <c r="J130" i="10" s="1"/>
  <c r="K128" i="8"/>
  <c r="G128" i="8"/>
  <c r="J129" i="10" s="1"/>
  <c r="K127" i="8"/>
  <c r="G127" i="8"/>
  <c r="J128" i="10" s="1"/>
  <c r="K126" i="8"/>
  <c r="G126" i="8"/>
  <c r="J127" i="10" s="1"/>
  <c r="K125" i="8"/>
  <c r="G125" i="8"/>
  <c r="K124" i="8"/>
  <c r="G124" i="8"/>
  <c r="J125" i="10" s="1"/>
  <c r="K123" i="8"/>
  <c r="G123" i="8"/>
  <c r="J124" i="10" s="1"/>
  <c r="K122" i="8"/>
  <c r="G122" i="8"/>
  <c r="J123" i="10" s="1"/>
  <c r="K121" i="8"/>
  <c r="I121" i="8"/>
  <c r="J121" i="8" s="1"/>
  <c r="G121" i="8"/>
  <c r="J122" i="10" s="1"/>
  <c r="K120" i="8"/>
  <c r="G120" i="8"/>
  <c r="J121" i="10" s="1"/>
  <c r="K119" i="8"/>
  <c r="G119" i="8"/>
  <c r="J120" i="10" s="1"/>
  <c r="K118" i="8"/>
  <c r="G118" i="8"/>
  <c r="J119" i="10" s="1"/>
  <c r="K117" i="8"/>
  <c r="G117" i="8"/>
  <c r="J118" i="10" s="1"/>
  <c r="K116" i="8"/>
  <c r="G116" i="8"/>
  <c r="J117" i="10" s="1"/>
  <c r="K115" i="8"/>
  <c r="G115" i="8"/>
  <c r="J116" i="10" s="1"/>
  <c r="K114" i="8"/>
  <c r="G114" i="8"/>
  <c r="J115" i="10" s="1"/>
  <c r="K113" i="8"/>
  <c r="G113" i="8"/>
  <c r="J114" i="10" s="1"/>
  <c r="K112" i="8"/>
  <c r="G112" i="8"/>
  <c r="J113" i="10" s="1"/>
  <c r="K111" i="8"/>
  <c r="G111" i="8"/>
  <c r="J112" i="10" s="1"/>
  <c r="K110" i="8"/>
  <c r="G110" i="8"/>
  <c r="J111" i="10" s="1"/>
  <c r="K109" i="8"/>
  <c r="G109" i="8"/>
  <c r="J110" i="10" s="1"/>
  <c r="K108" i="8"/>
  <c r="G108" i="8"/>
  <c r="J109" i="10" s="1"/>
  <c r="K107" i="8"/>
  <c r="G107" i="8"/>
  <c r="J108" i="10" s="1"/>
  <c r="K106" i="8"/>
  <c r="G106" i="8"/>
  <c r="J107" i="10" s="1"/>
  <c r="K105" i="8"/>
  <c r="G105" i="8"/>
  <c r="J106" i="10" s="1"/>
  <c r="K104" i="8"/>
  <c r="G104" i="8"/>
  <c r="J105" i="10" s="1"/>
  <c r="K103" i="8"/>
  <c r="G103" i="8"/>
  <c r="J104" i="10" s="1"/>
  <c r="K102" i="8"/>
  <c r="G102" i="8"/>
  <c r="J103" i="10" s="1"/>
  <c r="K101" i="8"/>
  <c r="G101" i="8"/>
  <c r="J102" i="10" s="1"/>
  <c r="K100" i="8"/>
  <c r="G100" i="8"/>
  <c r="J101" i="10" s="1"/>
  <c r="K99" i="8"/>
  <c r="G99" i="8"/>
  <c r="J100" i="10" s="1"/>
  <c r="K98" i="8"/>
  <c r="G98" i="8"/>
  <c r="J99" i="10" s="1"/>
  <c r="K97" i="8"/>
  <c r="G97" i="8"/>
  <c r="J98" i="10" s="1"/>
  <c r="K96" i="8"/>
  <c r="G96" i="8"/>
  <c r="J97" i="10" s="1"/>
  <c r="K95" i="8"/>
  <c r="G95" i="8"/>
  <c r="J96" i="10" s="1"/>
  <c r="K94" i="8"/>
  <c r="G94" i="8"/>
  <c r="J95" i="10" s="1"/>
  <c r="K93" i="8"/>
  <c r="G93" i="8"/>
  <c r="J94" i="10" s="1"/>
  <c r="K92" i="8"/>
  <c r="G92" i="8"/>
  <c r="K91" i="8"/>
  <c r="G91" i="8"/>
  <c r="J92" i="10" s="1"/>
  <c r="K90" i="8"/>
  <c r="G90" i="8"/>
  <c r="J91" i="10" s="1"/>
  <c r="K89" i="8"/>
  <c r="G89" i="8"/>
  <c r="J90" i="10" s="1"/>
  <c r="K88" i="8"/>
  <c r="G88" i="8"/>
  <c r="J89" i="10" s="1"/>
  <c r="K87" i="8"/>
  <c r="G87" i="8"/>
  <c r="J88" i="10" s="1"/>
  <c r="K86" i="8"/>
  <c r="G86" i="8"/>
  <c r="J87" i="10" s="1"/>
  <c r="K85" i="8"/>
  <c r="G85" i="8"/>
  <c r="J86" i="10" s="1"/>
  <c r="K84" i="8"/>
  <c r="G84" i="8"/>
  <c r="K83" i="8"/>
  <c r="G83" i="8"/>
  <c r="J84" i="10" s="1"/>
  <c r="K82" i="8"/>
  <c r="G82" i="8"/>
  <c r="J83" i="10" s="1"/>
  <c r="K81" i="8"/>
  <c r="G81" i="8"/>
  <c r="J82" i="10" s="1"/>
  <c r="K80" i="8"/>
  <c r="G80" i="8"/>
  <c r="J81" i="10" s="1"/>
  <c r="K79" i="8"/>
  <c r="G79" i="8"/>
  <c r="J80" i="10" s="1"/>
  <c r="K78" i="8"/>
  <c r="G78" i="8"/>
  <c r="J79" i="10" s="1"/>
  <c r="K77" i="8"/>
  <c r="G77" i="8"/>
  <c r="J78" i="10" s="1"/>
  <c r="K76" i="8"/>
  <c r="G76" i="8"/>
  <c r="K75" i="8"/>
  <c r="G75" i="8"/>
  <c r="J76" i="10" s="1"/>
  <c r="K74" i="8"/>
  <c r="G74" i="8"/>
  <c r="J75" i="10" s="1"/>
  <c r="K73" i="8"/>
  <c r="G73" i="8"/>
  <c r="J74" i="10" s="1"/>
  <c r="K72" i="8"/>
  <c r="G72" i="8"/>
  <c r="J73" i="10" s="1"/>
  <c r="K71" i="8"/>
  <c r="G71" i="8"/>
  <c r="J72" i="10" s="1"/>
  <c r="K70" i="8"/>
  <c r="G70" i="8"/>
  <c r="J71" i="10" s="1"/>
  <c r="K69" i="8"/>
  <c r="G69" i="8"/>
  <c r="J70" i="10" s="1"/>
  <c r="K68" i="8"/>
  <c r="G68" i="8"/>
  <c r="J69" i="10" s="1"/>
  <c r="K67" i="8"/>
  <c r="G67" i="8"/>
  <c r="J68" i="10" s="1"/>
  <c r="K66" i="8"/>
  <c r="G66" i="8"/>
  <c r="J67" i="10" s="1"/>
  <c r="K65" i="8"/>
  <c r="G65" i="8"/>
  <c r="J66" i="10" s="1"/>
  <c r="K64" i="8"/>
  <c r="G64" i="8"/>
  <c r="K63" i="8"/>
  <c r="G63" i="8"/>
  <c r="J64" i="10" s="1"/>
  <c r="K62" i="8"/>
  <c r="G62" i="8"/>
  <c r="J63" i="10" s="1"/>
  <c r="K61" i="8"/>
  <c r="G61" i="8"/>
  <c r="J62" i="10" s="1"/>
  <c r="K60" i="8"/>
  <c r="G60" i="8"/>
  <c r="J61" i="10" s="1"/>
  <c r="K59" i="8"/>
  <c r="G59" i="8"/>
  <c r="J60" i="10" s="1"/>
  <c r="K58" i="8"/>
  <c r="G58" i="8"/>
  <c r="J59" i="10" s="1"/>
  <c r="K57" i="8"/>
  <c r="G57" i="8"/>
  <c r="J58" i="10" s="1"/>
  <c r="K56" i="8"/>
  <c r="G56" i="8"/>
  <c r="K55" i="8"/>
  <c r="G55" i="8"/>
  <c r="J56" i="10" s="1"/>
  <c r="K54" i="8"/>
  <c r="G54" i="8"/>
  <c r="J55" i="10" s="1"/>
  <c r="K53" i="8"/>
  <c r="G53" i="8"/>
  <c r="J54" i="10" s="1"/>
  <c r="K52" i="8"/>
  <c r="G52" i="8"/>
  <c r="J53" i="10" s="1"/>
  <c r="K51" i="8"/>
  <c r="G51" i="8"/>
  <c r="J52" i="10" s="1"/>
  <c r="K50" i="8"/>
  <c r="G50" i="8"/>
  <c r="J51" i="10" s="1"/>
  <c r="K49" i="8"/>
  <c r="G49" i="8"/>
  <c r="J50" i="10" s="1"/>
  <c r="K48" i="8"/>
  <c r="G48" i="8"/>
  <c r="K47" i="8"/>
  <c r="G47" i="8"/>
  <c r="J48" i="10" s="1"/>
  <c r="K46" i="8"/>
  <c r="G46" i="8"/>
  <c r="J47" i="10" s="1"/>
  <c r="K45" i="8"/>
  <c r="G45" i="8"/>
  <c r="J46" i="10" s="1"/>
  <c r="K44" i="8"/>
  <c r="G44" i="8"/>
  <c r="K43" i="8"/>
  <c r="G43" i="8"/>
  <c r="J44" i="10" s="1"/>
  <c r="K42" i="8"/>
  <c r="G42" i="8"/>
  <c r="J43" i="10" s="1"/>
  <c r="K41" i="8"/>
  <c r="G41" i="8"/>
  <c r="J42" i="10" s="1"/>
  <c r="K40" i="8"/>
  <c r="G40" i="8"/>
  <c r="K39" i="8"/>
  <c r="G39" i="8"/>
  <c r="J40" i="10" s="1"/>
  <c r="K38" i="8"/>
  <c r="G38" i="8"/>
  <c r="J39" i="10" s="1"/>
  <c r="K37" i="8"/>
  <c r="G37" i="8"/>
  <c r="J38" i="10" s="1"/>
  <c r="K36" i="8"/>
  <c r="G36" i="8"/>
  <c r="K35" i="8"/>
  <c r="G35" i="8"/>
  <c r="J36" i="10" s="1"/>
  <c r="K34" i="8"/>
  <c r="G34" i="8"/>
  <c r="J35" i="10" s="1"/>
  <c r="K33" i="8"/>
  <c r="G33" i="8"/>
  <c r="J34" i="10" s="1"/>
  <c r="K32" i="8"/>
  <c r="H32" i="8"/>
  <c r="I32" i="8" s="1"/>
  <c r="J32" i="8" s="1"/>
  <c r="G32" i="8"/>
  <c r="J33" i="10" s="1"/>
  <c r="K31" i="8"/>
  <c r="G31" i="8"/>
  <c r="K30" i="8"/>
  <c r="G30" i="8"/>
  <c r="J31" i="10" s="1"/>
  <c r="K29" i="8"/>
  <c r="G29" i="8"/>
  <c r="J30" i="10" s="1"/>
  <c r="K28" i="8"/>
  <c r="G28" i="8"/>
  <c r="J29" i="10" s="1"/>
  <c r="K27" i="8"/>
  <c r="G27" i="8"/>
  <c r="K26" i="8"/>
  <c r="G26" i="8"/>
  <c r="J27" i="10" s="1"/>
  <c r="K25" i="8"/>
  <c r="G25" i="8"/>
  <c r="J26" i="10" s="1"/>
  <c r="K24" i="8"/>
  <c r="G24" i="8"/>
  <c r="J25" i="10" s="1"/>
  <c r="K23" i="8"/>
  <c r="G23" i="8"/>
  <c r="K22" i="8"/>
  <c r="G22" i="8"/>
  <c r="J23" i="10" s="1"/>
  <c r="K21" i="8"/>
  <c r="G21" i="8"/>
  <c r="J22" i="10" s="1"/>
  <c r="K20" i="8"/>
  <c r="G20" i="8"/>
  <c r="J21" i="10" s="1"/>
  <c r="K19" i="8"/>
  <c r="G19" i="8"/>
  <c r="K18" i="8"/>
  <c r="G18" i="8"/>
  <c r="J19" i="10" s="1"/>
  <c r="K17" i="8"/>
  <c r="G17" i="8"/>
  <c r="J18" i="10" s="1"/>
  <c r="K16" i="8"/>
  <c r="G16" i="8"/>
  <c r="J17" i="10" s="1"/>
  <c r="K15" i="8"/>
  <c r="H15" i="8"/>
  <c r="I15" i="8" s="1"/>
  <c r="G15" i="8"/>
  <c r="J16" i="10" s="1"/>
  <c r="K14" i="8"/>
  <c r="H14" i="8"/>
  <c r="I14" i="8" s="1"/>
  <c r="G14" i="8"/>
  <c r="J15" i="10" s="1"/>
  <c r="K13" i="8"/>
  <c r="H13" i="8"/>
  <c r="I13" i="8" s="1"/>
  <c r="G13" i="8"/>
  <c r="J14" i="10" s="1"/>
  <c r="K12" i="8"/>
  <c r="G12" i="8"/>
  <c r="K11" i="8"/>
  <c r="G11" i="8"/>
  <c r="J12" i="10" s="1"/>
  <c r="K10" i="8"/>
  <c r="G10" i="8"/>
  <c r="J11" i="10" s="1"/>
  <c r="K9" i="8"/>
  <c r="G9" i="8"/>
  <c r="J10" i="10" s="1"/>
  <c r="K8" i="8"/>
  <c r="G8" i="8"/>
  <c r="K7" i="8"/>
  <c r="G7" i="8"/>
  <c r="J8" i="10" s="1"/>
  <c r="K6" i="8"/>
  <c r="G6" i="8"/>
  <c r="J7" i="10" s="1"/>
  <c r="K5" i="8"/>
  <c r="G5" i="8"/>
  <c r="J6" i="10" s="1"/>
  <c r="K4" i="8"/>
  <c r="G4" i="8"/>
  <c r="K3" i="8"/>
  <c r="G3" i="8"/>
  <c r="J4" i="10" s="1"/>
  <c r="K2" i="8"/>
  <c r="G2" i="8"/>
  <c r="J3" i="10" s="1"/>
  <c r="U228" i="7"/>
  <c r="Q228" i="7"/>
  <c r="I229" i="10" s="1"/>
  <c r="P228" i="7"/>
  <c r="N228" i="7"/>
  <c r="O228" i="7" s="1"/>
  <c r="L228" i="7" s="1"/>
  <c r="M228" i="7" s="1"/>
  <c r="U227" i="7"/>
  <c r="P227" i="7"/>
  <c r="Q227" i="7" s="1"/>
  <c r="I228" i="10" s="1"/>
  <c r="O227" i="7"/>
  <c r="N227" i="7"/>
  <c r="L227" i="7"/>
  <c r="M227" i="7" s="1"/>
  <c r="U226" i="7"/>
  <c r="P226" i="7"/>
  <c r="Q226" i="7" s="1"/>
  <c r="I227" i="10" s="1"/>
  <c r="N226" i="7"/>
  <c r="O226" i="7" s="1"/>
  <c r="L226" i="7" s="1"/>
  <c r="M226" i="7" s="1"/>
  <c r="U225" i="7"/>
  <c r="Q225" i="7"/>
  <c r="I226" i="10" s="1"/>
  <c r="P225" i="7"/>
  <c r="N225" i="7"/>
  <c r="O225" i="7" s="1"/>
  <c r="L225" i="7" s="1"/>
  <c r="M225" i="7" s="1"/>
  <c r="U224" i="7"/>
  <c r="P224" i="7"/>
  <c r="Q224" i="7" s="1"/>
  <c r="I225" i="10" s="1"/>
  <c r="N224" i="7"/>
  <c r="O224" i="7" s="1"/>
  <c r="L224" i="7" s="1"/>
  <c r="M224" i="7" s="1"/>
  <c r="U223" i="7"/>
  <c r="Q223" i="7"/>
  <c r="I224" i="10" s="1"/>
  <c r="P223" i="7"/>
  <c r="O223" i="7"/>
  <c r="L223" i="7" s="1"/>
  <c r="N223" i="7"/>
  <c r="M223" i="7"/>
  <c r="U222" i="7"/>
  <c r="P222" i="7"/>
  <c r="Q222" i="7" s="1"/>
  <c r="I223" i="10" s="1"/>
  <c r="N222" i="7"/>
  <c r="O222" i="7" s="1"/>
  <c r="L222" i="7" s="1"/>
  <c r="M222" i="7" s="1"/>
  <c r="U221" i="7"/>
  <c r="Q221" i="7"/>
  <c r="I222" i="10" s="1"/>
  <c r="P221" i="7"/>
  <c r="O221" i="7"/>
  <c r="L221" i="7" s="1"/>
  <c r="M221" i="7" s="1"/>
  <c r="N221" i="7"/>
  <c r="U220" i="7"/>
  <c r="P220" i="7"/>
  <c r="Q220" i="7" s="1"/>
  <c r="I221" i="10" s="1"/>
  <c r="N220" i="7"/>
  <c r="O220" i="7" s="1"/>
  <c r="L220" i="7" s="1"/>
  <c r="M220" i="7" s="1"/>
  <c r="U219" i="7"/>
  <c r="Q219" i="7"/>
  <c r="I220" i="10" s="1"/>
  <c r="P219" i="7"/>
  <c r="O219" i="7"/>
  <c r="L219" i="7" s="1"/>
  <c r="M219" i="7" s="1"/>
  <c r="N219" i="7"/>
  <c r="U218" i="7"/>
  <c r="P218" i="7"/>
  <c r="Q218" i="7" s="1"/>
  <c r="I219" i="10" s="1"/>
  <c r="N218" i="7"/>
  <c r="O218" i="7" s="1"/>
  <c r="L218" i="7"/>
  <c r="M218" i="7" s="1"/>
  <c r="U217" i="7"/>
  <c r="Q217" i="7"/>
  <c r="P217" i="7"/>
  <c r="O217" i="7"/>
  <c r="L217" i="7" s="1"/>
  <c r="M217" i="7" s="1"/>
  <c r="N217" i="7"/>
  <c r="U216" i="7"/>
  <c r="P216" i="7"/>
  <c r="Q216" i="7" s="1"/>
  <c r="N216" i="7"/>
  <c r="O216" i="7" s="1"/>
  <c r="L216" i="7" s="1"/>
  <c r="M216" i="7" s="1"/>
  <c r="U215" i="7"/>
  <c r="T215" i="7"/>
  <c r="P215" i="7"/>
  <c r="Q215" i="7" s="1"/>
  <c r="N215" i="7"/>
  <c r="O215" i="7" s="1"/>
  <c r="L215" i="7"/>
  <c r="M215" i="7" s="1"/>
  <c r="U214" i="7"/>
  <c r="Q214" i="7"/>
  <c r="P214" i="7"/>
  <c r="O214" i="7"/>
  <c r="L214" i="7" s="1"/>
  <c r="M214" i="7" s="1"/>
  <c r="N214" i="7"/>
  <c r="U213" i="7"/>
  <c r="P213" i="7"/>
  <c r="Q213" i="7" s="1"/>
  <c r="N213" i="7"/>
  <c r="O213" i="7" s="1"/>
  <c r="L213" i="7" s="1"/>
  <c r="M213" i="7" s="1"/>
  <c r="U212" i="7"/>
  <c r="Q212" i="7"/>
  <c r="P212" i="7"/>
  <c r="O212" i="7"/>
  <c r="L212" i="7" s="1"/>
  <c r="M212" i="7" s="1"/>
  <c r="N212" i="7"/>
  <c r="U211" i="7"/>
  <c r="P211" i="7"/>
  <c r="Q211" i="7" s="1"/>
  <c r="N211" i="7"/>
  <c r="O211" i="7" s="1"/>
  <c r="L211" i="7" s="1"/>
  <c r="M211" i="7" s="1"/>
  <c r="U210" i="7"/>
  <c r="Q210" i="7"/>
  <c r="P210" i="7"/>
  <c r="O210" i="7"/>
  <c r="L210" i="7" s="1"/>
  <c r="N210" i="7"/>
  <c r="M210" i="7"/>
  <c r="U209" i="7"/>
  <c r="P209" i="7"/>
  <c r="Q209" i="7" s="1"/>
  <c r="N209" i="7"/>
  <c r="O209" i="7" s="1"/>
  <c r="L209" i="7"/>
  <c r="M209" i="7" s="1"/>
  <c r="U208" i="7"/>
  <c r="Q208" i="7"/>
  <c r="P208" i="7"/>
  <c r="O208" i="7"/>
  <c r="L208" i="7" s="1"/>
  <c r="M208" i="7" s="1"/>
  <c r="N208" i="7"/>
  <c r="U207" i="7"/>
  <c r="P207" i="7"/>
  <c r="Q207" i="7" s="1"/>
  <c r="N207" i="7"/>
  <c r="O207" i="7" s="1"/>
  <c r="L207" i="7" s="1"/>
  <c r="M207" i="7" s="1"/>
  <c r="U206" i="7"/>
  <c r="Q206" i="7"/>
  <c r="P206" i="7"/>
  <c r="O206" i="7"/>
  <c r="L206" i="7" s="1"/>
  <c r="M206" i="7" s="1"/>
  <c r="N206" i="7"/>
  <c r="U205" i="7"/>
  <c r="P205" i="7"/>
  <c r="Q205" i="7" s="1"/>
  <c r="N205" i="7"/>
  <c r="O205" i="7" s="1"/>
  <c r="L205" i="7" s="1"/>
  <c r="M205" i="7" s="1"/>
  <c r="U204" i="7"/>
  <c r="Q204" i="7"/>
  <c r="P204" i="7"/>
  <c r="O204" i="7"/>
  <c r="L204" i="7" s="1"/>
  <c r="M204" i="7" s="1"/>
  <c r="N204" i="7"/>
  <c r="U203" i="7"/>
  <c r="P203" i="7"/>
  <c r="Q203" i="7" s="1"/>
  <c r="N203" i="7"/>
  <c r="O203" i="7" s="1"/>
  <c r="L203" i="7" s="1"/>
  <c r="M203" i="7" s="1"/>
  <c r="U202" i="7"/>
  <c r="Q202" i="7"/>
  <c r="P202" i="7"/>
  <c r="O202" i="7"/>
  <c r="L202" i="7" s="1"/>
  <c r="N202" i="7"/>
  <c r="M202" i="7"/>
  <c r="U201" i="7"/>
  <c r="P201" i="7"/>
  <c r="Q201" i="7" s="1"/>
  <c r="N201" i="7"/>
  <c r="O201" i="7" s="1"/>
  <c r="L201" i="7"/>
  <c r="M201" i="7" s="1"/>
  <c r="U200" i="7"/>
  <c r="Q200" i="7"/>
  <c r="P200" i="7"/>
  <c r="O200" i="7"/>
  <c r="L200" i="7" s="1"/>
  <c r="M200" i="7" s="1"/>
  <c r="N200" i="7"/>
  <c r="U199" i="7"/>
  <c r="P199" i="7"/>
  <c r="Q199" i="7" s="1"/>
  <c r="N199" i="7"/>
  <c r="O199" i="7" s="1"/>
  <c r="L199" i="7" s="1"/>
  <c r="M199" i="7" s="1"/>
  <c r="U198" i="7"/>
  <c r="Q198" i="7"/>
  <c r="P198" i="7"/>
  <c r="O198" i="7"/>
  <c r="L198" i="7" s="1"/>
  <c r="M198" i="7" s="1"/>
  <c r="N198" i="7"/>
  <c r="U197" i="7"/>
  <c r="P197" i="7"/>
  <c r="Q197" i="7" s="1"/>
  <c r="N197" i="7"/>
  <c r="O197" i="7" s="1"/>
  <c r="L197" i="7"/>
  <c r="M197" i="7" s="1"/>
  <c r="U196" i="7"/>
  <c r="Q196" i="7"/>
  <c r="P196" i="7"/>
  <c r="O196" i="7"/>
  <c r="L196" i="7" s="1"/>
  <c r="M196" i="7" s="1"/>
  <c r="N196" i="7"/>
  <c r="U195" i="7"/>
  <c r="P195" i="7"/>
  <c r="Q195" i="7" s="1"/>
  <c r="N195" i="7"/>
  <c r="O195" i="7" s="1"/>
  <c r="L195" i="7" s="1"/>
  <c r="M195" i="7" s="1"/>
  <c r="U194" i="7"/>
  <c r="Q194" i="7"/>
  <c r="P194" i="7"/>
  <c r="O194" i="7"/>
  <c r="L194" i="7" s="1"/>
  <c r="N194" i="7"/>
  <c r="M194" i="7"/>
  <c r="U193" i="7"/>
  <c r="P193" i="7"/>
  <c r="Q193" i="7" s="1"/>
  <c r="N193" i="7"/>
  <c r="O193" i="7" s="1"/>
  <c r="L193" i="7"/>
  <c r="M193" i="7" s="1"/>
  <c r="U192" i="7"/>
  <c r="Q192" i="7"/>
  <c r="P192" i="7"/>
  <c r="O192" i="7"/>
  <c r="L192" i="7" s="1"/>
  <c r="M192" i="7" s="1"/>
  <c r="N192" i="7"/>
  <c r="U191" i="7"/>
  <c r="P191" i="7"/>
  <c r="Q191" i="7" s="1"/>
  <c r="N191" i="7"/>
  <c r="O191" i="7" s="1"/>
  <c r="L191" i="7" s="1"/>
  <c r="M191" i="7" s="1"/>
  <c r="U190" i="7"/>
  <c r="Q190" i="7"/>
  <c r="P190" i="7"/>
  <c r="O190" i="7"/>
  <c r="L190" i="7" s="1"/>
  <c r="M190" i="7" s="1"/>
  <c r="N190" i="7"/>
  <c r="U189" i="7"/>
  <c r="P189" i="7"/>
  <c r="Q189" i="7" s="1"/>
  <c r="N189" i="7"/>
  <c r="O189" i="7" s="1"/>
  <c r="L189" i="7"/>
  <c r="M189" i="7" s="1"/>
  <c r="U188" i="7"/>
  <c r="Q188" i="7"/>
  <c r="P188" i="7"/>
  <c r="O188" i="7"/>
  <c r="L188" i="7" s="1"/>
  <c r="M188" i="7" s="1"/>
  <c r="N188" i="7"/>
  <c r="U187" i="7"/>
  <c r="P187" i="7"/>
  <c r="Q187" i="7" s="1"/>
  <c r="N187" i="7"/>
  <c r="O187" i="7" s="1"/>
  <c r="L187" i="7" s="1"/>
  <c r="M187" i="7" s="1"/>
  <c r="U186" i="7"/>
  <c r="Q186" i="7"/>
  <c r="P186" i="7"/>
  <c r="O186" i="7"/>
  <c r="L186" i="7" s="1"/>
  <c r="N186" i="7"/>
  <c r="M186" i="7"/>
  <c r="U185" i="7"/>
  <c r="P185" i="7"/>
  <c r="Q185" i="7" s="1"/>
  <c r="N185" i="7"/>
  <c r="O185" i="7" s="1"/>
  <c r="L185" i="7"/>
  <c r="M185" i="7" s="1"/>
  <c r="U184" i="7"/>
  <c r="Q184" i="7"/>
  <c r="P184" i="7"/>
  <c r="O184" i="7"/>
  <c r="L184" i="7" s="1"/>
  <c r="M184" i="7" s="1"/>
  <c r="N184" i="7"/>
  <c r="U183" i="7"/>
  <c r="P183" i="7"/>
  <c r="Q183" i="7" s="1"/>
  <c r="N183" i="7"/>
  <c r="O183" i="7" s="1"/>
  <c r="L183" i="7" s="1"/>
  <c r="M183" i="7" s="1"/>
  <c r="U182" i="7"/>
  <c r="Q182" i="7"/>
  <c r="P182" i="7"/>
  <c r="O182" i="7"/>
  <c r="L182" i="7" s="1"/>
  <c r="M182" i="7" s="1"/>
  <c r="N182" i="7"/>
  <c r="U181" i="7"/>
  <c r="P181" i="7"/>
  <c r="Q181" i="7" s="1"/>
  <c r="N181" i="7"/>
  <c r="O181" i="7" s="1"/>
  <c r="L181" i="7"/>
  <c r="M181" i="7" s="1"/>
  <c r="U180" i="7"/>
  <c r="Q180" i="7"/>
  <c r="P180" i="7"/>
  <c r="O180" i="7"/>
  <c r="L180" i="7" s="1"/>
  <c r="M180" i="7" s="1"/>
  <c r="N180" i="7"/>
  <c r="U179" i="7"/>
  <c r="P179" i="7"/>
  <c r="Q179" i="7" s="1"/>
  <c r="N179" i="7"/>
  <c r="O179" i="7" s="1"/>
  <c r="L179" i="7" s="1"/>
  <c r="M179" i="7" s="1"/>
  <c r="U178" i="7"/>
  <c r="Q178" i="7"/>
  <c r="P178" i="7"/>
  <c r="O178" i="7"/>
  <c r="L178" i="7" s="1"/>
  <c r="N178" i="7"/>
  <c r="M178" i="7"/>
  <c r="U177" i="7"/>
  <c r="P177" i="7"/>
  <c r="Q177" i="7" s="1"/>
  <c r="N177" i="7"/>
  <c r="O177" i="7" s="1"/>
  <c r="L177" i="7"/>
  <c r="M177" i="7" s="1"/>
  <c r="U176" i="7"/>
  <c r="Q176" i="7"/>
  <c r="P176" i="7"/>
  <c r="O176" i="7"/>
  <c r="L176" i="7" s="1"/>
  <c r="M176" i="7" s="1"/>
  <c r="N176" i="7"/>
  <c r="U175" i="7"/>
  <c r="P175" i="7"/>
  <c r="Q175" i="7" s="1"/>
  <c r="N175" i="7"/>
  <c r="O175" i="7" s="1"/>
  <c r="L175" i="7" s="1"/>
  <c r="M175" i="7" s="1"/>
  <c r="U174" i="7"/>
  <c r="T174" i="7"/>
  <c r="P174" i="7"/>
  <c r="Q174" i="7" s="1"/>
  <c r="N174" i="7"/>
  <c r="O174" i="7" s="1"/>
  <c r="L174" i="7" s="1"/>
  <c r="M174" i="7" s="1"/>
  <c r="U173" i="7"/>
  <c r="Q173" i="7"/>
  <c r="P173" i="7"/>
  <c r="O173" i="7"/>
  <c r="L173" i="7" s="1"/>
  <c r="M173" i="7" s="1"/>
  <c r="N173" i="7"/>
  <c r="U172" i="7"/>
  <c r="P172" i="7"/>
  <c r="Q172" i="7" s="1"/>
  <c r="N172" i="7"/>
  <c r="O172" i="7" s="1"/>
  <c r="L172" i="7"/>
  <c r="M172" i="7" s="1"/>
  <c r="U171" i="7"/>
  <c r="Q171" i="7"/>
  <c r="P171" i="7"/>
  <c r="O171" i="7"/>
  <c r="L171" i="7" s="1"/>
  <c r="M171" i="7" s="1"/>
  <c r="N171" i="7"/>
  <c r="U170" i="7"/>
  <c r="P170" i="7"/>
  <c r="Q170" i="7" s="1"/>
  <c r="N170" i="7"/>
  <c r="O170" i="7" s="1"/>
  <c r="L170" i="7" s="1"/>
  <c r="M170" i="7" s="1"/>
  <c r="U169" i="7"/>
  <c r="T169" i="7"/>
  <c r="S169" i="7"/>
  <c r="Q169" i="7"/>
  <c r="P169" i="7"/>
  <c r="O169" i="7"/>
  <c r="N169" i="7"/>
  <c r="M169" i="7"/>
  <c r="L169" i="7"/>
  <c r="U168" i="7"/>
  <c r="P168" i="7"/>
  <c r="Q168" i="7" s="1"/>
  <c r="N168" i="7"/>
  <c r="O168" i="7" s="1"/>
  <c r="L168" i="7" s="1"/>
  <c r="M168" i="7" s="1"/>
  <c r="U167" i="7"/>
  <c r="Q167" i="7"/>
  <c r="P167" i="7"/>
  <c r="O167" i="7"/>
  <c r="L167" i="7" s="1"/>
  <c r="N167" i="7"/>
  <c r="M167" i="7"/>
  <c r="U166" i="7"/>
  <c r="P166" i="7"/>
  <c r="Q166" i="7" s="1"/>
  <c r="N166" i="7"/>
  <c r="O166" i="7" s="1"/>
  <c r="L166" i="7"/>
  <c r="M166" i="7" s="1"/>
  <c r="U165" i="7"/>
  <c r="Q165" i="7"/>
  <c r="P165" i="7"/>
  <c r="O165" i="7"/>
  <c r="L165" i="7" s="1"/>
  <c r="M165" i="7" s="1"/>
  <c r="N165" i="7"/>
  <c r="U164" i="7"/>
  <c r="P164" i="7"/>
  <c r="Q164" i="7" s="1"/>
  <c r="N164" i="7"/>
  <c r="O164" i="7" s="1"/>
  <c r="L164" i="7" s="1"/>
  <c r="M164" i="7" s="1"/>
  <c r="U163" i="7"/>
  <c r="Q163" i="7"/>
  <c r="P163" i="7"/>
  <c r="O163" i="7"/>
  <c r="L163" i="7" s="1"/>
  <c r="M163" i="7" s="1"/>
  <c r="N163" i="7"/>
  <c r="U162" i="7"/>
  <c r="P162" i="7"/>
  <c r="Q162" i="7" s="1"/>
  <c r="N162" i="7"/>
  <c r="O162" i="7" s="1"/>
  <c r="L162" i="7"/>
  <c r="M162" i="7" s="1"/>
  <c r="U161" i="7"/>
  <c r="Q161" i="7"/>
  <c r="P161" i="7"/>
  <c r="O161" i="7"/>
  <c r="L161" i="7" s="1"/>
  <c r="M161" i="7" s="1"/>
  <c r="N161" i="7"/>
  <c r="U160" i="7"/>
  <c r="P160" i="7"/>
  <c r="Q160" i="7" s="1"/>
  <c r="N160" i="7"/>
  <c r="O160" i="7" s="1"/>
  <c r="L160" i="7" s="1"/>
  <c r="M160" i="7" s="1"/>
  <c r="U159" i="7"/>
  <c r="Q159" i="7"/>
  <c r="P159" i="7"/>
  <c r="O159" i="7"/>
  <c r="L159" i="7" s="1"/>
  <c r="N159" i="7"/>
  <c r="M159" i="7"/>
  <c r="U158" i="7"/>
  <c r="P158" i="7"/>
  <c r="Q158" i="7" s="1"/>
  <c r="N158" i="7"/>
  <c r="O158" i="7" s="1"/>
  <c r="L158" i="7"/>
  <c r="M158" i="7" s="1"/>
  <c r="U157" i="7"/>
  <c r="Q157" i="7"/>
  <c r="P157" i="7"/>
  <c r="O157" i="7"/>
  <c r="L157" i="7" s="1"/>
  <c r="M157" i="7" s="1"/>
  <c r="N157" i="7"/>
  <c r="U156" i="7"/>
  <c r="P156" i="7"/>
  <c r="Q156" i="7" s="1"/>
  <c r="N156" i="7"/>
  <c r="O156" i="7" s="1"/>
  <c r="L156" i="7" s="1"/>
  <c r="M156" i="7" s="1"/>
  <c r="U155" i="7"/>
  <c r="Q155" i="7"/>
  <c r="P155" i="7"/>
  <c r="O155" i="7"/>
  <c r="L155" i="7" s="1"/>
  <c r="M155" i="7" s="1"/>
  <c r="N155" i="7"/>
  <c r="U154" i="7"/>
  <c r="P154" i="7"/>
  <c r="Q154" i="7" s="1"/>
  <c r="N154" i="7"/>
  <c r="O154" i="7" s="1"/>
  <c r="L154" i="7"/>
  <c r="M154" i="7" s="1"/>
  <c r="U153" i="7"/>
  <c r="Q153" i="7"/>
  <c r="P153" i="7"/>
  <c r="O153" i="7"/>
  <c r="L153" i="7" s="1"/>
  <c r="M153" i="7" s="1"/>
  <c r="N153" i="7"/>
  <c r="U152" i="7"/>
  <c r="P152" i="7"/>
  <c r="Q152" i="7" s="1"/>
  <c r="N152" i="7"/>
  <c r="O152" i="7" s="1"/>
  <c r="L152" i="7" s="1"/>
  <c r="M152" i="7" s="1"/>
  <c r="U151" i="7"/>
  <c r="Q151" i="7"/>
  <c r="P151" i="7"/>
  <c r="O151" i="7"/>
  <c r="L151" i="7" s="1"/>
  <c r="N151" i="7"/>
  <c r="M151" i="7"/>
  <c r="U150" i="7"/>
  <c r="P150" i="7"/>
  <c r="Q150" i="7" s="1"/>
  <c r="N150" i="7"/>
  <c r="O150" i="7" s="1"/>
  <c r="L150" i="7"/>
  <c r="M150" i="7" s="1"/>
  <c r="U149" i="7"/>
  <c r="Q149" i="7"/>
  <c r="P149" i="7"/>
  <c r="O149" i="7"/>
  <c r="L149" i="7" s="1"/>
  <c r="M149" i="7" s="1"/>
  <c r="N149" i="7"/>
  <c r="U148" i="7"/>
  <c r="P148" i="7"/>
  <c r="Q148" i="7" s="1"/>
  <c r="N148" i="7"/>
  <c r="O148" i="7" s="1"/>
  <c r="L148" i="7" s="1"/>
  <c r="M148" i="7" s="1"/>
  <c r="U147" i="7"/>
  <c r="Q147" i="7"/>
  <c r="P147" i="7"/>
  <c r="O147" i="7"/>
  <c r="L147" i="7" s="1"/>
  <c r="M147" i="7" s="1"/>
  <c r="N147" i="7"/>
  <c r="U146" i="7"/>
  <c r="P146" i="7"/>
  <c r="Q146" i="7" s="1"/>
  <c r="N146" i="7"/>
  <c r="O146" i="7" s="1"/>
  <c r="L146" i="7"/>
  <c r="M146" i="7" s="1"/>
  <c r="U145" i="7"/>
  <c r="Q145" i="7"/>
  <c r="P145" i="7"/>
  <c r="O145" i="7"/>
  <c r="L145" i="7" s="1"/>
  <c r="M145" i="7" s="1"/>
  <c r="N145" i="7"/>
  <c r="U144" i="7"/>
  <c r="P144" i="7"/>
  <c r="Q144" i="7" s="1"/>
  <c r="N144" i="7"/>
  <c r="O144" i="7" s="1"/>
  <c r="L144" i="7" s="1"/>
  <c r="M144" i="7" s="1"/>
  <c r="U143" i="7"/>
  <c r="Q143" i="7"/>
  <c r="P143" i="7"/>
  <c r="O143" i="7"/>
  <c r="L143" i="7" s="1"/>
  <c r="N143" i="7"/>
  <c r="M143" i="7"/>
  <c r="U142" i="7"/>
  <c r="P142" i="7"/>
  <c r="Q142" i="7" s="1"/>
  <c r="N142" i="7"/>
  <c r="O142" i="7" s="1"/>
  <c r="L142" i="7"/>
  <c r="M142" i="7" s="1"/>
  <c r="U141" i="7"/>
  <c r="Q141" i="7"/>
  <c r="P141" i="7"/>
  <c r="O141" i="7"/>
  <c r="L141" i="7" s="1"/>
  <c r="M141" i="7" s="1"/>
  <c r="N141" i="7"/>
  <c r="U140" i="7"/>
  <c r="P140" i="7"/>
  <c r="Q140" i="7" s="1"/>
  <c r="N140" i="7"/>
  <c r="O140" i="7" s="1"/>
  <c r="L140" i="7" s="1"/>
  <c r="M140" i="7" s="1"/>
  <c r="U139" i="7"/>
  <c r="Q139" i="7"/>
  <c r="P139" i="7"/>
  <c r="O139" i="7"/>
  <c r="L139" i="7" s="1"/>
  <c r="M139" i="7" s="1"/>
  <c r="N139" i="7"/>
  <c r="U138" i="7"/>
  <c r="P138" i="7"/>
  <c r="Q138" i="7" s="1"/>
  <c r="N138" i="7"/>
  <c r="O138" i="7" s="1"/>
  <c r="L138" i="7"/>
  <c r="M138" i="7" s="1"/>
  <c r="U137" i="7"/>
  <c r="Q137" i="7"/>
  <c r="P137" i="7"/>
  <c r="O137" i="7"/>
  <c r="L137" i="7" s="1"/>
  <c r="M137" i="7" s="1"/>
  <c r="N137" i="7"/>
  <c r="U136" i="7"/>
  <c r="P136" i="7"/>
  <c r="Q136" i="7" s="1"/>
  <c r="N136" i="7"/>
  <c r="O136" i="7" s="1"/>
  <c r="L136" i="7" s="1"/>
  <c r="M136" i="7" s="1"/>
  <c r="U135" i="7"/>
  <c r="Q135" i="7"/>
  <c r="P135" i="7"/>
  <c r="O135" i="7"/>
  <c r="L135" i="7" s="1"/>
  <c r="N135" i="7"/>
  <c r="M135" i="7"/>
  <c r="U134" i="7"/>
  <c r="P134" i="7"/>
  <c r="Q134" i="7" s="1"/>
  <c r="N134" i="7"/>
  <c r="O134" i="7" s="1"/>
  <c r="L134" i="7"/>
  <c r="M134" i="7" s="1"/>
  <c r="U133" i="7"/>
  <c r="Q133" i="7"/>
  <c r="P133" i="7"/>
  <c r="O133" i="7"/>
  <c r="L133" i="7" s="1"/>
  <c r="M133" i="7" s="1"/>
  <c r="N133" i="7"/>
  <c r="U132" i="7"/>
  <c r="P132" i="7"/>
  <c r="Q132" i="7" s="1"/>
  <c r="N132" i="7"/>
  <c r="O132" i="7" s="1"/>
  <c r="L132" i="7" s="1"/>
  <c r="M132" i="7" s="1"/>
  <c r="U131" i="7"/>
  <c r="Q131" i="7"/>
  <c r="P131" i="7"/>
  <c r="O131" i="7"/>
  <c r="L131" i="7" s="1"/>
  <c r="M131" i="7" s="1"/>
  <c r="N131" i="7"/>
  <c r="U130" i="7"/>
  <c r="P130" i="7"/>
  <c r="Q130" i="7" s="1"/>
  <c r="N130" i="7"/>
  <c r="O130" i="7" s="1"/>
  <c r="L130" i="7"/>
  <c r="M130" i="7" s="1"/>
  <c r="U129" i="7"/>
  <c r="Q129" i="7"/>
  <c r="P129" i="7"/>
  <c r="O129" i="7"/>
  <c r="L129" i="7" s="1"/>
  <c r="M129" i="7" s="1"/>
  <c r="N129" i="7"/>
  <c r="U128" i="7"/>
  <c r="P128" i="7"/>
  <c r="Q128" i="7" s="1"/>
  <c r="N128" i="7"/>
  <c r="O128" i="7" s="1"/>
  <c r="L128" i="7" s="1"/>
  <c r="M128" i="7" s="1"/>
  <c r="U127" i="7"/>
  <c r="Q127" i="7"/>
  <c r="P127" i="7"/>
  <c r="O127" i="7"/>
  <c r="L127" i="7" s="1"/>
  <c r="N127" i="7"/>
  <c r="M127" i="7"/>
  <c r="U126" i="7"/>
  <c r="P126" i="7"/>
  <c r="Q126" i="7" s="1"/>
  <c r="N126" i="7"/>
  <c r="O126" i="7" s="1"/>
  <c r="L126" i="7"/>
  <c r="M126" i="7" s="1"/>
  <c r="U125" i="7"/>
  <c r="Q125" i="7"/>
  <c r="P125" i="7"/>
  <c r="O125" i="7"/>
  <c r="L125" i="7" s="1"/>
  <c r="M125" i="7" s="1"/>
  <c r="N125" i="7"/>
  <c r="U124" i="7"/>
  <c r="P124" i="7"/>
  <c r="Q124" i="7" s="1"/>
  <c r="N124" i="7"/>
  <c r="O124" i="7" s="1"/>
  <c r="L124" i="7"/>
  <c r="M124" i="7" s="1"/>
  <c r="U123" i="7"/>
  <c r="Q123" i="7"/>
  <c r="P123" i="7"/>
  <c r="O123" i="7"/>
  <c r="L123" i="7" s="1"/>
  <c r="N123" i="7"/>
  <c r="M123" i="7"/>
  <c r="U122" i="7"/>
  <c r="P122" i="7"/>
  <c r="Q122" i="7" s="1"/>
  <c r="N122" i="7"/>
  <c r="O122" i="7" s="1"/>
  <c r="L122" i="7"/>
  <c r="M122" i="7" s="1"/>
  <c r="U121" i="7"/>
  <c r="Q121" i="7"/>
  <c r="P121" i="7"/>
  <c r="O121" i="7"/>
  <c r="L121" i="7" s="1"/>
  <c r="M121" i="7" s="1"/>
  <c r="N121" i="7"/>
  <c r="U120" i="7"/>
  <c r="P120" i="7"/>
  <c r="Q120" i="7" s="1"/>
  <c r="N120" i="7"/>
  <c r="O120" i="7" s="1"/>
  <c r="L120" i="7"/>
  <c r="M120" i="7" s="1"/>
  <c r="U119" i="7"/>
  <c r="Q119" i="7"/>
  <c r="P119" i="7"/>
  <c r="O119" i="7"/>
  <c r="L119" i="7" s="1"/>
  <c r="N119" i="7"/>
  <c r="M119" i="7"/>
  <c r="U118" i="7"/>
  <c r="P118" i="7"/>
  <c r="Q118" i="7" s="1"/>
  <c r="N118" i="7"/>
  <c r="O118" i="7" s="1"/>
  <c r="L118" i="7"/>
  <c r="M118" i="7" s="1"/>
  <c r="U117" i="7"/>
  <c r="Q117" i="7"/>
  <c r="P117" i="7"/>
  <c r="O117" i="7"/>
  <c r="L117" i="7" s="1"/>
  <c r="M117" i="7" s="1"/>
  <c r="N117" i="7"/>
  <c r="U116" i="7"/>
  <c r="P116" i="7"/>
  <c r="Q116" i="7" s="1"/>
  <c r="N116" i="7"/>
  <c r="O116" i="7" s="1"/>
  <c r="L116" i="7"/>
  <c r="M116" i="7" s="1"/>
  <c r="U115" i="7"/>
  <c r="Q115" i="7"/>
  <c r="P115" i="7"/>
  <c r="O115" i="7"/>
  <c r="L115" i="7" s="1"/>
  <c r="N115" i="7"/>
  <c r="M115" i="7"/>
  <c r="U114" i="7"/>
  <c r="P114" i="7"/>
  <c r="Q114" i="7" s="1"/>
  <c r="N114" i="7"/>
  <c r="O114" i="7" s="1"/>
  <c r="L114" i="7"/>
  <c r="M114" i="7" s="1"/>
  <c r="U113" i="7"/>
  <c r="Q113" i="7"/>
  <c r="P113" i="7"/>
  <c r="O113" i="7"/>
  <c r="L113" i="7" s="1"/>
  <c r="M113" i="7" s="1"/>
  <c r="N113" i="7"/>
  <c r="U112" i="7"/>
  <c r="P112" i="7"/>
  <c r="Q112" i="7" s="1"/>
  <c r="N112" i="7"/>
  <c r="O112" i="7" s="1"/>
  <c r="L112" i="7"/>
  <c r="M112" i="7" s="1"/>
  <c r="U111" i="7"/>
  <c r="Q111" i="7"/>
  <c r="P111" i="7"/>
  <c r="O111" i="7"/>
  <c r="L111" i="7" s="1"/>
  <c r="N111" i="7"/>
  <c r="M111" i="7"/>
  <c r="U110" i="7"/>
  <c r="P110" i="7"/>
  <c r="Q110" i="7" s="1"/>
  <c r="N110" i="7"/>
  <c r="O110" i="7" s="1"/>
  <c r="L110" i="7"/>
  <c r="M110" i="7" s="1"/>
  <c r="U109" i="7"/>
  <c r="Q109" i="7"/>
  <c r="P109" i="7"/>
  <c r="O109" i="7"/>
  <c r="L109" i="7" s="1"/>
  <c r="M109" i="7" s="1"/>
  <c r="N109" i="7"/>
  <c r="U108" i="7"/>
  <c r="P108" i="7"/>
  <c r="Q108" i="7" s="1"/>
  <c r="N108" i="7"/>
  <c r="O108" i="7" s="1"/>
  <c r="L108" i="7"/>
  <c r="M108" i="7" s="1"/>
  <c r="U107" i="7"/>
  <c r="Q107" i="7"/>
  <c r="P107" i="7"/>
  <c r="O107" i="7"/>
  <c r="L107" i="7" s="1"/>
  <c r="N107" i="7"/>
  <c r="M107" i="7"/>
  <c r="U106" i="7"/>
  <c r="P106" i="7"/>
  <c r="Q106" i="7" s="1"/>
  <c r="N106" i="7"/>
  <c r="O106" i="7" s="1"/>
  <c r="L106" i="7"/>
  <c r="M106" i="7" s="1"/>
  <c r="U105" i="7"/>
  <c r="Q105" i="7"/>
  <c r="P105" i="7"/>
  <c r="O105" i="7"/>
  <c r="L105" i="7" s="1"/>
  <c r="M105" i="7" s="1"/>
  <c r="N105" i="7"/>
  <c r="U104" i="7"/>
  <c r="P104" i="7"/>
  <c r="Q104" i="7" s="1"/>
  <c r="N104" i="7"/>
  <c r="O104" i="7" s="1"/>
  <c r="L104" i="7"/>
  <c r="M104" i="7" s="1"/>
  <c r="U103" i="7"/>
  <c r="Q103" i="7"/>
  <c r="P103" i="7"/>
  <c r="O103" i="7"/>
  <c r="L103" i="7" s="1"/>
  <c r="N103" i="7"/>
  <c r="M103" i="7"/>
  <c r="U102" i="7"/>
  <c r="P102" i="7"/>
  <c r="Q102" i="7" s="1"/>
  <c r="N102" i="7"/>
  <c r="O102" i="7" s="1"/>
  <c r="L102" i="7"/>
  <c r="M102" i="7" s="1"/>
  <c r="U101" i="7"/>
  <c r="Q101" i="7"/>
  <c r="P101" i="7"/>
  <c r="O101" i="7"/>
  <c r="L101" i="7" s="1"/>
  <c r="M101" i="7" s="1"/>
  <c r="N101" i="7"/>
  <c r="U100" i="7"/>
  <c r="P100" i="7"/>
  <c r="Q100" i="7" s="1"/>
  <c r="N100" i="7"/>
  <c r="O100" i="7" s="1"/>
  <c r="L100" i="7"/>
  <c r="M100" i="7" s="1"/>
  <c r="U99" i="7"/>
  <c r="Q99" i="7"/>
  <c r="P99" i="7"/>
  <c r="O99" i="7"/>
  <c r="L99" i="7" s="1"/>
  <c r="N99" i="7"/>
  <c r="M99" i="7"/>
  <c r="U98" i="7"/>
  <c r="P98" i="7"/>
  <c r="Q98" i="7" s="1"/>
  <c r="N98" i="7"/>
  <c r="O98" i="7" s="1"/>
  <c r="L98" i="7"/>
  <c r="M98" i="7" s="1"/>
  <c r="U97" i="7"/>
  <c r="Q97" i="7"/>
  <c r="P97" i="7"/>
  <c r="O97" i="7"/>
  <c r="L97" i="7" s="1"/>
  <c r="M97" i="7" s="1"/>
  <c r="N97" i="7"/>
  <c r="U96" i="7"/>
  <c r="P96" i="7"/>
  <c r="Q96" i="7" s="1"/>
  <c r="N96" i="7"/>
  <c r="O96" i="7" s="1"/>
  <c r="L96" i="7"/>
  <c r="M96" i="7" s="1"/>
  <c r="U95" i="7"/>
  <c r="T95" i="7"/>
  <c r="S95" i="7"/>
  <c r="Q95" i="7"/>
  <c r="P95" i="7"/>
  <c r="O95" i="7"/>
  <c r="N95" i="7"/>
  <c r="M95" i="7"/>
  <c r="L95" i="7"/>
  <c r="U94" i="7"/>
  <c r="P94" i="7"/>
  <c r="Q94" i="7" s="1"/>
  <c r="N94" i="7"/>
  <c r="O94" i="7" s="1"/>
  <c r="L94" i="7" s="1"/>
  <c r="M94" i="7" s="1"/>
  <c r="U93" i="7"/>
  <c r="Q93" i="7"/>
  <c r="P93" i="7"/>
  <c r="O93" i="7"/>
  <c r="L93" i="7" s="1"/>
  <c r="M93" i="7" s="1"/>
  <c r="N93" i="7"/>
  <c r="U92" i="7"/>
  <c r="P92" i="7"/>
  <c r="Q92" i="7" s="1"/>
  <c r="N92" i="7"/>
  <c r="O92" i="7" s="1"/>
  <c r="L92" i="7" s="1"/>
  <c r="M92" i="7" s="1"/>
  <c r="U91" i="7"/>
  <c r="Q91" i="7"/>
  <c r="P91" i="7"/>
  <c r="O91" i="7"/>
  <c r="L91" i="7" s="1"/>
  <c r="M91" i="7" s="1"/>
  <c r="N91" i="7"/>
  <c r="U90" i="7"/>
  <c r="P90" i="7"/>
  <c r="Q90" i="7" s="1"/>
  <c r="N90" i="7"/>
  <c r="O90" i="7" s="1"/>
  <c r="L90" i="7" s="1"/>
  <c r="M90" i="7" s="1"/>
  <c r="U89" i="7"/>
  <c r="Q89" i="7"/>
  <c r="P89" i="7"/>
  <c r="O89" i="7"/>
  <c r="L89" i="7" s="1"/>
  <c r="M89" i="7" s="1"/>
  <c r="N89" i="7"/>
  <c r="U88" i="7"/>
  <c r="P88" i="7"/>
  <c r="Q88" i="7" s="1"/>
  <c r="N88" i="7"/>
  <c r="O88" i="7" s="1"/>
  <c r="L88" i="7" s="1"/>
  <c r="M88" i="7" s="1"/>
  <c r="U87" i="7"/>
  <c r="Q87" i="7"/>
  <c r="P87" i="7"/>
  <c r="O87" i="7"/>
  <c r="L87" i="7" s="1"/>
  <c r="M87" i="7" s="1"/>
  <c r="N87" i="7"/>
  <c r="U86" i="7"/>
  <c r="P86" i="7"/>
  <c r="Q86" i="7" s="1"/>
  <c r="N86" i="7"/>
  <c r="O86" i="7" s="1"/>
  <c r="L86" i="7" s="1"/>
  <c r="M86" i="7" s="1"/>
  <c r="U85" i="7"/>
  <c r="Q85" i="7"/>
  <c r="P85" i="7"/>
  <c r="O85" i="7"/>
  <c r="L85" i="7" s="1"/>
  <c r="M85" i="7" s="1"/>
  <c r="N85" i="7"/>
  <c r="U84" i="7"/>
  <c r="P84" i="7"/>
  <c r="Q84" i="7" s="1"/>
  <c r="N84" i="7"/>
  <c r="O84" i="7" s="1"/>
  <c r="L84" i="7" s="1"/>
  <c r="M84" i="7" s="1"/>
  <c r="U83" i="7"/>
  <c r="Q83" i="7"/>
  <c r="P83" i="7"/>
  <c r="O83" i="7"/>
  <c r="L83" i="7" s="1"/>
  <c r="M83" i="7" s="1"/>
  <c r="N83" i="7"/>
  <c r="U82" i="7"/>
  <c r="P82" i="7"/>
  <c r="Q82" i="7" s="1"/>
  <c r="N82" i="7"/>
  <c r="O82" i="7" s="1"/>
  <c r="L82" i="7" s="1"/>
  <c r="M82" i="7" s="1"/>
  <c r="U81" i="7"/>
  <c r="Q81" i="7"/>
  <c r="P81" i="7"/>
  <c r="O81" i="7"/>
  <c r="L81" i="7" s="1"/>
  <c r="M81" i="7" s="1"/>
  <c r="N81" i="7"/>
  <c r="U80" i="7"/>
  <c r="P80" i="7"/>
  <c r="Q80" i="7" s="1"/>
  <c r="N80" i="7"/>
  <c r="O80" i="7" s="1"/>
  <c r="L80" i="7" s="1"/>
  <c r="M80" i="7" s="1"/>
  <c r="U79" i="7"/>
  <c r="Q79" i="7"/>
  <c r="P79" i="7"/>
  <c r="O79" i="7"/>
  <c r="L79" i="7" s="1"/>
  <c r="M79" i="7" s="1"/>
  <c r="N79" i="7"/>
  <c r="U78" i="7"/>
  <c r="P78" i="7"/>
  <c r="Q78" i="7" s="1"/>
  <c r="N78" i="7"/>
  <c r="O78" i="7" s="1"/>
  <c r="L78" i="7" s="1"/>
  <c r="M78" i="7" s="1"/>
  <c r="U77" i="7"/>
  <c r="Q77" i="7"/>
  <c r="P77" i="7"/>
  <c r="O77" i="7"/>
  <c r="L77" i="7" s="1"/>
  <c r="M77" i="7" s="1"/>
  <c r="N77" i="7"/>
  <c r="U76" i="7"/>
  <c r="P76" i="7"/>
  <c r="Q76" i="7" s="1"/>
  <c r="N76" i="7"/>
  <c r="O76" i="7" s="1"/>
  <c r="L76" i="7" s="1"/>
  <c r="M76" i="7" s="1"/>
  <c r="U75" i="7"/>
  <c r="Q75" i="7"/>
  <c r="P75" i="7"/>
  <c r="O75" i="7"/>
  <c r="L75" i="7" s="1"/>
  <c r="M75" i="7" s="1"/>
  <c r="N75" i="7"/>
  <c r="U74" i="7"/>
  <c r="P74" i="7"/>
  <c r="Q74" i="7" s="1"/>
  <c r="N74" i="7"/>
  <c r="O74" i="7" s="1"/>
  <c r="L74" i="7" s="1"/>
  <c r="M74" i="7" s="1"/>
  <c r="U73" i="7"/>
  <c r="Q73" i="7"/>
  <c r="P73" i="7"/>
  <c r="O73" i="7"/>
  <c r="L73" i="7" s="1"/>
  <c r="M73" i="7" s="1"/>
  <c r="N73" i="7"/>
  <c r="U72" i="7"/>
  <c r="P72" i="7"/>
  <c r="Q72" i="7" s="1"/>
  <c r="N72" i="7"/>
  <c r="O72" i="7" s="1"/>
  <c r="L72" i="7" s="1"/>
  <c r="M72" i="7" s="1"/>
  <c r="U71" i="7"/>
  <c r="Q71" i="7"/>
  <c r="P71" i="7"/>
  <c r="O71" i="7"/>
  <c r="L71" i="7" s="1"/>
  <c r="M71" i="7" s="1"/>
  <c r="N71" i="7"/>
  <c r="U70" i="7"/>
  <c r="P70" i="7"/>
  <c r="Q70" i="7" s="1"/>
  <c r="N70" i="7"/>
  <c r="O70" i="7" s="1"/>
  <c r="L70" i="7" s="1"/>
  <c r="M70" i="7" s="1"/>
  <c r="U69" i="7"/>
  <c r="Q69" i="7"/>
  <c r="P69" i="7"/>
  <c r="O69" i="7"/>
  <c r="L69" i="7" s="1"/>
  <c r="M69" i="7" s="1"/>
  <c r="N69" i="7"/>
  <c r="U68" i="7"/>
  <c r="P68" i="7"/>
  <c r="Q68" i="7" s="1"/>
  <c r="N68" i="7"/>
  <c r="O68" i="7" s="1"/>
  <c r="L68" i="7" s="1"/>
  <c r="M68" i="7" s="1"/>
  <c r="U67" i="7"/>
  <c r="S67" i="7"/>
  <c r="R67" i="7"/>
  <c r="P67" i="7"/>
  <c r="Q67" i="7" s="1"/>
  <c r="N67" i="7"/>
  <c r="O67" i="7" s="1"/>
  <c r="L67" i="7"/>
  <c r="M67" i="7" s="1"/>
  <c r="U66" i="7"/>
  <c r="Q66" i="7"/>
  <c r="P66" i="7"/>
  <c r="O66" i="7"/>
  <c r="L66" i="7" s="1"/>
  <c r="M66" i="7" s="1"/>
  <c r="N66" i="7"/>
  <c r="U65" i="7"/>
  <c r="P65" i="7"/>
  <c r="Q65" i="7" s="1"/>
  <c r="N65" i="7"/>
  <c r="O65" i="7" s="1"/>
  <c r="L65" i="7" s="1"/>
  <c r="M65" i="7" s="1"/>
  <c r="U64" i="7"/>
  <c r="Q64" i="7"/>
  <c r="P64" i="7"/>
  <c r="O64" i="7"/>
  <c r="L64" i="7" s="1"/>
  <c r="M64" i="7" s="1"/>
  <c r="N64" i="7"/>
  <c r="U63" i="7"/>
  <c r="P63" i="7"/>
  <c r="Q63" i="7" s="1"/>
  <c r="N63" i="7"/>
  <c r="O63" i="7" s="1"/>
  <c r="L63" i="7" s="1"/>
  <c r="M63" i="7" s="1"/>
  <c r="U62" i="7"/>
  <c r="Q62" i="7"/>
  <c r="P62" i="7"/>
  <c r="O62" i="7"/>
  <c r="L62" i="7" s="1"/>
  <c r="M62" i="7" s="1"/>
  <c r="N62" i="7"/>
  <c r="U61" i="7"/>
  <c r="P61" i="7"/>
  <c r="Q61" i="7" s="1"/>
  <c r="N61" i="7"/>
  <c r="O61" i="7" s="1"/>
  <c r="L61" i="7" s="1"/>
  <c r="M61" i="7" s="1"/>
  <c r="U60" i="7"/>
  <c r="Q60" i="7"/>
  <c r="P60" i="7"/>
  <c r="O60" i="7"/>
  <c r="L60" i="7" s="1"/>
  <c r="M60" i="7" s="1"/>
  <c r="N60" i="7"/>
  <c r="U59" i="7"/>
  <c r="P59" i="7"/>
  <c r="Q59" i="7" s="1"/>
  <c r="N59" i="7"/>
  <c r="O59" i="7" s="1"/>
  <c r="L59" i="7" s="1"/>
  <c r="M59" i="7" s="1"/>
  <c r="U58" i="7"/>
  <c r="Q58" i="7"/>
  <c r="P58" i="7"/>
  <c r="O58" i="7"/>
  <c r="L58" i="7" s="1"/>
  <c r="M58" i="7" s="1"/>
  <c r="N58" i="7"/>
  <c r="U57" i="7"/>
  <c r="P57" i="7"/>
  <c r="Q57" i="7" s="1"/>
  <c r="N57" i="7"/>
  <c r="O57" i="7" s="1"/>
  <c r="L57" i="7" s="1"/>
  <c r="M57" i="7" s="1"/>
  <c r="U56" i="7"/>
  <c r="Q56" i="7"/>
  <c r="P56" i="7"/>
  <c r="O56" i="7"/>
  <c r="L56" i="7" s="1"/>
  <c r="M56" i="7" s="1"/>
  <c r="N56" i="7"/>
  <c r="U55" i="7"/>
  <c r="P55" i="7"/>
  <c r="Q55" i="7" s="1"/>
  <c r="N55" i="7"/>
  <c r="O55" i="7" s="1"/>
  <c r="L55" i="7" s="1"/>
  <c r="M55" i="7" s="1"/>
  <c r="U54" i="7"/>
  <c r="Q54" i="7"/>
  <c r="P54" i="7"/>
  <c r="O54" i="7"/>
  <c r="L54" i="7" s="1"/>
  <c r="M54" i="7" s="1"/>
  <c r="N54" i="7"/>
  <c r="U53" i="7"/>
  <c r="P53" i="7"/>
  <c r="Q53" i="7" s="1"/>
  <c r="N53" i="7"/>
  <c r="O53" i="7" s="1"/>
  <c r="L53" i="7" s="1"/>
  <c r="M53" i="7" s="1"/>
  <c r="U52" i="7"/>
  <c r="Q52" i="7"/>
  <c r="P52" i="7"/>
  <c r="O52" i="7"/>
  <c r="L52" i="7" s="1"/>
  <c r="M52" i="7" s="1"/>
  <c r="N52" i="7"/>
  <c r="U51" i="7"/>
  <c r="P51" i="7"/>
  <c r="Q51" i="7" s="1"/>
  <c r="N51" i="7"/>
  <c r="O51" i="7" s="1"/>
  <c r="L51" i="7" s="1"/>
  <c r="M51" i="7" s="1"/>
  <c r="U50" i="7"/>
  <c r="Q50" i="7"/>
  <c r="P50" i="7"/>
  <c r="O50" i="7"/>
  <c r="L50" i="7" s="1"/>
  <c r="M50" i="7" s="1"/>
  <c r="N50" i="7"/>
  <c r="U49" i="7"/>
  <c r="P49" i="7"/>
  <c r="Q49" i="7" s="1"/>
  <c r="N49" i="7"/>
  <c r="O49" i="7" s="1"/>
  <c r="L49" i="7" s="1"/>
  <c r="M49" i="7" s="1"/>
  <c r="U48" i="7"/>
  <c r="Q48" i="7"/>
  <c r="P48" i="7"/>
  <c r="O48" i="7"/>
  <c r="L48" i="7" s="1"/>
  <c r="M48" i="7" s="1"/>
  <c r="N48" i="7"/>
  <c r="U47" i="7"/>
  <c r="P47" i="7"/>
  <c r="Q47" i="7" s="1"/>
  <c r="N47" i="7"/>
  <c r="O47" i="7" s="1"/>
  <c r="L47" i="7" s="1"/>
  <c r="M47" i="7" s="1"/>
  <c r="U46" i="7"/>
  <c r="Q46" i="7"/>
  <c r="P46" i="7"/>
  <c r="O46" i="7"/>
  <c r="L46" i="7" s="1"/>
  <c r="M46" i="7" s="1"/>
  <c r="N46" i="7"/>
  <c r="U45" i="7"/>
  <c r="P45" i="7"/>
  <c r="Q45" i="7" s="1"/>
  <c r="N45" i="7"/>
  <c r="O45" i="7" s="1"/>
  <c r="L45" i="7" s="1"/>
  <c r="M45" i="7" s="1"/>
  <c r="U44" i="7"/>
  <c r="Q44" i="7"/>
  <c r="P44" i="7"/>
  <c r="O44" i="7"/>
  <c r="L44" i="7" s="1"/>
  <c r="M44" i="7" s="1"/>
  <c r="N44" i="7"/>
  <c r="U43" i="7"/>
  <c r="P43" i="7"/>
  <c r="Q43" i="7" s="1"/>
  <c r="N43" i="7"/>
  <c r="O43" i="7" s="1"/>
  <c r="L43" i="7" s="1"/>
  <c r="M43" i="7" s="1"/>
  <c r="U42" i="7"/>
  <c r="Q42" i="7"/>
  <c r="P42" i="7"/>
  <c r="O42" i="7"/>
  <c r="L42" i="7" s="1"/>
  <c r="M42" i="7" s="1"/>
  <c r="N42" i="7"/>
  <c r="U41" i="7"/>
  <c r="P41" i="7"/>
  <c r="Q41" i="7" s="1"/>
  <c r="N41" i="7"/>
  <c r="O41" i="7" s="1"/>
  <c r="L41" i="7" s="1"/>
  <c r="M41" i="7" s="1"/>
  <c r="U40" i="7"/>
  <c r="Q40" i="7"/>
  <c r="P40" i="7"/>
  <c r="O40" i="7"/>
  <c r="L40" i="7" s="1"/>
  <c r="M40" i="7" s="1"/>
  <c r="N40" i="7"/>
  <c r="U39" i="7"/>
  <c r="P39" i="7"/>
  <c r="Q39" i="7" s="1"/>
  <c r="N39" i="7"/>
  <c r="O39" i="7" s="1"/>
  <c r="L39" i="7" s="1"/>
  <c r="M39" i="7" s="1"/>
  <c r="U38" i="7"/>
  <c r="Q38" i="7"/>
  <c r="P38" i="7"/>
  <c r="O38" i="7"/>
  <c r="L38" i="7" s="1"/>
  <c r="M38" i="7" s="1"/>
  <c r="N38" i="7"/>
  <c r="U37" i="7"/>
  <c r="P37" i="7"/>
  <c r="Q37" i="7" s="1"/>
  <c r="N37" i="7"/>
  <c r="O37" i="7" s="1"/>
  <c r="L37" i="7" s="1"/>
  <c r="M37" i="7" s="1"/>
  <c r="U36" i="7"/>
  <c r="Q36" i="7"/>
  <c r="P36" i="7"/>
  <c r="O36" i="7"/>
  <c r="L36" i="7" s="1"/>
  <c r="M36" i="7" s="1"/>
  <c r="N36" i="7"/>
  <c r="U35" i="7"/>
  <c r="P35" i="7"/>
  <c r="Q35" i="7" s="1"/>
  <c r="N35" i="7"/>
  <c r="O35" i="7" s="1"/>
  <c r="L35" i="7" s="1"/>
  <c r="M35" i="7" s="1"/>
  <c r="U34" i="7"/>
  <c r="Q34" i="7"/>
  <c r="P34" i="7"/>
  <c r="O34" i="7"/>
  <c r="L34" i="7" s="1"/>
  <c r="M34" i="7" s="1"/>
  <c r="N34" i="7"/>
  <c r="U33" i="7"/>
  <c r="P33" i="7"/>
  <c r="Q33" i="7" s="1"/>
  <c r="N33" i="7"/>
  <c r="O33" i="7" s="1"/>
  <c r="L33" i="7" s="1"/>
  <c r="M33" i="7" s="1"/>
  <c r="U32" i="7"/>
  <c r="Q32" i="7"/>
  <c r="P32" i="7"/>
  <c r="O32" i="7"/>
  <c r="L32" i="7" s="1"/>
  <c r="M32" i="7" s="1"/>
  <c r="N32" i="7"/>
  <c r="U31" i="7"/>
  <c r="P31" i="7"/>
  <c r="Q31" i="7" s="1"/>
  <c r="N31" i="7"/>
  <c r="O31" i="7" s="1"/>
  <c r="L31" i="7" s="1"/>
  <c r="M31" i="7" s="1"/>
  <c r="U30" i="7"/>
  <c r="Q30" i="7"/>
  <c r="P30" i="7"/>
  <c r="O30" i="7"/>
  <c r="L30" i="7" s="1"/>
  <c r="M30" i="7" s="1"/>
  <c r="N30" i="7"/>
  <c r="U29" i="7"/>
  <c r="P29" i="7"/>
  <c r="Q29" i="7" s="1"/>
  <c r="N29" i="7"/>
  <c r="O29" i="7" s="1"/>
  <c r="L29" i="7" s="1"/>
  <c r="M29" i="7" s="1"/>
  <c r="U28" i="7"/>
  <c r="Q28" i="7"/>
  <c r="P28" i="7"/>
  <c r="O28" i="7"/>
  <c r="L28" i="7" s="1"/>
  <c r="M28" i="7" s="1"/>
  <c r="N28" i="7"/>
  <c r="U27" i="7"/>
  <c r="Q27" i="7"/>
  <c r="P27" i="7"/>
  <c r="T27" i="7" s="1"/>
  <c r="O27" i="7"/>
  <c r="N27" i="7"/>
  <c r="M27" i="7"/>
  <c r="L27" i="7"/>
  <c r="U26" i="7"/>
  <c r="P26" i="7"/>
  <c r="Q26" i="7" s="1"/>
  <c r="N26" i="7"/>
  <c r="O26" i="7" s="1"/>
  <c r="L26" i="7" s="1"/>
  <c r="M26" i="7" s="1"/>
  <c r="U25" i="7"/>
  <c r="Q25" i="7"/>
  <c r="P25" i="7"/>
  <c r="O25" i="7"/>
  <c r="L25" i="7" s="1"/>
  <c r="M25" i="7" s="1"/>
  <c r="N25" i="7"/>
  <c r="U24" i="7"/>
  <c r="P24" i="7"/>
  <c r="Q24" i="7" s="1"/>
  <c r="N24" i="7"/>
  <c r="O24" i="7" s="1"/>
  <c r="L24" i="7" s="1"/>
  <c r="M24" i="7" s="1"/>
  <c r="U23" i="7"/>
  <c r="Q23" i="7"/>
  <c r="P23" i="7"/>
  <c r="O23" i="7"/>
  <c r="L23" i="7" s="1"/>
  <c r="M23" i="7" s="1"/>
  <c r="N23" i="7"/>
  <c r="U22" i="7"/>
  <c r="P22" i="7"/>
  <c r="Q22" i="7" s="1"/>
  <c r="N22" i="7"/>
  <c r="O22" i="7" s="1"/>
  <c r="L22" i="7" s="1"/>
  <c r="M22" i="7" s="1"/>
  <c r="U21" i="7"/>
  <c r="Q21" i="7"/>
  <c r="P21" i="7"/>
  <c r="O21" i="7"/>
  <c r="L21" i="7" s="1"/>
  <c r="M21" i="7" s="1"/>
  <c r="N21" i="7"/>
  <c r="U20" i="7"/>
  <c r="P20" i="7"/>
  <c r="Q20" i="7" s="1"/>
  <c r="N20" i="7"/>
  <c r="O20" i="7" s="1"/>
  <c r="L20" i="7" s="1"/>
  <c r="M20" i="7" s="1"/>
  <c r="U19" i="7"/>
  <c r="Q19" i="7"/>
  <c r="P19" i="7"/>
  <c r="O19" i="7"/>
  <c r="L19" i="7" s="1"/>
  <c r="M19" i="7" s="1"/>
  <c r="N19" i="7"/>
  <c r="U18" i="7"/>
  <c r="P18" i="7"/>
  <c r="Q18" i="7" s="1"/>
  <c r="N18" i="7"/>
  <c r="O18" i="7" s="1"/>
  <c r="L18" i="7" s="1"/>
  <c r="M18" i="7" s="1"/>
  <c r="U17" i="7"/>
  <c r="Q17" i="7"/>
  <c r="P17" i="7"/>
  <c r="O17" i="7"/>
  <c r="L17" i="7" s="1"/>
  <c r="M17" i="7" s="1"/>
  <c r="N17" i="7"/>
  <c r="U16" i="7"/>
  <c r="P16" i="7"/>
  <c r="Q16" i="7" s="1"/>
  <c r="N16" i="7"/>
  <c r="O16" i="7" s="1"/>
  <c r="L16" i="7" s="1"/>
  <c r="M16" i="7" s="1"/>
  <c r="U15" i="7"/>
  <c r="Q15" i="7"/>
  <c r="P15" i="7"/>
  <c r="O15" i="7"/>
  <c r="L15" i="7" s="1"/>
  <c r="M15" i="7" s="1"/>
  <c r="N15" i="7"/>
  <c r="U14" i="7"/>
  <c r="P14" i="7"/>
  <c r="Q14" i="7" s="1"/>
  <c r="N14" i="7"/>
  <c r="O14" i="7" s="1"/>
  <c r="L14" i="7" s="1"/>
  <c r="M14" i="7" s="1"/>
  <c r="U13" i="7"/>
  <c r="Q13" i="7"/>
  <c r="P13" i="7"/>
  <c r="O13" i="7"/>
  <c r="L13" i="7" s="1"/>
  <c r="M13" i="7" s="1"/>
  <c r="N13" i="7"/>
  <c r="U12" i="7"/>
  <c r="P12" i="7"/>
  <c r="Q12" i="7" s="1"/>
  <c r="N12" i="7"/>
  <c r="O12" i="7" s="1"/>
  <c r="L12" i="7" s="1"/>
  <c r="M12" i="7" s="1"/>
  <c r="U11" i="7"/>
  <c r="Q11" i="7"/>
  <c r="P11" i="7"/>
  <c r="O11" i="7"/>
  <c r="L11" i="7" s="1"/>
  <c r="M11" i="7" s="1"/>
  <c r="N11" i="7"/>
  <c r="U10" i="7"/>
  <c r="P10" i="7"/>
  <c r="Q10" i="7" s="1"/>
  <c r="N10" i="7"/>
  <c r="O10" i="7" s="1"/>
  <c r="L10" i="7" s="1"/>
  <c r="M10" i="7" s="1"/>
  <c r="U9" i="7"/>
  <c r="Q9" i="7"/>
  <c r="P9" i="7"/>
  <c r="O9" i="7"/>
  <c r="L9" i="7" s="1"/>
  <c r="M9" i="7" s="1"/>
  <c r="N9" i="7"/>
  <c r="U8" i="7"/>
  <c r="P8" i="7"/>
  <c r="Q8" i="7" s="1"/>
  <c r="N8" i="7"/>
  <c r="O8" i="7" s="1"/>
  <c r="L8" i="7" s="1"/>
  <c r="M8" i="7" s="1"/>
  <c r="U7" i="7"/>
  <c r="Q7" i="7"/>
  <c r="P7" i="7"/>
  <c r="O7" i="7"/>
  <c r="L7" i="7" s="1"/>
  <c r="M7" i="7" s="1"/>
  <c r="N7" i="7"/>
  <c r="U6" i="7"/>
  <c r="P6" i="7"/>
  <c r="Q6" i="7" s="1"/>
  <c r="N6" i="7"/>
  <c r="O6" i="7" s="1"/>
  <c r="L6" i="7" s="1"/>
  <c r="M6" i="7" s="1"/>
  <c r="U5" i="7"/>
  <c r="Q5" i="7"/>
  <c r="P5" i="7"/>
  <c r="O5" i="7"/>
  <c r="L5" i="7" s="1"/>
  <c r="M5" i="7" s="1"/>
  <c r="N5" i="7"/>
  <c r="U4" i="7"/>
  <c r="P4" i="7"/>
  <c r="Q4" i="7" s="1"/>
  <c r="N4" i="7"/>
  <c r="O4" i="7" s="1"/>
  <c r="L4" i="7" s="1"/>
  <c r="M4" i="7" s="1"/>
  <c r="U3" i="7"/>
  <c r="Q3" i="7"/>
  <c r="P3" i="7"/>
  <c r="O3" i="7"/>
  <c r="L3" i="7" s="1"/>
  <c r="M3" i="7" s="1"/>
  <c r="N3" i="7"/>
  <c r="U2" i="7"/>
  <c r="P2" i="7"/>
  <c r="Q2" i="7" s="1"/>
  <c r="N2" i="7"/>
  <c r="O2" i="7" s="1"/>
  <c r="L2" i="7" s="1"/>
  <c r="M2" i="7" s="1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P448" i="6"/>
  <c r="O448" i="6"/>
  <c r="N448" i="6"/>
  <c r="K448" i="6" s="1"/>
  <c r="L448" i="6" s="1"/>
  <c r="M448" i="6"/>
  <c r="T447" i="6"/>
  <c r="O447" i="6"/>
  <c r="P447" i="6" s="1"/>
  <c r="M447" i="6"/>
  <c r="N447" i="6" s="1"/>
  <c r="K447" i="6" s="1"/>
  <c r="L447" i="6" s="1"/>
  <c r="T446" i="6"/>
  <c r="P446" i="6"/>
  <c r="O446" i="6"/>
  <c r="N446" i="6"/>
  <c r="K446" i="6" s="1"/>
  <c r="L446" i="6" s="1"/>
  <c r="M446" i="6"/>
  <c r="T445" i="6"/>
  <c r="O445" i="6"/>
  <c r="P445" i="6" s="1"/>
  <c r="M445" i="6"/>
  <c r="N445" i="6" s="1"/>
  <c r="K445" i="6" s="1"/>
  <c r="L445" i="6" s="1"/>
  <c r="T444" i="6"/>
  <c r="P444" i="6"/>
  <c r="O444" i="6"/>
  <c r="N444" i="6"/>
  <c r="K444" i="6" s="1"/>
  <c r="L444" i="6" s="1"/>
  <c r="M444" i="6"/>
  <c r="T443" i="6"/>
  <c r="O443" i="6"/>
  <c r="P443" i="6" s="1"/>
  <c r="M443" i="6"/>
  <c r="N443" i="6" s="1"/>
  <c r="K443" i="6" s="1"/>
  <c r="L443" i="6" s="1"/>
  <c r="T442" i="6"/>
  <c r="P442" i="6"/>
  <c r="O442" i="6"/>
  <c r="N442" i="6"/>
  <c r="K442" i="6" s="1"/>
  <c r="L442" i="6" s="1"/>
  <c r="M442" i="6"/>
  <c r="T441" i="6"/>
  <c r="O441" i="6"/>
  <c r="P441" i="6" s="1"/>
  <c r="M441" i="6"/>
  <c r="N441" i="6" s="1"/>
  <c r="K441" i="6" s="1"/>
  <c r="L441" i="6" s="1"/>
  <c r="T440" i="6"/>
  <c r="P440" i="6"/>
  <c r="O440" i="6"/>
  <c r="N440" i="6"/>
  <c r="K440" i="6" s="1"/>
  <c r="L440" i="6" s="1"/>
  <c r="M440" i="6"/>
  <c r="T439" i="6"/>
  <c r="O439" i="6"/>
  <c r="P439" i="6" s="1"/>
  <c r="M439" i="6"/>
  <c r="N439" i="6" s="1"/>
  <c r="K439" i="6" s="1"/>
  <c r="L439" i="6" s="1"/>
  <c r="T438" i="6"/>
  <c r="P438" i="6"/>
  <c r="O438" i="6"/>
  <c r="N438" i="6"/>
  <c r="K438" i="6" s="1"/>
  <c r="L438" i="6" s="1"/>
  <c r="M438" i="6"/>
  <c r="T437" i="6"/>
  <c r="O437" i="6"/>
  <c r="P437" i="6" s="1"/>
  <c r="M437" i="6"/>
  <c r="N437" i="6" s="1"/>
  <c r="K437" i="6" s="1"/>
  <c r="L437" i="6" s="1"/>
  <c r="T436" i="6"/>
  <c r="P436" i="6"/>
  <c r="O436" i="6"/>
  <c r="N436" i="6"/>
  <c r="K436" i="6" s="1"/>
  <c r="L436" i="6" s="1"/>
  <c r="M436" i="6"/>
  <c r="T435" i="6"/>
  <c r="O435" i="6"/>
  <c r="P435" i="6" s="1"/>
  <c r="M435" i="6"/>
  <c r="N435" i="6" s="1"/>
  <c r="K435" i="6" s="1"/>
  <c r="L435" i="6" s="1"/>
  <c r="T434" i="6"/>
  <c r="P434" i="6"/>
  <c r="O434" i="6"/>
  <c r="N434" i="6"/>
  <c r="K434" i="6" s="1"/>
  <c r="L434" i="6" s="1"/>
  <c r="M434" i="6"/>
  <c r="T433" i="6"/>
  <c r="O433" i="6"/>
  <c r="P433" i="6" s="1"/>
  <c r="M433" i="6"/>
  <c r="N433" i="6" s="1"/>
  <c r="K433" i="6" s="1"/>
  <c r="L433" i="6" s="1"/>
  <c r="T432" i="6"/>
  <c r="P432" i="6"/>
  <c r="O432" i="6"/>
  <c r="N432" i="6"/>
  <c r="K432" i="6" s="1"/>
  <c r="L432" i="6" s="1"/>
  <c r="M432" i="6"/>
  <c r="T431" i="6"/>
  <c r="O431" i="6"/>
  <c r="P431" i="6" s="1"/>
  <c r="M431" i="6"/>
  <c r="N431" i="6" s="1"/>
  <c r="K431" i="6" s="1"/>
  <c r="L431" i="6" s="1"/>
  <c r="T430" i="6"/>
  <c r="P430" i="6"/>
  <c r="O430" i="6"/>
  <c r="N430" i="6"/>
  <c r="K430" i="6" s="1"/>
  <c r="L430" i="6" s="1"/>
  <c r="M430" i="6"/>
  <c r="T429" i="6"/>
  <c r="O429" i="6"/>
  <c r="P429" i="6" s="1"/>
  <c r="M429" i="6"/>
  <c r="N429" i="6" s="1"/>
  <c r="K429" i="6" s="1"/>
  <c r="L429" i="6" s="1"/>
  <c r="T428" i="6"/>
  <c r="P428" i="6"/>
  <c r="O428" i="6"/>
  <c r="N428" i="6"/>
  <c r="K428" i="6" s="1"/>
  <c r="L428" i="6" s="1"/>
  <c r="M428" i="6"/>
  <c r="T427" i="6"/>
  <c r="O427" i="6"/>
  <c r="P427" i="6" s="1"/>
  <c r="M427" i="6"/>
  <c r="N427" i="6" s="1"/>
  <c r="K427" i="6" s="1"/>
  <c r="L427" i="6" s="1"/>
  <c r="T426" i="6"/>
  <c r="P426" i="6"/>
  <c r="O426" i="6"/>
  <c r="N426" i="6"/>
  <c r="K426" i="6" s="1"/>
  <c r="L426" i="6" s="1"/>
  <c r="M426" i="6"/>
  <c r="T425" i="6"/>
  <c r="O425" i="6"/>
  <c r="P425" i="6" s="1"/>
  <c r="M425" i="6"/>
  <c r="N425" i="6" s="1"/>
  <c r="K425" i="6" s="1"/>
  <c r="L425" i="6" s="1"/>
  <c r="T424" i="6"/>
  <c r="P424" i="6"/>
  <c r="O424" i="6"/>
  <c r="N424" i="6"/>
  <c r="K424" i="6" s="1"/>
  <c r="L424" i="6" s="1"/>
  <c r="M424" i="6"/>
  <c r="T423" i="6"/>
  <c r="O423" i="6"/>
  <c r="P423" i="6" s="1"/>
  <c r="I425" i="10" s="1"/>
  <c r="M423" i="6"/>
  <c r="N423" i="6" s="1"/>
  <c r="K423" i="6" s="1"/>
  <c r="L423" i="6" s="1"/>
  <c r="T422" i="6"/>
  <c r="P422" i="6"/>
  <c r="I424" i="10" s="1"/>
  <c r="O422" i="6"/>
  <c r="N422" i="6"/>
  <c r="K422" i="6" s="1"/>
  <c r="L422" i="6" s="1"/>
  <c r="M422" i="6"/>
  <c r="T421" i="6"/>
  <c r="O421" i="6"/>
  <c r="P421" i="6" s="1"/>
  <c r="I423" i="10" s="1"/>
  <c r="M421" i="6"/>
  <c r="N421" i="6" s="1"/>
  <c r="K421" i="6" s="1"/>
  <c r="L421" i="6" s="1"/>
  <c r="T420" i="6"/>
  <c r="P420" i="6"/>
  <c r="I422" i="10" s="1"/>
  <c r="O420" i="6"/>
  <c r="N420" i="6"/>
  <c r="K420" i="6" s="1"/>
  <c r="L420" i="6" s="1"/>
  <c r="M420" i="6"/>
  <c r="T419" i="6"/>
  <c r="O419" i="6"/>
  <c r="P419" i="6" s="1"/>
  <c r="I421" i="10" s="1"/>
  <c r="M419" i="6"/>
  <c r="N419" i="6" s="1"/>
  <c r="K419" i="6" s="1"/>
  <c r="L419" i="6" s="1"/>
  <c r="T418" i="6"/>
  <c r="P418" i="6"/>
  <c r="I420" i="10" s="1"/>
  <c r="O418" i="6"/>
  <c r="N418" i="6"/>
  <c r="K418" i="6" s="1"/>
  <c r="L418" i="6" s="1"/>
  <c r="M418" i="6"/>
  <c r="T417" i="6"/>
  <c r="O417" i="6"/>
  <c r="P417" i="6" s="1"/>
  <c r="I419" i="10" s="1"/>
  <c r="M417" i="6"/>
  <c r="N417" i="6" s="1"/>
  <c r="K417" i="6" s="1"/>
  <c r="L417" i="6" s="1"/>
  <c r="T416" i="6"/>
  <c r="P416" i="6"/>
  <c r="I418" i="10" s="1"/>
  <c r="O416" i="6"/>
  <c r="N416" i="6"/>
  <c r="K416" i="6" s="1"/>
  <c r="L416" i="6" s="1"/>
  <c r="M416" i="6"/>
  <c r="T415" i="6"/>
  <c r="O415" i="6"/>
  <c r="P415" i="6" s="1"/>
  <c r="I417" i="10" s="1"/>
  <c r="M415" i="6"/>
  <c r="N415" i="6" s="1"/>
  <c r="K415" i="6" s="1"/>
  <c r="L415" i="6" s="1"/>
  <c r="T414" i="6"/>
  <c r="P414" i="6"/>
  <c r="I416" i="10" s="1"/>
  <c r="O414" i="6"/>
  <c r="N414" i="6"/>
  <c r="K414" i="6" s="1"/>
  <c r="L414" i="6" s="1"/>
  <c r="M414" i="6"/>
  <c r="T413" i="6"/>
  <c r="O413" i="6"/>
  <c r="P413" i="6" s="1"/>
  <c r="I415" i="10" s="1"/>
  <c r="M413" i="6"/>
  <c r="N413" i="6" s="1"/>
  <c r="K413" i="6" s="1"/>
  <c r="L413" i="6" s="1"/>
  <c r="T412" i="6"/>
  <c r="P412" i="6"/>
  <c r="I414" i="10" s="1"/>
  <c r="O412" i="6"/>
  <c r="N412" i="6"/>
  <c r="K412" i="6" s="1"/>
  <c r="L412" i="6" s="1"/>
  <c r="M412" i="6"/>
  <c r="T411" i="6"/>
  <c r="O411" i="6"/>
  <c r="P411" i="6" s="1"/>
  <c r="I413" i="10" s="1"/>
  <c r="M411" i="6"/>
  <c r="N411" i="6" s="1"/>
  <c r="K411" i="6" s="1"/>
  <c r="L411" i="6" s="1"/>
  <c r="T410" i="6"/>
  <c r="P410" i="6"/>
  <c r="I412" i="10" s="1"/>
  <c r="O410" i="6"/>
  <c r="N410" i="6"/>
  <c r="K410" i="6" s="1"/>
  <c r="L410" i="6" s="1"/>
  <c r="M410" i="6"/>
  <c r="T409" i="6"/>
  <c r="O409" i="6"/>
  <c r="P409" i="6" s="1"/>
  <c r="I411" i="10" s="1"/>
  <c r="M409" i="6"/>
  <c r="N409" i="6" s="1"/>
  <c r="K409" i="6" s="1"/>
  <c r="L409" i="6" s="1"/>
  <c r="T408" i="6"/>
  <c r="P408" i="6"/>
  <c r="I410" i="10" s="1"/>
  <c r="O408" i="6"/>
  <c r="N408" i="6"/>
  <c r="K408" i="6" s="1"/>
  <c r="L408" i="6" s="1"/>
  <c r="M408" i="6"/>
  <c r="T407" i="6"/>
  <c r="O407" i="6"/>
  <c r="P407" i="6" s="1"/>
  <c r="I409" i="10" s="1"/>
  <c r="M407" i="6"/>
  <c r="N407" i="6" s="1"/>
  <c r="K407" i="6" s="1"/>
  <c r="L407" i="6" s="1"/>
  <c r="T406" i="6"/>
  <c r="P406" i="6"/>
  <c r="I408" i="10" s="1"/>
  <c r="O406" i="6"/>
  <c r="N406" i="6"/>
  <c r="K406" i="6" s="1"/>
  <c r="L406" i="6" s="1"/>
  <c r="M406" i="6"/>
  <c r="T405" i="6"/>
  <c r="O405" i="6"/>
  <c r="P405" i="6" s="1"/>
  <c r="I407" i="10" s="1"/>
  <c r="M405" i="6"/>
  <c r="N405" i="6" s="1"/>
  <c r="K405" i="6"/>
  <c r="L405" i="6" s="1"/>
  <c r="T404" i="6"/>
  <c r="P404" i="6"/>
  <c r="I406" i="10" s="1"/>
  <c r="O404" i="6"/>
  <c r="N404" i="6"/>
  <c r="M404" i="6"/>
  <c r="L404" i="6"/>
  <c r="K404" i="6"/>
  <c r="T403" i="6"/>
  <c r="O403" i="6"/>
  <c r="P403" i="6" s="1"/>
  <c r="I405" i="10" s="1"/>
  <c r="M403" i="6"/>
  <c r="N403" i="6" s="1"/>
  <c r="K403" i="6"/>
  <c r="L403" i="6" s="1"/>
  <c r="T402" i="6"/>
  <c r="P402" i="6"/>
  <c r="I404" i="10" s="1"/>
  <c r="O402" i="6"/>
  <c r="N402" i="6"/>
  <c r="M402" i="6"/>
  <c r="L402" i="6"/>
  <c r="K402" i="6"/>
  <c r="T401" i="6"/>
  <c r="O401" i="6"/>
  <c r="P401" i="6" s="1"/>
  <c r="I403" i="10" s="1"/>
  <c r="M401" i="6"/>
  <c r="N401" i="6" s="1"/>
  <c r="K401" i="6" s="1"/>
  <c r="L401" i="6" s="1"/>
  <c r="T400" i="6"/>
  <c r="P400" i="6"/>
  <c r="I402" i="10" s="1"/>
  <c r="O400" i="6"/>
  <c r="N400" i="6"/>
  <c r="K400" i="6" s="1"/>
  <c r="L400" i="6" s="1"/>
  <c r="M400" i="6"/>
  <c r="T399" i="6"/>
  <c r="O399" i="6"/>
  <c r="P399" i="6" s="1"/>
  <c r="I401" i="10" s="1"/>
  <c r="M399" i="6"/>
  <c r="N399" i="6" s="1"/>
  <c r="K399" i="6" s="1"/>
  <c r="L399" i="6" s="1"/>
  <c r="T398" i="6"/>
  <c r="P398" i="6"/>
  <c r="I400" i="10" s="1"/>
  <c r="O398" i="6"/>
  <c r="N398" i="6"/>
  <c r="K398" i="6" s="1"/>
  <c r="L398" i="6" s="1"/>
  <c r="M398" i="6"/>
  <c r="T397" i="6"/>
  <c r="O397" i="6"/>
  <c r="P397" i="6" s="1"/>
  <c r="M397" i="6"/>
  <c r="N397" i="6" s="1"/>
  <c r="K397" i="6"/>
  <c r="L397" i="6" s="1"/>
  <c r="T396" i="6"/>
  <c r="P396" i="6"/>
  <c r="O396" i="6"/>
  <c r="N396" i="6"/>
  <c r="K396" i="6" s="1"/>
  <c r="L396" i="6" s="1"/>
  <c r="M396" i="6"/>
  <c r="T395" i="6"/>
  <c r="O395" i="6"/>
  <c r="P395" i="6" s="1"/>
  <c r="M395" i="6"/>
  <c r="N395" i="6" s="1"/>
  <c r="K395" i="6" s="1"/>
  <c r="L395" i="6" s="1"/>
  <c r="T394" i="6"/>
  <c r="P394" i="6"/>
  <c r="O394" i="6"/>
  <c r="N394" i="6"/>
  <c r="K394" i="6" s="1"/>
  <c r="M394" i="6"/>
  <c r="L394" i="6"/>
  <c r="T393" i="6"/>
  <c r="O393" i="6"/>
  <c r="P393" i="6" s="1"/>
  <c r="M393" i="6"/>
  <c r="N393" i="6" s="1"/>
  <c r="K393" i="6"/>
  <c r="L393" i="6" s="1"/>
  <c r="T392" i="6"/>
  <c r="P392" i="6"/>
  <c r="O392" i="6"/>
  <c r="N392" i="6"/>
  <c r="K392" i="6" s="1"/>
  <c r="L392" i="6" s="1"/>
  <c r="M392" i="6"/>
  <c r="T391" i="6"/>
  <c r="O391" i="6"/>
  <c r="P391" i="6" s="1"/>
  <c r="I399" i="10" s="1"/>
  <c r="M391" i="6"/>
  <c r="N391" i="6" s="1"/>
  <c r="K391" i="6" s="1"/>
  <c r="L391" i="6" s="1"/>
  <c r="T390" i="6"/>
  <c r="P390" i="6"/>
  <c r="I398" i="10" s="1"/>
  <c r="O390" i="6"/>
  <c r="N390" i="6"/>
  <c r="K390" i="6" s="1"/>
  <c r="M390" i="6"/>
  <c r="L390" i="6"/>
  <c r="T389" i="6"/>
  <c r="O389" i="6"/>
  <c r="P389" i="6" s="1"/>
  <c r="I397" i="10" s="1"/>
  <c r="M389" i="6"/>
  <c r="N389" i="6" s="1"/>
  <c r="K389" i="6"/>
  <c r="L389" i="6" s="1"/>
  <c r="T388" i="6"/>
  <c r="S388" i="6"/>
  <c r="P388" i="6"/>
  <c r="I396" i="10" s="1"/>
  <c r="O388" i="6"/>
  <c r="R388" i="6" s="1"/>
  <c r="N388" i="6"/>
  <c r="M388" i="6"/>
  <c r="L388" i="6"/>
  <c r="K388" i="6"/>
  <c r="T387" i="6"/>
  <c r="O387" i="6"/>
  <c r="P387" i="6" s="1"/>
  <c r="I395" i="10" s="1"/>
  <c r="M387" i="6"/>
  <c r="N387" i="6" s="1"/>
  <c r="K387" i="6"/>
  <c r="L387" i="6" s="1"/>
  <c r="T386" i="6"/>
  <c r="P386" i="6"/>
  <c r="I394" i="10" s="1"/>
  <c r="O386" i="6"/>
  <c r="N386" i="6"/>
  <c r="K386" i="6" s="1"/>
  <c r="L386" i="6" s="1"/>
  <c r="M386" i="6"/>
  <c r="T385" i="6"/>
  <c r="O385" i="6"/>
  <c r="P385" i="6" s="1"/>
  <c r="I393" i="10" s="1"/>
  <c r="M385" i="6"/>
  <c r="N385" i="6" s="1"/>
  <c r="K385" i="6" s="1"/>
  <c r="L385" i="6" s="1"/>
  <c r="T384" i="6"/>
  <c r="P384" i="6"/>
  <c r="I392" i="10" s="1"/>
  <c r="O384" i="6"/>
  <c r="N384" i="6"/>
  <c r="K384" i="6" s="1"/>
  <c r="M384" i="6"/>
  <c r="L384" i="6"/>
  <c r="T383" i="6"/>
  <c r="O383" i="6"/>
  <c r="P383" i="6" s="1"/>
  <c r="I391" i="10" s="1"/>
  <c r="M383" i="6"/>
  <c r="N383" i="6" s="1"/>
  <c r="K383" i="6"/>
  <c r="L383" i="6" s="1"/>
  <c r="T382" i="6"/>
  <c r="P382" i="6"/>
  <c r="I390" i="10" s="1"/>
  <c r="O382" i="6"/>
  <c r="N382" i="6"/>
  <c r="K382" i="6" s="1"/>
  <c r="L382" i="6" s="1"/>
  <c r="M382" i="6"/>
  <c r="T381" i="6"/>
  <c r="O381" i="6"/>
  <c r="P381" i="6" s="1"/>
  <c r="I389" i="10" s="1"/>
  <c r="M381" i="6"/>
  <c r="N381" i="6" s="1"/>
  <c r="K381" i="6" s="1"/>
  <c r="L381" i="6" s="1"/>
  <c r="T380" i="6"/>
  <c r="P380" i="6"/>
  <c r="I388" i="10" s="1"/>
  <c r="O380" i="6"/>
  <c r="N380" i="6"/>
  <c r="K380" i="6" s="1"/>
  <c r="M380" i="6"/>
  <c r="L380" i="6"/>
  <c r="T379" i="6"/>
  <c r="O379" i="6"/>
  <c r="P379" i="6" s="1"/>
  <c r="I387" i="10" s="1"/>
  <c r="M379" i="6"/>
  <c r="N379" i="6" s="1"/>
  <c r="K379" i="6"/>
  <c r="L379" i="6" s="1"/>
  <c r="T378" i="6"/>
  <c r="P378" i="6"/>
  <c r="I386" i="10" s="1"/>
  <c r="O378" i="6"/>
  <c r="N378" i="6"/>
  <c r="K378" i="6" s="1"/>
  <c r="L378" i="6" s="1"/>
  <c r="M378" i="6"/>
  <c r="T377" i="6"/>
  <c r="O377" i="6"/>
  <c r="P377" i="6" s="1"/>
  <c r="M377" i="6"/>
  <c r="N377" i="6" s="1"/>
  <c r="K377" i="6" s="1"/>
  <c r="L377" i="6" s="1"/>
  <c r="T376" i="6"/>
  <c r="P376" i="6"/>
  <c r="O376" i="6"/>
  <c r="N376" i="6"/>
  <c r="K376" i="6" s="1"/>
  <c r="M376" i="6"/>
  <c r="L376" i="6"/>
  <c r="T375" i="6"/>
  <c r="O375" i="6"/>
  <c r="P375" i="6" s="1"/>
  <c r="M375" i="6"/>
  <c r="N375" i="6" s="1"/>
  <c r="K375" i="6"/>
  <c r="L375" i="6" s="1"/>
  <c r="T374" i="6"/>
  <c r="P374" i="6"/>
  <c r="I385" i="10" s="1"/>
  <c r="O374" i="6"/>
  <c r="N374" i="6"/>
  <c r="K374" i="6" s="1"/>
  <c r="L374" i="6" s="1"/>
  <c r="M374" i="6"/>
  <c r="T373" i="6"/>
  <c r="O373" i="6"/>
  <c r="P373" i="6" s="1"/>
  <c r="I384" i="10" s="1"/>
  <c r="M373" i="6"/>
  <c r="N373" i="6" s="1"/>
  <c r="K373" i="6" s="1"/>
  <c r="L373" i="6" s="1"/>
  <c r="T372" i="6"/>
  <c r="P372" i="6"/>
  <c r="I383" i="10" s="1"/>
  <c r="O372" i="6"/>
  <c r="N372" i="6"/>
  <c r="K372" i="6" s="1"/>
  <c r="M372" i="6"/>
  <c r="L372" i="6"/>
  <c r="T371" i="6"/>
  <c r="O371" i="6"/>
  <c r="P371" i="6" s="1"/>
  <c r="I382" i="10" s="1"/>
  <c r="M371" i="6"/>
  <c r="N371" i="6" s="1"/>
  <c r="K371" i="6"/>
  <c r="L371" i="6" s="1"/>
  <c r="T370" i="6"/>
  <c r="P370" i="6"/>
  <c r="I381" i="10" s="1"/>
  <c r="O370" i="6"/>
  <c r="N370" i="6"/>
  <c r="K370" i="6" s="1"/>
  <c r="L370" i="6" s="1"/>
  <c r="M370" i="6"/>
  <c r="T369" i="6"/>
  <c r="O369" i="6"/>
  <c r="P369" i="6" s="1"/>
  <c r="I380" i="10" s="1"/>
  <c r="M369" i="6"/>
  <c r="N369" i="6" s="1"/>
  <c r="K369" i="6" s="1"/>
  <c r="L369" i="6" s="1"/>
  <c r="T368" i="6"/>
  <c r="P368" i="6"/>
  <c r="I379" i="10" s="1"/>
  <c r="O368" i="6"/>
  <c r="N368" i="6"/>
  <c r="K368" i="6" s="1"/>
  <c r="M368" i="6"/>
  <c r="L368" i="6"/>
  <c r="T367" i="6"/>
  <c r="O367" i="6"/>
  <c r="P367" i="6" s="1"/>
  <c r="I378" i="10" s="1"/>
  <c r="M367" i="6"/>
  <c r="N367" i="6" s="1"/>
  <c r="K367" i="6"/>
  <c r="L367" i="6" s="1"/>
  <c r="T366" i="6"/>
  <c r="P366" i="6"/>
  <c r="I377" i="10" s="1"/>
  <c r="O366" i="6"/>
  <c r="N366" i="6"/>
  <c r="K366" i="6" s="1"/>
  <c r="L366" i="6" s="1"/>
  <c r="M366" i="6"/>
  <c r="T365" i="6"/>
  <c r="O365" i="6"/>
  <c r="P365" i="6" s="1"/>
  <c r="I376" i="10" s="1"/>
  <c r="M365" i="6"/>
  <c r="N365" i="6" s="1"/>
  <c r="K365" i="6" s="1"/>
  <c r="L365" i="6" s="1"/>
  <c r="T364" i="6"/>
  <c r="P364" i="6"/>
  <c r="I375" i="10" s="1"/>
  <c r="O364" i="6"/>
  <c r="N364" i="6"/>
  <c r="K364" i="6" s="1"/>
  <c r="M364" i="6"/>
  <c r="L364" i="6"/>
  <c r="T363" i="6"/>
  <c r="O363" i="6"/>
  <c r="P363" i="6" s="1"/>
  <c r="I374" i="10" s="1"/>
  <c r="M363" i="6"/>
  <c r="N363" i="6" s="1"/>
  <c r="K363" i="6"/>
  <c r="L363" i="6" s="1"/>
  <c r="T362" i="6"/>
  <c r="P362" i="6"/>
  <c r="I373" i="10" s="1"/>
  <c r="O362" i="6"/>
  <c r="N362" i="6"/>
  <c r="K362" i="6" s="1"/>
  <c r="L362" i="6" s="1"/>
  <c r="M362" i="6"/>
  <c r="T361" i="6"/>
  <c r="O361" i="6"/>
  <c r="P361" i="6" s="1"/>
  <c r="I372" i="10" s="1"/>
  <c r="M361" i="6"/>
  <c r="N361" i="6" s="1"/>
  <c r="K361" i="6" s="1"/>
  <c r="L361" i="6" s="1"/>
  <c r="T360" i="6"/>
  <c r="P360" i="6"/>
  <c r="I371" i="10" s="1"/>
  <c r="O360" i="6"/>
  <c r="N360" i="6"/>
  <c r="K360" i="6" s="1"/>
  <c r="M360" i="6"/>
  <c r="L360" i="6"/>
  <c r="T359" i="6"/>
  <c r="O359" i="6"/>
  <c r="P359" i="6" s="1"/>
  <c r="I370" i="10" s="1"/>
  <c r="M359" i="6"/>
  <c r="N359" i="6" s="1"/>
  <c r="K359" i="6"/>
  <c r="L359" i="6" s="1"/>
  <c r="T358" i="6"/>
  <c r="P358" i="6"/>
  <c r="I369" i="10" s="1"/>
  <c r="O358" i="6"/>
  <c r="N358" i="6"/>
  <c r="K358" i="6" s="1"/>
  <c r="L358" i="6" s="1"/>
  <c r="M358" i="6"/>
  <c r="T357" i="6"/>
  <c r="O357" i="6"/>
  <c r="P357" i="6" s="1"/>
  <c r="I368" i="10" s="1"/>
  <c r="M357" i="6"/>
  <c r="N357" i="6" s="1"/>
  <c r="K357" i="6" s="1"/>
  <c r="L357" i="6" s="1"/>
  <c r="T356" i="6"/>
  <c r="P356" i="6"/>
  <c r="I367" i="10" s="1"/>
  <c r="O356" i="6"/>
  <c r="N356" i="6"/>
  <c r="K356" i="6" s="1"/>
  <c r="M356" i="6"/>
  <c r="L356" i="6"/>
  <c r="T355" i="6"/>
  <c r="O355" i="6"/>
  <c r="P355" i="6" s="1"/>
  <c r="I366" i="10" s="1"/>
  <c r="M355" i="6"/>
  <c r="N355" i="6" s="1"/>
  <c r="K355" i="6"/>
  <c r="L355" i="6" s="1"/>
  <c r="T354" i="6"/>
  <c r="P354" i="6"/>
  <c r="I365" i="10" s="1"/>
  <c r="O354" i="6"/>
  <c r="N354" i="6"/>
  <c r="K354" i="6" s="1"/>
  <c r="L354" i="6" s="1"/>
  <c r="M354" i="6"/>
  <c r="T353" i="6"/>
  <c r="O353" i="6"/>
  <c r="P353" i="6" s="1"/>
  <c r="I364" i="10" s="1"/>
  <c r="M353" i="6"/>
  <c r="N353" i="6" s="1"/>
  <c r="K353" i="6"/>
  <c r="L353" i="6" s="1"/>
  <c r="T352" i="6"/>
  <c r="P352" i="6"/>
  <c r="O352" i="6"/>
  <c r="N352" i="6"/>
  <c r="K352" i="6" s="1"/>
  <c r="M352" i="6"/>
  <c r="L352" i="6"/>
  <c r="T351" i="6"/>
  <c r="O351" i="6"/>
  <c r="P351" i="6" s="1"/>
  <c r="I363" i="10" s="1"/>
  <c r="M351" i="6"/>
  <c r="N351" i="6" s="1"/>
  <c r="K351" i="6"/>
  <c r="L351" i="6" s="1"/>
  <c r="T350" i="6"/>
  <c r="P350" i="6"/>
  <c r="I362" i="10" s="1"/>
  <c r="O350" i="6"/>
  <c r="N350" i="6"/>
  <c r="K350" i="6" s="1"/>
  <c r="L350" i="6" s="1"/>
  <c r="M350" i="6"/>
  <c r="T349" i="6"/>
  <c r="O349" i="6"/>
  <c r="P349" i="6" s="1"/>
  <c r="I361" i="10" s="1"/>
  <c r="M349" i="6"/>
  <c r="N349" i="6" s="1"/>
  <c r="K349" i="6"/>
  <c r="L349" i="6" s="1"/>
  <c r="T348" i="6"/>
  <c r="P348" i="6"/>
  <c r="I360" i="10" s="1"/>
  <c r="O348" i="6"/>
  <c r="N348" i="6"/>
  <c r="K348" i="6" s="1"/>
  <c r="M348" i="6"/>
  <c r="L348" i="6"/>
  <c r="T347" i="6"/>
  <c r="O347" i="6"/>
  <c r="P347" i="6" s="1"/>
  <c r="I359" i="10" s="1"/>
  <c r="M347" i="6"/>
  <c r="N347" i="6" s="1"/>
  <c r="K347" i="6"/>
  <c r="L347" i="6" s="1"/>
  <c r="T346" i="6"/>
  <c r="P346" i="6"/>
  <c r="I358" i="10" s="1"/>
  <c r="O346" i="6"/>
  <c r="N346" i="6"/>
  <c r="K346" i="6" s="1"/>
  <c r="L346" i="6" s="1"/>
  <c r="M346" i="6"/>
  <c r="T345" i="6"/>
  <c r="O345" i="6"/>
  <c r="P345" i="6" s="1"/>
  <c r="I357" i="10" s="1"/>
  <c r="M345" i="6"/>
  <c r="N345" i="6" s="1"/>
  <c r="K345" i="6"/>
  <c r="L345" i="6" s="1"/>
  <c r="T344" i="6"/>
  <c r="P344" i="6"/>
  <c r="I356" i="10" s="1"/>
  <c r="O344" i="6"/>
  <c r="N344" i="6"/>
  <c r="K344" i="6" s="1"/>
  <c r="M344" i="6"/>
  <c r="L344" i="6"/>
  <c r="T343" i="6"/>
  <c r="O343" i="6"/>
  <c r="P343" i="6" s="1"/>
  <c r="I355" i="10" s="1"/>
  <c r="M343" i="6"/>
  <c r="N343" i="6" s="1"/>
  <c r="K343" i="6"/>
  <c r="L343" i="6" s="1"/>
  <c r="T342" i="6"/>
  <c r="P342" i="6"/>
  <c r="I354" i="10" s="1"/>
  <c r="O342" i="6"/>
  <c r="N342" i="6"/>
  <c r="K342" i="6" s="1"/>
  <c r="L342" i="6" s="1"/>
  <c r="M342" i="6"/>
  <c r="T341" i="6"/>
  <c r="O341" i="6"/>
  <c r="P341" i="6" s="1"/>
  <c r="I353" i="10" s="1"/>
  <c r="M341" i="6"/>
  <c r="N341" i="6" s="1"/>
  <c r="K341" i="6"/>
  <c r="L341" i="6" s="1"/>
  <c r="T340" i="6"/>
  <c r="P340" i="6"/>
  <c r="I352" i="10" s="1"/>
  <c r="O340" i="6"/>
  <c r="N340" i="6"/>
  <c r="K340" i="6" s="1"/>
  <c r="M340" i="6"/>
  <c r="L340" i="6"/>
  <c r="T339" i="6"/>
  <c r="O339" i="6"/>
  <c r="P339" i="6" s="1"/>
  <c r="I351" i="10" s="1"/>
  <c r="M339" i="6"/>
  <c r="N339" i="6" s="1"/>
  <c r="K339" i="6"/>
  <c r="L339" i="6" s="1"/>
  <c r="T338" i="6"/>
  <c r="P338" i="6"/>
  <c r="I350" i="10" s="1"/>
  <c r="O338" i="6"/>
  <c r="N338" i="6"/>
  <c r="K338" i="6" s="1"/>
  <c r="L338" i="6" s="1"/>
  <c r="M338" i="6"/>
  <c r="T337" i="6"/>
  <c r="O337" i="6"/>
  <c r="P337" i="6" s="1"/>
  <c r="I349" i="10" s="1"/>
  <c r="M337" i="6"/>
  <c r="N337" i="6" s="1"/>
  <c r="K337" i="6"/>
  <c r="L337" i="6" s="1"/>
  <c r="T336" i="6"/>
  <c r="P336" i="6"/>
  <c r="I348" i="10" s="1"/>
  <c r="O336" i="6"/>
  <c r="N336" i="6"/>
  <c r="K336" i="6" s="1"/>
  <c r="M336" i="6"/>
  <c r="L336" i="6"/>
  <c r="T335" i="6"/>
  <c r="O335" i="6"/>
  <c r="P335" i="6" s="1"/>
  <c r="I347" i="10" s="1"/>
  <c r="M335" i="6"/>
  <c r="N335" i="6" s="1"/>
  <c r="K335" i="6"/>
  <c r="L335" i="6" s="1"/>
  <c r="T334" i="6"/>
  <c r="P334" i="6"/>
  <c r="I346" i="10" s="1"/>
  <c r="O334" i="6"/>
  <c r="N334" i="6"/>
  <c r="K334" i="6" s="1"/>
  <c r="L334" i="6" s="1"/>
  <c r="M334" i="6"/>
  <c r="T333" i="6"/>
  <c r="O333" i="6"/>
  <c r="P333" i="6" s="1"/>
  <c r="I345" i="10" s="1"/>
  <c r="M333" i="6"/>
  <c r="N333" i="6" s="1"/>
  <c r="K333" i="6"/>
  <c r="L333" i="6" s="1"/>
  <c r="T332" i="6"/>
  <c r="P332" i="6"/>
  <c r="I344" i="10" s="1"/>
  <c r="O332" i="6"/>
  <c r="N332" i="6"/>
  <c r="K332" i="6" s="1"/>
  <c r="M332" i="6"/>
  <c r="L332" i="6"/>
  <c r="T331" i="6"/>
  <c r="O331" i="6"/>
  <c r="P331" i="6" s="1"/>
  <c r="I343" i="10" s="1"/>
  <c r="M331" i="6"/>
  <c r="N331" i="6" s="1"/>
  <c r="K331" i="6"/>
  <c r="L331" i="6" s="1"/>
  <c r="T330" i="6"/>
  <c r="P330" i="6"/>
  <c r="I342" i="10" s="1"/>
  <c r="O330" i="6"/>
  <c r="N330" i="6"/>
  <c r="K330" i="6" s="1"/>
  <c r="L330" i="6" s="1"/>
  <c r="M330" i="6"/>
  <c r="T329" i="6"/>
  <c r="O329" i="6"/>
  <c r="P329" i="6" s="1"/>
  <c r="I341" i="10" s="1"/>
  <c r="M329" i="6"/>
  <c r="N329" i="6" s="1"/>
  <c r="K329" i="6"/>
  <c r="L329" i="6" s="1"/>
  <c r="T328" i="6"/>
  <c r="P328" i="6"/>
  <c r="I340" i="10" s="1"/>
  <c r="O328" i="6"/>
  <c r="N328" i="6"/>
  <c r="K328" i="6" s="1"/>
  <c r="M328" i="6"/>
  <c r="L328" i="6"/>
  <c r="T327" i="6"/>
  <c r="O327" i="6"/>
  <c r="P327" i="6" s="1"/>
  <c r="I339" i="10" s="1"/>
  <c r="M327" i="6"/>
  <c r="N327" i="6" s="1"/>
  <c r="K327" i="6"/>
  <c r="L327" i="6" s="1"/>
  <c r="T326" i="6"/>
  <c r="P326" i="6"/>
  <c r="I338" i="10" s="1"/>
  <c r="O326" i="6"/>
  <c r="N326" i="6"/>
  <c r="K326" i="6" s="1"/>
  <c r="L326" i="6" s="1"/>
  <c r="M326" i="6"/>
  <c r="T325" i="6"/>
  <c r="O325" i="6"/>
  <c r="P325" i="6" s="1"/>
  <c r="I337" i="10" s="1"/>
  <c r="M325" i="6"/>
  <c r="N325" i="6" s="1"/>
  <c r="K325" i="6"/>
  <c r="L325" i="6" s="1"/>
  <c r="T324" i="6"/>
  <c r="P324" i="6"/>
  <c r="I336" i="10" s="1"/>
  <c r="O324" i="6"/>
  <c r="N324" i="6"/>
  <c r="K324" i="6" s="1"/>
  <c r="M324" i="6"/>
  <c r="L324" i="6"/>
  <c r="T323" i="6"/>
  <c r="O323" i="6"/>
  <c r="P323" i="6" s="1"/>
  <c r="I335" i="10" s="1"/>
  <c r="M323" i="6"/>
  <c r="N323" i="6" s="1"/>
  <c r="K323" i="6"/>
  <c r="L323" i="6" s="1"/>
  <c r="T322" i="6"/>
  <c r="P322" i="6"/>
  <c r="I334" i="10" s="1"/>
  <c r="O322" i="6"/>
  <c r="N322" i="6"/>
  <c r="K322" i="6" s="1"/>
  <c r="L322" i="6" s="1"/>
  <c r="M322" i="6"/>
  <c r="T321" i="6"/>
  <c r="O321" i="6"/>
  <c r="P321" i="6" s="1"/>
  <c r="I333" i="10" s="1"/>
  <c r="M321" i="6"/>
  <c r="N321" i="6" s="1"/>
  <c r="K321" i="6"/>
  <c r="L321" i="6" s="1"/>
  <c r="T320" i="6"/>
  <c r="P320" i="6"/>
  <c r="I332" i="10" s="1"/>
  <c r="O320" i="6"/>
  <c r="N320" i="6"/>
  <c r="K320" i="6" s="1"/>
  <c r="M320" i="6"/>
  <c r="L320" i="6"/>
  <c r="T319" i="6"/>
  <c r="O319" i="6"/>
  <c r="P319" i="6" s="1"/>
  <c r="I331" i="10" s="1"/>
  <c r="M319" i="6"/>
  <c r="N319" i="6" s="1"/>
  <c r="K319" i="6"/>
  <c r="L319" i="6" s="1"/>
  <c r="T318" i="6"/>
  <c r="P318" i="6"/>
  <c r="I330" i="10" s="1"/>
  <c r="O318" i="6"/>
  <c r="N318" i="6"/>
  <c r="K318" i="6" s="1"/>
  <c r="L318" i="6" s="1"/>
  <c r="M318" i="6"/>
  <c r="T317" i="6"/>
  <c r="O317" i="6"/>
  <c r="P317" i="6" s="1"/>
  <c r="I329" i="10" s="1"/>
  <c r="M317" i="6"/>
  <c r="N317" i="6" s="1"/>
  <c r="K317" i="6"/>
  <c r="L317" i="6" s="1"/>
  <c r="T316" i="6"/>
  <c r="P316" i="6"/>
  <c r="I328" i="10" s="1"/>
  <c r="O316" i="6"/>
  <c r="N316" i="6"/>
  <c r="K316" i="6" s="1"/>
  <c r="M316" i="6"/>
  <c r="L316" i="6"/>
  <c r="T315" i="6"/>
  <c r="O315" i="6"/>
  <c r="P315" i="6" s="1"/>
  <c r="I327" i="10" s="1"/>
  <c r="M315" i="6"/>
  <c r="N315" i="6" s="1"/>
  <c r="K315" i="6"/>
  <c r="L315" i="6" s="1"/>
  <c r="T314" i="6"/>
  <c r="P314" i="6"/>
  <c r="I326" i="10" s="1"/>
  <c r="O314" i="6"/>
  <c r="N314" i="6"/>
  <c r="K314" i="6" s="1"/>
  <c r="L314" i="6" s="1"/>
  <c r="M314" i="6"/>
  <c r="T313" i="6"/>
  <c r="O313" i="6"/>
  <c r="P313" i="6" s="1"/>
  <c r="I325" i="10" s="1"/>
  <c r="M313" i="6"/>
  <c r="N313" i="6" s="1"/>
  <c r="K313" i="6"/>
  <c r="L313" i="6" s="1"/>
  <c r="T312" i="6"/>
  <c r="P312" i="6"/>
  <c r="I324" i="10" s="1"/>
  <c r="O312" i="6"/>
  <c r="N312" i="6"/>
  <c r="K312" i="6" s="1"/>
  <c r="M312" i="6"/>
  <c r="L312" i="6"/>
  <c r="T311" i="6"/>
  <c r="O311" i="6"/>
  <c r="P311" i="6" s="1"/>
  <c r="I323" i="10" s="1"/>
  <c r="M311" i="6"/>
  <c r="N311" i="6" s="1"/>
  <c r="K311" i="6"/>
  <c r="L311" i="6" s="1"/>
  <c r="T310" i="6"/>
  <c r="P310" i="6"/>
  <c r="I322" i="10" s="1"/>
  <c r="O310" i="6"/>
  <c r="N310" i="6"/>
  <c r="K310" i="6" s="1"/>
  <c r="L310" i="6" s="1"/>
  <c r="M310" i="6"/>
  <c r="T309" i="6"/>
  <c r="O309" i="6"/>
  <c r="P309" i="6" s="1"/>
  <c r="I321" i="10" s="1"/>
  <c r="M309" i="6"/>
  <c r="N309" i="6" s="1"/>
  <c r="K309" i="6"/>
  <c r="L309" i="6" s="1"/>
  <c r="T308" i="6"/>
  <c r="P308" i="6"/>
  <c r="I320" i="10" s="1"/>
  <c r="O308" i="6"/>
  <c r="N308" i="6"/>
  <c r="K308" i="6" s="1"/>
  <c r="M308" i="6"/>
  <c r="L308" i="6"/>
  <c r="T307" i="6"/>
  <c r="O307" i="6"/>
  <c r="P307" i="6" s="1"/>
  <c r="I319" i="10" s="1"/>
  <c r="M307" i="6"/>
  <c r="N307" i="6" s="1"/>
  <c r="K307" i="6"/>
  <c r="L307" i="6" s="1"/>
  <c r="T306" i="6"/>
  <c r="P306" i="6"/>
  <c r="I318" i="10" s="1"/>
  <c r="O306" i="6"/>
  <c r="N306" i="6"/>
  <c r="K306" i="6" s="1"/>
  <c r="L306" i="6" s="1"/>
  <c r="M306" i="6"/>
  <c r="T305" i="6"/>
  <c r="S305" i="6"/>
  <c r="P305" i="6"/>
  <c r="I317" i="10" s="1"/>
  <c r="O305" i="6"/>
  <c r="N305" i="6"/>
  <c r="K305" i="6" s="1"/>
  <c r="M305" i="6"/>
  <c r="L305" i="6"/>
  <c r="T304" i="6"/>
  <c r="O304" i="6"/>
  <c r="P304" i="6" s="1"/>
  <c r="I316" i="10" s="1"/>
  <c r="M304" i="6"/>
  <c r="N304" i="6" s="1"/>
  <c r="K304" i="6" s="1"/>
  <c r="L304" i="6" s="1"/>
  <c r="T303" i="6"/>
  <c r="P303" i="6"/>
  <c r="I315" i="10" s="1"/>
  <c r="O303" i="6"/>
  <c r="N303" i="6"/>
  <c r="K303" i="6" s="1"/>
  <c r="L303" i="6" s="1"/>
  <c r="M303" i="6"/>
  <c r="T302" i="6"/>
  <c r="O302" i="6"/>
  <c r="P302" i="6" s="1"/>
  <c r="I314" i="10" s="1"/>
  <c r="M302" i="6"/>
  <c r="N302" i="6" s="1"/>
  <c r="K302" i="6" s="1"/>
  <c r="L302" i="6" s="1"/>
  <c r="T301" i="6"/>
  <c r="P301" i="6"/>
  <c r="I313" i="10" s="1"/>
  <c r="O301" i="6"/>
  <c r="N301" i="6"/>
  <c r="K301" i="6" s="1"/>
  <c r="M301" i="6"/>
  <c r="L301" i="6"/>
  <c r="T300" i="6"/>
  <c r="O300" i="6"/>
  <c r="P300" i="6" s="1"/>
  <c r="I312" i="10" s="1"/>
  <c r="M300" i="6"/>
  <c r="N300" i="6" s="1"/>
  <c r="K300" i="6" s="1"/>
  <c r="L300" i="6" s="1"/>
  <c r="T299" i="6"/>
  <c r="P299" i="6"/>
  <c r="I311" i="10" s="1"/>
  <c r="O299" i="6"/>
  <c r="N299" i="6"/>
  <c r="K299" i="6" s="1"/>
  <c r="L299" i="6" s="1"/>
  <c r="M299" i="6"/>
  <c r="T298" i="6"/>
  <c r="O298" i="6"/>
  <c r="P298" i="6" s="1"/>
  <c r="I310" i="10" s="1"/>
  <c r="M298" i="6"/>
  <c r="N298" i="6" s="1"/>
  <c r="K298" i="6" s="1"/>
  <c r="L298" i="6" s="1"/>
  <c r="T297" i="6"/>
  <c r="P297" i="6"/>
  <c r="I309" i="10" s="1"/>
  <c r="O297" i="6"/>
  <c r="N297" i="6"/>
  <c r="K297" i="6" s="1"/>
  <c r="M297" i="6"/>
  <c r="L297" i="6"/>
  <c r="T296" i="6"/>
  <c r="O296" i="6"/>
  <c r="P296" i="6" s="1"/>
  <c r="I308" i="10" s="1"/>
  <c r="M296" i="6"/>
  <c r="N296" i="6" s="1"/>
  <c r="K296" i="6" s="1"/>
  <c r="L296" i="6" s="1"/>
  <c r="T295" i="6"/>
  <c r="P295" i="6"/>
  <c r="I307" i="10" s="1"/>
  <c r="O295" i="6"/>
  <c r="N295" i="6"/>
  <c r="K295" i="6" s="1"/>
  <c r="L295" i="6" s="1"/>
  <c r="M295" i="6"/>
  <c r="T294" i="6"/>
  <c r="O294" i="6"/>
  <c r="P294" i="6" s="1"/>
  <c r="I306" i="10" s="1"/>
  <c r="M294" i="6"/>
  <c r="N294" i="6" s="1"/>
  <c r="K294" i="6" s="1"/>
  <c r="L294" i="6" s="1"/>
  <c r="T293" i="6"/>
  <c r="P293" i="6"/>
  <c r="I305" i="10" s="1"/>
  <c r="O293" i="6"/>
  <c r="N293" i="6"/>
  <c r="K293" i="6" s="1"/>
  <c r="M293" i="6"/>
  <c r="L293" i="6"/>
  <c r="T292" i="6"/>
  <c r="O292" i="6"/>
  <c r="P292" i="6" s="1"/>
  <c r="I304" i="10" s="1"/>
  <c r="M292" i="6"/>
  <c r="N292" i="6" s="1"/>
  <c r="K292" i="6" s="1"/>
  <c r="L292" i="6" s="1"/>
  <c r="T291" i="6"/>
  <c r="P291" i="6"/>
  <c r="I303" i="10" s="1"/>
  <c r="O291" i="6"/>
  <c r="N291" i="6"/>
  <c r="K291" i="6" s="1"/>
  <c r="L291" i="6" s="1"/>
  <c r="M291" i="6"/>
  <c r="T290" i="6"/>
  <c r="O290" i="6"/>
  <c r="P290" i="6" s="1"/>
  <c r="I302" i="10" s="1"/>
  <c r="M290" i="6"/>
  <c r="N290" i="6" s="1"/>
  <c r="K290" i="6" s="1"/>
  <c r="L290" i="6" s="1"/>
  <c r="T289" i="6"/>
  <c r="P289" i="6"/>
  <c r="I301" i="10" s="1"/>
  <c r="O289" i="6"/>
  <c r="N289" i="6"/>
  <c r="K289" i="6" s="1"/>
  <c r="M289" i="6"/>
  <c r="L289" i="6"/>
  <c r="T288" i="6"/>
  <c r="O288" i="6"/>
  <c r="P288" i="6" s="1"/>
  <c r="I300" i="10" s="1"/>
  <c r="M288" i="6"/>
  <c r="N288" i="6" s="1"/>
  <c r="K288" i="6" s="1"/>
  <c r="L288" i="6" s="1"/>
  <c r="T287" i="6"/>
  <c r="P287" i="6"/>
  <c r="I299" i="10" s="1"/>
  <c r="O287" i="6"/>
  <c r="N287" i="6"/>
  <c r="K287" i="6" s="1"/>
  <c r="L287" i="6" s="1"/>
  <c r="M287" i="6"/>
  <c r="T286" i="6"/>
  <c r="O286" i="6"/>
  <c r="P286" i="6" s="1"/>
  <c r="I298" i="10" s="1"/>
  <c r="M286" i="6"/>
  <c r="N286" i="6" s="1"/>
  <c r="K286" i="6" s="1"/>
  <c r="L286" i="6" s="1"/>
  <c r="T285" i="6"/>
  <c r="P285" i="6"/>
  <c r="I297" i="10" s="1"/>
  <c r="O285" i="6"/>
  <c r="N285" i="6"/>
  <c r="K285" i="6" s="1"/>
  <c r="M285" i="6"/>
  <c r="L285" i="6"/>
  <c r="T284" i="6"/>
  <c r="O284" i="6"/>
  <c r="P284" i="6" s="1"/>
  <c r="I296" i="10" s="1"/>
  <c r="M284" i="6"/>
  <c r="N284" i="6" s="1"/>
  <c r="K284" i="6" s="1"/>
  <c r="L284" i="6" s="1"/>
  <c r="T283" i="6"/>
  <c r="P283" i="6"/>
  <c r="I295" i="10" s="1"/>
  <c r="O283" i="6"/>
  <c r="N283" i="6"/>
  <c r="K283" i="6" s="1"/>
  <c r="L283" i="6" s="1"/>
  <c r="M283" i="6"/>
  <c r="T282" i="6"/>
  <c r="O282" i="6"/>
  <c r="P282" i="6" s="1"/>
  <c r="I294" i="10" s="1"/>
  <c r="M282" i="6"/>
  <c r="N282" i="6" s="1"/>
  <c r="K282" i="6" s="1"/>
  <c r="L282" i="6" s="1"/>
  <c r="T281" i="6"/>
  <c r="P281" i="6"/>
  <c r="I293" i="10" s="1"/>
  <c r="O281" i="6"/>
  <c r="N281" i="6"/>
  <c r="K281" i="6" s="1"/>
  <c r="M281" i="6"/>
  <c r="L281" i="6"/>
  <c r="T280" i="6"/>
  <c r="O280" i="6"/>
  <c r="P280" i="6" s="1"/>
  <c r="I292" i="10" s="1"/>
  <c r="M280" i="6"/>
  <c r="N280" i="6" s="1"/>
  <c r="K280" i="6" s="1"/>
  <c r="L280" i="6" s="1"/>
  <c r="T279" i="6"/>
  <c r="P279" i="6"/>
  <c r="I291" i="10" s="1"/>
  <c r="O279" i="6"/>
  <c r="N279" i="6"/>
  <c r="K279" i="6" s="1"/>
  <c r="L279" i="6" s="1"/>
  <c r="M279" i="6"/>
  <c r="T278" i="6"/>
  <c r="O278" i="6"/>
  <c r="P278" i="6" s="1"/>
  <c r="I290" i="10" s="1"/>
  <c r="M278" i="6"/>
  <c r="N278" i="6" s="1"/>
  <c r="K278" i="6" s="1"/>
  <c r="L278" i="6" s="1"/>
  <c r="T277" i="6"/>
  <c r="P277" i="6"/>
  <c r="I289" i="10" s="1"/>
  <c r="O277" i="6"/>
  <c r="N277" i="6"/>
  <c r="K277" i="6" s="1"/>
  <c r="M277" i="6"/>
  <c r="L277" i="6"/>
  <c r="T276" i="6"/>
  <c r="O276" i="6"/>
  <c r="P276" i="6" s="1"/>
  <c r="I288" i="10" s="1"/>
  <c r="M276" i="6"/>
  <c r="N276" i="6" s="1"/>
  <c r="K276" i="6" s="1"/>
  <c r="L276" i="6" s="1"/>
  <c r="T275" i="6"/>
  <c r="P275" i="6"/>
  <c r="I287" i="10" s="1"/>
  <c r="O275" i="6"/>
  <c r="N275" i="6"/>
  <c r="K275" i="6" s="1"/>
  <c r="L275" i="6" s="1"/>
  <c r="M275" i="6"/>
  <c r="T274" i="6"/>
  <c r="O274" i="6"/>
  <c r="P274" i="6" s="1"/>
  <c r="I286" i="10" s="1"/>
  <c r="M274" i="6"/>
  <c r="N274" i="6" s="1"/>
  <c r="K274" i="6" s="1"/>
  <c r="L274" i="6" s="1"/>
  <c r="T273" i="6"/>
  <c r="P273" i="6"/>
  <c r="I285" i="10" s="1"/>
  <c r="O273" i="6"/>
  <c r="N273" i="6"/>
  <c r="K273" i="6" s="1"/>
  <c r="M273" i="6"/>
  <c r="L273" i="6"/>
  <c r="T272" i="6"/>
  <c r="O272" i="6"/>
  <c r="P272" i="6" s="1"/>
  <c r="I284" i="10" s="1"/>
  <c r="M272" i="6"/>
  <c r="N272" i="6" s="1"/>
  <c r="K272" i="6" s="1"/>
  <c r="L272" i="6" s="1"/>
  <c r="T271" i="6"/>
  <c r="P271" i="6"/>
  <c r="I283" i="10" s="1"/>
  <c r="O271" i="6"/>
  <c r="N271" i="6"/>
  <c r="K271" i="6" s="1"/>
  <c r="L271" i="6" s="1"/>
  <c r="M271" i="6"/>
  <c r="T270" i="6"/>
  <c r="O270" i="6"/>
  <c r="P270" i="6" s="1"/>
  <c r="I282" i="10" s="1"/>
  <c r="M270" i="6"/>
  <c r="N270" i="6" s="1"/>
  <c r="K270" i="6" s="1"/>
  <c r="L270" i="6" s="1"/>
  <c r="T269" i="6"/>
  <c r="P269" i="6"/>
  <c r="I281" i="10" s="1"/>
  <c r="O269" i="6"/>
  <c r="N269" i="6"/>
  <c r="K269" i="6" s="1"/>
  <c r="M269" i="6"/>
  <c r="L269" i="6"/>
  <c r="T268" i="6"/>
  <c r="O268" i="6"/>
  <c r="P268" i="6" s="1"/>
  <c r="I280" i="10" s="1"/>
  <c r="M268" i="6"/>
  <c r="N268" i="6" s="1"/>
  <c r="K268" i="6" s="1"/>
  <c r="L268" i="6" s="1"/>
  <c r="T267" i="6"/>
  <c r="P267" i="6"/>
  <c r="I279" i="10" s="1"/>
  <c r="O267" i="6"/>
  <c r="N267" i="6"/>
  <c r="K267" i="6" s="1"/>
  <c r="L267" i="6" s="1"/>
  <c r="M267" i="6"/>
  <c r="T266" i="6"/>
  <c r="O266" i="6"/>
  <c r="P266" i="6" s="1"/>
  <c r="I278" i="10" s="1"/>
  <c r="M266" i="6"/>
  <c r="N266" i="6" s="1"/>
  <c r="K266" i="6" s="1"/>
  <c r="L266" i="6" s="1"/>
  <c r="T265" i="6"/>
  <c r="P265" i="6"/>
  <c r="I277" i="10" s="1"/>
  <c r="O265" i="6"/>
  <c r="N265" i="6"/>
  <c r="K265" i="6" s="1"/>
  <c r="M265" i="6"/>
  <c r="L265" i="6"/>
  <c r="T264" i="6"/>
  <c r="O264" i="6"/>
  <c r="P264" i="6" s="1"/>
  <c r="I276" i="10" s="1"/>
  <c r="M264" i="6"/>
  <c r="N264" i="6" s="1"/>
  <c r="K264" i="6" s="1"/>
  <c r="L264" i="6" s="1"/>
  <c r="T263" i="6"/>
  <c r="P263" i="6"/>
  <c r="I275" i="10" s="1"/>
  <c r="O263" i="6"/>
  <c r="N263" i="6"/>
  <c r="K263" i="6" s="1"/>
  <c r="L263" i="6" s="1"/>
  <c r="M263" i="6"/>
  <c r="T262" i="6"/>
  <c r="O262" i="6"/>
  <c r="P262" i="6" s="1"/>
  <c r="I274" i="10" s="1"/>
  <c r="M262" i="6"/>
  <c r="N262" i="6" s="1"/>
  <c r="K262" i="6" s="1"/>
  <c r="L262" i="6" s="1"/>
  <c r="T261" i="6"/>
  <c r="P261" i="6"/>
  <c r="I273" i="10" s="1"/>
  <c r="O261" i="6"/>
  <c r="N261" i="6"/>
  <c r="K261" i="6" s="1"/>
  <c r="M261" i="6"/>
  <c r="L261" i="6"/>
  <c r="T260" i="6"/>
  <c r="O260" i="6"/>
  <c r="P260" i="6" s="1"/>
  <c r="I272" i="10" s="1"/>
  <c r="M260" i="6"/>
  <c r="N260" i="6" s="1"/>
  <c r="K260" i="6" s="1"/>
  <c r="L260" i="6" s="1"/>
  <c r="T259" i="6"/>
  <c r="P259" i="6"/>
  <c r="I271" i="10" s="1"/>
  <c r="O259" i="6"/>
  <c r="N259" i="6"/>
  <c r="K259" i="6" s="1"/>
  <c r="L259" i="6" s="1"/>
  <c r="M259" i="6"/>
  <c r="T258" i="6"/>
  <c r="O258" i="6"/>
  <c r="P258" i="6" s="1"/>
  <c r="I270" i="10" s="1"/>
  <c r="M258" i="6"/>
  <c r="N258" i="6" s="1"/>
  <c r="K258" i="6" s="1"/>
  <c r="L258" i="6" s="1"/>
  <c r="T257" i="6"/>
  <c r="P257" i="6"/>
  <c r="I269" i="10" s="1"/>
  <c r="O257" i="6"/>
  <c r="N257" i="6"/>
  <c r="K257" i="6" s="1"/>
  <c r="M257" i="6"/>
  <c r="L257" i="6"/>
  <c r="T256" i="6"/>
  <c r="O256" i="6"/>
  <c r="P256" i="6" s="1"/>
  <c r="I268" i="10" s="1"/>
  <c r="M256" i="6"/>
  <c r="N256" i="6" s="1"/>
  <c r="K256" i="6" s="1"/>
  <c r="L256" i="6" s="1"/>
  <c r="T255" i="6"/>
  <c r="P255" i="6"/>
  <c r="I267" i="10" s="1"/>
  <c r="O255" i="6"/>
  <c r="N255" i="6"/>
  <c r="K255" i="6" s="1"/>
  <c r="L255" i="6" s="1"/>
  <c r="M255" i="6"/>
  <c r="T254" i="6"/>
  <c r="O254" i="6"/>
  <c r="P254" i="6" s="1"/>
  <c r="I266" i="10" s="1"/>
  <c r="M254" i="6"/>
  <c r="N254" i="6" s="1"/>
  <c r="K254" i="6" s="1"/>
  <c r="L254" i="6" s="1"/>
  <c r="T253" i="6"/>
  <c r="P253" i="6"/>
  <c r="I265" i="10" s="1"/>
  <c r="O253" i="6"/>
  <c r="N253" i="6"/>
  <c r="K253" i="6" s="1"/>
  <c r="M253" i="6"/>
  <c r="L253" i="6"/>
  <c r="T252" i="6"/>
  <c r="O252" i="6"/>
  <c r="P252" i="6" s="1"/>
  <c r="I264" i="10" s="1"/>
  <c r="M252" i="6"/>
  <c r="N252" i="6" s="1"/>
  <c r="K252" i="6" s="1"/>
  <c r="L252" i="6" s="1"/>
  <c r="T251" i="6"/>
  <c r="P251" i="6"/>
  <c r="I263" i="10" s="1"/>
  <c r="O251" i="6"/>
  <c r="N251" i="6"/>
  <c r="K251" i="6" s="1"/>
  <c r="L251" i="6" s="1"/>
  <c r="M251" i="6"/>
  <c r="T250" i="6"/>
  <c r="O250" i="6"/>
  <c r="P250" i="6" s="1"/>
  <c r="I262" i="10" s="1"/>
  <c r="M250" i="6"/>
  <c r="N250" i="6" s="1"/>
  <c r="K250" i="6" s="1"/>
  <c r="L250" i="6" s="1"/>
  <c r="T249" i="6"/>
  <c r="P249" i="6"/>
  <c r="I261" i="10" s="1"/>
  <c r="O249" i="6"/>
  <c r="N249" i="6"/>
  <c r="K249" i="6" s="1"/>
  <c r="M249" i="6"/>
  <c r="L249" i="6"/>
  <c r="T248" i="6"/>
  <c r="O248" i="6"/>
  <c r="P248" i="6" s="1"/>
  <c r="I260" i="10" s="1"/>
  <c r="M248" i="6"/>
  <c r="N248" i="6" s="1"/>
  <c r="K248" i="6" s="1"/>
  <c r="L248" i="6" s="1"/>
  <c r="T247" i="6"/>
  <c r="P247" i="6"/>
  <c r="I259" i="10" s="1"/>
  <c r="O247" i="6"/>
  <c r="N247" i="6"/>
  <c r="K247" i="6" s="1"/>
  <c r="L247" i="6" s="1"/>
  <c r="M247" i="6"/>
  <c r="T246" i="6"/>
  <c r="O246" i="6"/>
  <c r="P246" i="6" s="1"/>
  <c r="I258" i="10" s="1"/>
  <c r="M246" i="6"/>
  <c r="N246" i="6" s="1"/>
  <c r="K246" i="6" s="1"/>
  <c r="L246" i="6" s="1"/>
  <c r="T245" i="6"/>
  <c r="P245" i="6"/>
  <c r="I257" i="10" s="1"/>
  <c r="O245" i="6"/>
  <c r="N245" i="6"/>
  <c r="K245" i="6" s="1"/>
  <c r="M245" i="6"/>
  <c r="L245" i="6"/>
  <c r="T244" i="6"/>
  <c r="O244" i="6"/>
  <c r="P244" i="6" s="1"/>
  <c r="I256" i="10" s="1"/>
  <c r="M244" i="6"/>
  <c r="N244" i="6" s="1"/>
  <c r="K244" i="6" s="1"/>
  <c r="L244" i="6" s="1"/>
  <c r="T243" i="6"/>
  <c r="P243" i="6"/>
  <c r="I255" i="10" s="1"/>
  <c r="O243" i="6"/>
  <c r="N243" i="6"/>
  <c r="K243" i="6" s="1"/>
  <c r="L243" i="6" s="1"/>
  <c r="M243" i="6"/>
  <c r="T242" i="6"/>
  <c r="O242" i="6"/>
  <c r="P242" i="6" s="1"/>
  <c r="I254" i="10" s="1"/>
  <c r="M242" i="6"/>
  <c r="N242" i="6" s="1"/>
  <c r="K242" i="6" s="1"/>
  <c r="L242" i="6" s="1"/>
  <c r="T241" i="6"/>
  <c r="P241" i="6"/>
  <c r="I253" i="10" s="1"/>
  <c r="O241" i="6"/>
  <c r="N241" i="6"/>
  <c r="K241" i="6" s="1"/>
  <c r="M241" i="6"/>
  <c r="L241" i="6"/>
  <c r="T240" i="6"/>
  <c r="O240" i="6"/>
  <c r="P240" i="6" s="1"/>
  <c r="I252" i="10" s="1"/>
  <c r="M240" i="6"/>
  <c r="N240" i="6" s="1"/>
  <c r="K240" i="6" s="1"/>
  <c r="L240" i="6" s="1"/>
  <c r="T239" i="6"/>
  <c r="P239" i="6"/>
  <c r="I251" i="10" s="1"/>
  <c r="O239" i="6"/>
  <c r="N239" i="6"/>
  <c r="K239" i="6" s="1"/>
  <c r="L239" i="6" s="1"/>
  <c r="M239" i="6"/>
  <c r="T238" i="6"/>
  <c r="O238" i="6"/>
  <c r="P238" i="6" s="1"/>
  <c r="I250" i="10" s="1"/>
  <c r="M238" i="6"/>
  <c r="N238" i="6" s="1"/>
  <c r="K238" i="6" s="1"/>
  <c r="L238" i="6" s="1"/>
  <c r="T237" i="6"/>
  <c r="P237" i="6"/>
  <c r="I249" i="10" s="1"/>
  <c r="O237" i="6"/>
  <c r="N237" i="6"/>
  <c r="K237" i="6" s="1"/>
  <c r="M237" i="6"/>
  <c r="L237" i="6"/>
  <c r="T236" i="6"/>
  <c r="O236" i="6"/>
  <c r="P236" i="6" s="1"/>
  <c r="I248" i="10" s="1"/>
  <c r="M236" i="6"/>
  <c r="N236" i="6" s="1"/>
  <c r="K236" i="6" s="1"/>
  <c r="L236" i="6" s="1"/>
  <c r="T235" i="6"/>
  <c r="P235" i="6"/>
  <c r="I247" i="10" s="1"/>
  <c r="O235" i="6"/>
  <c r="N235" i="6"/>
  <c r="K235" i="6" s="1"/>
  <c r="L235" i="6" s="1"/>
  <c r="M235" i="6"/>
  <c r="T234" i="6"/>
  <c r="O234" i="6"/>
  <c r="P234" i="6" s="1"/>
  <c r="I246" i="10" s="1"/>
  <c r="M234" i="6"/>
  <c r="N234" i="6" s="1"/>
  <c r="K234" i="6" s="1"/>
  <c r="L234" i="6" s="1"/>
  <c r="T233" i="6"/>
  <c r="P233" i="6"/>
  <c r="I245" i="10" s="1"/>
  <c r="O233" i="6"/>
  <c r="N233" i="6"/>
  <c r="K233" i="6" s="1"/>
  <c r="M233" i="6"/>
  <c r="L233" i="6"/>
  <c r="T232" i="6"/>
  <c r="O232" i="6"/>
  <c r="P232" i="6" s="1"/>
  <c r="I244" i="10" s="1"/>
  <c r="M232" i="6"/>
  <c r="N232" i="6" s="1"/>
  <c r="K232" i="6" s="1"/>
  <c r="L232" i="6" s="1"/>
  <c r="T231" i="6"/>
  <c r="P231" i="6"/>
  <c r="I243" i="10" s="1"/>
  <c r="O231" i="6"/>
  <c r="N231" i="6"/>
  <c r="K231" i="6" s="1"/>
  <c r="L231" i="6" s="1"/>
  <c r="M231" i="6"/>
  <c r="T230" i="6"/>
  <c r="O230" i="6"/>
  <c r="P230" i="6" s="1"/>
  <c r="I242" i="10" s="1"/>
  <c r="M230" i="6"/>
  <c r="N230" i="6" s="1"/>
  <c r="K230" i="6" s="1"/>
  <c r="L230" i="6" s="1"/>
  <c r="T229" i="6"/>
  <c r="P229" i="6"/>
  <c r="I241" i="10" s="1"/>
  <c r="O229" i="6"/>
  <c r="N229" i="6"/>
  <c r="K229" i="6" s="1"/>
  <c r="M229" i="6"/>
  <c r="L229" i="6"/>
  <c r="T228" i="6"/>
  <c r="O228" i="6"/>
  <c r="P228" i="6" s="1"/>
  <c r="I240" i="10" s="1"/>
  <c r="M228" i="6"/>
  <c r="N228" i="6" s="1"/>
  <c r="K228" i="6" s="1"/>
  <c r="L228" i="6" s="1"/>
  <c r="T227" i="6"/>
  <c r="P227" i="6"/>
  <c r="I239" i="10" s="1"/>
  <c r="O227" i="6"/>
  <c r="N227" i="6"/>
  <c r="K227" i="6" s="1"/>
  <c r="L227" i="6" s="1"/>
  <c r="M227" i="6"/>
  <c r="T226" i="6"/>
  <c r="O226" i="6"/>
  <c r="P226" i="6" s="1"/>
  <c r="I238" i="10" s="1"/>
  <c r="M226" i="6"/>
  <c r="N226" i="6" s="1"/>
  <c r="K226" i="6" s="1"/>
  <c r="L226" i="6" s="1"/>
  <c r="T225" i="6"/>
  <c r="P225" i="6"/>
  <c r="I237" i="10" s="1"/>
  <c r="O225" i="6"/>
  <c r="N225" i="6"/>
  <c r="K225" i="6" s="1"/>
  <c r="M225" i="6"/>
  <c r="L225" i="6"/>
  <c r="T224" i="6"/>
  <c r="O224" i="6"/>
  <c r="P224" i="6" s="1"/>
  <c r="I236" i="10" s="1"/>
  <c r="M224" i="6"/>
  <c r="N224" i="6" s="1"/>
  <c r="K224" i="6" s="1"/>
  <c r="L224" i="6" s="1"/>
  <c r="T223" i="6"/>
  <c r="P223" i="6"/>
  <c r="I235" i="10" s="1"/>
  <c r="O223" i="6"/>
  <c r="N223" i="6"/>
  <c r="K223" i="6" s="1"/>
  <c r="L223" i="6" s="1"/>
  <c r="M223" i="6"/>
  <c r="T222" i="6"/>
  <c r="O222" i="6"/>
  <c r="P222" i="6" s="1"/>
  <c r="I234" i="10" s="1"/>
  <c r="M222" i="6"/>
  <c r="N222" i="6" s="1"/>
  <c r="K222" i="6" s="1"/>
  <c r="L222" i="6" s="1"/>
  <c r="T221" i="6"/>
  <c r="P221" i="6"/>
  <c r="I233" i="10" s="1"/>
  <c r="O221" i="6"/>
  <c r="N221" i="6"/>
  <c r="K221" i="6" s="1"/>
  <c r="M221" i="6"/>
  <c r="L221" i="6"/>
  <c r="T220" i="6"/>
  <c r="O220" i="6"/>
  <c r="P220" i="6" s="1"/>
  <c r="I232" i="10" s="1"/>
  <c r="M220" i="6"/>
  <c r="N220" i="6" s="1"/>
  <c r="K220" i="6" s="1"/>
  <c r="L220" i="6" s="1"/>
  <c r="T219" i="6"/>
  <c r="P219" i="6"/>
  <c r="I231" i="10" s="1"/>
  <c r="O219" i="6"/>
  <c r="N219" i="6"/>
  <c r="M219" i="6"/>
  <c r="L219" i="6"/>
  <c r="K219" i="6"/>
  <c r="T218" i="6"/>
  <c r="O218" i="6"/>
  <c r="P218" i="6" s="1"/>
  <c r="I230" i="10" s="1"/>
  <c r="M218" i="6"/>
  <c r="N218" i="6" s="1"/>
  <c r="K218" i="6"/>
  <c r="L218" i="6" s="1"/>
  <c r="T217" i="6"/>
  <c r="P217" i="6"/>
  <c r="I218" i="10" s="1"/>
  <c r="O217" i="6"/>
  <c r="N217" i="6"/>
  <c r="K217" i="6" s="1"/>
  <c r="L217" i="6" s="1"/>
  <c r="M217" i="6"/>
  <c r="T216" i="6"/>
  <c r="O216" i="6"/>
  <c r="P216" i="6" s="1"/>
  <c r="I217" i="10" s="1"/>
  <c r="M216" i="6"/>
  <c r="N216" i="6" s="1"/>
  <c r="K216" i="6" s="1"/>
  <c r="L216" i="6" s="1"/>
  <c r="T215" i="6"/>
  <c r="S215" i="6"/>
  <c r="O215" i="6"/>
  <c r="P215" i="6" s="1"/>
  <c r="I216" i="10" s="1"/>
  <c r="M215" i="6"/>
  <c r="N215" i="6" s="1"/>
  <c r="K215" i="6"/>
  <c r="L215" i="6" s="1"/>
  <c r="T214" i="6"/>
  <c r="P214" i="6"/>
  <c r="I215" i="10" s="1"/>
  <c r="O214" i="6"/>
  <c r="N214" i="6"/>
  <c r="K214" i="6" s="1"/>
  <c r="M214" i="6"/>
  <c r="L214" i="6"/>
  <c r="T213" i="6"/>
  <c r="O213" i="6"/>
  <c r="P213" i="6" s="1"/>
  <c r="I214" i="10" s="1"/>
  <c r="M213" i="6"/>
  <c r="N213" i="6" s="1"/>
  <c r="K213" i="6" s="1"/>
  <c r="L213" i="6" s="1"/>
  <c r="T212" i="6"/>
  <c r="P212" i="6"/>
  <c r="I213" i="10" s="1"/>
  <c r="O212" i="6"/>
  <c r="N212" i="6"/>
  <c r="K212" i="6" s="1"/>
  <c r="L212" i="6" s="1"/>
  <c r="M212" i="6"/>
  <c r="T211" i="6"/>
  <c r="O211" i="6"/>
  <c r="P211" i="6" s="1"/>
  <c r="I212" i="10" s="1"/>
  <c r="M211" i="6"/>
  <c r="N211" i="6" s="1"/>
  <c r="K211" i="6"/>
  <c r="L211" i="6" s="1"/>
  <c r="T210" i="6"/>
  <c r="P210" i="6"/>
  <c r="I211" i="10" s="1"/>
  <c r="O210" i="6"/>
  <c r="N210" i="6"/>
  <c r="K210" i="6" s="1"/>
  <c r="M210" i="6"/>
  <c r="L210" i="6"/>
  <c r="T209" i="6"/>
  <c r="O209" i="6"/>
  <c r="P209" i="6" s="1"/>
  <c r="I210" i="10" s="1"/>
  <c r="M209" i="6"/>
  <c r="N209" i="6" s="1"/>
  <c r="K209" i="6" s="1"/>
  <c r="L209" i="6" s="1"/>
  <c r="T208" i="6"/>
  <c r="P208" i="6"/>
  <c r="I209" i="10" s="1"/>
  <c r="O208" i="6"/>
  <c r="N208" i="6"/>
  <c r="K208" i="6" s="1"/>
  <c r="L208" i="6" s="1"/>
  <c r="M208" i="6"/>
  <c r="T207" i="6"/>
  <c r="O207" i="6"/>
  <c r="P207" i="6" s="1"/>
  <c r="I208" i="10" s="1"/>
  <c r="M207" i="6"/>
  <c r="N207" i="6" s="1"/>
  <c r="K207" i="6"/>
  <c r="L207" i="6" s="1"/>
  <c r="T206" i="6"/>
  <c r="P206" i="6"/>
  <c r="I207" i="10" s="1"/>
  <c r="O206" i="6"/>
  <c r="N206" i="6"/>
  <c r="K206" i="6" s="1"/>
  <c r="M206" i="6"/>
  <c r="L206" i="6"/>
  <c r="T205" i="6"/>
  <c r="O205" i="6"/>
  <c r="P205" i="6" s="1"/>
  <c r="I206" i="10" s="1"/>
  <c r="M205" i="6"/>
  <c r="N205" i="6" s="1"/>
  <c r="K205" i="6" s="1"/>
  <c r="L205" i="6" s="1"/>
  <c r="T204" i="6"/>
  <c r="P204" i="6"/>
  <c r="I205" i="10" s="1"/>
  <c r="O204" i="6"/>
  <c r="N204" i="6"/>
  <c r="K204" i="6" s="1"/>
  <c r="L204" i="6" s="1"/>
  <c r="M204" i="6"/>
  <c r="T203" i="6"/>
  <c r="O203" i="6"/>
  <c r="P203" i="6" s="1"/>
  <c r="I204" i="10" s="1"/>
  <c r="M203" i="6"/>
  <c r="N203" i="6" s="1"/>
  <c r="K203" i="6"/>
  <c r="L203" i="6" s="1"/>
  <c r="T202" i="6"/>
  <c r="P202" i="6"/>
  <c r="I203" i="10" s="1"/>
  <c r="O202" i="6"/>
  <c r="N202" i="6"/>
  <c r="K202" i="6" s="1"/>
  <c r="M202" i="6"/>
  <c r="L202" i="6"/>
  <c r="T201" i="6"/>
  <c r="O201" i="6"/>
  <c r="P201" i="6" s="1"/>
  <c r="I202" i="10" s="1"/>
  <c r="M201" i="6"/>
  <c r="N201" i="6" s="1"/>
  <c r="K201" i="6" s="1"/>
  <c r="L201" i="6" s="1"/>
  <c r="T200" i="6"/>
  <c r="P200" i="6"/>
  <c r="I201" i="10" s="1"/>
  <c r="O200" i="6"/>
  <c r="N200" i="6"/>
  <c r="K200" i="6" s="1"/>
  <c r="L200" i="6" s="1"/>
  <c r="M200" i="6"/>
  <c r="T199" i="6"/>
  <c r="O199" i="6"/>
  <c r="P199" i="6" s="1"/>
  <c r="I200" i="10" s="1"/>
  <c r="M199" i="6"/>
  <c r="N199" i="6" s="1"/>
  <c r="K199" i="6" s="1"/>
  <c r="L199" i="6" s="1"/>
  <c r="T198" i="6"/>
  <c r="P198" i="6"/>
  <c r="I199" i="10" s="1"/>
  <c r="O198" i="6"/>
  <c r="N198" i="6"/>
  <c r="K198" i="6" s="1"/>
  <c r="L198" i="6" s="1"/>
  <c r="M198" i="6"/>
  <c r="T197" i="6"/>
  <c r="P197" i="6"/>
  <c r="I198" i="10" s="1"/>
  <c r="O197" i="6"/>
  <c r="M197" i="6"/>
  <c r="N197" i="6" s="1"/>
  <c r="K197" i="6" s="1"/>
  <c r="L197" i="6" s="1"/>
  <c r="T196" i="6"/>
  <c r="P196" i="6"/>
  <c r="I197" i="10" s="1"/>
  <c r="O196" i="6"/>
  <c r="M196" i="6"/>
  <c r="N196" i="6" s="1"/>
  <c r="K196" i="6" s="1"/>
  <c r="L196" i="6" s="1"/>
  <c r="T195" i="6"/>
  <c r="O195" i="6"/>
  <c r="P195" i="6" s="1"/>
  <c r="I196" i="10" s="1"/>
  <c r="N195" i="6"/>
  <c r="M195" i="6"/>
  <c r="K195" i="6"/>
  <c r="L195" i="6" s="1"/>
  <c r="T194" i="6"/>
  <c r="O194" i="6"/>
  <c r="P194" i="6" s="1"/>
  <c r="I195" i="10" s="1"/>
  <c r="N194" i="6"/>
  <c r="K194" i="6" s="1"/>
  <c r="L194" i="6" s="1"/>
  <c r="M194" i="6"/>
  <c r="T193" i="6"/>
  <c r="P193" i="6"/>
  <c r="I194" i="10" s="1"/>
  <c r="O193" i="6"/>
  <c r="M193" i="6"/>
  <c r="N193" i="6" s="1"/>
  <c r="K193" i="6" s="1"/>
  <c r="L193" i="6" s="1"/>
  <c r="T192" i="6"/>
  <c r="P192" i="6"/>
  <c r="I193" i="10" s="1"/>
  <c r="O192" i="6"/>
  <c r="M192" i="6"/>
  <c r="N192" i="6" s="1"/>
  <c r="K192" i="6" s="1"/>
  <c r="L192" i="6" s="1"/>
  <c r="T191" i="6"/>
  <c r="O191" i="6"/>
  <c r="P191" i="6" s="1"/>
  <c r="I192" i="10" s="1"/>
  <c r="N191" i="6"/>
  <c r="M191" i="6"/>
  <c r="K191" i="6"/>
  <c r="L191" i="6" s="1"/>
  <c r="T190" i="6"/>
  <c r="O190" i="6"/>
  <c r="P190" i="6" s="1"/>
  <c r="I191" i="10" s="1"/>
  <c r="N190" i="6"/>
  <c r="K190" i="6" s="1"/>
  <c r="L190" i="6" s="1"/>
  <c r="M190" i="6"/>
  <c r="T189" i="6"/>
  <c r="P189" i="6"/>
  <c r="I190" i="10" s="1"/>
  <c r="O189" i="6"/>
  <c r="M189" i="6"/>
  <c r="N189" i="6" s="1"/>
  <c r="K189" i="6" s="1"/>
  <c r="L189" i="6" s="1"/>
  <c r="T188" i="6"/>
  <c r="P188" i="6"/>
  <c r="I189" i="10" s="1"/>
  <c r="O188" i="6"/>
  <c r="M188" i="6"/>
  <c r="N188" i="6" s="1"/>
  <c r="K188" i="6" s="1"/>
  <c r="L188" i="6" s="1"/>
  <c r="T187" i="6"/>
  <c r="O187" i="6"/>
  <c r="P187" i="6" s="1"/>
  <c r="I188" i="10" s="1"/>
  <c r="N187" i="6"/>
  <c r="M187" i="6"/>
  <c r="K187" i="6"/>
  <c r="L187" i="6" s="1"/>
  <c r="T186" i="6"/>
  <c r="O186" i="6"/>
  <c r="P186" i="6" s="1"/>
  <c r="I187" i="10" s="1"/>
  <c r="N186" i="6"/>
  <c r="K186" i="6" s="1"/>
  <c r="L186" i="6" s="1"/>
  <c r="M186" i="6"/>
  <c r="T185" i="6"/>
  <c r="P185" i="6"/>
  <c r="I186" i="10" s="1"/>
  <c r="O185" i="6"/>
  <c r="M185" i="6"/>
  <c r="N185" i="6" s="1"/>
  <c r="K185" i="6" s="1"/>
  <c r="L185" i="6" s="1"/>
  <c r="T184" i="6"/>
  <c r="P184" i="6"/>
  <c r="I185" i="10" s="1"/>
  <c r="O184" i="6"/>
  <c r="M184" i="6"/>
  <c r="N184" i="6" s="1"/>
  <c r="K184" i="6" s="1"/>
  <c r="L184" i="6" s="1"/>
  <c r="T183" i="6"/>
  <c r="O183" i="6"/>
  <c r="P183" i="6" s="1"/>
  <c r="I184" i="10" s="1"/>
  <c r="N183" i="6"/>
  <c r="M183" i="6"/>
  <c r="K183" i="6"/>
  <c r="L183" i="6" s="1"/>
  <c r="T182" i="6"/>
  <c r="O182" i="6"/>
  <c r="P182" i="6" s="1"/>
  <c r="I183" i="10" s="1"/>
  <c r="N182" i="6"/>
  <c r="K182" i="6" s="1"/>
  <c r="L182" i="6" s="1"/>
  <c r="M182" i="6"/>
  <c r="T181" i="6"/>
  <c r="P181" i="6"/>
  <c r="I182" i="10" s="1"/>
  <c r="O181" i="6"/>
  <c r="M181" i="6"/>
  <c r="N181" i="6" s="1"/>
  <c r="K181" i="6" s="1"/>
  <c r="L181" i="6" s="1"/>
  <c r="T180" i="6"/>
  <c r="P180" i="6"/>
  <c r="I181" i="10" s="1"/>
  <c r="O180" i="6"/>
  <c r="M180" i="6"/>
  <c r="N180" i="6" s="1"/>
  <c r="K180" i="6" s="1"/>
  <c r="L180" i="6" s="1"/>
  <c r="T179" i="6"/>
  <c r="O179" i="6"/>
  <c r="P179" i="6" s="1"/>
  <c r="I180" i="10" s="1"/>
  <c r="N179" i="6"/>
  <c r="M179" i="6"/>
  <c r="K179" i="6"/>
  <c r="L179" i="6" s="1"/>
  <c r="T178" i="6"/>
  <c r="O178" i="6"/>
  <c r="P178" i="6" s="1"/>
  <c r="I179" i="10" s="1"/>
  <c r="N178" i="6"/>
  <c r="K178" i="6" s="1"/>
  <c r="L178" i="6" s="1"/>
  <c r="M178" i="6"/>
  <c r="T177" i="6"/>
  <c r="P177" i="6"/>
  <c r="I178" i="10" s="1"/>
  <c r="O177" i="6"/>
  <c r="M177" i="6"/>
  <c r="N177" i="6" s="1"/>
  <c r="K177" i="6" s="1"/>
  <c r="L177" i="6" s="1"/>
  <c r="T176" i="6"/>
  <c r="P176" i="6"/>
  <c r="I177" i="10" s="1"/>
  <c r="O176" i="6"/>
  <c r="M176" i="6"/>
  <c r="N176" i="6" s="1"/>
  <c r="K176" i="6" s="1"/>
  <c r="L176" i="6" s="1"/>
  <c r="T175" i="6"/>
  <c r="O175" i="6"/>
  <c r="P175" i="6" s="1"/>
  <c r="I176" i="10" s="1"/>
  <c r="N175" i="6"/>
  <c r="M175" i="6"/>
  <c r="K175" i="6"/>
  <c r="L175" i="6" s="1"/>
  <c r="T174" i="6"/>
  <c r="O174" i="6"/>
  <c r="S174" i="6" s="1"/>
  <c r="N174" i="6"/>
  <c r="M174" i="6"/>
  <c r="K174" i="6"/>
  <c r="L174" i="6" s="1"/>
  <c r="T173" i="6"/>
  <c r="O173" i="6"/>
  <c r="P173" i="6" s="1"/>
  <c r="I174" i="10" s="1"/>
  <c r="N173" i="6"/>
  <c r="K173" i="6" s="1"/>
  <c r="L173" i="6" s="1"/>
  <c r="M173" i="6"/>
  <c r="T172" i="6"/>
  <c r="P172" i="6"/>
  <c r="I173" i="10" s="1"/>
  <c r="O172" i="6"/>
  <c r="M172" i="6"/>
  <c r="N172" i="6" s="1"/>
  <c r="K172" i="6" s="1"/>
  <c r="L172" i="6" s="1"/>
  <c r="T171" i="6"/>
  <c r="P171" i="6"/>
  <c r="I172" i="10" s="1"/>
  <c r="O171" i="6"/>
  <c r="M171" i="6"/>
  <c r="N171" i="6" s="1"/>
  <c r="K171" i="6" s="1"/>
  <c r="L171" i="6" s="1"/>
  <c r="T170" i="6"/>
  <c r="O170" i="6"/>
  <c r="P170" i="6" s="1"/>
  <c r="I171" i="10" s="1"/>
  <c r="N170" i="6"/>
  <c r="M170" i="6"/>
  <c r="K170" i="6"/>
  <c r="L170" i="6" s="1"/>
  <c r="T169" i="6"/>
  <c r="R169" i="6"/>
  <c r="P169" i="6"/>
  <c r="I170" i="10" s="1"/>
  <c r="O169" i="6"/>
  <c r="S169" i="6" s="1"/>
  <c r="M169" i="6"/>
  <c r="N169" i="6" s="1"/>
  <c r="L169" i="6"/>
  <c r="K169" i="6"/>
  <c r="T168" i="6"/>
  <c r="O168" i="6"/>
  <c r="P168" i="6" s="1"/>
  <c r="I169" i="10" s="1"/>
  <c r="N168" i="6"/>
  <c r="M168" i="6"/>
  <c r="K168" i="6"/>
  <c r="L168" i="6" s="1"/>
  <c r="T167" i="6"/>
  <c r="O167" i="6"/>
  <c r="P167" i="6" s="1"/>
  <c r="I168" i="10" s="1"/>
  <c r="N167" i="6"/>
  <c r="K167" i="6" s="1"/>
  <c r="L167" i="6" s="1"/>
  <c r="M167" i="6"/>
  <c r="T166" i="6"/>
  <c r="P166" i="6"/>
  <c r="I167" i="10" s="1"/>
  <c r="O166" i="6"/>
  <c r="M166" i="6"/>
  <c r="N166" i="6" s="1"/>
  <c r="K166" i="6" s="1"/>
  <c r="L166" i="6" s="1"/>
  <c r="T165" i="6"/>
  <c r="P165" i="6"/>
  <c r="I166" i="10" s="1"/>
  <c r="O165" i="6"/>
  <c r="M165" i="6"/>
  <c r="N165" i="6" s="1"/>
  <c r="K165" i="6" s="1"/>
  <c r="L165" i="6" s="1"/>
  <c r="T164" i="6"/>
  <c r="O164" i="6"/>
  <c r="P164" i="6" s="1"/>
  <c r="I165" i="10" s="1"/>
  <c r="N164" i="6"/>
  <c r="M164" i="6"/>
  <c r="K164" i="6"/>
  <c r="L164" i="6" s="1"/>
  <c r="T163" i="6"/>
  <c r="O163" i="6"/>
  <c r="P163" i="6" s="1"/>
  <c r="I164" i="10" s="1"/>
  <c r="N163" i="6"/>
  <c r="K163" i="6" s="1"/>
  <c r="L163" i="6" s="1"/>
  <c r="M163" i="6"/>
  <c r="T162" i="6"/>
  <c r="P162" i="6"/>
  <c r="I163" i="10" s="1"/>
  <c r="O162" i="6"/>
  <c r="M162" i="6"/>
  <c r="N162" i="6" s="1"/>
  <c r="K162" i="6" s="1"/>
  <c r="L162" i="6" s="1"/>
  <c r="T161" i="6"/>
  <c r="P161" i="6"/>
  <c r="I162" i="10" s="1"/>
  <c r="O161" i="6"/>
  <c r="M161" i="6"/>
  <c r="N161" i="6" s="1"/>
  <c r="K161" i="6" s="1"/>
  <c r="L161" i="6" s="1"/>
  <c r="T160" i="6"/>
  <c r="O160" i="6"/>
  <c r="P160" i="6" s="1"/>
  <c r="I161" i="10" s="1"/>
  <c r="N160" i="6"/>
  <c r="M160" i="6"/>
  <c r="K160" i="6"/>
  <c r="L160" i="6" s="1"/>
  <c r="T159" i="6"/>
  <c r="O159" i="6"/>
  <c r="P159" i="6" s="1"/>
  <c r="I160" i="10" s="1"/>
  <c r="N159" i="6"/>
  <c r="K159" i="6" s="1"/>
  <c r="L159" i="6" s="1"/>
  <c r="M159" i="6"/>
  <c r="T158" i="6"/>
  <c r="P158" i="6"/>
  <c r="I159" i="10" s="1"/>
  <c r="O158" i="6"/>
  <c r="M158" i="6"/>
  <c r="N158" i="6" s="1"/>
  <c r="K158" i="6" s="1"/>
  <c r="L158" i="6" s="1"/>
  <c r="T157" i="6"/>
  <c r="P157" i="6"/>
  <c r="I158" i="10" s="1"/>
  <c r="O157" i="6"/>
  <c r="M157" i="6"/>
  <c r="N157" i="6" s="1"/>
  <c r="K157" i="6" s="1"/>
  <c r="L157" i="6" s="1"/>
  <c r="T156" i="6"/>
  <c r="O156" i="6"/>
  <c r="P156" i="6" s="1"/>
  <c r="I157" i="10" s="1"/>
  <c r="N156" i="6"/>
  <c r="M156" i="6"/>
  <c r="K156" i="6"/>
  <c r="L156" i="6" s="1"/>
  <c r="T155" i="6"/>
  <c r="O155" i="6"/>
  <c r="P155" i="6" s="1"/>
  <c r="I156" i="10" s="1"/>
  <c r="N155" i="6"/>
  <c r="K155" i="6" s="1"/>
  <c r="L155" i="6" s="1"/>
  <c r="M155" i="6"/>
  <c r="T154" i="6"/>
  <c r="P154" i="6"/>
  <c r="I155" i="10" s="1"/>
  <c r="O154" i="6"/>
  <c r="M154" i="6"/>
  <c r="N154" i="6" s="1"/>
  <c r="K154" i="6" s="1"/>
  <c r="L154" i="6" s="1"/>
  <c r="T153" i="6"/>
  <c r="P153" i="6"/>
  <c r="I154" i="10" s="1"/>
  <c r="O153" i="6"/>
  <c r="M153" i="6"/>
  <c r="N153" i="6" s="1"/>
  <c r="K153" i="6" s="1"/>
  <c r="L153" i="6" s="1"/>
  <c r="T152" i="6"/>
  <c r="O152" i="6"/>
  <c r="P152" i="6" s="1"/>
  <c r="I153" i="10" s="1"/>
  <c r="N152" i="6"/>
  <c r="M152" i="6"/>
  <c r="K152" i="6"/>
  <c r="L152" i="6" s="1"/>
  <c r="T151" i="6"/>
  <c r="O151" i="6"/>
  <c r="P151" i="6" s="1"/>
  <c r="I152" i="10" s="1"/>
  <c r="N151" i="6"/>
  <c r="K151" i="6" s="1"/>
  <c r="L151" i="6" s="1"/>
  <c r="M151" i="6"/>
  <c r="T150" i="6"/>
  <c r="P150" i="6"/>
  <c r="I151" i="10" s="1"/>
  <c r="O150" i="6"/>
  <c r="M150" i="6"/>
  <c r="N150" i="6" s="1"/>
  <c r="K150" i="6" s="1"/>
  <c r="L150" i="6" s="1"/>
  <c r="T149" i="6"/>
  <c r="P149" i="6"/>
  <c r="I150" i="10" s="1"/>
  <c r="O149" i="6"/>
  <c r="M149" i="6"/>
  <c r="N149" i="6" s="1"/>
  <c r="K149" i="6" s="1"/>
  <c r="L149" i="6" s="1"/>
  <c r="T148" i="6"/>
  <c r="O148" i="6"/>
  <c r="P148" i="6" s="1"/>
  <c r="I149" i="10" s="1"/>
  <c r="N148" i="6"/>
  <c r="M148" i="6"/>
  <c r="K148" i="6"/>
  <c r="L148" i="6" s="1"/>
  <c r="T147" i="6"/>
  <c r="O147" i="6"/>
  <c r="P147" i="6" s="1"/>
  <c r="I148" i="10" s="1"/>
  <c r="N147" i="6"/>
  <c r="K147" i="6" s="1"/>
  <c r="L147" i="6" s="1"/>
  <c r="M147" i="6"/>
  <c r="T146" i="6"/>
  <c r="P146" i="6"/>
  <c r="I147" i="10" s="1"/>
  <c r="O146" i="6"/>
  <c r="M146" i="6"/>
  <c r="N146" i="6" s="1"/>
  <c r="K146" i="6" s="1"/>
  <c r="L146" i="6" s="1"/>
  <c r="T145" i="6"/>
  <c r="P145" i="6"/>
  <c r="I146" i="10" s="1"/>
  <c r="O145" i="6"/>
  <c r="M145" i="6"/>
  <c r="N145" i="6" s="1"/>
  <c r="K145" i="6" s="1"/>
  <c r="L145" i="6" s="1"/>
  <c r="T144" i="6"/>
  <c r="O144" i="6"/>
  <c r="P144" i="6" s="1"/>
  <c r="I145" i="10" s="1"/>
  <c r="N144" i="6"/>
  <c r="M144" i="6"/>
  <c r="K144" i="6"/>
  <c r="L144" i="6" s="1"/>
  <c r="T143" i="6"/>
  <c r="O143" i="6"/>
  <c r="P143" i="6" s="1"/>
  <c r="I144" i="10" s="1"/>
  <c r="N143" i="6"/>
  <c r="K143" i="6" s="1"/>
  <c r="L143" i="6" s="1"/>
  <c r="M143" i="6"/>
  <c r="T142" i="6"/>
  <c r="P142" i="6"/>
  <c r="I143" i="10" s="1"/>
  <c r="O142" i="6"/>
  <c r="M142" i="6"/>
  <c r="N142" i="6" s="1"/>
  <c r="K142" i="6" s="1"/>
  <c r="L142" i="6" s="1"/>
  <c r="T141" i="6"/>
  <c r="P141" i="6"/>
  <c r="I142" i="10" s="1"/>
  <c r="O141" i="6"/>
  <c r="M141" i="6"/>
  <c r="N141" i="6" s="1"/>
  <c r="K141" i="6" s="1"/>
  <c r="L141" i="6"/>
  <c r="T140" i="6"/>
  <c r="O140" i="6"/>
  <c r="P140" i="6" s="1"/>
  <c r="I141" i="10" s="1"/>
  <c r="N140" i="6"/>
  <c r="M140" i="6"/>
  <c r="K140" i="6"/>
  <c r="L140" i="6" s="1"/>
  <c r="T139" i="6"/>
  <c r="O139" i="6"/>
  <c r="P139" i="6" s="1"/>
  <c r="I140" i="10" s="1"/>
  <c r="N139" i="6"/>
  <c r="K139" i="6" s="1"/>
  <c r="L139" i="6" s="1"/>
  <c r="M139" i="6"/>
  <c r="T138" i="6"/>
  <c r="P138" i="6"/>
  <c r="I139" i="10" s="1"/>
  <c r="O138" i="6"/>
  <c r="M138" i="6"/>
  <c r="N138" i="6" s="1"/>
  <c r="K138" i="6" s="1"/>
  <c r="L138" i="6" s="1"/>
  <c r="T137" i="6"/>
  <c r="P137" i="6"/>
  <c r="I138" i="10" s="1"/>
  <c r="O137" i="6"/>
  <c r="M137" i="6"/>
  <c r="N137" i="6" s="1"/>
  <c r="K137" i="6" s="1"/>
  <c r="L137" i="6" s="1"/>
  <c r="T136" i="6"/>
  <c r="O136" i="6"/>
  <c r="P136" i="6" s="1"/>
  <c r="I137" i="10" s="1"/>
  <c r="N136" i="6"/>
  <c r="M136" i="6"/>
  <c r="K136" i="6"/>
  <c r="L136" i="6" s="1"/>
  <c r="T135" i="6"/>
  <c r="O135" i="6"/>
  <c r="P135" i="6" s="1"/>
  <c r="I136" i="10" s="1"/>
  <c r="N135" i="6"/>
  <c r="K135" i="6" s="1"/>
  <c r="L135" i="6" s="1"/>
  <c r="M135" i="6"/>
  <c r="T134" i="6"/>
  <c r="P134" i="6"/>
  <c r="I135" i="10" s="1"/>
  <c r="O134" i="6"/>
  <c r="M134" i="6"/>
  <c r="N134" i="6" s="1"/>
  <c r="K134" i="6" s="1"/>
  <c r="L134" i="6" s="1"/>
  <c r="T133" i="6"/>
  <c r="P133" i="6"/>
  <c r="I134" i="10" s="1"/>
  <c r="O133" i="6"/>
  <c r="M133" i="6"/>
  <c r="N133" i="6" s="1"/>
  <c r="K133" i="6"/>
  <c r="L133" i="6" s="1"/>
  <c r="T132" i="6"/>
  <c r="O132" i="6"/>
  <c r="P132" i="6" s="1"/>
  <c r="I133" i="10" s="1"/>
  <c r="N132" i="6"/>
  <c r="K132" i="6" s="1"/>
  <c r="L132" i="6" s="1"/>
  <c r="M132" i="6"/>
  <c r="T131" i="6"/>
  <c r="O131" i="6"/>
  <c r="P131" i="6" s="1"/>
  <c r="I132" i="10" s="1"/>
  <c r="N131" i="6"/>
  <c r="K131" i="6" s="1"/>
  <c r="L131" i="6" s="1"/>
  <c r="M131" i="6"/>
  <c r="T130" i="6"/>
  <c r="P130" i="6"/>
  <c r="I131" i="10" s="1"/>
  <c r="O130" i="6"/>
  <c r="M130" i="6"/>
  <c r="N130" i="6" s="1"/>
  <c r="K130" i="6" s="1"/>
  <c r="L130" i="6"/>
  <c r="T129" i="6"/>
  <c r="P129" i="6"/>
  <c r="I130" i="10" s="1"/>
  <c r="O129" i="6"/>
  <c r="M129" i="6"/>
  <c r="N129" i="6" s="1"/>
  <c r="K129" i="6"/>
  <c r="L129" i="6" s="1"/>
  <c r="T128" i="6"/>
  <c r="O128" i="6"/>
  <c r="P128" i="6" s="1"/>
  <c r="I129" i="10" s="1"/>
  <c r="N128" i="6"/>
  <c r="K128" i="6" s="1"/>
  <c r="L128" i="6" s="1"/>
  <c r="M128" i="6"/>
  <c r="T127" i="6"/>
  <c r="O127" i="6"/>
  <c r="P127" i="6" s="1"/>
  <c r="I128" i="10" s="1"/>
  <c r="N127" i="6"/>
  <c r="K127" i="6" s="1"/>
  <c r="L127" i="6" s="1"/>
  <c r="M127" i="6"/>
  <c r="T126" i="6"/>
  <c r="P126" i="6"/>
  <c r="I127" i="10" s="1"/>
  <c r="O126" i="6"/>
  <c r="M126" i="6"/>
  <c r="N126" i="6" s="1"/>
  <c r="K126" i="6" s="1"/>
  <c r="L126" i="6"/>
  <c r="T125" i="6"/>
  <c r="P125" i="6"/>
  <c r="I126" i="10" s="1"/>
  <c r="O125" i="6"/>
  <c r="M125" i="6"/>
  <c r="N125" i="6" s="1"/>
  <c r="K125" i="6"/>
  <c r="L125" i="6" s="1"/>
  <c r="T124" i="6"/>
  <c r="O124" i="6"/>
  <c r="P124" i="6" s="1"/>
  <c r="I125" i="10" s="1"/>
  <c r="N124" i="6"/>
  <c r="K124" i="6" s="1"/>
  <c r="L124" i="6" s="1"/>
  <c r="M124" i="6"/>
  <c r="T123" i="6"/>
  <c r="O123" i="6"/>
  <c r="P123" i="6" s="1"/>
  <c r="I124" i="10" s="1"/>
  <c r="N123" i="6"/>
  <c r="K123" i="6" s="1"/>
  <c r="L123" i="6" s="1"/>
  <c r="M123" i="6"/>
  <c r="T122" i="6"/>
  <c r="P122" i="6"/>
  <c r="I123" i="10" s="1"/>
  <c r="O122" i="6"/>
  <c r="M122" i="6"/>
  <c r="N122" i="6" s="1"/>
  <c r="K122" i="6" s="1"/>
  <c r="L122" i="6"/>
  <c r="T121" i="6"/>
  <c r="P121" i="6"/>
  <c r="I122" i="10" s="1"/>
  <c r="O121" i="6"/>
  <c r="M121" i="6"/>
  <c r="N121" i="6" s="1"/>
  <c r="K121" i="6"/>
  <c r="L121" i="6" s="1"/>
  <c r="T120" i="6"/>
  <c r="O120" i="6"/>
  <c r="P120" i="6" s="1"/>
  <c r="I121" i="10" s="1"/>
  <c r="N120" i="6"/>
  <c r="K120" i="6" s="1"/>
  <c r="L120" i="6" s="1"/>
  <c r="M120" i="6"/>
  <c r="T119" i="6"/>
  <c r="O119" i="6"/>
  <c r="P119" i="6" s="1"/>
  <c r="I120" i="10" s="1"/>
  <c r="N119" i="6"/>
  <c r="K119" i="6" s="1"/>
  <c r="L119" i="6" s="1"/>
  <c r="M119" i="6"/>
  <c r="T118" i="6"/>
  <c r="P118" i="6"/>
  <c r="I119" i="10" s="1"/>
  <c r="O118" i="6"/>
  <c r="M118" i="6"/>
  <c r="N118" i="6" s="1"/>
  <c r="K118" i="6" s="1"/>
  <c r="L118" i="6"/>
  <c r="T117" i="6"/>
  <c r="P117" i="6"/>
  <c r="I118" i="10" s="1"/>
  <c r="O117" i="6"/>
  <c r="M117" i="6"/>
  <c r="N117" i="6" s="1"/>
  <c r="K117" i="6"/>
  <c r="L117" i="6" s="1"/>
  <c r="T116" i="6"/>
  <c r="O116" i="6"/>
  <c r="P116" i="6" s="1"/>
  <c r="I117" i="10" s="1"/>
  <c r="N116" i="6"/>
  <c r="K116" i="6" s="1"/>
  <c r="L116" i="6" s="1"/>
  <c r="M116" i="6"/>
  <c r="T115" i="6"/>
  <c r="O115" i="6"/>
  <c r="P115" i="6" s="1"/>
  <c r="I116" i="10" s="1"/>
  <c r="N115" i="6"/>
  <c r="K115" i="6" s="1"/>
  <c r="L115" i="6" s="1"/>
  <c r="M115" i="6"/>
  <c r="T114" i="6"/>
  <c r="P114" i="6"/>
  <c r="I115" i="10" s="1"/>
  <c r="O114" i="6"/>
  <c r="M114" i="6"/>
  <c r="N114" i="6" s="1"/>
  <c r="K114" i="6" s="1"/>
  <c r="L114" i="6"/>
  <c r="T113" i="6"/>
  <c r="P113" i="6"/>
  <c r="I114" i="10" s="1"/>
  <c r="O113" i="6"/>
  <c r="M113" i="6"/>
  <c r="N113" i="6" s="1"/>
  <c r="K113" i="6"/>
  <c r="L113" i="6" s="1"/>
  <c r="T112" i="6"/>
  <c r="O112" i="6"/>
  <c r="P112" i="6" s="1"/>
  <c r="I113" i="10" s="1"/>
  <c r="N112" i="6"/>
  <c r="M112" i="6"/>
  <c r="K112" i="6"/>
  <c r="L112" i="6" s="1"/>
  <c r="T111" i="6"/>
  <c r="O111" i="6"/>
  <c r="P111" i="6" s="1"/>
  <c r="I112" i="10" s="1"/>
  <c r="N111" i="6"/>
  <c r="K111" i="6" s="1"/>
  <c r="L111" i="6" s="1"/>
  <c r="M111" i="6"/>
  <c r="T110" i="6"/>
  <c r="P110" i="6"/>
  <c r="I111" i="10" s="1"/>
  <c r="O110" i="6"/>
  <c r="M110" i="6"/>
  <c r="N110" i="6" s="1"/>
  <c r="K110" i="6" s="1"/>
  <c r="L110" i="6" s="1"/>
  <c r="T109" i="6"/>
  <c r="P109" i="6"/>
  <c r="I110" i="10" s="1"/>
  <c r="O109" i="6"/>
  <c r="M109" i="6"/>
  <c r="N109" i="6" s="1"/>
  <c r="K109" i="6"/>
  <c r="L109" i="6" s="1"/>
  <c r="T108" i="6"/>
  <c r="O108" i="6"/>
  <c r="P108" i="6" s="1"/>
  <c r="I109" i="10" s="1"/>
  <c r="N108" i="6"/>
  <c r="M108" i="6"/>
  <c r="K108" i="6"/>
  <c r="L108" i="6" s="1"/>
  <c r="T107" i="6"/>
  <c r="O107" i="6"/>
  <c r="P107" i="6" s="1"/>
  <c r="I108" i="10" s="1"/>
  <c r="N107" i="6"/>
  <c r="K107" i="6" s="1"/>
  <c r="L107" i="6" s="1"/>
  <c r="M107" i="6"/>
  <c r="T106" i="6"/>
  <c r="P106" i="6"/>
  <c r="I107" i="10" s="1"/>
  <c r="O106" i="6"/>
  <c r="M106" i="6"/>
  <c r="N106" i="6" s="1"/>
  <c r="K106" i="6" s="1"/>
  <c r="L106" i="6" s="1"/>
  <c r="T105" i="6"/>
  <c r="P105" i="6"/>
  <c r="I106" i="10" s="1"/>
  <c r="O105" i="6"/>
  <c r="M105" i="6"/>
  <c r="N105" i="6" s="1"/>
  <c r="K105" i="6"/>
  <c r="L105" i="6" s="1"/>
  <c r="T104" i="6"/>
  <c r="O104" i="6"/>
  <c r="P104" i="6" s="1"/>
  <c r="I105" i="10" s="1"/>
  <c r="N104" i="6"/>
  <c r="M104" i="6"/>
  <c r="K104" i="6"/>
  <c r="L104" i="6" s="1"/>
  <c r="T103" i="6"/>
  <c r="O103" i="6"/>
  <c r="P103" i="6" s="1"/>
  <c r="I104" i="10" s="1"/>
  <c r="N103" i="6"/>
  <c r="K103" i="6" s="1"/>
  <c r="L103" i="6" s="1"/>
  <c r="M103" i="6"/>
  <c r="T102" i="6"/>
  <c r="P102" i="6"/>
  <c r="I103" i="10" s="1"/>
  <c r="O102" i="6"/>
  <c r="M102" i="6"/>
  <c r="N102" i="6" s="1"/>
  <c r="K102" i="6" s="1"/>
  <c r="L102" i="6" s="1"/>
  <c r="T101" i="6"/>
  <c r="P101" i="6"/>
  <c r="I102" i="10" s="1"/>
  <c r="O101" i="6"/>
  <c r="M101" i="6"/>
  <c r="N101" i="6" s="1"/>
  <c r="K101" i="6"/>
  <c r="L101" i="6" s="1"/>
  <c r="T100" i="6"/>
  <c r="O100" i="6"/>
  <c r="P100" i="6" s="1"/>
  <c r="I101" i="10" s="1"/>
  <c r="N100" i="6"/>
  <c r="M100" i="6"/>
  <c r="K100" i="6"/>
  <c r="L100" i="6" s="1"/>
  <c r="T99" i="6"/>
  <c r="O99" i="6"/>
  <c r="P99" i="6" s="1"/>
  <c r="I100" i="10" s="1"/>
  <c r="N99" i="6"/>
  <c r="K99" i="6" s="1"/>
  <c r="L99" i="6" s="1"/>
  <c r="M99" i="6"/>
  <c r="T98" i="6"/>
  <c r="P98" i="6"/>
  <c r="I99" i="10" s="1"/>
  <c r="O98" i="6"/>
  <c r="M98" i="6"/>
  <c r="N98" i="6" s="1"/>
  <c r="K98" i="6" s="1"/>
  <c r="L98" i="6" s="1"/>
  <c r="T97" i="6"/>
  <c r="P97" i="6"/>
  <c r="I98" i="10" s="1"/>
  <c r="O97" i="6"/>
  <c r="M97" i="6"/>
  <c r="N97" i="6" s="1"/>
  <c r="K97" i="6"/>
  <c r="L97" i="6" s="1"/>
  <c r="T96" i="6"/>
  <c r="O96" i="6"/>
  <c r="P96" i="6" s="1"/>
  <c r="I97" i="10" s="1"/>
  <c r="N96" i="6"/>
  <c r="M96" i="6"/>
  <c r="K96" i="6"/>
  <c r="L96" i="6" s="1"/>
  <c r="T95" i="6"/>
  <c r="R95" i="6"/>
  <c r="P95" i="6"/>
  <c r="I96" i="10" s="1"/>
  <c r="O95" i="6"/>
  <c r="S95" i="6" s="1"/>
  <c r="M95" i="6"/>
  <c r="N95" i="6" s="1"/>
  <c r="K95" i="6"/>
  <c r="L95" i="6" s="1"/>
  <c r="T94" i="6"/>
  <c r="O94" i="6"/>
  <c r="P94" i="6" s="1"/>
  <c r="I95" i="10" s="1"/>
  <c r="N94" i="6"/>
  <c r="M94" i="6"/>
  <c r="K94" i="6"/>
  <c r="L94" i="6" s="1"/>
  <c r="T93" i="6"/>
  <c r="O93" i="6"/>
  <c r="P93" i="6" s="1"/>
  <c r="I94" i="10" s="1"/>
  <c r="N93" i="6"/>
  <c r="K93" i="6" s="1"/>
  <c r="L93" i="6" s="1"/>
  <c r="M93" i="6"/>
  <c r="T92" i="6"/>
  <c r="P92" i="6"/>
  <c r="I93" i="10" s="1"/>
  <c r="O92" i="6"/>
  <c r="M92" i="6"/>
  <c r="N92" i="6" s="1"/>
  <c r="K92" i="6" s="1"/>
  <c r="L92" i="6" s="1"/>
  <c r="T91" i="6"/>
  <c r="P91" i="6"/>
  <c r="I92" i="10" s="1"/>
  <c r="O91" i="6"/>
  <c r="M91" i="6"/>
  <c r="N91" i="6" s="1"/>
  <c r="K91" i="6"/>
  <c r="L91" i="6" s="1"/>
  <c r="T90" i="6"/>
  <c r="O90" i="6"/>
  <c r="P90" i="6" s="1"/>
  <c r="I91" i="10" s="1"/>
  <c r="N90" i="6"/>
  <c r="M90" i="6"/>
  <c r="K90" i="6"/>
  <c r="L90" i="6" s="1"/>
  <c r="T89" i="6"/>
  <c r="O89" i="6"/>
  <c r="P89" i="6" s="1"/>
  <c r="I90" i="10" s="1"/>
  <c r="N89" i="6"/>
  <c r="K89" i="6" s="1"/>
  <c r="L89" i="6" s="1"/>
  <c r="M89" i="6"/>
  <c r="T88" i="6"/>
  <c r="P88" i="6"/>
  <c r="I89" i="10" s="1"/>
  <c r="O88" i="6"/>
  <c r="M88" i="6"/>
  <c r="N88" i="6" s="1"/>
  <c r="K88" i="6" s="1"/>
  <c r="L88" i="6" s="1"/>
  <c r="T87" i="6"/>
  <c r="P87" i="6"/>
  <c r="I88" i="10" s="1"/>
  <c r="O87" i="6"/>
  <c r="M87" i="6"/>
  <c r="N87" i="6" s="1"/>
  <c r="K87" i="6"/>
  <c r="L87" i="6" s="1"/>
  <c r="T86" i="6"/>
  <c r="O86" i="6"/>
  <c r="P86" i="6" s="1"/>
  <c r="I87" i="10" s="1"/>
  <c r="N86" i="6"/>
  <c r="M86" i="6"/>
  <c r="K86" i="6"/>
  <c r="L86" i="6" s="1"/>
  <c r="T85" i="6"/>
  <c r="O85" i="6"/>
  <c r="P85" i="6" s="1"/>
  <c r="I86" i="10" s="1"/>
  <c r="N85" i="6"/>
  <c r="K85" i="6" s="1"/>
  <c r="L85" i="6" s="1"/>
  <c r="M85" i="6"/>
  <c r="T84" i="6"/>
  <c r="P84" i="6"/>
  <c r="I85" i="10" s="1"/>
  <c r="O84" i="6"/>
  <c r="M84" i="6"/>
  <c r="N84" i="6" s="1"/>
  <c r="K84" i="6" s="1"/>
  <c r="L84" i="6" s="1"/>
  <c r="T83" i="6"/>
  <c r="P83" i="6"/>
  <c r="I84" i="10" s="1"/>
  <c r="O83" i="6"/>
  <c r="M83" i="6"/>
  <c r="N83" i="6" s="1"/>
  <c r="K83" i="6"/>
  <c r="L83" i="6" s="1"/>
  <c r="T82" i="6"/>
  <c r="O82" i="6"/>
  <c r="P82" i="6" s="1"/>
  <c r="I83" i="10" s="1"/>
  <c r="N82" i="6"/>
  <c r="M82" i="6"/>
  <c r="K82" i="6"/>
  <c r="L82" i="6" s="1"/>
  <c r="T81" i="6"/>
  <c r="O81" i="6"/>
  <c r="P81" i="6" s="1"/>
  <c r="I82" i="10" s="1"/>
  <c r="N81" i="6"/>
  <c r="K81" i="6" s="1"/>
  <c r="L81" i="6" s="1"/>
  <c r="M81" i="6"/>
  <c r="T80" i="6"/>
  <c r="P80" i="6"/>
  <c r="I81" i="10" s="1"/>
  <c r="O80" i="6"/>
  <c r="M80" i="6"/>
  <c r="N80" i="6" s="1"/>
  <c r="K80" i="6" s="1"/>
  <c r="L80" i="6" s="1"/>
  <c r="T79" i="6"/>
  <c r="P79" i="6"/>
  <c r="I80" i="10" s="1"/>
  <c r="O79" i="6"/>
  <c r="M79" i="6"/>
  <c r="N79" i="6" s="1"/>
  <c r="K79" i="6"/>
  <c r="L79" i="6" s="1"/>
  <c r="T78" i="6"/>
  <c r="O78" i="6"/>
  <c r="P78" i="6" s="1"/>
  <c r="I79" i="10" s="1"/>
  <c r="N78" i="6"/>
  <c r="M78" i="6"/>
  <c r="K78" i="6"/>
  <c r="L78" i="6" s="1"/>
  <c r="T77" i="6"/>
  <c r="O77" i="6"/>
  <c r="P77" i="6" s="1"/>
  <c r="I78" i="10" s="1"/>
  <c r="N77" i="6"/>
  <c r="K77" i="6" s="1"/>
  <c r="L77" i="6" s="1"/>
  <c r="M77" i="6"/>
  <c r="T76" i="6"/>
  <c r="P76" i="6"/>
  <c r="I77" i="10" s="1"/>
  <c r="O76" i="6"/>
  <c r="M76" i="6"/>
  <c r="N76" i="6" s="1"/>
  <c r="K76" i="6" s="1"/>
  <c r="L76" i="6" s="1"/>
  <c r="T75" i="6"/>
  <c r="P75" i="6"/>
  <c r="I76" i="10" s="1"/>
  <c r="O75" i="6"/>
  <c r="M75" i="6"/>
  <c r="N75" i="6" s="1"/>
  <c r="K75" i="6"/>
  <c r="L75" i="6" s="1"/>
  <c r="T74" i="6"/>
  <c r="P74" i="6"/>
  <c r="I75" i="10" s="1"/>
  <c r="O74" i="6"/>
  <c r="N74" i="6"/>
  <c r="K74" i="6" s="1"/>
  <c r="L74" i="6" s="1"/>
  <c r="M74" i="6"/>
  <c r="T73" i="6"/>
  <c r="O73" i="6"/>
  <c r="P73" i="6" s="1"/>
  <c r="I74" i="10" s="1"/>
  <c r="N73" i="6"/>
  <c r="M73" i="6"/>
  <c r="K73" i="6"/>
  <c r="L73" i="6" s="1"/>
  <c r="T72" i="6"/>
  <c r="P72" i="6"/>
  <c r="I73" i="10" s="1"/>
  <c r="O72" i="6"/>
  <c r="N72" i="6"/>
  <c r="K72" i="6" s="1"/>
  <c r="L72" i="6" s="1"/>
  <c r="M72" i="6"/>
  <c r="T71" i="6"/>
  <c r="P71" i="6"/>
  <c r="I72" i="10" s="1"/>
  <c r="O71" i="6"/>
  <c r="M71" i="6"/>
  <c r="N71" i="6" s="1"/>
  <c r="K71" i="6"/>
  <c r="L71" i="6" s="1"/>
  <c r="T70" i="6"/>
  <c r="P70" i="6"/>
  <c r="I71" i="10" s="1"/>
  <c r="O70" i="6"/>
  <c r="N70" i="6"/>
  <c r="K70" i="6" s="1"/>
  <c r="L70" i="6" s="1"/>
  <c r="M70" i="6"/>
  <c r="T69" i="6"/>
  <c r="O69" i="6"/>
  <c r="P69" i="6" s="1"/>
  <c r="I70" i="10" s="1"/>
  <c r="N69" i="6"/>
  <c r="M69" i="6"/>
  <c r="K69" i="6"/>
  <c r="L69" i="6" s="1"/>
  <c r="T68" i="6"/>
  <c r="P68" i="6"/>
  <c r="I69" i="10" s="1"/>
  <c r="O68" i="6"/>
  <c r="N68" i="6"/>
  <c r="K68" i="6" s="1"/>
  <c r="L68" i="6" s="1"/>
  <c r="M68" i="6"/>
  <c r="T67" i="6"/>
  <c r="R67" i="6"/>
  <c r="Q67" i="6"/>
  <c r="P67" i="6"/>
  <c r="I68" i="10" s="1"/>
  <c r="O67" i="6"/>
  <c r="S67" i="6" s="1"/>
  <c r="N67" i="6"/>
  <c r="M67" i="6"/>
  <c r="L67" i="6"/>
  <c r="K67" i="6"/>
  <c r="T66" i="6"/>
  <c r="O66" i="6"/>
  <c r="P66" i="6" s="1"/>
  <c r="I67" i="10" s="1"/>
  <c r="N66" i="6"/>
  <c r="M66" i="6"/>
  <c r="K66" i="6"/>
  <c r="L66" i="6" s="1"/>
  <c r="T65" i="6"/>
  <c r="P65" i="6"/>
  <c r="I66" i="10" s="1"/>
  <c r="O65" i="6"/>
  <c r="N65" i="6"/>
  <c r="K65" i="6" s="1"/>
  <c r="L65" i="6" s="1"/>
  <c r="M65" i="6"/>
  <c r="T64" i="6"/>
  <c r="P64" i="6"/>
  <c r="I65" i="10" s="1"/>
  <c r="O64" i="6"/>
  <c r="M64" i="6"/>
  <c r="N64" i="6" s="1"/>
  <c r="K64" i="6" s="1"/>
  <c r="L64" i="6" s="1"/>
  <c r="T63" i="6"/>
  <c r="P63" i="6"/>
  <c r="I64" i="10" s="1"/>
  <c r="O63" i="6"/>
  <c r="N63" i="6"/>
  <c r="M63" i="6"/>
  <c r="L63" i="6"/>
  <c r="K63" i="6"/>
  <c r="T62" i="6"/>
  <c r="O62" i="6"/>
  <c r="P62" i="6" s="1"/>
  <c r="I63" i="10" s="1"/>
  <c r="N62" i="6"/>
  <c r="M62" i="6"/>
  <c r="K62" i="6"/>
  <c r="L62" i="6" s="1"/>
  <c r="T61" i="6"/>
  <c r="P61" i="6"/>
  <c r="I62" i="10" s="1"/>
  <c r="O61" i="6"/>
  <c r="N61" i="6"/>
  <c r="K61" i="6" s="1"/>
  <c r="L61" i="6" s="1"/>
  <c r="M61" i="6"/>
  <c r="T60" i="6"/>
  <c r="P60" i="6"/>
  <c r="I61" i="10" s="1"/>
  <c r="O60" i="6"/>
  <c r="M60" i="6"/>
  <c r="N60" i="6" s="1"/>
  <c r="K60" i="6" s="1"/>
  <c r="L60" i="6" s="1"/>
  <c r="T59" i="6"/>
  <c r="P59" i="6"/>
  <c r="I60" i="10" s="1"/>
  <c r="O59" i="6"/>
  <c r="N59" i="6"/>
  <c r="M59" i="6"/>
  <c r="L59" i="6"/>
  <c r="K59" i="6"/>
  <c r="T58" i="6"/>
  <c r="O58" i="6"/>
  <c r="P58" i="6" s="1"/>
  <c r="I59" i="10" s="1"/>
  <c r="N58" i="6"/>
  <c r="M58" i="6"/>
  <c r="K58" i="6"/>
  <c r="L58" i="6" s="1"/>
  <c r="T57" i="6"/>
  <c r="P57" i="6"/>
  <c r="I58" i="10" s="1"/>
  <c r="O57" i="6"/>
  <c r="N57" i="6"/>
  <c r="K57" i="6" s="1"/>
  <c r="L57" i="6" s="1"/>
  <c r="M57" i="6"/>
  <c r="T56" i="6"/>
  <c r="P56" i="6"/>
  <c r="I57" i="10" s="1"/>
  <c r="O56" i="6"/>
  <c r="M56" i="6"/>
  <c r="N56" i="6" s="1"/>
  <c r="K56" i="6" s="1"/>
  <c r="L56" i="6" s="1"/>
  <c r="T55" i="6"/>
  <c r="P55" i="6"/>
  <c r="I56" i="10" s="1"/>
  <c r="O55" i="6"/>
  <c r="N55" i="6"/>
  <c r="M55" i="6"/>
  <c r="L55" i="6"/>
  <c r="K55" i="6"/>
  <c r="T54" i="6"/>
  <c r="O54" i="6"/>
  <c r="P54" i="6" s="1"/>
  <c r="I55" i="10" s="1"/>
  <c r="N54" i="6"/>
  <c r="M54" i="6"/>
  <c r="K54" i="6"/>
  <c r="L54" i="6" s="1"/>
  <c r="T53" i="6"/>
  <c r="P53" i="6"/>
  <c r="I54" i="10" s="1"/>
  <c r="O53" i="6"/>
  <c r="N53" i="6"/>
  <c r="K53" i="6" s="1"/>
  <c r="L53" i="6" s="1"/>
  <c r="M53" i="6"/>
  <c r="T52" i="6"/>
  <c r="P52" i="6"/>
  <c r="I53" i="10" s="1"/>
  <c r="O52" i="6"/>
  <c r="M52" i="6"/>
  <c r="N52" i="6" s="1"/>
  <c r="K52" i="6" s="1"/>
  <c r="L52" i="6" s="1"/>
  <c r="T51" i="6"/>
  <c r="P51" i="6"/>
  <c r="I52" i="10" s="1"/>
  <c r="O51" i="6"/>
  <c r="N51" i="6"/>
  <c r="M51" i="6"/>
  <c r="L51" i="6"/>
  <c r="K51" i="6"/>
  <c r="T50" i="6"/>
  <c r="O50" i="6"/>
  <c r="P50" i="6" s="1"/>
  <c r="I51" i="10" s="1"/>
  <c r="N50" i="6"/>
  <c r="M50" i="6"/>
  <c r="K50" i="6"/>
  <c r="L50" i="6" s="1"/>
  <c r="T49" i="6"/>
  <c r="P49" i="6"/>
  <c r="I50" i="10" s="1"/>
  <c r="O49" i="6"/>
  <c r="N49" i="6"/>
  <c r="K49" i="6" s="1"/>
  <c r="L49" i="6" s="1"/>
  <c r="M49" i="6"/>
  <c r="T48" i="6"/>
  <c r="P48" i="6"/>
  <c r="I49" i="10" s="1"/>
  <c r="O48" i="6"/>
  <c r="M48" i="6"/>
  <c r="N48" i="6" s="1"/>
  <c r="K48" i="6" s="1"/>
  <c r="L48" i="6" s="1"/>
  <c r="T47" i="6"/>
  <c r="P47" i="6"/>
  <c r="I48" i="10" s="1"/>
  <c r="O47" i="6"/>
  <c r="N47" i="6"/>
  <c r="M47" i="6"/>
  <c r="L47" i="6"/>
  <c r="K47" i="6"/>
  <c r="T46" i="6"/>
  <c r="O46" i="6"/>
  <c r="P46" i="6" s="1"/>
  <c r="I47" i="10" s="1"/>
  <c r="N46" i="6"/>
  <c r="M46" i="6"/>
  <c r="K46" i="6"/>
  <c r="L46" i="6" s="1"/>
  <c r="T45" i="6"/>
  <c r="P45" i="6"/>
  <c r="I46" i="10" s="1"/>
  <c r="O45" i="6"/>
  <c r="N45" i="6"/>
  <c r="K45" i="6" s="1"/>
  <c r="L45" i="6" s="1"/>
  <c r="M45" i="6"/>
  <c r="T44" i="6"/>
  <c r="P44" i="6"/>
  <c r="I45" i="10" s="1"/>
  <c r="O44" i="6"/>
  <c r="M44" i="6"/>
  <c r="N44" i="6" s="1"/>
  <c r="K44" i="6" s="1"/>
  <c r="L44" i="6" s="1"/>
  <c r="T43" i="6"/>
  <c r="P43" i="6"/>
  <c r="I44" i="10" s="1"/>
  <c r="O43" i="6"/>
  <c r="N43" i="6"/>
  <c r="M43" i="6"/>
  <c r="L43" i="6"/>
  <c r="K43" i="6"/>
  <c r="T42" i="6"/>
  <c r="O42" i="6"/>
  <c r="P42" i="6" s="1"/>
  <c r="I43" i="10" s="1"/>
  <c r="N42" i="6"/>
  <c r="M42" i="6"/>
  <c r="K42" i="6"/>
  <c r="L42" i="6" s="1"/>
  <c r="T41" i="6"/>
  <c r="P41" i="6"/>
  <c r="I42" i="10" s="1"/>
  <c r="O41" i="6"/>
  <c r="N41" i="6"/>
  <c r="K41" i="6" s="1"/>
  <c r="L41" i="6" s="1"/>
  <c r="M41" i="6"/>
  <c r="T40" i="6"/>
  <c r="P40" i="6"/>
  <c r="I41" i="10" s="1"/>
  <c r="O40" i="6"/>
  <c r="M40" i="6"/>
  <c r="N40" i="6" s="1"/>
  <c r="K40" i="6" s="1"/>
  <c r="L40" i="6" s="1"/>
  <c r="T39" i="6"/>
  <c r="P39" i="6"/>
  <c r="I40" i="10" s="1"/>
  <c r="O39" i="6"/>
  <c r="N39" i="6"/>
  <c r="M39" i="6"/>
  <c r="L39" i="6"/>
  <c r="K39" i="6"/>
  <c r="T38" i="6"/>
  <c r="O38" i="6"/>
  <c r="P38" i="6" s="1"/>
  <c r="I39" i="10" s="1"/>
  <c r="N38" i="6"/>
  <c r="M38" i="6"/>
  <c r="K38" i="6"/>
  <c r="L38" i="6" s="1"/>
  <c r="T37" i="6"/>
  <c r="P37" i="6"/>
  <c r="I38" i="10" s="1"/>
  <c r="O37" i="6"/>
  <c r="N37" i="6"/>
  <c r="K37" i="6" s="1"/>
  <c r="L37" i="6" s="1"/>
  <c r="M37" i="6"/>
  <c r="T36" i="6"/>
  <c r="P36" i="6"/>
  <c r="I37" i="10" s="1"/>
  <c r="O36" i="6"/>
  <c r="M36" i="6"/>
  <c r="N36" i="6" s="1"/>
  <c r="K36" i="6" s="1"/>
  <c r="L36" i="6" s="1"/>
  <c r="T35" i="6"/>
  <c r="P35" i="6"/>
  <c r="I36" i="10" s="1"/>
  <c r="O35" i="6"/>
  <c r="N35" i="6"/>
  <c r="M35" i="6"/>
  <c r="L35" i="6"/>
  <c r="K35" i="6"/>
  <c r="T34" i="6"/>
  <c r="O34" i="6"/>
  <c r="P34" i="6" s="1"/>
  <c r="I35" i="10" s="1"/>
  <c r="N34" i="6"/>
  <c r="M34" i="6"/>
  <c r="K34" i="6"/>
  <c r="L34" i="6" s="1"/>
  <c r="T33" i="6"/>
  <c r="P33" i="6"/>
  <c r="I34" i="10" s="1"/>
  <c r="O33" i="6"/>
  <c r="N33" i="6"/>
  <c r="K33" i="6" s="1"/>
  <c r="L33" i="6" s="1"/>
  <c r="M33" i="6"/>
  <c r="T32" i="6"/>
  <c r="P32" i="6"/>
  <c r="I33" i="10" s="1"/>
  <c r="O32" i="6"/>
  <c r="M32" i="6"/>
  <c r="N32" i="6" s="1"/>
  <c r="K32" i="6" s="1"/>
  <c r="L32" i="6" s="1"/>
  <c r="T31" i="6"/>
  <c r="P31" i="6"/>
  <c r="I32" i="10" s="1"/>
  <c r="O31" i="6"/>
  <c r="N31" i="6"/>
  <c r="M31" i="6"/>
  <c r="L31" i="6"/>
  <c r="K31" i="6"/>
  <c r="T30" i="6"/>
  <c r="O30" i="6"/>
  <c r="P30" i="6" s="1"/>
  <c r="I31" i="10" s="1"/>
  <c r="N30" i="6"/>
  <c r="M30" i="6"/>
  <c r="K30" i="6"/>
  <c r="L30" i="6" s="1"/>
  <c r="T29" i="6"/>
  <c r="P29" i="6"/>
  <c r="I30" i="10" s="1"/>
  <c r="O29" i="6"/>
  <c r="N29" i="6"/>
  <c r="K29" i="6" s="1"/>
  <c r="L29" i="6" s="1"/>
  <c r="M29" i="6"/>
  <c r="T28" i="6"/>
  <c r="P28" i="6"/>
  <c r="I29" i="10" s="1"/>
  <c r="O28" i="6"/>
  <c r="M28" i="6"/>
  <c r="N28" i="6" s="1"/>
  <c r="K28" i="6" s="1"/>
  <c r="L28" i="6" s="1"/>
  <c r="T27" i="6"/>
  <c r="S27" i="6"/>
  <c r="P27" i="6"/>
  <c r="I28" i="10" s="1"/>
  <c r="O27" i="6"/>
  <c r="M27" i="6"/>
  <c r="N27" i="6" s="1"/>
  <c r="L27" i="6"/>
  <c r="K27" i="6"/>
  <c r="T26" i="6"/>
  <c r="P26" i="6"/>
  <c r="I27" i="10" s="1"/>
  <c r="O26" i="6"/>
  <c r="N26" i="6"/>
  <c r="M26" i="6"/>
  <c r="L26" i="6"/>
  <c r="K26" i="6"/>
  <c r="T25" i="6"/>
  <c r="O25" i="6"/>
  <c r="P25" i="6" s="1"/>
  <c r="I26" i="10" s="1"/>
  <c r="N25" i="6"/>
  <c r="M25" i="6"/>
  <c r="K25" i="6"/>
  <c r="L25" i="6" s="1"/>
  <c r="T24" i="6"/>
  <c r="P24" i="6"/>
  <c r="I25" i="10" s="1"/>
  <c r="O24" i="6"/>
  <c r="N24" i="6"/>
  <c r="K24" i="6" s="1"/>
  <c r="L24" i="6" s="1"/>
  <c r="M24" i="6"/>
  <c r="T23" i="6"/>
  <c r="P23" i="6"/>
  <c r="I24" i="10" s="1"/>
  <c r="O23" i="6"/>
  <c r="M23" i="6"/>
  <c r="N23" i="6" s="1"/>
  <c r="K23" i="6" s="1"/>
  <c r="L23" i="6" s="1"/>
  <c r="T22" i="6"/>
  <c r="P22" i="6"/>
  <c r="I23" i="10" s="1"/>
  <c r="O22" i="6"/>
  <c r="N22" i="6"/>
  <c r="M22" i="6"/>
  <c r="L22" i="6"/>
  <c r="K22" i="6"/>
  <c r="T21" i="6"/>
  <c r="O21" i="6"/>
  <c r="P21" i="6" s="1"/>
  <c r="I22" i="10" s="1"/>
  <c r="N21" i="6"/>
  <c r="M21" i="6"/>
  <c r="K21" i="6"/>
  <c r="L21" i="6" s="1"/>
  <c r="T20" i="6"/>
  <c r="P20" i="6"/>
  <c r="I21" i="10" s="1"/>
  <c r="O20" i="6"/>
  <c r="N20" i="6"/>
  <c r="K20" i="6" s="1"/>
  <c r="L20" i="6" s="1"/>
  <c r="M20" i="6"/>
  <c r="T19" i="6"/>
  <c r="P19" i="6"/>
  <c r="I20" i="10" s="1"/>
  <c r="O19" i="6"/>
  <c r="M19" i="6"/>
  <c r="N19" i="6" s="1"/>
  <c r="K19" i="6" s="1"/>
  <c r="L19" i="6" s="1"/>
  <c r="T18" i="6"/>
  <c r="P18" i="6"/>
  <c r="I19" i="10" s="1"/>
  <c r="O18" i="6"/>
  <c r="N18" i="6"/>
  <c r="M18" i="6"/>
  <c r="L18" i="6"/>
  <c r="K18" i="6"/>
  <c r="T17" i="6"/>
  <c r="O17" i="6"/>
  <c r="P17" i="6" s="1"/>
  <c r="I18" i="10" s="1"/>
  <c r="N17" i="6"/>
  <c r="M17" i="6"/>
  <c r="K17" i="6"/>
  <c r="L17" i="6" s="1"/>
  <c r="T16" i="6"/>
  <c r="P16" i="6"/>
  <c r="I17" i="10" s="1"/>
  <c r="O16" i="6"/>
  <c r="N16" i="6"/>
  <c r="K16" i="6" s="1"/>
  <c r="L16" i="6" s="1"/>
  <c r="M16" i="6"/>
  <c r="T15" i="6"/>
  <c r="P15" i="6"/>
  <c r="I16" i="10" s="1"/>
  <c r="O15" i="6"/>
  <c r="M15" i="6"/>
  <c r="N15" i="6" s="1"/>
  <c r="K15" i="6" s="1"/>
  <c r="L15" i="6" s="1"/>
  <c r="T14" i="6"/>
  <c r="P14" i="6"/>
  <c r="I15" i="10" s="1"/>
  <c r="O14" i="6"/>
  <c r="N14" i="6"/>
  <c r="M14" i="6"/>
  <c r="L14" i="6"/>
  <c r="K14" i="6"/>
  <c r="T13" i="6"/>
  <c r="O13" i="6"/>
  <c r="P13" i="6" s="1"/>
  <c r="I14" i="10" s="1"/>
  <c r="N13" i="6"/>
  <c r="M13" i="6"/>
  <c r="K13" i="6"/>
  <c r="L13" i="6" s="1"/>
  <c r="T12" i="6"/>
  <c r="P12" i="6"/>
  <c r="I13" i="10" s="1"/>
  <c r="O12" i="6"/>
  <c r="N12" i="6"/>
  <c r="K12" i="6" s="1"/>
  <c r="L12" i="6" s="1"/>
  <c r="M12" i="6"/>
  <c r="T11" i="6"/>
  <c r="P11" i="6"/>
  <c r="I12" i="10" s="1"/>
  <c r="O11" i="6"/>
  <c r="M11" i="6"/>
  <c r="N11" i="6" s="1"/>
  <c r="K11" i="6" s="1"/>
  <c r="L11" i="6" s="1"/>
  <c r="T10" i="6"/>
  <c r="P10" i="6"/>
  <c r="I11" i="10" s="1"/>
  <c r="O10" i="6"/>
  <c r="N10" i="6"/>
  <c r="M10" i="6"/>
  <c r="L10" i="6"/>
  <c r="K10" i="6"/>
  <c r="T9" i="6"/>
  <c r="O9" i="6"/>
  <c r="P9" i="6" s="1"/>
  <c r="I10" i="10" s="1"/>
  <c r="N9" i="6"/>
  <c r="M9" i="6"/>
  <c r="K9" i="6"/>
  <c r="L9" i="6" s="1"/>
  <c r="T8" i="6"/>
  <c r="P8" i="6"/>
  <c r="I9" i="10" s="1"/>
  <c r="O8" i="6"/>
  <c r="N8" i="6"/>
  <c r="K8" i="6" s="1"/>
  <c r="L8" i="6" s="1"/>
  <c r="M8" i="6"/>
  <c r="T7" i="6"/>
  <c r="P7" i="6"/>
  <c r="I8" i="10" s="1"/>
  <c r="O7" i="6"/>
  <c r="M7" i="6"/>
  <c r="N7" i="6" s="1"/>
  <c r="K7" i="6" s="1"/>
  <c r="L7" i="6" s="1"/>
  <c r="T6" i="6"/>
  <c r="P6" i="6"/>
  <c r="I7" i="10" s="1"/>
  <c r="O6" i="6"/>
  <c r="N6" i="6"/>
  <c r="M6" i="6"/>
  <c r="L6" i="6"/>
  <c r="K6" i="6"/>
  <c r="T5" i="6"/>
  <c r="O5" i="6"/>
  <c r="P5" i="6" s="1"/>
  <c r="I6" i="10" s="1"/>
  <c r="N5" i="6"/>
  <c r="M5" i="6"/>
  <c r="K5" i="6"/>
  <c r="L5" i="6" s="1"/>
  <c r="T4" i="6"/>
  <c r="P4" i="6"/>
  <c r="I5" i="10" s="1"/>
  <c r="O4" i="6"/>
  <c r="N4" i="6"/>
  <c r="K4" i="6" s="1"/>
  <c r="L4" i="6" s="1"/>
  <c r="M4" i="6"/>
  <c r="T3" i="6"/>
  <c r="P3" i="6"/>
  <c r="I4" i="10" s="1"/>
  <c r="O3" i="6"/>
  <c r="M3" i="6"/>
  <c r="N3" i="6" s="1"/>
  <c r="K3" i="6" s="1"/>
  <c r="L3" i="6" s="1"/>
  <c r="T2" i="6"/>
  <c r="P2" i="6"/>
  <c r="I3" i="10" s="1"/>
  <c r="O2" i="6"/>
  <c r="N2" i="6"/>
  <c r="M2" i="6"/>
  <c r="L2" i="6"/>
  <c r="K2" i="6"/>
  <c r="J466" i="5"/>
  <c r="G466" i="5"/>
  <c r="J465" i="5"/>
  <c r="G465" i="5"/>
  <c r="J464" i="5"/>
  <c r="G464" i="5"/>
  <c r="J463" i="5"/>
  <c r="G463" i="5"/>
  <c r="J462" i="5"/>
  <c r="G462" i="5"/>
  <c r="J461" i="5"/>
  <c r="G461" i="5"/>
  <c r="J460" i="5"/>
  <c r="G460" i="5"/>
  <c r="J459" i="5"/>
  <c r="G459" i="5"/>
  <c r="J458" i="5"/>
  <c r="G458" i="5"/>
  <c r="J457" i="5"/>
  <c r="G457" i="5"/>
  <c r="J456" i="5"/>
  <c r="G456" i="5"/>
  <c r="J455" i="5"/>
  <c r="G455" i="5"/>
  <c r="J454" i="5"/>
  <c r="G454" i="5"/>
  <c r="J453" i="5"/>
  <c r="G453" i="5"/>
  <c r="J452" i="5"/>
  <c r="G452" i="5"/>
  <c r="J451" i="5"/>
  <c r="G451" i="5"/>
  <c r="J450" i="5"/>
  <c r="G450" i="5"/>
  <c r="J449" i="5"/>
  <c r="G449" i="5"/>
  <c r="J448" i="5"/>
  <c r="G448" i="5"/>
  <c r="J447" i="5"/>
  <c r="G447" i="5"/>
  <c r="J446" i="5"/>
  <c r="G446" i="5"/>
  <c r="J445" i="5"/>
  <c r="G445" i="5"/>
  <c r="J444" i="5"/>
  <c r="G444" i="5"/>
  <c r="J443" i="5"/>
  <c r="G443" i="5"/>
  <c r="J442" i="5"/>
  <c r="G442" i="5"/>
  <c r="J441" i="5"/>
  <c r="G441" i="5"/>
  <c r="J440" i="5"/>
  <c r="G440" i="5"/>
  <c r="J439" i="5"/>
  <c r="I439" i="5"/>
  <c r="G439" i="5"/>
  <c r="J438" i="5"/>
  <c r="G438" i="5"/>
  <c r="J437" i="5"/>
  <c r="G437" i="5"/>
  <c r="J436" i="5"/>
  <c r="G436" i="5"/>
  <c r="J435" i="5"/>
  <c r="G435" i="5"/>
  <c r="J434" i="5"/>
  <c r="I434" i="5"/>
  <c r="G434" i="5"/>
  <c r="J433" i="5"/>
  <c r="I433" i="5"/>
  <c r="G433" i="5"/>
  <c r="J432" i="5"/>
  <c r="I432" i="5"/>
  <c r="G432" i="5"/>
  <c r="J431" i="5"/>
  <c r="I431" i="5"/>
  <c r="G431" i="5"/>
  <c r="J430" i="5"/>
  <c r="G430" i="5"/>
  <c r="J429" i="5"/>
  <c r="G429" i="5"/>
  <c r="J428" i="5"/>
  <c r="G428" i="5"/>
  <c r="J427" i="5"/>
  <c r="I427" i="5"/>
  <c r="G427" i="5"/>
  <c r="J426" i="5"/>
  <c r="G426" i="5"/>
  <c r="J425" i="5"/>
  <c r="G425" i="5"/>
  <c r="J424" i="5"/>
  <c r="G424" i="5"/>
  <c r="H425" i="10" s="1"/>
  <c r="J423" i="5"/>
  <c r="G423" i="5"/>
  <c r="H424" i="10" s="1"/>
  <c r="J422" i="5"/>
  <c r="G422" i="5"/>
  <c r="H423" i="10" s="1"/>
  <c r="J421" i="5"/>
  <c r="G421" i="5"/>
  <c r="H422" i="10" s="1"/>
  <c r="J420" i="5"/>
  <c r="G420" i="5"/>
  <c r="H421" i="10" s="1"/>
  <c r="J419" i="5"/>
  <c r="G419" i="5"/>
  <c r="H420" i="10" s="1"/>
  <c r="J418" i="5"/>
  <c r="G418" i="5"/>
  <c r="H419" i="10" s="1"/>
  <c r="J417" i="5"/>
  <c r="G417" i="5"/>
  <c r="H418" i="10" s="1"/>
  <c r="J416" i="5"/>
  <c r="G416" i="5"/>
  <c r="H417" i="10" s="1"/>
  <c r="J415" i="5"/>
  <c r="G415" i="5"/>
  <c r="H416" i="10" s="1"/>
  <c r="J414" i="5"/>
  <c r="G414" i="5"/>
  <c r="H415" i="10" s="1"/>
  <c r="J413" i="5"/>
  <c r="G413" i="5"/>
  <c r="H414" i="10" s="1"/>
  <c r="J412" i="5"/>
  <c r="G412" i="5"/>
  <c r="H413" i="10" s="1"/>
  <c r="J411" i="5"/>
  <c r="G411" i="5"/>
  <c r="H412" i="10" s="1"/>
  <c r="J410" i="5"/>
  <c r="G410" i="5"/>
  <c r="H411" i="10" s="1"/>
  <c r="J409" i="5"/>
  <c r="G409" i="5"/>
  <c r="H410" i="10" s="1"/>
  <c r="J408" i="5"/>
  <c r="G408" i="5"/>
  <c r="H409" i="10" s="1"/>
  <c r="J407" i="5"/>
  <c r="G407" i="5"/>
  <c r="H408" i="10" s="1"/>
  <c r="J406" i="5"/>
  <c r="G406" i="5"/>
  <c r="H407" i="10" s="1"/>
  <c r="J405" i="5"/>
  <c r="G405" i="5"/>
  <c r="H406" i="10" s="1"/>
  <c r="J404" i="5"/>
  <c r="G404" i="5"/>
  <c r="H405" i="10" s="1"/>
  <c r="J403" i="5"/>
  <c r="G403" i="5"/>
  <c r="H404" i="10" s="1"/>
  <c r="J402" i="5"/>
  <c r="G402" i="5"/>
  <c r="H403" i="10" s="1"/>
  <c r="J401" i="5"/>
  <c r="G401" i="5"/>
  <c r="H402" i="10" s="1"/>
  <c r="J400" i="5"/>
  <c r="G400" i="5"/>
  <c r="H401" i="10" s="1"/>
  <c r="J399" i="5"/>
  <c r="G399" i="5"/>
  <c r="H400" i="10" s="1"/>
  <c r="J398" i="5"/>
  <c r="G398" i="5"/>
  <c r="H399" i="10" s="1"/>
  <c r="J397" i="5"/>
  <c r="G397" i="5"/>
  <c r="H398" i="10" s="1"/>
  <c r="J396" i="5"/>
  <c r="G396" i="5"/>
  <c r="H397" i="10" s="1"/>
  <c r="J395" i="5"/>
  <c r="G395" i="5"/>
  <c r="H396" i="10" s="1"/>
  <c r="J394" i="5"/>
  <c r="G394" i="5"/>
  <c r="H395" i="10" s="1"/>
  <c r="J393" i="5"/>
  <c r="G393" i="5"/>
  <c r="H394" i="10" s="1"/>
  <c r="J392" i="5"/>
  <c r="G392" i="5"/>
  <c r="H393" i="10" s="1"/>
  <c r="J391" i="5"/>
  <c r="G391" i="5"/>
  <c r="H392" i="10" s="1"/>
  <c r="J390" i="5"/>
  <c r="G390" i="5"/>
  <c r="H391" i="10" s="1"/>
  <c r="J389" i="5"/>
  <c r="G389" i="5"/>
  <c r="H390" i="10" s="1"/>
  <c r="J388" i="5"/>
  <c r="G388" i="5"/>
  <c r="H389" i="10" s="1"/>
  <c r="J387" i="5"/>
  <c r="G387" i="5"/>
  <c r="H388" i="10" s="1"/>
  <c r="J386" i="5"/>
  <c r="G386" i="5"/>
  <c r="H387" i="10" s="1"/>
  <c r="J385" i="5"/>
  <c r="G385" i="5"/>
  <c r="H386" i="10" s="1"/>
  <c r="J384" i="5"/>
  <c r="G384" i="5"/>
  <c r="H385" i="10" s="1"/>
  <c r="J383" i="5"/>
  <c r="G383" i="5"/>
  <c r="H384" i="10" s="1"/>
  <c r="J382" i="5"/>
  <c r="G382" i="5"/>
  <c r="H383" i="10" s="1"/>
  <c r="J381" i="5"/>
  <c r="G381" i="5"/>
  <c r="H382" i="10" s="1"/>
  <c r="J380" i="5"/>
  <c r="G380" i="5"/>
  <c r="H381" i="10" s="1"/>
  <c r="J379" i="5"/>
  <c r="G379" i="5"/>
  <c r="H380" i="10" s="1"/>
  <c r="J378" i="5"/>
  <c r="G378" i="5"/>
  <c r="H379" i="10" s="1"/>
  <c r="J377" i="5"/>
  <c r="G377" i="5"/>
  <c r="H378" i="10" s="1"/>
  <c r="J376" i="5"/>
  <c r="G376" i="5"/>
  <c r="H377" i="10" s="1"/>
  <c r="J375" i="5"/>
  <c r="G375" i="5"/>
  <c r="H376" i="10" s="1"/>
  <c r="J374" i="5"/>
  <c r="G374" i="5"/>
  <c r="H375" i="10" s="1"/>
  <c r="J373" i="5"/>
  <c r="G373" i="5"/>
  <c r="H374" i="10" s="1"/>
  <c r="J372" i="5"/>
  <c r="G372" i="5"/>
  <c r="H373" i="10" s="1"/>
  <c r="J371" i="5"/>
  <c r="G371" i="5"/>
  <c r="H372" i="10" s="1"/>
  <c r="J370" i="5"/>
  <c r="G370" i="5"/>
  <c r="H371" i="10" s="1"/>
  <c r="J369" i="5"/>
  <c r="G369" i="5"/>
  <c r="H370" i="10" s="1"/>
  <c r="J368" i="5"/>
  <c r="G368" i="5"/>
  <c r="H369" i="10" s="1"/>
  <c r="J367" i="5"/>
  <c r="G367" i="5"/>
  <c r="H368" i="10" s="1"/>
  <c r="J366" i="5"/>
  <c r="G366" i="5"/>
  <c r="H367" i="10" s="1"/>
  <c r="J365" i="5"/>
  <c r="G365" i="5"/>
  <c r="H366" i="10" s="1"/>
  <c r="J364" i="5"/>
  <c r="G364" i="5"/>
  <c r="H365" i="10" s="1"/>
  <c r="J363" i="5"/>
  <c r="G363" i="5"/>
  <c r="H364" i="10" s="1"/>
  <c r="J362" i="5"/>
  <c r="G362" i="5"/>
  <c r="H363" i="10" s="1"/>
  <c r="J361" i="5"/>
  <c r="G361" i="5"/>
  <c r="H362" i="10" s="1"/>
  <c r="J360" i="5"/>
  <c r="G360" i="5"/>
  <c r="H361" i="10" s="1"/>
  <c r="J359" i="5"/>
  <c r="G359" i="5"/>
  <c r="H360" i="10" s="1"/>
  <c r="J358" i="5"/>
  <c r="G358" i="5"/>
  <c r="H359" i="10" s="1"/>
  <c r="J357" i="5"/>
  <c r="G357" i="5"/>
  <c r="H358" i="10" s="1"/>
  <c r="J356" i="5"/>
  <c r="G356" i="5"/>
  <c r="H357" i="10" s="1"/>
  <c r="J355" i="5"/>
  <c r="G355" i="5"/>
  <c r="H356" i="10" s="1"/>
  <c r="J354" i="5"/>
  <c r="G354" i="5"/>
  <c r="H355" i="10" s="1"/>
  <c r="J353" i="5"/>
  <c r="G353" i="5"/>
  <c r="H354" i="10" s="1"/>
  <c r="J352" i="5"/>
  <c r="G352" i="5"/>
  <c r="H353" i="10" s="1"/>
  <c r="J351" i="5"/>
  <c r="G351" i="5"/>
  <c r="H352" i="10" s="1"/>
  <c r="J350" i="5"/>
  <c r="G350" i="5"/>
  <c r="H351" i="10" s="1"/>
  <c r="J349" i="5"/>
  <c r="G349" i="5"/>
  <c r="H350" i="10" s="1"/>
  <c r="J348" i="5"/>
  <c r="G348" i="5"/>
  <c r="H349" i="10" s="1"/>
  <c r="J347" i="5"/>
  <c r="G347" i="5"/>
  <c r="H348" i="10" s="1"/>
  <c r="J346" i="5"/>
  <c r="G346" i="5"/>
  <c r="H347" i="10" s="1"/>
  <c r="J345" i="5"/>
  <c r="G345" i="5"/>
  <c r="H346" i="10" s="1"/>
  <c r="J344" i="5"/>
  <c r="G344" i="5"/>
  <c r="H345" i="10" s="1"/>
  <c r="J343" i="5"/>
  <c r="G343" i="5"/>
  <c r="H344" i="10" s="1"/>
  <c r="J342" i="5"/>
  <c r="G342" i="5"/>
  <c r="H343" i="10" s="1"/>
  <c r="J341" i="5"/>
  <c r="G341" i="5"/>
  <c r="H342" i="10" s="1"/>
  <c r="J340" i="5"/>
  <c r="G340" i="5"/>
  <c r="H341" i="10" s="1"/>
  <c r="J339" i="5"/>
  <c r="G339" i="5"/>
  <c r="H340" i="10" s="1"/>
  <c r="J338" i="5"/>
  <c r="G338" i="5"/>
  <c r="H339" i="10" s="1"/>
  <c r="J337" i="5"/>
  <c r="G337" i="5"/>
  <c r="H338" i="10" s="1"/>
  <c r="J336" i="5"/>
  <c r="G336" i="5"/>
  <c r="H337" i="10" s="1"/>
  <c r="J335" i="5"/>
  <c r="G335" i="5"/>
  <c r="H336" i="10" s="1"/>
  <c r="J334" i="5"/>
  <c r="G334" i="5"/>
  <c r="H335" i="10" s="1"/>
  <c r="J333" i="5"/>
  <c r="G333" i="5"/>
  <c r="H334" i="10" s="1"/>
  <c r="J332" i="5"/>
  <c r="G332" i="5"/>
  <c r="H333" i="10" s="1"/>
  <c r="J331" i="5"/>
  <c r="G331" i="5"/>
  <c r="H332" i="10" s="1"/>
  <c r="J330" i="5"/>
  <c r="G330" i="5"/>
  <c r="H331" i="10" s="1"/>
  <c r="J329" i="5"/>
  <c r="G329" i="5"/>
  <c r="H330" i="10" s="1"/>
  <c r="J328" i="5"/>
  <c r="G328" i="5"/>
  <c r="H329" i="10" s="1"/>
  <c r="J327" i="5"/>
  <c r="G327" i="5"/>
  <c r="H328" i="10" s="1"/>
  <c r="J326" i="5"/>
  <c r="G326" i="5"/>
  <c r="H327" i="10" s="1"/>
  <c r="J325" i="5"/>
  <c r="G325" i="5"/>
  <c r="H326" i="10" s="1"/>
  <c r="J324" i="5"/>
  <c r="G324" i="5"/>
  <c r="H325" i="10" s="1"/>
  <c r="J323" i="5"/>
  <c r="G323" i="5"/>
  <c r="H324" i="10" s="1"/>
  <c r="J322" i="5"/>
  <c r="G322" i="5"/>
  <c r="H323" i="10" s="1"/>
  <c r="J321" i="5"/>
  <c r="G321" i="5"/>
  <c r="H322" i="10" s="1"/>
  <c r="J320" i="5"/>
  <c r="G320" i="5"/>
  <c r="H321" i="10" s="1"/>
  <c r="J319" i="5"/>
  <c r="I319" i="5"/>
  <c r="G319" i="5"/>
  <c r="H320" i="10" s="1"/>
  <c r="J318" i="5"/>
  <c r="G318" i="5"/>
  <c r="H319" i="10" s="1"/>
  <c r="J317" i="5"/>
  <c r="G317" i="5"/>
  <c r="H318" i="10" s="1"/>
  <c r="J316" i="5"/>
  <c r="G316" i="5"/>
  <c r="H317" i="10" s="1"/>
  <c r="J315" i="5"/>
  <c r="G315" i="5"/>
  <c r="H316" i="10" s="1"/>
  <c r="J314" i="5"/>
  <c r="G314" i="5"/>
  <c r="H315" i="10" s="1"/>
  <c r="J313" i="5"/>
  <c r="G313" i="5"/>
  <c r="H314" i="10" s="1"/>
  <c r="J312" i="5"/>
  <c r="G312" i="5"/>
  <c r="H313" i="10" s="1"/>
  <c r="J311" i="5"/>
  <c r="G311" i="5"/>
  <c r="H312" i="10" s="1"/>
  <c r="J310" i="5"/>
  <c r="G310" i="5"/>
  <c r="H311" i="10" s="1"/>
  <c r="J309" i="5"/>
  <c r="G309" i="5"/>
  <c r="H310" i="10" s="1"/>
  <c r="J308" i="5"/>
  <c r="G308" i="5"/>
  <c r="H309" i="10" s="1"/>
  <c r="J307" i="5"/>
  <c r="G307" i="5"/>
  <c r="H308" i="10" s="1"/>
  <c r="J306" i="5"/>
  <c r="G306" i="5"/>
  <c r="H307" i="10" s="1"/>
  <c r="J305" i="5"/>
  <c r="G305" i="5"/>
  <c r="H306" i="10" s="1"/>
  <c r="J304" i="5"/>
  <c r="I304" i="5"/>
  <c r="G304" i="5"/>
  <c r="H305" i="10" s="1"/>
  <c r="J303" i="5"/>
  <c r="I303" i="5"/>
  <c r="G303" i="5"/>
  <c r="H304" i="10" s="1"/>
  <c r="J302" i="5"/>
  <c r="G302" i="5"/>
  <c r="H303" i="10" s="1"/>
  <c r="J301" i="5"/>
  <c r="G301" i="5"/>
  <c r="H302" i="10" s="1"/>
  <c r="J300" i="5"/>
  <c r="G300" i="5"/>
  <c r="H301" i="10" s="1"/>
  <c r="J299" i="5"/>
  <c r="G299" i="5"/>
  <c r="H300" i="10" s="1"/>
  <c r="J298" i="5"/>
  <c r="G298" i="5"/>
  <c r="H299" i="10" s="1"/>
  <c r="J297" i="5"/>
  <c r="G297" i="5"/>
  <c r="H298" i="10" s="1"/>
  <c r="J296" i="5"/>
  <c r="G296" i="5"/>
  <c r="H297" i="10" s="1"/>
  <c r="J295" i="5"/>
  <c r="G295" i="5"/>
  <c r="H296" i="10" s="1"/>
  <c r="J294" i="5"/>
  <c r="G294" i="5"/>
  <c r="H295" i="10" s="1"/>
  <c r="J293" i="5"/>
  <c r="G293" i="5"/>
  <c r="H294" i="10" s="1"/>
  <c r="J292" i="5"/>
  <c r="G292" i="5"/>
  <c r="H293" i="10" s="1"/>
  <c r="J291" i="5"/>
  <c r="G291" i="5"/>
  <c r="H292" i="10" s="1"/>
  <c r="J290" i="5"/>
  <c r="G290" i="5"/>
  <c r="H291" i="10" s="1"/>
  <c r="J289" i="5"/>
  <c r="G289" i="5"/>
  <c r="H290" i="10" s="1"/>
  <c r="J288" i="5"/>
  <c r="G288" i="5"/>
  <c r="H289" i="10" s="1"/>
  <c r="J287" i="5"/>
  <c r="G287" i="5"/>
  <c r="H288" i="10" s="1"/>
  <c r="J286" i="5"/>
  <c r="G286" i="5"/>
  <c r="H287" i="10" s="1"/>
  <c r="J285" i="5"/>
  <c r="G285" i="5"/>
  <c r="H286" i="10" s="1"/>
  <c r="J284" i="5"/>
  <c r="G284" i="5"/>
  <c r="H285" i="10" s="1"/>
  <c r="J283" i="5"/>
  <c r="G283" i="5"/>
  <c r="H284" i="10" s="1"/>
  <c r="J282" i="5"/>
  <c r="G282" i="5"/>
  <c r="H283" i="10" s="1"/>
  <c r="J281" i="5"/>
  <c r="G281" i="5"/>
  <c r="H282" i="10" s="1"/>
  <c r="J280" i="5"/>
  <c r="G280" i="5"/>
  <c r="H281" i="10" s="1"/>
  <c r="J279" i="5"/>
  <c r="G279" i="5"/>
  <c r="H280" i="10" s="1"/>
  <c r="J278" i="5"/>
  <c r="G278" i="5"/>
  <c r="H279" i="10" s="1"/>
  <c r="J277" i="5"/>
  <c r="G277" i="5"/>
  <c r="H278" i="10" s="1"/>
  <c r="J276" i="5"/>
  <c r="G276" i="5"/>
  <c r="H277" i="10" s="1"/>
  <c r="J275" i="5"/>
  <c r="G275" i="5"/>
  <c r="H276" i="10" s="1"/>
  <c r="J274" i="5"/>
  <c r="G274" i="5"/>
  <c r="H275" i="10" s="1"/>
  <c r="J273" i="5"/>
  <c r="G273" i="5"/>
  <c r="H274" i="10" s="1"/>
  <c r="J272" i="5"/>
  <c r="G272" i="5"/>
  <c r="H273" i="10" s="1"/>
  <c r="J271" i="5"/>
  <c r="G271" i="5"/>
  <c r="H272" i="10" s="1"/>
  <c r="J270" i="5"/>
  <c r="G270" i="5"/>
  <c r="H271" i="10" s="1"/>
  <c r="J269" i="5"/>
  <c r="G269" i="5"/>
  <c r="H270" i="10" s="1"/>
  <c r="J268" i="5"/>
  <c r="G268" i="5"/>
  <c r="H269" i="10" s="1"/>
  <c r="J267" i="5"/>
  <c r="G267" i="5"/>
  <c r="H268" i="10" s="1"/>
  <c r="J266" i="5"/>
  <c r="G266" i="5"/>
  <c r="H267" i="10" s="1"/>
  <c r="J265" i="5"/>
  <c r="G265" i="5"/>
  <c r="H266" i="10" s="1"/>
  <c r="J264" i="5"/>
  <c r="G264" i="5"/>
  <c r="H265" i="10" s="1"/>
  <c r="J263" i="5"/>
  <c r="G263" i="5"/>
  <c r="H264" i="10" s="1"/>
  <c r="J262" i="5"/>
  <c r="G262" i="5"/>
  <c r="H263" i="10" s="1"/>
  <c r="J261" i="5"/>
  <c r="G261" i="5"/>
  <c r="H262" i="10" s="1"/>
  <c r="J260" i="5"/>
  <c r="G260" i="5"/>
  <c r="H261" i="10" s="1"/>
  <c r="J259" i="5"/>
  <c r="G259" i="5"/>
  <c r="H260" i="10" s="1"/>
  <c r="J258" i="5"/>
  <c r="G258" i="5"/>
  <c r="H259" i="10" s="1"/>
  <c r="J257" i="5"/>
  <c r="G257" i="5"/>
  <c r="H258" i="10" s="1"/>
  <c r="J256" i="5"/>
  <c r="G256" i="5"/>
  <c r="H257" i="10" s="1"/>
  <c r="J255" i="5"/>
  <c r="G255" i="5"/>
  <c r="H256" i="10" s="1"/>
  <c r="J254" i="5"/>
  <c r="G254" i="5"/>
  <c r="H255" i="10" s="1"/>
  <c r="J253" i="5"/>
  <c r="G253" i="5"/>
  <c r="H254" i="10" s="1"/>
  <c r="J252" i="5"/>
  <c r="G252" i="5"/>
  <c r="H253" i="10" s="1"/>
  <c r="J251" i="5"/>
  <c r="G251" i="5"/>
  <c r="H252" i="10" s="1"/>
  <c r="J250" i="5"/>
  <c r="G250" i="5"/>
  <c r="H251" i="10" s="1"/>
  <c r="J249" i="5"/>
  <c r="G249" i="5"/>
  <c r="H250" i="10" s="1"/>
  <c r="J248" i="5"/>
  <c r="G248" i="5"/>
  <c r="H249" i="10" s="1"/>
  <c r="J247" i="5"/>
  <c r="G247" i="5"/>
  <c r="H248" i="10" s="1"/>
  <c r="J246" i="5"/>
  <c r="G246" i="5"/>
  <c r="H247" i="10" s="1"/>
  <c r="J245" i="5"/>
  <c r="G245" i="5"/>
  <c r="H246" i="10" s="1"/>
  <c r="J244" i="5"/>
  <c r="G244" i="5"/>
  <c r="H245" i="10" s="1"/>
  <c r="J243" i="5"/>
  <c r="G243" i="5"/>
  <c r="H244" i="10" s="1"/>
  <c r="J242" i="5"/>
  <c r="G242" i="5"/>
  <c r="H243" i="10" s="1"/>
  <c r="J241" i="5"/>
  <c r="G241" i="5"/>
  <c r="H242" i="10" s="1"/>
  <c r="J240" i="5"/>
  <c r="G240" i="5"/>
  <c r="H241" i="10" s="1"/>
  <c r="J239" i="5"/>
  <c r="G239" i="5"/>
  <c r="H240" i="10" s="1"/>
  <c r="J238" i="5"/>
  <c r="G238" i="5"/>
  <c r="H239" i="10" s="1"/>
  <c r="J237" i="5"/>
  <c r="G237" i="5"/>
  <c r="H238" i="10" s="1"/>
  <c r="J236" i="5"/>
  <c r="G236" i="5"/>
  <c r="H237" i="10" s="1"/>
  <c r="J235" i="5"/>
  <c r="G235" i="5"/>
  <c r="H236" i="10" s="1"/>
  <c r="J234" i="5"/>
  <c r="G234" i="5"/>
  <c r="H235" i="10" s="1"/>
  <c r="J233" i="5"/>
  <c r="G233" i="5"/>
  <c r="H234" i="10" s="1"/>
  <c r="J232" i="5"/>
  <c r="G232" i="5"/>
  <c r="H233" i="10" s="1"/>
  <c r="J231" i="5"/>
  <c r="G231" i="5"/>
  <c r="H232" i="10" s="1"/>
  <c r="J230" i="5"/>
  <c r="G230" i="5"/>
  <c r="H231" i="10" s="1"/>
  <c r="J229" i="5"/>
  <c r="G229" i="5"/>
  <c r="H230" i="10" s="1"/>
  <c r="J228" i="5"/>
  <c r="G228" i="5"/>
  <c r="H229" i="10" s="1"/>
  <c r="J227" i="5"/>
  <c r="G227" i="5"/>
  <c r="H228" i="10" s="1"/>
  <c r="J226" i="5"/>
  <c r="G226" i="5"/>
  <c r="H227" i="10" s="1"/>
  <c r="J225" i="5"/>
  <c r="G225" i="5"/>
  <c r="H226" i="10" s="1"/>
  <c r="J224" i="5"/>
  <c r="G224" i="5"/>
  <c r="H225" i="10" s="1"/>
  <c r="J223" i="5"/>
  <c r="G223" i="5"/>
  <c r="H224" i="10" s="1"/>
  <c r="J222" i="5"/>
  <c r="G222" i="5"/>
  <c r="H223" i="10" s="1"/>
  <c r="J221" i="5"/>
  <c r="G221" i="5"/>
  <c r="H222" i="10" s="1"/>
  <c r="J220" i="5"/>
  <c r="G220" i="5"/>
  <c r="H221" i="10" s="1"/>
  <c r="J219" i="5"/>
  <c r="G219" i="5"/>
  <c r="H220" i="10" s="1"/>
  <c r="J218" i="5"/>
  <c r="G218" i="5"/>
  <c r="H219" i="10" s="1"/>
  <c r="J217" i="5"/>
  <c r="I217" i="5"/>
  <c r="G217" i="5"/>
  <c r="H218" i="10" s="1"/>
  <c r="J216" i="5"/>
  <c r="G216" i="5"/>
  <c r="H217" i="10" s="1"/>
  <c r="J215" i="5"/>
  <c r="G215" i="5"/>
  <c r="H216" i="10" s="1"/>
  <c r="J214" i="5"/>
  <c r="G214" i="5"/>
  <c r="H215" i="10" s="1"/>
  <c r="J213" i="5"/>
  <c r="G213" i="5"/>
  <c r="H214" i="10" s="1"/>
  <c r="J212" i="5"/>
  <c r="G212" i="5"/>
  <c r="H213" i="10" s="1"/>
  <c r="J211" i="5"/>
  <c r="G211" i="5"/>
  <c r="H212" i="10" s="1"/>
  <c r="J210" i="5"/>
  <c r="G210" i="5"/>
  <c r="H211" i="10" s="1"/>
  <c r="J209" i="5"/>
  <c r="G209" i="5"/>
  <c r="H210" i="10" s="1"/>
  <c r="J208" i="5"/>
  <c r="I208" i="5"/>
  <c r="G208" i="5"/>
  <c r="H209" i="10" s="1"/>
  <c r="J207" i="5"/>
  <c r="G207" i="5"/>
  <c r="H208" i="10" s="1"/>
  <c r="J206" i="5"/>
  <c r="G206" i="5"/>
  <c r="H207" i="10" s="1"/>
  <c r="J205" i="5"/>
  <c r="G205" i="5"/>
  <c r="H206" i="10" s="1"/>
  <c r="J204" i="5"/>
  <c r="G204" i="5"/>
  <c r="H205" i="10" s="1"/>
  <c r="J203" i="5"/>
  <c r="G203" i="5"/>
  <c r="H204" i="10" s="1"/>
  <c r="J202" i="5"/>
  <c r="G202" i="5"/>
  <c r="H203" i="10" s="1"/>
  <c r="J201" i="5"/>
  <c r="G201" i="5"/>
  <c r="H202" i="10" s="1"/>
  <c r="J200" i="5"/>
  <c r="G200" i="5"/>
  <c r="H201" i="10" s="1"/>
  <c r="J199" i="5"/>
  <c r="G199" i="5"/>
  <c r="H200" i="10" s="1"/>
  <c r="J198" i="5"/>
  <c r="G198" i="5"/>
  <c r="H199" i="10" s="1"/>
  <c r="J197" i="5"/>
  <c r="G197" i="5"/>
  <c r="H198" i="10" s="1"/>
  <c r="J196" i="5"/>
  <c r="G196" i="5"/>
  <c r="H197" i="10" s="1"/>
  <c r="J195" i="5"/>
  <c r="G195" i="5"/>
  <c r="H196" i="10" s="1"/>
  <c r="J194" i="5"/>
  <c r="G194" i="5"/>
  <c r="H195" i="10" s="1"/>
  <c r="J193" i="5"/>
  <c r="G193" i="5"/>
  <c r="H194" i="10" s="1"/>
  <c r="J192" i="5"/>
  <c r="G192" i="5"/>
  <c r="H193" i="10" s="1"/>
  <c r="J191" i="5"/>
  <c r="G191" i="5"/>
  <c r="H192" i="10" s="1"/>
  <c r="J190" i="5"/>
  <c r="G190" i="5"/>
  <c r="H191" i="10" s="1"/>
  <c r="J189" i="5"/>
  <c r="G189" i="5"/>
  <c r="H190" i="10" s="1"/>
  <c r="J188" i="5"/>
  <c r="G188" i="5"/>
  <c r="H189" i="10" s="1"/>
  <c r="J187" i="5"/>
  <c r="G187" i="5"/>
  <c r="H188" i="10" s="1"/>
  <c r="J186" i="5"/>
  <c r="G186" i="5"/>
  <c r="H187" i="10" s="1"/>
  <c r="J185" i="5"/>
  <c r="G185" i="5"/>
  <c r="H186" i="10" s="1"/>
  <c r="J184" i="5"/>
  <c r="G184" i="5"/>
  <c r="H185" i="10" s="1"/>
  <c r="J183" i="5"/>
  <c r="G183" i="5"/>
  <c r="H184" i="10" s="1"/>
  <c r="J182" i="5"/>
  <c r="G182" i="5"/>
  <c r="H183" i="10" s="1"/>
  <c r="J181" i="5"/>
  <c r="G181" i="5"/>
  <c r="H182" i="10" s="1"/>
  <c r="J180" i="5"/>
  <c r="G180" i="5"/>
  <c r="H181" i="10" s="1"/>
  <c r="J179" i="5"/>
  <c r="G179" i="5"/>
  <c r="H180" i="10" s="1"/>
  <c r="J178" i="5"/>
  <c r="G178" i="5"/>
  <c r="H179" i="10" s="1"/>
  <c r="J177" i="5"/>
  <c r="G177" i="5"/>
  <c r="H178" i="10" s="1"/>
  <c r="J176" i="5"/>
  <c r="G176" i="5"/>
  <c r="H177" i="10" s="1"/>
  <c r="J175" i="5"/>
  <c r="G175" i="5"/>
  <c r="H176" i="10" s="1"/>
  <c r="J174" i="5"/>
  <c r="G174" i="5"/>
  <c r="H175" i="10" s="1"/>
  <c r="J173" i="5"/>
  <c r="G173" i="5"/>
  <c r="H174" i="10" s="1"/>
  <c r="J172" i="5"/>
  <c r="G172" i="5"/>
  <c r="H173" i="10" s="1"/>
  <c r="J171" i="5"/>
  <c r="G171" i="5"/>
  <c r="H172" i="10" s="1"/>
  <c r="J170" i="5"/>
  <c r="G170" i="5"/>
  <c r="H171" i="10" s="1"/>
  <c r="J169" i="5"/>
  <c r="G169" i="5"/>
  <c r="H170" i="10" s="1"/>
  <c r="J168" i="5"/>
  <c r="G168" i="5"/>
  <c r="H169" i="10" s="1"/>
  <c r="J167" i="5"/>
  <c r="I167" i="5"/>
  <c r="H167" i="5"/>
  <c r="G167" i="5"/>
  <c r="H168" i="10" s="1"/>
  <c r="J166" i="5"/>
  <c r="G166" i="5"/>
  <c r="H167" i="10" s="1"/>
  <c r="J165" i="5"/>
  <c r="G165" i="5"/>
  <c r="H166" i="10" s="1"/>
  <c r="J164" i="5"/>
  <c r="G164" i="5"/>
  <c r="H165" i="10" s="1"/>
  <c r="J163" i="5"/>
  <c r="G163" i="5"/>
  <c r="H164" i="10" s="1"/>
  <c r="J162" i="5"/>
  <c r="G162" i="5"/>
  <c r="H163" i="10" s="1"/>
  <c r="J161" i="5"/>
  <c r="G161" i="5"/>
  <c r="H162" i="10" s="1"/>
  <c r="J160" i="5"/>
  <c r="G160" i="5"/>
  <c r="H161" i="10" s="1"/>
  <c r="J159" i="5"/>
  <c r="G159" i="5"/>
  <c r="H160" i="10" s="1"/>
  <c r="J158" i="5"/>
  <c r="G158" i="5"/>
  <c r="H159" i="10" s="1"/>
  <c r="J157" i="5"/>
  <c r="G157" i="5"/>
  <c r="H158" i="10" s="1"/>
  <c r="J156" i="5"/>
  <c r="G156" i="5"/>
  <c r="H157" i="10" s="1"/>
  <c r="J155" i="5"/>
  <c r="G155" i="5"/>
  <c r="H156" i="10" s="1"/>
  <c r="J154" i="5"/>
  <c r="G154" i="5"/>
  <c r="H155" i="10" s="1"/>
  <c r="J153" i="5"/>
  <c r="G153" i="5"/>
  <c r="H154" i="10" s="1"/>
  <c r="J152" i="5"/>
  <c r="G152" i="5"/>
  <c r="H153" i="10" s="1"/>
  <c r="J151" i="5"/>
  <c r="G151" i="5"/>
  <c r="H152" i="10" s="1"/>
  <c r="J150" i="5"/>
  <c r="G150" i="5"/>
  <c r="H151" i="10" s="1"/>
  <c r="J149" i="5"/>
  <c r="G149" i="5"/>
  <c r="H150" i="10" s="1"/>
  <c r="J148" i="5"/>
  <c r="G148" i="5"/>
  <c r="H149" i="10" s="1"/>
  <c r="J147" i="5"/>
  <c r="G147" i="5"/>
  <c r="H148" i="10" s="1"/>
  <c r="J146" i="5"/>
  <c r="G146" i="5"/>
  <c r="H147" i="10" s="1"/>
  <c r="J145" i="5"/>
  <c r="G145" i="5"/>
  <c r="H146" i="10" s="1"/>
  <c r="J144" i="5"/>
  <c r="G144" i="5"/>
  <c r="H145" i="10" s="1"/>
  <c r="J143" i="5"/>
  <c r="G143" i="5"/>
  <c r="H144" i="10" s="1"/>
  <c r="J142" i="5"/>
  <c r="G142" i="5"/>
  <c r="H143" i="10" s="1"/>
  <c r="J141" i="5"/>
  <c r="G141" i="5"/>
  <c r="H142" i="10" s="1"/>
  <c r="J140" i="5"/>
  <c r="G140" i="5"/>
  <c r="H141" i="10" s="1"/>
  <c r="J139" i="5"/>
  <c r="G139" i="5"/>
  <c r="H140" i="10" s="1"/>
  <c r="J138" i="5"/>
  <c r="G138" i="5"/>
  <c r="H139" i="10" s="1"/>
  <c r="J137" i="5"/>
  <c r="G137" i="5"/>
  <c r="H138" i="10" s="1"/>
  <c r="J136" i="5"/>
  <c r="G136" i="5"/>
  <c r="H137" i="10" s="1"/>
  <c r="J135" i="5"/>
  <c r="G135" i="5"/>
  <c r="H136" i="10" s="1"/>
  <c r="J134" i="5"/>
  <c r="G134" i="5"/>
  <c r="H135" i="10" s="1"/>
  <c r="J133" i="5"/>
  <c r="G133" i="5"/>
  <c r="H134" i="10" s="1"/>
  <c r="J132" i="5"/>
  <c r="G132" i="5"/>
  <c r="H133" i="10" s="1"/>
  <c r="J131" i="5"/>
  <c r="G131" i="5"/>
  <c r="H132" i="10" s="1"/>
  <c r="J130" i="5"/>
  <c r="G130" i="5"/>
  <c r="H131" i="10" s="1"/>
  <c r="J129" i="5"/>
  <c r="G129" i="5"/>
  <c r="H130" i="10" s="1"/>
  <c r="J128" i="5"/>
  <c r="G128" i="5"/>
  <c r="H129" i="10" s="1"/>
  <c r="J127" i="5"/>
  <c r="G127" i="5"/>
  <c r="H128" i="10" s="1"/>
  <c r="J126" i="5"/>
  <c r="G126" i="5"/>
  <c r="H127" i="10" s="1"/>
  <c r="J125" i="5"/>
  <c r="G125" i="5"/>
  <c r="H126" i="10" s="1"/>
  <c r="J124" i="5"/>
  <c r="G124" i="5"/>
  <c r="H125" i="10" s="1"/>
  <c r="J123" i="5"/>
  <c r="G123" i="5"/>
  <c r="H124" i="10" s="1"/>
  <c r="J122" i="5"/>
  <c r="I122" i="5"/>
  <c r="H122" i="5"/>
  <c r="G122" i="5"/>
  <c r="H123" i="10" s="1"/>
  <c r="J121" i="5"/>
  <c r="G121" i="5"/>
  <c r="H122" i="10" s="1"/>
  <c r="J120" i="5"/>
  <c r="G120" i="5"/>
  <c r="H121" i="10" s="1"/>
  <c r="J119" i="5"/>
  <c r="G119" i="5"/>
  <c r="H120" i="10" s="1"/>
  <c r="J118" i="5"/>
  <c r="G118" i="5"/>
  <c r="H119" i="10" s="1"/>
  <c r="J117" i="5"/>
  <c r="G117" i="5"/>
  <c r="H118" i="10" s="1"/>
  <c r="J116" i="5"/>
  <c r="G116" i="5"/>
  <c r="H117" i="10" s="1"/>
  <c r="J115" i="5"/>
  <c r="G115" i="5"/>
  <c r="H116" i="10" s="1"/>
  <c r="J114" i="5"/>
  <c r="G114" i="5"/>
  <c r="H115" i="10" s="1"/>
  <c r="J113" i="5"/>
  <c r="G113" i="5"/>
  <c r="H114" i="10" s="1"/>
  <c r="J112" i="5"/>
  <c r="G112" i="5"/>
  <c r="H113" i="10" s="1"/>
  <c r="J111" i="5"/>
  <c r="G111" i="5"/>
  <c r="H112" i="10" s="1"/>
  <c r="J110" i="5"/>
  <c r="G110" i="5"/>
  <c r="H111" i="10" s="1"/>
  <c r="J109" i="5"/>
  <c r="G109" i="5"/>
  <c r="H110" i="10" s="1"/>
  <c r="J108" i="5"/>
  <c r="G108" i="5"/>
  <c r="H109" i="10" s="1"/>
  <c r="J107" i="5"/>
  <c r="G107" i="5"/>
  <c r="H108" i="10" s="1"/>
  <c r="J106" i="5"/>
  <c r="G106" i="5"/>
  <c r="H107" i="10" s="1"/>
  <c r="J105" i="5"/>
  <c r="G105" i="5"/>
  <c r="H106" i="10" s="1"/>
  <c r="J104" i="5"/>
  <c r="G104" i="5"/>
  <c r="H105" i="10" s="1"/>
  <c r="J103" i="5"/>
  <c r="G103" i="5"/>
  <c r="H104" i="10" s="1"/>
  <c r="J102" i="5"/>
  <c r="G102" i="5"/>
  <c r="H103" i="10" s="1"/>
  <c r="J101" i="5"/>
  <c r="G101" i="5"/>
  <c r="H102" i="10" s="1"/>
  <c r="J100" i="5"/>
  <c r="G100" i="5"/>
  <c r="H101" i="10" s="1"/>
  <c r="J99" i="5"/>
  <c r="G99" i="5"/>
  <c r="H100" i="10" s="1"/>
  <c r="J98" i="5"/>
  <c r="G98" i="5"/>
  <c r="H99" i="10" s="1"/>
  <c r="J97" i="5"/>
  <c r="G97" i="5"/>
  <c r="H98" i="10" s="1"/>
  <c r="J96" i="5"/>
  <c r="G96" i="5"/>
  <c r="H97" i="10" s="1"/>
  <c r="J95" i="5"/>
  <c r="G95" i="5"/>
  <c r="H96" i="10" s="1"/>
  <c r="J94" i="5"/>
  <c r="G94" i="5"/>
  <c r="H95" i="10" s="1"/>
  <c r="J93" i="5"/>
  <c r="G93" i="5"/>
  <c r="H94" i="10" s="1"/>
  <c r="J92" i="5"/>
  <c r="G92" i="5"/>
  <c r="H93" i="10" s="1"/>
  <c r="J91" i="5"/>
  <c r="G91" i="5"/>
  <c r="H92" i="10" s="1"/>
  <c r="J90" i="5"/>
  <c r="G90" i="5"/>
  <c r="H91" i="10" s="1"/>
  <c r="J89" i="5"/>
  <c r="G89" i="5"/>
  <c r="H90" i="10" s="1"/>
  <c r="J88" i="5"/>
  <c r="G88" i="5"/>
  <c r="H89" i="10" s="1"/>
  <c r="J87" i="5"/>
  <c r="G87" i="5"/>
  <c r="H88" i="10" s="1"/>
  <c r="J86" i="5"/>
  <c r="G86" i="5"/>
  <c r="H87" i="10" s="1"/>
  <c r="J85" i="5"/>
  <c r="G85" i="5"/>
  <c r="H86" i="10" s="1"/>
  <c r="J84" i="5"/>
  <c r="G84" i="5"/>
  <c r="H85" i="10" s="1"/>
  <c r="J83" i="5"/>
  <c r="G83" i="5"/>
  <c r="H84" i="10" s="1"/>
  <c r="J82" i="5"/>
  <c r="G82" i="5"/>
  <c r="H83" i="10" s="1"/>
  <c r="J81" i="5"/>
  <c r="G81" i="5"/>
  <c r="H82" i="10" s="1"/>
  <c r="J80" i="5"/>
  <c r="G80" i="5"/>
  <c r="H81" i="10" s="1"/>
  <c r="J79" i="5"/>
  <c r="G79" i="5"/>
  <c r="H80" i="10" s="1"/>
  <c r="J78" i="5"/>
  <c r="G78" i="5"/>
  <c r="H79" i="10" s="1"/>
  <c r="J77" i="5"/>
  <c r="G77" i="5"/>
  <c r="H78" i="10" s="1"/>
  <c r="J76" i="5"/>
  <c r="G76" i="5"/>
  <c r="H77" i="10" s="1"/>
  <c r="J75" i="5"/>
  <c r="G75" i="5"/>
  <c r="H76" i="10" s="1"/>
  <c r="J74" i="5"/>
  <c r="I74" i="5"/>
  <c r="H74" i="5"/>
  <c r="G74" i="5"/>
  <c r="H75" i="10" s="1"/>
  <c r="J73" i="5"/>
  <c r="G73" i="5"/>
  <c r="H74" i="10" s="1"/>
  <c r="J72" i="5"/>
  <c r="G72" i="5"/>
  <c r="H73" i="10" s="1"/>
  <c r="J71" i="5"/>
  <c r="G71" i="5"/>
  <c r="H72" i="10" s="1"/>
  <c r="J70" i="5"/>
  <c r="G70" i="5"/>
  <c r="H71" i="10" s="1"/>
  <c r="J69" i="5"/>
  <c r="G69" i="5"/>
  <c r="H70" i="10" s="1"/>
  <c r="J68" i="5"/>
  <c r="G68" i="5"/>
  <c r="H69" i="10" s="1"/>
  <c r="J67" i="5"/>
  <c r="G67" i="5"/>
  <c r="H68" i="10" s="1"/>
  <c r="J66" i="5"/>
  <c r="G66" i="5"/>
  <c r="H67" i="10" s="1"/>
  <c r="J65" i="5"/>
  <c r="G65" i="5"/>
  <c r="H66" i="10" s="1"/>
  <c r="J64" i="5"/>
  <c r="G64" i="5"/>
  <c r="H65" i="10" s="1"/>
  <c r="J63" i="5"/>
  <c r="G63" i="5"/>
  <c r="H64" i="10" s="1"/>
  <c r="J62" i="5"/>
  <c r="G62" i="5"/>
  <c r="H63" i="10" s="1"/>
  <c r="J61" i="5"/>
  <c r="G61" i="5"/>
  <c r="H62" i="10" s="1"/>
  <c r="J60" i="5"/>
  <c r="G60" i="5"/>
  <c r="H61" i="10" s="1"/>
  <c r="J59" i="5"/>
  <c r="G59" i="5"/>
  <c r="H60" i="10" s="1"/>
  <c r="J58" i="5"/>
  <c r="G58" i="5"/>
  <c r="H59" i="10" s="1"/>
  <c r="J57" i="5"/>
  <c r="G57" i="5"/>
  <c r="H58" i="10" s="1"/>
  <c r="J56" i="5"/>
  <c r="G56" i="5"/>
  <c r="H57" i="10" s="1"/>
  <c r="J55" i="5"/>
  <c r="G55" i="5"/>
  <c r="H56" i="10" s="1"/>
  <c r="J54" i="5"/>
  <c r="G54" i="5"/>
  <c r="H55" i="10" s="1"/>
  <c r="J53" i="5"/>
  <c r="G53" i="5"/>
  <c r="H54" i="10" s="1"/>
  <c r="J52" i="5"/>
  <c r="G52" i="5"/>
  <c r="H53" i="10" s="1"/>
  <c r="J51" i="5"/>
  <c r="G51" i="5"/>
  <c r="H52" i="10" s="1"/>
  <c r="J50" i="5"/>
  <c r="I50" i="5"/>
  <c r="G50" i="5"/>
  <c r="H51" i="10" s="1"/>
  <c r="J49" i="5"/>
  <c r="G49" i="5"/>
  <c r="H50" i="10" s="1"/>
  <c r="J48" i="5"/>
  <c r="G48" i="5"/>
  <c r="H49" i="10" s="1"/>
  <c r="J47" i="5"/>
  <c r="G47" i="5"/>
  <c r="H48" i="10" s="1"/>
  <c r="J46" i="5"/>
  <c r="G46" i="5"/>
  <c r="H47" i="10" s="1"/>
  <c r="J45" i="5"/>
  <c r="G45" i="5"/>
  <c r="H46" i="10" s="1"/>
  <c r="J44" i="5"/>
  <c r="G44" i="5"/>
  <c r="H45" i="10" s="1"/>
  <c r="J43" i="5"/>
  <c r="G43" i="5"/>
  <c r="H44" i="10" s="1"/>
  <c r="J42" i="5"/>
  <c r="G42" i="5"/>
  <c r="H43" i="10" s="1"/>
  <c r="J41" i="5"/>
  <c r="G41" i="5"/>
  <c r="H42" i="10" s="1"/>
  <c r="J40" i="5"/>
  <c r="G40" i="5"/>
  <c r="H41" i="10" s="1"/>
  <c r="J39" i="5"/>
  <c r="G39" i="5"/>
  <c r="H40" i="10" s="1"/>
  <c r="J38" i="5"/>
  <c r="G38" i="5"/>
  <c r="H39" i="10" s="1"/>
  <c r="J37" i="5"/>
  <c r="G37" i="5"/>
  <c r="H38" i="10" s="1"/>
  <c r="J36" i="5"/>
  <c r="G36" i="5"/>
  <c r="H37" i="10" s="1"/>
  <c r="J35" i="5"/>
  <c r="G35" i="5"/>
  <c r="H36" i="10" s="1"/>
  <c r="J34" i="5"/>
  <c r="G34" i="5"/>
  <c r="H35" i="10" s="1"/>
  <c r="J33" i="5"/>
  <c r="G33" i="5"/>
  <c r="H34" i="10" s="1"/>
  <c r="J32" i="5"/>
  <c r="G32" i="5"/>
  <c r="H33" i="10" s="1"/>
  <c r="J31" i="5"/>
  <c r="G31" i="5"/>
  <c r="H32" i="10" s="1"/>
  <c r="J30" i="5"/>
  <c r="G30" i="5"/>
  <c r="H31" i="10" s="1"/>
  <c r="J29" i="5"/>
  <c r="G29" i="5"/>
  <c r="H30" i="10" s="1"/>
  <c r="J28" i="5"/>
  <c r="G28" i="5"/>
  <c r="H29" i="10" s="1"/>
  <c r="J27" i="5"/>
  <c r="G27" i="5"/>
  <c r="H28" i="10" s="1"/>
  <c r="J26" i="5"/>
  <c r="G26" i="5"/>
  <c r="H27" i="10" s="1"/>
  <c r="J25" i="5"/>
  <c r="G25" i="5"/>
  <c r="H26" i="10" s="1"/>
  <c r="J24" i="5"/>
  <c r="G24" i="5"/>
  <c r="H25" i="10" s="1"/>
  <c r="J23" i="5"/>
  <c r="G23" i="5"/>
  <c r="H24" i="10" s="1"/>
  <c r="J22" i="5"/>
  <c r="G22" i="5"/>
  <c r="H23" i="10" s="1"/>
  <c r="J21" i="5"/>
  <c r="G21" i="5"/>
  <c r="H22" i="10" s="1"/>
  <c r="J20" i="5"/>
  <c r="G20" i="5"/>
  <c r="H21" i="10" s="1"/>
  <c r="J19" i="5"/>
  <c r="G19" i="5"/>
  <c r="H20" i="10" s="1"/>
  <c r="J18" i="5"/>
  <c r="G18" i="5"/>
  <c r="H19" i="10" s="1"/>
  <c r="J17" i="5"/>
  <c r="G17" i="5"/>
  <c r="H18" i="10" s="1"/>
  <c r="J16" i="5"/>
  <c r="G16" i="5"/>
  <c r="H17" i="10" s="1"/>
  <c r="J15" i="5"/>
  <c r="G15" i="5"/>
  <c r="H16" i="10" s="1"/>
  <c r="J14" i="5"/>
  <c r="G14" i="5"/>
  <c r="H15" i="10" s="1"/>
  <c r="J13" i="5"/>
  <c r="G13" i="5"/>
  <c r="H14" i="10" s="1"/>
  <c r="J12" i="5"/>
  <c r="G12" i="5"/>
  <c r="H13" i="10" s="1"/>
  <c r="J11" i="5"/>
  <c r="G11" i="5"/>
  <c r="H12" i="10" s="1"/>
  <c r="J10" i="5"/>
  <c r="G10" i="5"/>
  <c r="H11" i="10" s="1"/>
  <c r="J9" i="5"/>
  <c r="G9" i="5"/>
  <c r="H10" i="10" s="1"/>
  <c r="J8" i="5"/>
  <c r="G8" i="5"/>
  <c r="H9" i="10" s="1"/>
  <c r="J7" i="5"/>
  <c r="G7" i="5"/>
  <c r="H8" i="10" s="1"/>
  <c r="J6" i="5"/>
  <c r="G6" i="5"/>
  <c r="H7" i="10" s="1"/>
  <c r="J5" i="5"/>
  <c r="G5" i="5"/>
  <c r="H6" i="10" s="1"/>
  <c r="J4" i="5"/>
  <c r="G4" i="5"/>
  <c r="H5" i="10" s="1"/>
  <c r="J3" i="5"/>
  <c r="G3" i="5"/>
  <c r="H4" i="10" s="1"/>
  <c r="J2" i="5"/>
  <c r="G2" i="5"/>
  <c r="H3" i="10" s="1"/>
  <c r="V466" i="4"/>
  <c r="P466" i="4"/>
  <c r="O466" i="4"/>
  <c r="Q466" i="4" s="1"/>
  <c r="N466" i="4"/>
  <c r="L466" i="4"/>
  <c r="M466" i="4" s="1"/>
  <c r="V465" i="4"/>
  <c r="O465" i="4"/>
  <c r="Q465" i="4" s="1"/>
  <c r="N465" i="4"/>
  <c r="M465" i="4"/>
  <c r="L465" i="4"/>
  <c r="V464" i="4"/>
  <c r="Q464" i="4"/>
  <c r="P464" i="4"/>
  <c r="O464" i="4"/>
  <c r="N464" i="4"/>
  <c r="L464" i="4"/>
  <c r="M464" i="4" s="1"/>
  <c r="V463" i="4"/>
  <c r="Q463" i="4"/>
  <c r="O463" i="4"/>
  <c r="P463" i="4" s="1"/>
  <c r="N463" i="4"/>
  <c r="M463" i="4"/>
  <c r="L463" i="4"/>
  <c r="V462" i="4"/>
  <c r="P462" i="4"/>
  <c r="O462" i="4"/>
  <c r="Q462" i="4" s="1"/>
  <c r="N462" i="4"/>
  <c r="L462" i="4"/>
  <c r="M462" i="4" s="1"/>
  <c r="V461" i="4"/>
  <c r="O461" i="4"/>
  <c r="Q461" i="4" s="1"/>
  <c r="N461" i="4"/>
  <c r="M461" i="4"/>
  <c r="L461" i="4"/>
  <c r="V460" i="4"/>
  <c r="Q460" i="4"/>
  <c r="P460" i="4"/>
  <c r="O460" i="4"/>
  <c r="N460" i="4"/>
  <c r="L460" i="4"/>
  <c r="M460" i="4" s="1"/>
  <c r="V459" i="4"/>
  <c r="Q459" i="4"/>
  <c r="O459" i="4"/>
  <c r="P459" i="4" s="1"/>
  <c r="N459" i="4"/>
  <c r="M459" i="4"/>
  <c r="L459" i="4"/>
  <c r="V458" i="4"/>
  <c r="P458" i="4"/>
  <c r="O458" i="4"/>
  <c r="Q458" i="4" s="1"/>
  <c r="N458" i="4"/>
  <c r="L458" i="4"/>
  <c r="M458" i="4" s="1"/>
  <c r="V457" i="4"/>
  <c r="O457" i="4"/>
  <c r="Q457" i="4" s="1"/>
  <c r="N457" i="4"/>
  <c r="M457" i="4"/>
  <c r="L457" i="4"/>
  <c r="V456" i="4"/>
  <c r="Q456" i="4"/>
  <c r="P456" i="4"/>
  <c r="O456" i="4"/>
  <c r="N456" i="4"/>
  <c r="L456" i="4"/>
  <c r="M456" i="4" s="1"/>
  <c r="V455" i="4"/>
  <c r="Q455" i="4"/>
  <c r="O455" i="4"/>
  <c r="P455" i="4" s="1"/>
  <c r="N455" i="4"/>
  <c r="M455" i="4"/>
  <c r="L455" i="4"/>
  <c r="V454" i="4"/>
  <c r="P454" i="4"/>
  <c r="O454" i="4"/>
  <c r="Q454" i="4" s="1"/>
  <c r="N454" i="4"/>
  <c r="L454" i="4"/>
  <c r="M454" i="4" s="1"/>
  <c r="V453" i="4"/>
  <c r="O453" i="4"/>
  <c r="Q453" i="4" s="1"/>
  <c r="N453" i="4"/>
  <c r="M453" i="4"/>
  <c r="L453" i="4"/>
  <c r="V452" i="4"/>
  <c r="Q452" i="4"/>
  <c r="P452" i="4"/>
  <c r="O452" i="4"/>
  <c r="N452" i="4"/>
  <c r="L452" i="4"/>
  <c r="M452" i="4" s="1"/>
  <c r="V451" i="4"/>
  <c r="Q451" i="4"/>
  <c r="O451" i="4"/>
  <c r="P451" i="4" s="1"/>
  <c r="N451" i="4"/>
  <c r="M451" i="4"/>
  <c r="L451" i="4"/>
  <c r="V450" i="4"/>
  <c r="Q450" i="4"/>
  <c r="P450" i="4"/>
  <c r="O450" i="4"/>
  <c r="N450" i="4"/>
  <c r="L450" i="4"/>
  <c r="M450" i="4" s="1"/>
  <c r="V449" i="4"/>
  <c r="O449" i="4"/>
  <c r="Q449" i="4" s="1"/>
  <c r="N449" i="4"/>
  <c r="M449" i="4"/>
  <c r="L449" i="4"/>
  <c r="V448" i="4"/>
  <c r="P448" i="4"/>
  <c r="O448" i="4"/>
  <c r="Q448" i="4" s="1"/>
  <c r="N448" i="4"/>
  <c r="L448" i="4"/>
  <c r="M448" i="4" s="1"/>
  <c r="V447" i="4"/>
  <c r="Q447" i="4"/>
  <c r="O447" i="4"/>
  <c r="P447" i="4" s="1"/>
  <c r="N447" i="4"/>
  <c r="M447" i="4"/>
  <c r="L447" i="4"/>
  <c r="V446" i="4"/>
  <c r="Q446" i="4"/>
  <c r="P446" i="4"/>
  <c r="O446" i="4"/>
  <c r="N446" i="4"/>
  <c r="L446" i="4"/>
  <c r="M446" i="4" s="1"/>
  <c r="V445" i="4"/>
  <c r="O445" i="4"/>
  <c r="Q445" i="4" s="1"/>
  <c r="N445" i="4"/>
  <c r="V444" i="4"/>
  <c r="P444" i="4"/>
  <c r="O444" i="4"/>
  <c r="Q444" i="4" s="1"/>
  <c r="N444" i="4"/>
  <c r="L444" i="4"/>
  <c r="M444" i="4" s="1"/>
  <c r="V443" i="4"/>
  <c r="Q443" i="4"/>
  <c r="O443" i="4"/>
  <c r="P443" i="4" s="1"/>
  <c r="N443" i="4"/>
  <c r="M443" i="4"/>
  <c r="L443" i="4"/>
  <c r="V442" i="4"/>
  <c r="Q442" i="4"/>
  <c r="P442" i="4"/>
  <c r="O442" i="4"/>
  <c r="N442" i="4"/>
  <c r="L442" i="4"/>
  <c r="M442" i="4" s="1"/>
  <c r="V441" i="4"/>
  <c r="O441" i="4"/>
  <c r="Q441" i="4" s="1"/>
  <c r="N441" i="4"/>
  <c r="M441" i="4"/>
  <c r="L441" i="4"/>
  <c r="V440" i="4"/>
  <c r="P440" i="4"/>
  <c r="O440" i="4"/>
  <c r="Q440" i="4" s="1"/>
  <c r="N440" i="4"/>
  <c r="L440" i="4"/>
  <c r="M440" i="4" s="1"/>
  <c r="V439" i="4"/>
  <c r="O439" i="4"/>
  <c r="Q439" i="4" s="1"/>
  <c r="N439" i="4"/>
  <c r="T439" i="4" s="1"/>
  <c r="V438" i="4"/>
  <c r="P438" i="4"/>
  <c r="O438" i="4"/>
  <c r="Q438" i="4" s="1"/>
  <c r="N438" i="4"/>
  <c r="L438" i="4"/>
  <c r="M438" i="4" s="1"/>
  <c r="V437" i="4"/>
  <c r="Q437" i="4"/>
  <c r="O437" i="4"/>
  <c r="P437" i="4" s="1"/>
  <c r="N437" i="4"/>
  <c r="M437" i="4"/>
  <c r="L437" i="4"/>
  <c r="V436" i="4"/>
  <c r="Q436" i="4"/>
  <c r="P436" i="4"/>
  <c r="O436" i="4"/>
  <c r="N436" i="4"/>
  <c r="L436" i="4"/>
  <c r="M436" i="4" s="1"/>
  <c r="V435" i="4"/>
  <c r="O435" i="4"/>
  <c r="Q435" i="4" s="1"/>
  <c r="N435" i="4"/>
  <c r="M435" i="4"/>
  <c r="L435" i="4"/>
  <c r="V434" i="4"/>
  <c r="Q434" i="4"/>
  <c r="P434" i="4"/>
  <c r="O434" i="4"/>
  <c r="U434" i="4" s="1"/>
  <c r="N434" i="4"/>
  <c r="T434" i="4" s="1"/>
  <c r="L434" i="4"/>
  <c r="M434" i="4" s="1"/>
  <c r="V433" i="4"/>
  <c r="Q433" i="4"/>
  <c r="O433" i="4"/>
  <c r="P433" i="4" s="1"/>
  <c r="L433" i="4" s="1"/>
  <c r="M433" i="4" s="1"/>
  <c r="N433" i="4"/>
  <c r="T433" i="4" s="1"/>
  <c r="V432" i="4"/>
  <c r="P432" i="4"/>
  <c r="O432" i="4"/>
  <c r="Q432" i="4" s="1"/>
  <c r="N432" i="4"/>
  <c r="T432" i="4" s="1"/>
  <c r="L432" i="4"/>
  <c r="M432" i="4" s="1"/>
  <c r="V431" i="4"/>
  <c r="O431" i="4"/>
  <c r="Q431" i="4" s="1"/>
  <c r="N431" i="4"/>
  <c r="T431" i="4" s="1"/>
  <c r="V430" i="4"/>
  <c r="P430" i="4"/>
  <c r="O430" i="4"/>
  <c r="Q430" i="4" s="1"/>
  <c r="N430" i="4"/>
  <c r="L430" i="4"/>
  <c r="M430" i="4" s="1"/>
  <c r="V429" i="4"/>
  <c r="Q429" i="4"/>
  <c r="O429" i="4"/>
  <c r="P429" i="4" s="1"/>
  <c r="L429" i="4" s="1"/>
  <c r="M429" i="4" s="1"/>
  <c r="N429" i="4"/>
  <c r="V428" i="4"/>
  <c r="Q428" i="4"/>
  <c r="P428" i="4"/>
  <c r="O428" i="4"/>
  <c r="N428" i="4"/>
  <c r="L428" i="4"/>
  <c r="M428" i="4" s="1"/>
  <c r="V427" i="4"/>
  <c r="Q427" i="4"/>
  <c r="O427" i="4"/>
  <c r="P427" i="4" s="1"/>
  <c r="L427" i="4" s="1"/>
  <c r="M427" i="4" s="1"/>
  <c r="N427" i="4"/>
  <c r="T427" i="4" s="1"/>
  <c r="V426" i="4"/>
  <c r="P426" i="4"/>
  <c r="O426" i="4"/>
  <c r="Q426" i="4" s="1"/>
  <c r="N426" i="4"/>
  <c r="L426" i="4"/>
  <c r="M426" i="4" s="1"/>
  <c r="V425" i="4"/>
  <c r="O425" i="4"/>
  <c r="Q425" i="4" s="1"/>
  <c r="N425" i="4"/>
  <c r="M425" i="4"/>
  <c r="L425" i="4"/>
  <c r="V424" i="4"/>
  <c r="Q424" i="4"/>
  <c r="G425" i="10" s="1"/>
  <c r="P424" i="4"/>
  <c r="O424" i="4"/>
  <c r="N424" i="4"/>
  <c r="L424" i="4"/>
  <c r="M424" i="4" s="1"/>
  <c r="V423" i="4"/>
  <c r="Q423" i="4"/>
  <c r="G424" i="10" s="1"/>
  <c r="O423" i="4"/>
  <c r="P423" i="4" s="1"/>
  <c r="N423" i="4"/>
  <c r="M423" i="4"/>
  <c r="L423" i="4"/>
  <c r="V422" i="4"/>
  <c r="P422" i="4"/>
  <c r="O422" i="4"/>
  <c r="Q422" i="4" s="1"/>
  <c r="G423" i="10" s="1"/>
  <c r="N422" i="4"/>
  <c r="L422" i="4"/>
  <c r="M422" i="4" s="1"/>
  <c r="V421" i="4"/>
  <c r="O421" i="4"/>
  <c r="Q421" i="4" s="1"/>
  <c r="G422" i="10" s="1"/>
  <c r="N421" i="4"/>
  <c r="M421" i="4"/>
  <c r="L421" i="4"/>
  <c r="V420" i="4"/>
  <c r="Q420" i="4"/>
  <c r="G421" i="10" s="1"/>
  <c r="P420" i="4"/>
  <c r="O420" i="4"/>
  <c r="N420" i="4"/>
  <c r="L420" i="4"/>
  <c r="M420" i="4" s="1"/>
  <c r="V419" i="4"/>
  <c r="Q419" i="4"/>
  <c r="G420" i="10" s="1"/>
  <c r="O419" i="4"/>
  <c r="P419" i="4" s="1"/>
  <c r="N419" i="4"/>
  <c r="M419" i="4"/>
  <c r="L419" i="4"/>
  <c r="V418" i="4"/>
  <c r="P418" i="4"/>
  <c r="O418" i="4"/>
  <c r="Q418" i="4" s="1"/>
  <c r="G419" i="10" s="1"/>
  <c r="N418" i="4"/>
  <c r="L418" i="4"/>
  <c r="M418" i="4" s="1"/>
  <c r="V417" i="4"/>
  <c r="O417" i="4"/>
  <c r="Q417" i="4" s="1"/>
  <c r="G418" i="10" s="1"/>
  <c r="N417" i="4"/>
  <c r="M417" i="4"/>
  <c r="L417" i="4"/>
  <c r="V416" i="4"/>
  <c r="Q416" i="4"/>
  <c r="G417" i="10" s="1"/>
  <c r="P416" i="4"/>
  <c r="O416" i="4"/>
  <c r="N416" i="4"/>
  <c r="L416" i="4"/>
  <c r="M416" i="4" s="1"/>
  <c r="V415" i="4"/>
  <c r="Q415" i="4"/>
  <c r="G416" i="10" s="1"/>
  <c r="O415" i="4"/>
  <c r="P415" i="4" s="1"/>
  <c r="N415" i="4"/>
  <c r="M415" i="4"/>
  <c r="L415" i="4"/>
  <c r="V414" i="4"/>
  <c r="P414" i="4"/>
  <c r="O414" i="4"/>
  <c r="Q414" i="4" s="1"/>
  <c r="G415" i="10" s="1"/>
  <c r="N414" i="4"/>
  <c r="L414" i="4"/>
  <c r="M414" i="4" s="1"/>
  <c r="V413" i="4"/>
  <c r="O413" i="4"/>
  <c r="Q413" i="4" s="1"/>
  <c r="G414" i="10" s="1"/>
  <c r="N413" i="4"/>
  <c r="M413" i="4"/>
  <c r="L413" i="4"/>
  <c r="V412" i="4"/>
  <c r="Q412" i="4"/>
  <c r="G413" i="10" s="1"/>
  <c r="P412" i="4"/>
  <c r="O412" i="4"/>
  <c r="N412" i="4"/>
  <c r="L412" i="4"/>
  <c r="M412" i="4" s="1"/>
  <c r="V411" i="4"/>
  <c r="Q411" i="4"/>
  <c r="G412" i="10" s="1"/>
  <c r="O411" i="4"/>
  <c r="P411" i="4" s="1"/>
  <c r="N411" i="4"/>
  <c r="M411" i="4"/>
  <c r="L411" i="4"/>
  <c r="V410" i="4"/>
  <c r="P410" i="4"/>
  <c r="O410" i="4"/>
  <c r="Q410" i="4" s="1"/>
  <c r="G411" i="10" s="1"/>
  <c r="N410" i="4"/>
  <c r="L410" i="4"/>
  <c r="M410" i="4" s="1"/>
  <c r="V409" i="4"/>
  <c r="O409" i="4"/>
  <c r="Q409" i="4" s="1"/>
  <c r="G410" i="10" s="1"/>
  <c r="N409" i="4"/>
  <c r="M409" i="4"/>
  <c r="L409" i="4"/>
  <c r="V408" i="4"/>
  <c r="Q408" i="4"/>
  <c r="G409" i="10" s="1"/>
  <c r="P408" i="4"/>
  <c r="O408" i="4"/>
  <c r="N408" i="4"/>
  <c r="L408" i="4"/>
  <c r="M408" i="4" s="1"/>
  <c r="V407" i="4"/>
  <c r="Q407" i="4"/>
  <c r="G408" i="10" s="1"/>
  <c r="O407" i="4"/>
  <c r="P407" i="4" s="1"/>
  <c r="N407" i="4"/>
  <c r="M407" i="4"/>
  <c r="L407" i="4"/>
  <c r="V406" i="4"/>
  <c r="P406" i="4"/>
  <c r="O406" i="4"/>
  <c r="N406" i="4"/>
  <c r="Q406" i="4" s="1"/>
  <c r="G407" i="10" s="1"/>
  <c r="L406" i="4"/>
  <c r="M406" i="4" s="1"/>
  <c r="V405" i="4"/>
  <c r="Q405" i="4"/>
  <c r="G406" i="10" s="1"/>
  <c r="O405" i="4"/>
  <c r="P405" i="4" s="1"/>
  <c r="L405" i="4" s="1"/>
  <c r="M405" i="4" s="1"/>
  <c r="N405" i="4"/>
  <c r="V404" i="4"/>
  <c r="P404" i="4"/>
  <c r="O404" i="4"/>
  <c r="N404" i="4"/>
  <c r="Q404" i="4" s="1"/>
  <c r="G405" i="10" s="1"/>
  <c r="L404" i="4"/>
  <c r="M404" i="4" s="1"/>
  <c r="V403" i="4"/>
  <c r="Q403" i="4"/>
  <c r="G404" i="10" s="1"/>
  <c r="O403" i="4"/>
  <c r="P403" i="4" s="1"/>
  <c r="L403" i="4" s="1"/>
  <c r="M403" i="4" s="1"/>
  <c r="N403" i="4"/>
  <c r="V402" i="4"/>
  <c r="P402" i="4"/>
  <c r="O402" i="4"/>
  <c r="N402" i="4"/>
  <c r="Q402" i="4" s="1"/>
  <c r="G403" i="10" s="1"/>
  <c r="L402" i="4"/>
  <c r="M402" i="4" s="1"/>
  <c r="V401" i="4"/>
  <c r="Q401" i="4"/>
  <c r="G402" i="10" s="1"/>
  <c r="O401" i="4"/>
  <c r="P401" i="4" s="1"/>
  <c r="L401" i="4" s="1"/>
  <c r="M401" i="4" s="1"/>
  <c r="N401" i="4"/>
  <c r="V400" i="4"/>
  <c r="P400" i="4"/>
  <c r="O400" i="4"/>
  <c r="N400" i="4"/>
  <c r="Q400" i="4" s="1"/>
  <c r="G401" i="10" s="1"/>
  <c r="L400" i="4"/>
  <c r="M400" i="4" s="1"/>
  <c r="V399" i="4"/>
  <c r="Q399" i="4"/>
  <c r="G400" i="10" s="1"/>
  <c r="O399" i="4"/>
  <c r="P399" i="4" s="1"/>
  <c r="L399" i="4" s="1"/>
  <c r="M399" i="4" s="1"/>
  <c r="N399" i="4"/>
  <c r="V398" i="4"/>
  <c r="P398" i="4"/>
  <c r="O398" i="4"/>
  <c r="Q398" i="4" s="1"/>
  <c r="G399" i="10" s="1"/>
  <c r="N398" i="4"/>
  <c r="L398" i="4"/>
  <c r="M398" i="4" s="1"/>
  <c r="V397" i="4"/>
  <c r="O397" i="4"/>
  <c r="Q397" i="4" s="1"/>
  <c r="G398" i="10" s="1"/>
  <c r="N397" i="4"/>
  <c r="M397" i="4"/>
  <c r="L397" i="4"/>
  <c r="V396" i="4"/>
  <c r="Q396" i="4"/>
  <c r="G397" i="10" s="1"/>
  <c r="P396" i="4"/>
  <c r="O396" i="4"/>
  <c r="N396" i="4"/>
  <c r="L396" i="4"/>
  <c r="M396" i="4" s="1"/>
  <c r="V395" i="4"/>
  <c r="Q395" i="4"/>
  <c r="G396" i="10" s="1"/>
  <c r="O395" i="4"/>
  <c r="P395" i="4" s="1"/>
  <c r="L395" i="4" s="1"/>
  <c r="M395" i="4" s="1"/>
  <c r="N395" i="4"/>
  <c r="V394" i="4"/>
  <c r="P394" i="4"/>
  <c r="O394" i="4"/>
  <c r="Q394" i="4" s="1"/>
  <c r="G395" i="10" s="1"/>
  <c r="N394" i="4"/>
  <c r="L394" i="4"/>
  <c r="M394" i="4" s="1"/>
  <c r="V393" i="4"/>
  <c r="O393" i="4"/>
  <c r="Q393" i="4" s="1"/>
  <c r="G394" i="10" s="1"/>
  <c r="N393" i="4"/>
  <c r="M393" i="4"/>
  <c r="L393" i="4"/>
  <c r="V392" i="4"/>
  <c r="Q392" i="4"/>
  <c r="G393" i="10" s="1"/>
  <c r="P392" i="4"/>
  <c r="O392" i="4"/>
  <c r="N392" i="4"/>
  <c r="L392" i="4"/>
  <c r="M392" i="4" s="1"/>
  <c r="V391" i="4"/>
  <c r="Q391" i="4"/>
  <c r="G392" i="10" s="1"/>
  <c r="O391" i="4"/>
  <c r="P391" i="4" s="1"/>
  <c r="N391" i="4"/>
  <c r="M391" i="4"/>
  <c r="L391" i="4"/>
  <c r="V390" i="4"/>
  <c r="P390" i="4"/>
  <c r="O390" i="4"/>
  <c r="Q390" i="4" s="1"/>
  <c r="G391" i="10" s="1"/>
  <c r="N390" i="4"/>
  <c r="L390" i="4"/>
  <c r="M390" i="4" s="1"/>
  <c r="V389" i="4"/>
  <c r="O389" i="4"/>
  <c r="Q389" i="4" s="1"/>
  <c r="G390" i="10" s="1"/>
  <c r="N389" i="4"/>
  <c r="M389" i="4"/>
  <c r="L389" i="4"/>
  <c r="V388" i="4"/>
  <c r="Q388" i="4"/>
  <c r="G389" i="10" s="1"/>
  <c r="P388" i="4"/>
  <c r="O388" i="4"/>
  <c r="N388" i="4"/>
  <c r="L388" i="4"/>
  <c r="M388" i="4" s="1"/>
  <c r="V387" i="4"/>
  <c r="Q387" i="4"/>
  <c r="G388" i="10" s="1"/>
  <c r="O387" i="4"/>
  <c r="P387" i="4" s="1"/>
  <c r="N387" i="4"/>
  <c r="M387" i="4"/>
  <c r="L387" i="4"/>
  <c r="V386" i="4"/>
  <c r="P386" i="4"/>
  <c r="O386" i="4"/>
  <c r="Q386" i="4" s="1"/>
  <c r="G387" i="10" s="1"/>
  <c r="N386" i="4"/>
  <c r="L386" i="4"/>
  <c r="M386" i="4" s="1"/>
  <c r="V385" i="4"/>
  <c r="O385" i="4"/>
  <c r="Q385" i="4" s="1"/>
  <c r="G386" i="10" s="1"/>
  <c r="N385" i="4"/>
  <c r="M385" i="4"/>
  <c r="L385" i="4"/>
  <c r="V384" i="4"/>
  <c r="Q384" i="4"/>
  <c r="G385" i="10" s="1"/>
  <c r="P384" i="4"/>
  <c r="O384" i="4"/>
  <c r="N384" i="4"/>
  <c r="L384" i="4"/>
  <c r="M384" i="4" s="1"/>
  <c r="V383" i="4"/>
  <c r="Q383" i="4"/>
  <c r="G384" i="10" s="1"/>
  <c r="O383" i="4"/>
  <c r="P383" i="4" s="1"/>
  <c r="N383" i="4"/>
  <c r="M383" i="4"/>
  <c r="L383" i="4"/>
  <c r="V382" i="4"/>
  <c r="P382" i="4"/>
  <c r="O382" i="4"/>
  <c r="Q382" i="4" s="1"/>
  <c r="G383" i="10" s="1"/>
  <c r="N382" i="4"/>
  <c r="L382" i="4"/>
  <c r="M382" i="4" s="1"/>
  <c r="V381" i="4"/>
  <c r="O381" i="4"/>
  <c r="Q381" i="4" s="1"/>
  <c r="G382" i="10" s="1"/>
  <c r="N381" i="4"/>
  <c r="V380" i="4"/>
  <c r="Q380" i="4"/>
  <c r="G381" i="10" s="1"/>
  <c r="P380" i="4"/>
  <c r="O380" i="4"/>
  <c r="N380" i="4"/>
  <c r="L380" i="4"/>
  <c r="M380" i="4" s="1"/>
  <c r="V379" i="4"/>
  <c r="Q379" i="4"/>
  <c r="G380" i="10" s="1"/>
  <c r="O379" i="4"/>
  <c r="P379" i="4" s="1"/>
  <c r="N379" i="4"/>
  <c r="M379" i="4"/>
  <c r="L379" i="4"/>
  <c r="V378" i="4"/>
  <c r="P378" i="4"/>
  <c r="O378" i="4"/>
  <c r="Q378" i="4" s="1"/>
  <c r="G379" i="10" s="1"/>
  <c r="N378" i="4"/>
  <c r="L378" i="4"/>
  <c r="M378" i="4" s="1"/>
  <c r="V377" i="4"/>
  <c r="O377" i="4"/>
  <c r="Q377" i="4" s="1"/>
  <c r="G378" i="10" s="1"/>
  <c r="N377" i="4"/>
  <c r="M377" i="4"/>
  <c r="L377" i="4"/>
  <c r="V376" i="4"/>
  <c r="Q376" i="4"/>
  <c r="G377" i="10" s="1"/>
  <c r="P376" i="4"/>
  <c r="O376" i="4"/>
  <c r="N376" i="4"/>
  <c r="L376" i="4"/>
  <c r="M376" i="4" s="1"/>
  <c r="V375" i="4"/>
  <c r="Q375" i="4"/>
  <c r="G376" i="10" s="1"/>
  <c r="O375" i="4"/>
  <c r="P375" i="4" s="1"/>
  <c r="N375" i="4"/>
  <c r="M375" i="4"/>
  <c r="L375" i="4"/>
  <c r="V374" i="4"/>
  <c r="P374" i="4"/>
  <c r="O374" i="4"/>
  <c r="Q374" i="4" s="1"/>
  <c r="G375" i="10" s="1"/>
  <c r="N374" i="4"/>
  <c r="L374" i="4"/>
  <c r="M374" i="4" s="1"/>
  <c r="V373" i="4"/>
  <c r="O373" i="4"/>
  <c r="Q373" i="4" s="1"/>
  <c r="G374" i="10" s="1"/>
  <c r="N373" i="4"/>
  <c r="M373" i="4"/>
  <c r="L373" i="4"/>
  <c r="V372" i="4"/>
  <c r="Q372" i="4"/>
  <c r="G373" i="10" s="1"/>
  <c r="P372" i="4"/>
  <c r="O372" i="4"/>
  <c r="N372" i="4"/>
  <c r="L372" i="4"/>
  <c r="M372" i="4" s="1"/>
  <c r="V371" i="4"/>
  <c r="Q371" i="4"/>
  <c r="G372" i="10" s="1"/>
  <c r="O371" i="4"/>
  <c r="P371" i="4" s="1"/>
  <c r="N371" i="4"/>
  <c r="M371" i="4"/>
  <c r="L371" i="4"/>
  <c r="V370" i="4"/>
  <c r="P370" i="4"/>
  <c r="O370" i="4"/>
  <c r="Q370" i="4" s="1"/>
  <c r="G371" i="10" s="1"/>
  <c r="N370" i="4"/>
  <c r="L370" i="4"/>
  <c r="M370" i="4" s="1"/>
  <c r="V369" i="4"/>
  <c r="O369" i="4"/>
  <c r="Q369" i="4" s="1"/>
  <c r="G370" i="10" s="1"/>
  <c r="N369" i="4"/>
  <c r="M369" i="4"/>
  <c r="L369" i="4"/>
  <c r="V368" i="4"/>
  <c r="Q368" i="4"/>
  <c r="G369" i="10" s="1"/>
  <c r="P368" i="4"/>
  <c r="O368" i="4"/>
  <c r="N368" i="4"/>
  <c r="L368" i="4"/>
  <c r="M368" i="4" s="1"/>
  <c r="V367" i="4"/>
  <c r="Q367" i="4"/>
  <c r="G368" i="10" s="1"/>
  <c r="O367" i="4"/>
  <c r="P367" i="4" s="1"/>
  <c r="N367" i="4"/>
  <c r="M367" i="4"/>
  <c r="L367" i="4"/>
  <c r="V366" i="4"/>
  <c r="Q366" i="4"/>
  <c r="G367" i="10" s="1"/>
  <c r="P366" i="4"/>
  <c r="O366" i="4"/>
  <c r="U366" i="4" s="1"/>
  <c r="N366" i="4"/>
  <c r="T366" i="4" s="1"/>
  <c r="L366" i="4"/>
  <c r="M366" i="4" s="1"/>
  <c r="V365" i="4"/>
  <c r="Q365" i="4"/>
  <c r="G366" i="10" s="1"/>
  <c r="O365" i="4"/>
  <c r="P365" i="4" s="1"/>
  <c r="N365" i="4"/>
  <c r="M365" i="4"/>
  <c r="L365" i="4"/>
  <c r="V364" i="4"/>
  <c r="P364" i="4"/>
  <c r="O364" i="4"/>
  <c r="Q364" i="4" s="1"/>
  <c r="G365" i="10" s="1"/>
  <c r="N364" i="4"/>
  <c r="L364" i="4"/>
  <c r="M364" i="4" s="1"/>
  <c r="V363" i="4"/>
  <c r="O363" i="4"/>
  <c r="Q363" i="4" s="1"/>
  <c r="G364" i="10" s="1"/>
  <c r="N363" i="4"/>
  <c r="M363" i="4"/>
  <c r="L363" i="4"/>
  <c r="V362" i="4"/>
  <c r="Q362" i="4"/>
  <c r="G363" i="10" s="1"/>
  <c r="P362" i="4"/>
  <c r="O362" i="4"/>
  <c r="N362" i="4"/>
  <c r="L362" i="4"/>
  <c r="M362" i="4" s="1"/>
  <c r="V361" i="4"/>
  <c r="Q361" i="4"/>
  <c r="G362" i="10" s="1"/>
  <c r="O361" i="4"/>
  <c r="P361" i="4" s="1"/>
  <c r="N361" i="4"/>
  <c r="M361" i="4"/>
  <c r="L361" i="4"/>
  <c r="V360" i="4"/>
  <c r="P360" i="4"/>
  <c r="O360" i="4"/>
  <c r="Q360" i="4" s="1"/>
  <c r="G361" i="10" s="1"/>
  <c r="N360" i="4"/>
  <c r="L360" i="4"/>
  <c r="M360" i="4" s="1"/>
  <c r="V359" i="4"/>
  <c r="O359" i="4"/>
  <c r="Q359" i="4" s="1"/>
  <c r="G360" i="10" s="1"/>
  <c r="N359" i="4"/>
  <c r="M359" i="4"/>
  <c r="L359" i="4"/>
  <c r="V358" i="4"/>
  <c r="Q358" i="4"/>
  <c r="G359" i="10" s="1"/>
  <c r="P358" i="4"/>
  <c r="O358" i="4"/>
  <c r="N358" i="4"/>
  <c r="L358" i="4"/>
  <c r="M358" i="4" s="1"/>
  <c r="V357" i="4"/>
  <c r="Q357" i="4"/>
  <c r="G358" i="10" s="1"/>
  <c r="O357" i="4"/>
  <c r="P357" i="4" s="1"/>
  <c r="N357" i="4"/>
  <c r="M357" i="4"/>
  <c r="L357" i="4"/>
  <c r="V356" i="4"/>
  <c r="P356" i="4"/>
  <c r="O356" i="4"/>
  <c r="Q356" i="4" s="1"/>
  <c r="G357" i="10" s="1"/>
  <c r="N356" i="4"/>
  <c r="L356" i="4"/>
  <c r="M356" i="4" s="1"/>
  <c r="V355" i="4"/>
  <c r="O355" i="4"/>
  <c r="Q355" i="4" s="1"/>
  <c r="G356" i="10" s="1"/>
  <c r="N355" i="4"/>
  <c r="M355" i="4"/>
  <c r="L355" i="4"/>
  <c r="V354" i="4"/>
  <c r="Q354" i="4"/>
  <c r="G355" i="10" s="1"/>
  <c r="P354" i="4"/>
  <c r="O354" i="4"/>
  <c r="N354" i="4"/>
  <c r="L354" i="4"/>
  <c r="M354" i="4" s="1"/>
  <c r="V353" i="4"/>
  <c r="Q353" i="4"/>
  <c r="G354" i="10" s="1"/>
  <c r="O353" i="4"/>
  <c r="P353" i="4" s="1"/>
  <c r="N353" i="4"/>
  <c r="M353" i="4"/>
  <c r="L353" i="4"/>
  <c r="V352" i="4"/>
  <c r="P352" i="4"/>
  <c r="O352" i="4"/>
  <c r="Q352" i="4" s="1"/>
  <c r="G353" i="10" s="1"/>
  <c r="N352" i="4"/>
  <c r="L352" i="4"/>
  <c r="M352" i="4" s="1"/>
  <c r="V351" i="4"/>
  <c r="O351" i="4"/>
  <c r="Q351" i="4" s="1"/>
  <c r="G352" i="10" s="1"/>
  <c r="N351" i="4"/>
  <c r="M351" i="4"/>
  <c r="L351" i="4"/>
  <c r="V350" i="4"/>
  <c r="Q350" i="4"/>
  <c r="G351" i="10" s="1"/>
  <c r="P350" i="4"/>
  <c r="O350" i="4"/>
  <c r="N350" i="4"/>
  <c r="L350" i="4"/>
  <c r="M350" i="4" s="1"/>
  <c r="V349" i="4"/>
  <c r="Q349" i="4"/>
  <c r="G350" i="10" s="1"/>
  <c r="O349" i="4"/>
  <c r="P349" i="4" s="1"/>
  <c r="N349" i="4"/>
  <c r="M349" i="4"/>
  <c r="L349" i="4"/>
  <c r="V348" i="4"/>
  <c r="P348" i="4"/>
  <c r="O348" i="4"/>
  <c r="Q348" i="4" s="1"/>
  <c r="G349" i="10" s="1"/>
  <c r="N348" i="4"/>
  <c r="L348" i="4"/>
  <c r="M348" i="4" s="1"/>
  <c r="V347" i="4"/>
  <c r="O347" i="4"/>
  <c r="Q347" i="4" s="1"/>
  <c r="G348" i="10" s="1"/>
  <c r="N347" i="4"/>
  <c r="M347" i="4"/>
  <c r="L347" i="4"/>
  <c r="V346" i="4"/>
  <c r="Q346" i="4"/>
  <c r="G347" i="10" s="1"/>
  <c r="P346" i="4"/>
  <c r="O346" i="4"/>
  <c r="N346" i="4"/>
  <c r="L346" i="4"/>
  <c r="M346" i="4" s="1"/>
  <c r="V345" i="4"/>
  <c r="Q345" i="4"/>
  <c r="G346" i="10" s="1"/>
  <c r="O345" i="4"/>
  <c r="P345" i="4" s="1"/>
  <c r="N345" i="4"/>
  <c r="M345" i="4"/>
  <c r="L345" i="4"/>
  <c r="V344" i="4"/>
  <c r="P344" i="4"/>
  <c r="O344" i="4"/>
  <c r="Q344" i="4" s="1"/>
  <c r="G345" i="10" s="1"/>
  <c r="N344" i="4"/>
  <c r="L344" i="4"/>
  <c r="M344" i="4" s="1"/>
  <c r="V343" i="4"/>
  <c r="O343" i="4"/>
  <c r="Q343" i="4" s="1"/>
  <c r="G344" i="10" s="1"/>
  <c r="N343" i="4"/>
  <c r="V342" i="4"/>
  <c r="Q342" i="4"/>
  <c r="G343" i="10" s="1"/>
  <c r="P342" i="4"/>
  <c r="O342" i="4"/>
  <c r="N342" i="4"/>
  <c r="L342" i="4"/>
  <c r="M342" i="4" s="1"/>
  <c r="V341" i="4"/>
  <c r="Q341" i="4"/>
  <c r="G342" i="10" s="1"/>
  <c r="O341" i="4"/>
  <c r="P341" i="4" s="1"/>
  <c r="N341" i="4"/>
  <c r="M341" i="4"/>
  <c r="L341" i="4"/>
  <c r="V340" i="4"/>
  <c r="P340" i="4"/>
  <c r="O340" i="4"/>
  <c r="Q340" i="4" s="1"/>
  <c r="G341" i="10" s="1"/>
  <c r="N340" i="4"/>
  <c r="L340" i="4"/>
  <c r="M340" i="4" s="1"/>
  <c r="V339" i="4"/>
  <c r="O339" i="4"/>
  <c r="Q339" i="4" s="1"/>
  <c r="G340" i="10" s="1"/>
  <c r="N339" i="4"/>
  <c r="M339" i="4"/>
  <c r="L339" i="4"/>
  <c r="V338" i="4"/>
  <c r="Q338" i="4"/>
  <c r="G339" i="10" s="1"/>
  <c r="P338" i="4"/>
  <c r="O338" i="4"/>
  <c r="N338" i="4"/>
  <c r="L338" i="4"/>
  <c r="M338" i="4" s="1"/>
  <c r="V337" i="4"/>
  <c r="Q337" i="4"/>
  <c r="G338" i="10" s="1"/>
  <c r="O337" i="4"/>
  <c r="P337" i="4" s="1"/>
  <c r="N337" i="4"/>
  <c r="M337" i="4"/>
  <c r="L337" i="4"/>
  <c r="V336" i="4"/>
  <c r="P336" i="4"/>
  <c r="O336" i="4"/>
  <c r="Q336" i="4" s="1"/>
  <c r="G337" i="10" s="1"/>
  <c r="N336" i="4"/>
  <c r="L336" i="4"/>
  <c r="M336" i="4" s="1"/>
  <c r="V335" i="4"/>
  <c r="O335" i="4"/>
  <c r="Q335" i="4" s="1"/>
  <c r="G336" i="10" s="1"/>
  <c r="N335" i="4"/>
  <c r="M335" i="4"/>
  <c r="L335" i="4"/>
  <c r="V334" i="4"/>
  <c r="Q334" i="4"/>
  <c r="G335" i="10" s="1"/>
  <c r="P334" i="4"/>
  <c r="O334" i="4"/>
  <c r="N334" i="4"/>
  <c r="L334" i="4"/>
  <c r="M334" i="4" s="1"/>
  <c r="V333" i="4"/>
  <c r="Q333" i="4"/>
  <c r="G334" i="10" s="1"/>
  <c r="O333" i="4"/>
  <c r="P333" i="4" s="1"/>
  <c r="N333" i="4"/>
  <c r="M333" i="4"/>
  <c r="L333" i="4"/>
  <c r="V332" i="4"/>
  <c r="P332" i="4"/>
  <c r="O332" i="4"/>
  <c r="Q332" i="4" s="1"/>
  <c r="G333" i="10" s="1"/>
  <c r="N332" i="4"/>
  <c r="L332" i="4"/>
  <c r="M332" i="4" s="1"/>
  <c r="V331" i="4"/>
  <c r="O331" i="4"/>
  <c r="Q331" i="4" s="1"/>
  <c r="G332" i="10" s="1"/>
  <c r="N331" i="4"/>
  <c r="M331" i="4"/>
  <c r="L331" i="4"/>
  <c r="V330" i="4"/>
  <c r="Q330" i="4"/>
  <c r="G331" i="10" s="1"/>
  <c r="P330" i="4"/>
  <c r="O330" i="4"/>
  <c r="N330" i="4"/>
  <c r="L330" i="4"/>
  <c r="M330" i="4" s="1"/>
  <c r="V329" i="4"/>
  <c r="Q329" i="4"/>
  <c r="G330" i="10" s="1"/>
  <c r="O329" i="4"/>
  <c r="P329" i="4" s="1"/>
  <c r="N329" i="4"/>
  <c r="M329" i="4"/>
  <c r="L329" i="4"/>
  <c r="V328" i="4"/>
  <c r="P328" i="4"/>
  <c r="O328" i="4"/>
  <c r="Q328" i="4" s="1"/>
  <c r="G329" i="10" s="1"/>
  <c r="N328" i="4"/>
  <c r="L328" i="4"/>
  <c r="M328" i="4" s="1"/>
  <c r="V327" i="4"/>
  <c r="O327" i="4"/>
  <c r="Q327" i="4" s="1"/>
  <c r="G328" i="10" s="1"/>
  <c r="N327" i="4"/>
  <c r="M327" i="4"/>
  <c r="L327" i="4"/>
  <c r="V326" i="4"/>
  <c r="Q326" i="4"/>
  <c r="G327" i="10" s="1"/>
  <c r="P326" i="4"/>
  <c r="O326" i="4"/>
  <c r="N326" i="4"/>
  <c r="L326" i="4"/>
  <c r="M326" i="4" s="1"/>
  <c r="V325" i="4"/>
  <c r="Q325" i="4"/>
  <c r="G326" i="10" s="1"/>
  <c r="O325" i="4"/>
  <c r="P325" i="4" s="1"/>
  <c r="N325" i="4"/>
  <c r="M325" i="4"/>
  <c r="L325" i="4"/>
  <c r="V324" i="4"/>
  <c r="P324" i="4"/>
  <c r="O324" i="4"/>
  <c r="Q324" i="4" s="1"/>
  <c r="G325" i="10" s="1"/>
  <c r="N324" i="4"/>
  <c r="L324" i="4"/>
  <c r="M324" i="4" s="1"/>
  <c r="V323" i="4"/>
  <c r="O323" i="4"/>
  <c r="Q323" i="4" s="1"/>
  <c r="G324" i="10" s="1"/>
  <c r="N323" i="4"/>
  <c r="M323" i="4"/>
  <c r="L323" i="4"/>
  <c r="V322" i="4"/>
  <c r="Q322" i="4"/>
  <c r="G323" i="10" s="1"/>
  <c r="P322" i="4"/>
  <c r="O322" i="4"/>
  <c r="N322" i="4"/>
  <c r="L322" i="4"/>
  <c r="M322" i="4" s="1"/>
  <c r="V321" i="4"/>
  <c r="Q321" i="4"/>
  <c r="G322" i="10" s="1"/>
  <c r="O321" i="4"/>
  <c r="P321" i="4" s="1"/>
  <c r="N321" i="4"/>
  <c r="M321" i="4"/>
  <c r="L321" i="4"/>
  <c r="V320" i="4"/>
  <c r="P320" i="4"/>
  <c r="O320" i="4"/>
  <c r="Q320" i="4" s="1"/>
  <c r="G321" i="10" s="1"/>
  <c r="N320" i="4"/>
  <c r="L320" i="4"/>
  <c r="M320" i="4" s="1"/>
  <c r="V319" i="4"/>
  <c r="U319" i="4"/>
  <c r="Q319" i="4"/>
  <c r="G320" i="10" s="1"/>
  <c r="O319" i="4"/>
  <c r="P319" i="4" s="1"/>
  <c r="L319" i="4" s="1"/>
  <c r="M319" i="4" s="1"/>
  <c r="N319" i="4"/>
  <c r="V318" i="4"/>
  <c r="P318" i="4"/>
  <c r="O318" i="4"/>
  <c r="Q318" i="4" s="1"/>
  <c r="G319" i="10" s="1"/>
  <c r="N318" i="4"/>
  <c r="L318" i="4"/>
  <c r="M318" i="4" s="1"/>
  <c r="V317" i="4"/>
  <c r="O317" i="4"/>
  <c r="Q317" i="4" s="1"/>
  <c r="G318" i="10" s="1"/>
  <c r="N317" i="4"/>
  <c r="M317" i="4"/>
  <c r="L317" i="4"/>
  <c r="V316" i="4"/>
  <c r="Q316" i="4"/>
  <c r="G317" i="10" s="1"/>
  <c r="P316" i="4"/>
  <c r="O316" i="4"/>
  <c r="N316" i="4"/>
  <c r="L316" i="4"/>
  <c r="M316" i="4" s="1"/>
  <c r="V315" i="4"/>
  <c r="Q315" i="4"/>
  <c r="G316" i="10" s="1"/>
  <c r="O315" i="4"/>
  <c r="P315" i="4" s="1"/>
  <c r="L315" i="4" s="1"/>
  <c r="M315" i="4" s="1"/>
  <c r="N315" i="4"/>
  <c r="V314" i="4"/>
  <c r="P314" i="4"/>
  <c r="O314" i="4"/>
  <c r="Q314" i="4" s="1"/>
  <c r="G315" i="10" s="1"/>
  <c r="N314" i="4"/>
  <c r="L314" i="4"/>
  <c r="M314" i="4" s="1"/>
  <c r="V313" i="4"/>
  <c r="O313" i="4"/>
  <c r="Q313" i="4" s="1"/>
  <c r="G314" i="10" s="1"/>
  <c r="N313" i="4"/>
  <c r="M313" i="4"/>
  <c r="L313" i="4"/>
  <c r="V312" i="4"/>
  <c r="Q312" i="4"/>
  <c r="G313" i="10" s="1"/>
  <c r="P312" i="4"/>
  <c r="O312" i="4"/>
  <c r="N312" i="4"/>
  <c r="L312" i="4"/>
  <c r="M312" i="4" s="1"/>
  <c r="V311" i="4"/>
  <c r="Q311" i="4"/>
  <c r="G312" i="10" s="1"/>
  <c r="O311" i="4"/>
  <c r="P311" i="4" s="1"/>
  <c r="N311" i="4"/>
  <c r="M311" i="4"/>
  <c r="L311" i="4"/>
  <c r="V310" i="4"/>
  <c r="P310" i="4"/>
  <c r="O310" i="4"/>
  <c r="Q310" i="4" s="1"/>
  <c r="G311" i="10" s="1"/>
  <c r="N310" i="4"/>
  <c r="L310" i="4"/>
  <c r="M310" i="4" s="1"/>
  <c r="V309" i="4"/>
  <c r="O309" i="4"/>
  <c r="Q309" i="4" s="1"/>
  <c r="G310" i="10" s="1"/>
  <c r="N309" i="4"/>
  <c r="M309" i="4"/>
  <c r="L309" i="4"/>
  <c r="V308" i="4"/>
  <c r="Q308" i="4"/>
  <c r="G309" i="10" s="1"/>
  <c r="P308" i="4"/>
  <c r="O308" i="4"/>
  <c r="N308" i="4"/>
  <c r="L308" i="4"/>
  <c r="M308" i="4" s="1"/>
  <c r="V307" i="4"/>
  <c r="Q307" i="4"/>
  <c r="G308" i="10" s="1"/>
  <c r="O307" i="4"/>
  <c r="P307" i="4" s="1"/>
  <c r="N307" i="4"/>
  <c r="M307" i="4"/>
  <c r="L307" i="4"/>
  <c r="V306" i="4"/>
  <c r="P306" i="4"/>
  <c r="O306" i="4"/>
  <c r="Q306" i="4" s="1"/>
  <c r="G307" i="10" s="1"/>
  <c r="N306" i="4"/>
  <c r="L306" i="4"/>
  <c r="M306" i="4" s="1"/>
  <c r="V305" i="4"/>
  <c r="O305" i="4"/>
  <c r="Q305" i="4" s="1"/>
  <c r="G306" i="10" s="1"/>
  <c r="N305" i="4"/>
  <c r="M305" i="4"/>
  <c r="L305" i="4"/>
  <c r="V304" i="4"/>
  <c r="T304" i="4"/>
  <c r="P304" i="4"/>
  <c r="O304" i="4"/>
  <c r="Q304" i="4" s="1"/>
  <c r="G305" i="10" s="1"/>
  <c r="N304" i="4"/>
  <c r="U304" i="4" s="1"/>
  <c r="L304" i="4"/>
  <c r="M304" i="4" s="1"/>
  <c r="V303" i="4"/>
  <c r="U303" i="4"/>
  <c r="Q303" i="4"/>
  <c r="G304" i="10" s="1"/>
  <c r="O303" i="4"/>
  <c r="P303" i="4" s="1"/>
  <c r="L303" i="4" s="1"/>
  <c r="M303" i="4" s="1"/>
  <c r="N303" i="4"/>
  <c r="V302" i="4"/>
  <c r="P302" i="4"/>
  <c r="O302" i="4"/>
  <c r="Q302" i="4" s="1"/>
  <c r="G303" i="10" s="1"/>
  <c r="N302" i="4"/>
  <c r="L302" i="4"/>
  <c r="M302" i="4" s="1"/>
  <c r="V301" i="4"/>
  <c r="O301" i="4"/>
  <c r="Q301" i="4" s="1"/>
  <c r="G302" i="10" s="1"/>
  <c r="N301" i="4"/>
  <c r="M301" i="4"/>
  <c r="L301" i="4"/>
  <c r="V300" i="4"/>
  <c r="Q300" i="4"/>
  <c r="G301" i="10" s="1"/>
  <c r="P300" i="4"/>
  <c r="O300" i="4"/>
  <c r="N300" i="4"/>
  <c r="L300" i="4"/>
  <c r="M300" i="4" s="1"/>
  <c r="V299" i="4"/>
  <c r="Q299" i="4"/>
  <c r="G300" i="10" s="1"/>
  <c r="O299" i="4"/>
  <c r="P299" i="4" s="1"/>
  <c r="N299" i="4"/>
  <c r="M299" i="4"/>
  <c r="L299" i="4"/>
  <c r="V298" i="4"/>
  <c r="P298" i="4"/>
  <c r="O298" i="4"/>
  <c r="Q298" i="4" s="1"/>
  <c r="G299" i="10" s="1"/>
  <c r="N298" i="4"/>
  <c r="L298" i="4"/>
  <c r="M298" i="4" s="1"/>
  <c r="V297" i="4"/>
  <c r="O297" i="4"/>
  <c r="Q297" i="4" s="1"/>
  <c r="G298" i="10" s="1"/>
  <c r="N297" i="4"/>
  <c r="M297" i="4"/>
  <c r="L297" i="4"/>
  <c r="V296" i="4"/>
  <c r="Q296" i="4"/>
  <c r="G297" i="10" s="1"/>
  <c r="P296" i="4"/>
  <c r="O296" i="4"/>
  <c r="N296" i="4"/>
  <c r="L296" i="4"/>
  <c r="M296" i="4" s="1"/>
  <c r="V295" i="4"/>
  <c r="Q295" i="4"/>
  <c r="G296" i="10" s="1"/>
  <c r="O295" i="4"/>
  <c r="P295" i="4" s="1"/>
  <c r="N295" i="4"/>
  <c r="M295" i="4"/>
  <c r="L295" i="4"/>
  <c r="V294" i="4"/>
  <c r="P294" i="4"/>
  <c r="O294" i="4"/>
  <c r="Q294" i="4" s="1"/>
  <c r="G295" i="10" s="1"/>
  <c r="N294" i="4"/>
  <c r="L294" i="4"/>
  <c r="M294" i="4" s="1"/>
  <c r="V293" i="4"/>
  <c r="O293" i="4"/>
  <c r="Q293" i="4" s="1"/>
  <c r="G294" i="10" s="1"/>
  <c r="N293" i="4"/>
  <c r="M293" i="4"/>
  <c r="L293" i="4"/>
  <c r="V292" i="4"/>
  <c r="Q292" i="4"/>
  <c r="G293" i="10" s="1"/>
  <c r="P292" i="4"/>
  <c r="O292" i="4"/>
  <c r="N292" i="4"/>
  <c r="L292" i="4"/>
  <c r="M292" i="4" s="1"/>
  <c r="V291" i="4"/>
  <c r="Q291" i="4"/>
  <c r="G292" i="10" s="1"/>
  <c r="O291" i="4"/>
  <c r="P291" i="4" s="1"/>
  <c r="N291" i="4"/>
  <c r="M291" i="4"/>
  <c r="L291" i="4"/>
  <c r="V290" i="4"/>
  <c r="P290" i="4"/>
  <c r="O290" i="4"/>
  <c r="Q290" i="4" s="1"/>
  <c r="G291" i="10" s="1"/>
  <c r="N290" i="4"/>
  <c r="L290" i="4"/>
  <c r="M290" i="4" s="1"/>
  <c r="V289" i="4"/>
  <c r="O289" i="4"/>
  <c r="Q289" i="4" s="1"/>
  <c r="G290" i="10" s="1"/>
  <c r="N289" i="4"/>
  <c r="M289" i="4"/>
  <c r="L289" i="4"/>
  <c r="V288" i="4"/>
  <c r="Q288" i="4"/>
  <c r="G289" i="10" s="1"/>
  <c r="P288" i="4"/>
  <c r="O288" i="4"/>
  <c r="N288" i="4"/>
  <c r="L288" i="4"/>
  <c r="M288" i="4" s="1"/>
  <c r="V287" i="4"/>
  <c r="Q287" i="4"/>
  <c r="G288" i="10" s="1"/>
  <c r="O287" i="4"/>
  <c r="P287" i="4" s="1"/>
  <c r="N287" i="4"/>
  <c r="M287" i="4"/>
  <c r="L287" i="4"/>
  <c r="V286" i="4"/>
  <c r="P286" i="4"/>
  <c r="O286" i="4"/>
  <c r="Q286" i="4" s="1"/>
  <c r="G287" i="10" s="1"/>
  <c r="N286" i="4"/>
  <c r="L286" i="4"/>
  <c r="M286" i="4" s="1"/>
  <c r="V285" i="4"/>
  <c r="O285" i="4"/>
  <c r="Q285" i="4" s="1"/>
  <c r="G286" i="10" s="1"/>
  <c r="N285" i="4"/>
  <c r="M285" i="4"/>
  <c r="L285" i="4"/>
  <c r="V284" i="4"/>
  <c r="Q284" i="4"/>
  <c r="G285" i="10" s="1"/>
  <c r="P284" i="4"/>
  <c r="O284" i="4"/>
  <c r="N284" i="4"/>
  <c r="L284" i="4"/>
  <c r="M284" i="4" s="1"/>
  <c r="V283" i="4"/>
  <c r="Q283" i="4"/>
  <c r="G284" i="10" s="1"/>
  <c r="O283" i="4"/>
  <c r="P283" i="4" s="1"/>
  <c r="N283" i="4"/>
  <c r="M283" i="4"/>
  <c r="L283" i="4"/>
  <c r="V282" i="4"/>
  <c r="P282" i="4"/>
  <c r="O282" i="4"/>
  <c r="Q282" i="4" s="1"/>
  <c r="G283" i="10" s="1"/>
  <c r="N282" i="4"/>
  <c r="L282" i="4"/>
  <c r="M282" i="4" s="1"/>
  <c r="V281" i="4"/>
  <c r="O281" i="4"/>
  <c r="Q281" i="4" s="1"/>
  <c r="G282" i="10" s="1"/>
  <c r="N281" i="4"/>
  <c r="M281" i="4"/>
  <c r="L281" i="4"/>
  <c r="V280" i="4"/>
  <c r="Q280" i="4"/>
  <c r="G281" i="10" s="1"/>
  <c r="P280" i="4"/>
  <c r="O280" i="4"/>
  <c r="N280" i="4"/>
  <c r="L280" i="4"/>
  <c r="M280" i="4" s="1"/>
  <c r="V279" i="4"/>
  <c r="Q279" i="4"/>
  <c r="G280" i="10" s="1"/>
  <c r="O279" i="4"/>
  <c r="P279" i="4" s="1"/>
  <c r="N279" i="4"/>
  <c r="M279" i="4"/>
  <c r="L279" i="4"/>
  <c r="V278" i="4"/>
  <c r="P278" i="4"/>
  <c r="O278" i="4"/>
  <c r="Q278" i="4" s="1"/>
  <c r="G279" i="10" s="1"/>
  <c r="N278" i="4"/>
  <c r="L278" i="4"/>
  <c r="M278" i="4" s="1"/>
  <c r="V277" i="4"/>
  <c r="O277" i="4"/>
  <c r="Q277" i="4" s="1"/>
  <c r="G278" i="10" s="1"/>
  <c r="N277" i="4"/>
  <c r="M277" i="4"/>
  <c r="L277" i="4"/>
  <c r="V276" i="4"/>
  <c r="Q276" i="4"/>
  <c r="G277" i="10" s="1"/>
  <c r="P276" i="4"/>
  <c r="O276" i="4"/>
  <c r="N276" i="4"/>
  <c r="L276" i="4"/>
  <c r="M276" i="4" s="1"/>
  <c r="V275" i="4"/>
  <c r="Q275" i="4"/>
  <c r="G276" i="10" s="1"/>
  <c r="O275" i="4"/>
  <c r="P275" i="4" s="1"/>
  <c r="L275" i="4" s="1"/>
  <c r="M275" i="4" s="1"/>
  <c r="N275" i="4"/>
  <c r="V274" i="4"/>
  <c r="P274" i="4"/>
  <c r="O274" i="4"/>
  <c r="Q274" i="4" s="1"/>
  <c r="G275" i="10" s="1"/>
  <c r="N274" i="4"/>
  <c r="L274" i="4"/>
  <c r="M274" i="4" s="1"/>
  <c r="V273" i="4"/>
  <c r="O273" i="4"/>
  <c r="Q273" i="4" s="1"/>
  <c r="G274" i="10" s="1"/>
  <c r="N273" i="4"/>
  <c r="V272" i="4"/>
  <c r="Q272" i="4"/>
  <c r="G273" i="10" s="1"/>
  <c r="P272" i="4"/>
  <c r="O272" i="4"/>
  <c r="N272" i="4"/>
  <c r="L272" i="4"/>
  <c r="M272" i="4" s="1"/>
  <c r="V271" i="4"/>
  <c r="Q271" i="4"/>
  <c r="G272" i="10" s="1"/>
  <c r="O271" i="4"/>
  <c r="P271" i="4" s="1"/>
  <c r="N271" i="4"/>
  <c r="M271" i="4"/>
  <c r="L271" i="4"/>
  <c r="V270" i="4"/>
  <c r="P270" i="4"/>
  <c r="O270" i="4"/>
  <c r="Q270" i="4" s="1"/>
  <c r="G271" i="10" s="1"/>
  <c r="N270" i="4"/>
  <c r="L270" i="4"/>
  <c r="M270" i="4" s="1"/>
  <c r="V269" i="4"/>
  <c r="O269" i="4"/>
  <c r="Q269" i="4" s="1"/>
  <c r="G270" i="10" s="1"/>
  <c r="N269" i="4"/>
  <c r="M269" i="4"/>
  <c r="L269" i="4"/>
  <c r="V268" i="4"/>
  <c r="Q268" i="4"/>
  <c r="G269" i="10" s="1"/>
  <c r="P268" i="4"/>
  <c r="O268" i="4"/>
  <c r="N268" i="4"/>
  <c r="L268" i="4"/>
  <c r="M268" i="4" s="1"/>
  <c r="V267" i="4"/>
  <c r="Q267" i="4"/>
  <c r="G268" i="10" s="1"/>
  <c r="O267" i="4"/>
  <c r="P267" i="4" s="1"/>
  <c r="N267" i="4"/>
  <c r="M267" i="4"/>
  <c r="L267" i="4"/>
  <c r="V266" i="4"/>
  <c r="P266" i="4"/>
  <c r="O266" i="4"/>
  <c r="Q266" i="4" s="1"/>
  <c r="G267" i="10" s="1"/>
  <c r="N266" i="4"/>
  <c r="L266" i="4"/>
  <c r="M266" i="4" s="1"/>
  <c r="V265" i="4"/>
  <c r="O265" i="4"/>
  <c r="N265" i="4"/>
  <c r="M265" i="4"/>
  <c r="L265" i="4"/>
  <c r="V264" i="4"/>
  <c r="Q264" i="4"/>
  <c r="G265" i="10" s="1"/>
  <c r="P264" i="4"/>
  <c r="O264" i="4"/>
  <c r="N264" i="4"/>
  <c r="L264" i="4"/>
  <c r="M264" i="4" s="1"/>
  <c r="V263" i="4"/>
  <c r="Q263" i="4"/>
  <c r="G264" i="10" s="1"/>
  <c r="O263" i="4"/>
  <c r="P263" i="4" s="1"/>
  <c r="N263" i="4"/>
  <c r="M263" i="4"/>
  <c r="L263" i="4"/>
  <c r="V262" i="4"/>
  <c r="P262" i="4"/>
  <c r="O262" i="4"/>
  <c r="Q262" i="4" s="1"/>
  <c r="G263" i="10" s="1"/>
  <c r="N262" i="4"/>
  <c r="L262" i="4"/>
  <c r="M262" i="4" s="1"/>
  <c r="V261" i="4"/>
  <c r="O261" i="4"/>
  <c r="N261" i="4"/>
  <c r="M261" i="4"/>
  <c r="L261" i="4"/>
  <c r="V260" i="4"/>
  <c r="Q260" i="4"/>
  <c r="G261" i="10" s="1"/>
  <c r="P260" i="4"/>
  <c r="O260" i="4"/>
  <c r="N260" i="4"/>
  <c r="L260" i="4"/>
  <c r="M260" i="4" s="1"/>
  <c r="V259" i="4"/>
  <c r="Q259" i="4"/>
  <c r="G260" i="10" s="1"/>
  <c r="O259" i="4"/>
  <c r="P259" i="4" s="1"/>
  <c r="N259" i="4"/>
  <c r="M259" i="4"/>
  <c r="L259" i="4"/>
  <c r="V258" i="4"/>
  <c r="P258" i="4"/>
  <c r="O258" i="4"/>
  <c r="Q258" i="4" s="1"/>
  <c r="G259" i="10" s="1"/>
  <c r="N258" i="4"/>
  <c r="L258" i="4"/>
  <c r="M258" i="4" s="1"/>
  <c r="V257" i="4"/>
  <c r="O257" i="4"/>
  <c r="N257" i="4"/>
  <c r="M257" i="4"/>
  <c r="L257" i="4"/>
  <c r="V256" i="4"/>
  <c r="Q256" i="4"/>
  <c r="G257" i="10" s="1"/>
  <c r="P256" i="4"/>
  <c r="O256" i="4"/>
  <c r="N256" i="4"/>
  <c r="L256" i="4"/>
  <c r="M256" i="4" s="1"/>
  <c r="V255" i="4"/>
  <c r="Q255" i="4"/>
  <c r="G256" i="10" s="1"/>
  <c r="O255" i="4"/>
  <c r="P255" i="4" s="1"/>
  <c r="N255" i="4"/>
  <c r="M255" i="4"/>
  <c r="L255" i="4"/>
  <c r="V254" i="4"/>
  <c r="P254" i="4"/>
  <c r="O254" i="4"/>
  <c r="Q254" i="4" s="1"/>
  <c r="G255" i="10" s="1"/>
  <c r="N254" i="4"/>
  <c r="L254" i="4"/>
  <c r="M254" i="4" s="1"/>
  <c r="V253" i="4"/>
  <c r="O253" i="4"/>
  <c r="N253" i="4"/>
  <c r="V252" i="4"/>
  <c r="Q252" i="4"/>
  <c r="G253" i="10" s="1"/>
  <c r="P252" i="4"/>
  <c r="O252" i="4"/>
  <c r="N252" i="4"/>
  <c r="L252" i="4"/>
  <c r="M252" i="4" s="1"/>
  <c r="V251" i="4"/>
  <c r="Q251" i="4"/>
  <c r="G252" i="10" s="1"/>
  <c r="O251" i="4"/>
  <c r="P251" i="4" s="1"/>
  <c r="L251" i="4" s="1"/>
  <c r="N251" i="4"/>
  <c r="M251" i="4"/>
  <c r="V250" i="4"/>
  <c r="P250" i="4"/>
  <c r="O250" i="4"/>
  <c r="Q250" i="4" s="1"/>
  <c r="G251" i="10" s="1"/>
  <c r="N250" i="4"/>
  <c r="L250" i="4"/>
  <c r="M250" i="4" s="1"/>
  <c r="V249" i="4"/>
  <c r="O249" i="4"/>
  <c r="N249" i="4"/>
  <c r="M249" i="4"/>
  <c r="L249" i="4"/>
  <c r="V248" i="4"/>
  <c r="Q248" i="4"/>
  <c r="G249" i="10" s="1"/>
  <c r="P248" i="4"/>
  <c r="O248" i="4"/>
  <c r="N248" i="4"/>
  <c r="L248" i="4"/>
  <c r="M248" i="4" s="1"/>
  <c r="V247" i="4"/>
  <c r="Q247" i="4"/>
  <c r="G248" i="10" s="1"/>
  <c r="O247" i="4"/>
  <c r="P247" i="4" s="1"/>
  <c r="N247" i="4"/>
  <c r="M247" i="4"/>
  <c r="L247" i="4"/>
  <c r="V246" i="4"/>
  <c r="P246" i="4"/>
  <c r="O246" i="4"/>
  <c r="Q246" i="4" s="1"/>
  <c r="G247" i="10" s="1"/>
  <c r="N246" i="4"/>
  <c r="L246" i="4"/>
  <c r="M246" i="4" s="1"/>
  <c r="V245" i="4"/>
  <c r="O245" i="4"/>
  <c r="N245" i="4"/>
  <c r="M245" i="4"/>
  <c r="L245" i="4"/>
  <c r="V244" i="4"/>
  <c r="Q244" i="4"/>
  <c r="G245" i="10" s="1"/>
  <c r="P244" i="4"/>
  <c r="O244" i="4"/>
  <c r="N244" i="4"/>
  <c r="L244" i="4"/>
  <c r="M244" i="4" s="1"/>
  <c r="V243" i="4"/>
  <c r="Q243" i="4"/>
  <c r="G244" i="10" s="1"/>
  <c r="O243" i="4"/>
  <c r="P243" i="4" s="1"/>
  <c r="N243" i="4"/>
  <c r="M243" i="4"/>
  <c r="L243" i="4"/>
  <c r="V242" i="4"/>
  <c r="P242" i="4"/>
  <c r="O242" i="4"/>
  <c r="Q242" i="4" s="1"/>
  <c r="G243" i="10" s="1"/>
  <c r="N242" i="4"/>
  <c r="L242" i="4"/>
  <c r="M242" i="4" s="1"/>
  <c r="V241" i="4"/>
  <c r="O241" i="4"/>
  <c r="N241" i="4"/>
  <c r="M241" i="4"/>
  <c r="L241" i="4"/>
  <c r="V240" i="4"/>
  <c r="Q240" i="4"/>
  <c r="G241" i="10" s="1"/>
  <c r="P240" i="4"/>
  <c r="O240" i="4"/>
  <c r="N240" i="4"/>
  <c r="L240" i="4"/>
  <c r="M240" i="4" s="1"/>
  <c r="V239" i="4"/>
  <c r="Q239" i="4"/>
  <c r="G240" i="10" s="1"/>
  <c r="O239" i="4"/>
  <c r="P239" i="4" s="1"/>
  <c r="N239" i="4"/>
  <c r="M239" i="4"/>
  <c r="L239" i="4"/>
  <c r="V238" i="4"/>
  <c r="P238" i="4"/>
  <c r="O238" i="4"/>
  <c r="Q238" i="4" s="1"/>
  <c r="G239" i="10" s="1"/>
  <c r="N238" i="4"/>
  <c r="L238" i="4"/>
  <c r="M238" i="4" s="1"/>
  <c r="V237" i="4"/>
  <c r="O237" i="4"/>
  <c r="N237" i="4"/>
  <c r="M237" i="4"/>
  <c r="L237" i="4"/>
  <c r="V236" i="4"/>
  <c r="Q236" i="4"/>
  <c r="G237" i="10" s="1"/>
  <c r="P236" i="4"/>
  <c r="O236" i="4"/>
  <c r="N236" i="4"/>
  <c r="L236" i="4"/>
  <c r="M236" i="4" s="1"/>
  <c r="V235" i="4"/>
  <c r="Q235" i="4"/>
  <c r="G236" i="10" s="1"/>
  <c r="O235" i="4"/>
  <c r="P235" i="4" s="1"/>
  <c r="N235" i="4"/>
  <c r="M235" i="4"/>
  <c r="L235" i="4"/>
  <c r="V234" i="4"/>
  <c r="P234" i="4"/>
  <c r="O234" i="4"/>
  <c r="Q234" i="4" s="1"/>
  <c r="G235" i="10" s="1"/>
  <c r="N234" i="4"/>
  <c r="L234" i="4"/>
  <c r="M234" i="4" s="1"/>
  <c r="V233" i="4"/>
  <c r="O233" i="4"/>
  <c r="N233" i="4"/>
  <c r="M233" i="4"/>
  <c r="L233" i="4"/>
  <c r="V232" i="4"/>
  <c r="Q232" i="4"/>
  <c r="G233" i="10" s="1"/>
  <c r="P232" i="4"/>
  <c r="O232" i="4"/>
  <c r="N232" i="4"/>
  <c r="L232" i="4"/>
  <c r="M232" i="4" s="1"/>
  <c r="V231" i="4"/>
  <c r="Q231" i="4"/>
  <c r="G232" i="10" s="1"/>
  <c r="O231" i="4"/>
  <c r="P231" i="4" s="1"/>
  <c r="N231" i="4"/>
  <c r="M231" i="4"/>
  <c r="L231" i="4"/>
  <c r="V230" i="4"/>
  <c r="P230" i="4"/>
  <c r="O230" i="4"/>
  <c r="Q230" i="4" s="1"/>
  <c r="G231" i="10" s="1"/>
  <c r="N230" i="4"/>
  <c r="L230" i="4"/>
  <c r="M230" i="4" s="1"/>
  <c r="V229" i="4"/>
  <c r="O229" i="4"/>
  <c r="N229" i="4"/>
  <c r="V228" i="4"/>
  <c r="Q228" i="4"/>
  <c r="G229" i="10" s="1"/>
  <c r="P228" i="4"/>
  <c r="O228" i="4"/>
  <c r="N228" i="4"/>
  <c r="L228" i="4"/>
  <c r="M228" i="4" s="1"/>
  <c r="V227" i="4"/>
  <c r="Q227" i="4"/>
  <c r="G228" i="10" s="1"/>
  <c r="O227" i="4"/>
  <c r="P227" i="4" s="1"/>
  <c r="L227" i="4" s="1"/>
  <c r="M227" i="4" s="1"/>
  <c r="N227" i="4"/>
  <c r="V226" i="4"/>
  <c r="P226" i="4"/>
  <c r="L226" i="4" s="1"/>
  <c r="M226" i="4" s="1"/>
  <c r="O226" i="4"/>
  <c r="Q226" i="4" s="1"/>
  <c r="G227" i="10" s="1"/>
  <c r="N226" i="4"/>
  <c r="V225" i="4"/>
  <c r="O225" i="4"/>
  <c r="N225" i="4"/>
  <c r="M225" i="4"/>
  <c r="L225" i="4"/>
  <c r="V224" i="4"/>
  <c r="Q224" i="4"/>
  <c r="G225" i="10" s="1"/>
  <c r="P224" i="4"/>
  <c r="O224" i="4"/>
  <c r="N224" i="4"/>
  <c r="L224" i="4"/>
  <c r="M224" i="4" s="1"/>
  <c r="V223" i="4"/>
  <c r="Q223" i="4"/>
  <c r="G224" i="10" s="1"/>
  <c r="O223" i="4"/>
  <c r="P223" i="4" s="1"/>
  <c r="L223" i="4" s="1"/>
  <c r="M223" i="4" s="1"/>
  <c r="N223" i="4"/>
  <c r="V222" i="4"/>
  <c r="P222" i="4"/>
  <c r="O222" i="4"/>
  <c r="Q222" i="4" s="1"/>
  <c r="G223" i="10" s="1"/>
  <c r="N222" i="4"/>
  <c r="L222" i="4"/>
  <c r="M222" i="4" s="1"/>
  <c r="V221" i="4"/>
  <c r="Q221" i="4"/>
  <c r="G222" i="10" s="1"/>
  <c r="O221" i="4"/>
  <c r="P221" i="4" s="1"/>
  <c r="L221" i="4" s="1"/>
  <c r="N221" i="4"/>
  <c r="M221" i="4"/>
  <c r="V220" i="4"/>
  <c r="Q220" i="4"/>
  <c r="G221" i="10" s="1"/>
  <c r="P220" i="4"/>
  <c r="L220" i="4" s="1"/>
  <c r="M220" i="4" s="1"/>
  <c r="O220" i="4"/>
  <c r="N220" i="4"/>
  <c r="V219" i="4"/>
  <c r="Q219" i="4"/>
  <c r="G220" i="10" s="1"/>
  <c r="O219" i="4"/>
  <c r="P219" i="4" s="1"/>
  <c r="L219" i="4" s="1"/>
  <c r="N219" i="4"/>
  <c r="M219" i="4"/>
  <c r="V218" i="4"/>
  <c r="P218" i="4"/>
  <c r="O218" i="4"/>
  <c r="Q218" i="4" s="1"/>
  <c r="G219" i="10" s="1"/>
  <c r="N218" i="4"/>
  <c r="L218" i="4"/>
  <c r="M218" i="4" s="1"/>
  <c r="V217" i="4"/>
  <c r="U217" i="4"/>
  <c r="Q217" i="4"/>
  <c r="G218" i="10" s="1"/>
  <c r="O217" i="4"/>
  <c r="N217" i="4"/>
  <c r="V216" i="4"/>
  <c r="P216" i="4"/>
  <c r="O216" i="4"/>
  <c r="Q216" i="4" s="1"/>
  <c r="G217" i="10" s="1"/>
  <c r="N216" i="4"/>
  <c r="L216" i="4"/>
  <c r="M216" i="4" s="1"/>
  <c r="V215" i="4"/>
  <c r="Q215" i="4"/>
  <c r="G216" i="10" s="1"/>
  <c r="O215" i="4"/>
  <c r="P215" i="4" s="1"/>
  <c r="L215" i="4" s="1"/>
  <c r="N215" i="4"/>
  <c r="M215" i="4"/>
  <c r="V214" i="4"/>
  <c r="Q214" i="4"/>
  <c r="G215" i="10" s="1"/>
  <c r="P214" i="4"/>
  <c r="L214" i="4" s="1"/>
  <c r="M214" i="4" s="1"/>
  <c r="O214" i="4"/>
  <c r="N214" i="4"/>
  <c r="V213" i="4"/>
  <c r="Q213" i="4"/>
  <c r="G214" i="10" s="1"/>
  <c r="O213" i="4"/>
  <c r="P213" i="4" s="1"/>
  <c r="L213" i="4" s="1"/>
  <c r="N213" i="4"/>
  <c r="M213" i="4"/>
  <c r="V212" i="4"/>
  <c r="P212" i="4"/>
  <c r="O212" i="4"/>
  <c r="Q212" i="4" s="1"/>
  <c r="G213" i="10" s="1"/>
  <c r="N212" i="4"/>
  <c r="L212" i="4"/>
  <c r="M212" i="4" s="1"/>
  <c r="V211" i="4"/>
  <c r="O211" i="4"/>
  <c r="P211" i="4" s="1"/>
  <c r="N211" i="4"/>
  <c r="M211" i="4"/>
  <c r="L211" i="4"/>
  <c r="V210" i="4"/>
  <c r="Q210" i="4"/>
  <c r="G211" i="10" s="1"/>
  <c r="P210" i="4"/>
  <c r="O210" i="4"/>
  <c r="N210" i="4"/>
  <c r="L210" i="4"/>
  <c r="M210" i="4" s="1"/>
  <c r="V209" i="4"/>
  <c r="O209" i="4"/>
  <c r="P209" i="4" s="1"/>
  <c r="N209" i="4"/>
  <c r="M209" i="4"/>
  <c r="L209" i="4"/>
  <c r="V208" i="4"/>
  <c r="T208" i="4"/>
  <c r="Q208" i="4"/>
  <c r="G209" i="10" s="1"/>
  <c r="P208" i="4"/>
  <c r="O208" i="4"/>
  <c r="N208" i="4"/>
  <c r="U208" i="4" s="1"/>
  <c r="L208" i="4"/>
  <c r="M208" i="4" s="1"/>
  <c r="V207" i="4"/>
  <c r="Q207" i="4"/>
  <c r="G208" i="10" s="1"/>
  <c r="O207" i="4"/>
  <c r="P207" i="4" s="1"/>
  <c r="L207" i="4" s="1"/>
  <c r="M207" i="4" s="1"/>
  <c r="N207" i="4"/>
  <c r="V206" i="4"/>
  <c r="P206" i="4"/>
  <c r="O206" i="4"/>
  <c r="Q206" i="4" s="1"/>
  <c r="G207" i="10" s="1"/>
  <c r="N206" i="4"/>
  <c r="L206" i="4"/>
  <c r="M206" i="4" s="1"/>
  <c r="V205" i="4"/>
  <c r="Q205" i="4"/>
  <c r="G206" i="10" s="1"/>
  <c r="O205" i="4"/>
  <c r="P205" i="4" s="1"/>
  <c r="L205" i="4" s="1"/>
  <c r="N205" i="4"/>
  <c r="M205" i="4"/>
  <c r="V204" i="4"/>
  <c r="Q204" i="4"/>
  <c r="G205" i="10" s="1"/>
  <c r="P204" i="4"/>
  <c r="O204" i="4"/>
  <c r="N204" i="4"/>
  <c r="L204" i="4"/>
  <c r="M204" i="4" s="1"/>
  <c r="V203" i="4"/>
  <c r="Q203" i="4"/>
  <c r="G204" i="10" s="1"/>
  <c r="O203" i="4"/>
  <c r="P203" i="4" s="1"/>
  <c r="L203" i="4" s="1"/>
  <c r="N203" i="4"/>
  <c r="M203" i="4"/>
  <c r="V202" i="4"/>
  <c r="P202" i="4"/>
  <c r="O202" i="4"/>
  <c r="Q202" i="4" s="1"/>
  <c r="G203" i="10" s="1"/>
  <c r="N202" i="4"/>
  <c r="L202" i="4"/>
  <c r="M202" i="4" s="1"/>
  <c r="V201" i="4"/>
  <c r="O201" i="4"/>
  <c r="P201" i="4" s="1"/>
  <c r="L201" i="4" s="1"/>
  <c r="M201" i="4" s="1"/>
  <c r="N201" i="4"/>
  <c r="V200" i="4"/>
  <c r="Q200" i="4"/>
  <c r="G201" i="10" s="1"/>
  <c r="P200" i="4"/>
  <c r="O200" i="4"/>
  <c r="N200" i="4"/>
  <c r="M200" i="4"/>
  <c r="L200" i="4"/>
  <c r="V199" i="4"/>
  <c r="P199" i="4"/>
  <c r="O199" i="4"/>
  <c r="Q199" i="4" s="1"/>
  <c r="G200" i="10" s="1"/>
  <c r="N199" i="4"/>
  <c r="L199" i="4"/>
  <c r="M199" i="4" s="1"/>
  <c r="V198" i="4"/>
  <c r="P198" i="4"/>
  <c r="O198" i="4"/>
  <c r="Q198" i="4" s="1"/>
  <c r="G199" i="10" s="1"/>
  <c r="N198" i="4"/>
  <c r="L198" i="4"/>
  <c r="M198" i="4" s="1"/>
  <c r="V197" i="4"/>
  <c r="O197" i="4"/>
  <c r="P197" i="4" s="1"/>
  <c r="L197" i="4" s="1"/>
  <c r="M197" i="4" s="1"/>
  <c r="N197" i="4"/>
  <c r="V196" i="4"/>
  <c r="Q196" i="4"/>
  <c r="G197" i="10" s="1"/>
  <c r="P196" i="4"/>
  <c r="O196" i="4"/>
  <c r="N196" i="4"/>
  <c r="M196" i="4"/>
  <c r="L196" i="4"/>
  <c r="V195" i="4"/>
  <c r="P195" i="4"/>
  <c r="O195" i="4"/>
  <c r="Q195" i="4" s="1"/>
  <c r="G196" i="10" s="1"/>
  <c r="N195" i="4"/>
  <c r="L195" i="4"/>
  <c r="M195" i="4" s="1"/>
  <c r="V194" i="4"/>
  <c r="P194" i="4"/>
  <c r="O194" i="4"/>
  <c r="Q194" i="4" s="1"/>
  <c r="G195" i="10" s="1"/>
  <c r="N194" i="4"/>
  <c r="L194" i="4"/>
  <c r="M194" i="4" s="1"/>
  <c r="V193" i="4"/>
  <c r="O193" i="4"/>
  <c r="P193" i="4" s="1"/>
  <c r="N193" i="4"/>
  <c r="M193" i="4"/>
  <c r="L193" i="4"/>
  <c r="V192" i="4"/>
  <c r="Q192" i="4"/>
  <c r="G193" i="10" s="1"/>
  <c r="P192" i="4"/>
  <c r="O192" i="4"/>
  <c r="N192" i="4"/>
  <c r="M192" i="4"/>
  <c r="L192" i="4"/>
  <c r="V191" i="4"/>
  <c r="Q191" i="4"/>
  <c r="G192" i="10" s="1"/>
  <c r="P191" i="4"/>
  <c r="O191" i="4"/>
  <c r="N191" i="4"/>
  <c r="M191" i="4"/>
  <c r="L191" i="4"/>
  <c r="V190" i="4"/>
  <c r="O190" i="4"/>
  <c r="Q190" i="4" s="1"/>
  <c r="G191" i="10" s="1"/>
  <c r="N190" i="4"/>
  <c r="L190" i="4"/>
  <c r="M190" i="4" s="1"/>
  <c r="V189" i="4"/>
  <c r="Q189" i="4"/>
  <c r="G190" i="10" s="1"/>
  <c r="O189" i="4"/>
  <c r="P189" i="4" s="1"/>
  <c r="L189" i="4" s="1"/>
  <c r="M189" i="4" s="1"/>
  <c r="N189" i="4"/>
  <c r="V188" i="4"/>
  <c r="Q188" i="4"/>
  <c r="G189" i="10" s="1"/>
  <c r="P188" i="4"/>
  <c r="O188" i="4"/>
  <c r="N188" i="4"/>
  <c r="M188" i="4"/>
  <c r="L188" i="4"/>
  <c r="V187" i="4"/>
  <c r="Q187" i="4"/>
  <c r="G188" i="10" s="1"/>
  <c r="P187" i="4"/>
  <c r="O187" i="4"/>
  <c r="N187" i="4"/>
  <c r="M187" i="4"/>
  <c r="L187" i="4"/>
  <c r="V186" i="4"/>
  <c r="O186" i="4"/>
  <c r="Q186" i="4" s="1"/>
  <c r="G187" i="10" s="1"/>
  <c r="N186" i="4"/>
  <c r="V185" i="4"/>
  <c r="Q185" i="4"/>
  <c r="G186" i="10" s="1"/>
  <c r="O185" i="4"/>
  <c r="P185" i="4" s="1"/>
  <c r="N185" i="4"/>
  <c r="M185" i="4"/>
  <c r="L185" i="4"/>
  <c r="V184" i="4"/>
  <c r="Q184" i="4"/>
  <c r="G185" i="10" s="1"/>
  <c r="P184" i="4"/>
  <c r="O184" i="4"/>
  <c r="N184" i="4"/>
  <c r="M184" i="4"/>
  <c r="L184" i="4"/>
  <c r="V183" i="4"/>
  <c r="Q183" i="4"/>
  <c r="G184" i="10" s="1"/>
  <c r="P183" i="4"/>
  <c r="O183" i="4"/>
  <c r="N183" i="4"/>
  <c r="M183" i="4"/>
  <c r="L183" i="4"/>
  <c r="V182" i="4"/>
  <c r="P182" i="4"/>
  <c r="O182" i="4"/>
  <c r="Q182" i="4" s="1"/>
  <c r="G183" i="10" s="1"/>
  <c r="N182" i="4"/>
  <c r="L182" i="4"/>
  <c r="M182" i="4" s="1"/>
  <c r="V181" i="4"/>
  <c r="U181" i="4"/>
  <c r="O181" i="4"/>
  <c r="T181" i="4" s="1"/>
  <c r="N181" i="4"/>
  <c r="V180" i="4"/>
  <c r="P180" i="4"/>
  <c r="O180" i="4"/>
  <c r="Q180" i="4" s="1"/>
  <c r="G181" i="10" s="1"/>
  <c r="N180" i="4"/>
  <c r="L180" i="4"/>
  <c r="M180" i="4" s="1"/>
  <c r="V179" i="4"/>
  <c r="Q179" i="4"/>
  <c r="G180" i="10" s="1"/>
  <c r="O179" i="4"/>
  <c r="P179" i="4" s="1"/>
  <c r="N179" i="4"/>
  <c r="M179" i="4"/>
  <c r="L179" i="4"/>
  <c r="V178" i="4"/>
  <c r="Q178" i="4"/>
  <c r="G179" i="10" s="1"/>
  <c r="P178" i="4"/>
  <c r="O178" i="4"/>
  <c r="N178" i="4"/>
  <c r="M178" i="4"/>
  <c r="L178" i="4"/>
  <c r="V177" i="4"/>
  <c r="P177" i="4"/>
  <c r="O177" i="4"/>
  <c r="Q177" i="4" s="1"/>
  <c r="G178" i="10" s="1"/>
  <c r="N177" i="4"/>
  <c r="L177" i="4"/>
  <c r="M177" i="4" s="1"/>
  <c r="V176" i="4"/>
  <c r="P176" i="4"/>
  <c r="O176" i="4"/>
  <c r="Q176" i="4" s="1"/>
  <c r="G177" i="10" s="1"/>
  <c r="N176" i="4"/>
  <c r="L176" i="4"/>
  <c r="M176" i="4" s="1"/>
  <c r="V175" i="4"/>
  <c r="O175" i="4"/>
  <c r="P175" i="4" s="1"/>
  <c r="L175" i="4" s="1"/>
  <c r="M175" i="4" s="1"/>
  <c r="N175" i="4"/>
  <c r="V174" i="4"/>
  <c r="Q174" i="4"/>
  <c r="G175" i="10" s="1"/>
  <c r="P174" i="4"/>
  <c r="O174" i="4"/>
  <c r="N174" i="4"/>
  <c r="M174" i="4"/>
  <c r="L174" i="4"/>
  <c r="V173" i="4"/>
  <c r="P173" i="4"/>
  <c r="O173" i="4"/>
  <c r="Q173" i="4" s="1"/>
  <c r="G174" i="10" s="1"/>
  <c r="N173" i="4"/>
  <c r="L173" i="4"/>
  <c r="M173" i="4" s="1"/>
  <c r="V172" i="4"/>
  <c r="P172" i="4"/>
  <c r="O172" i="4"/>
  <c r="Q172" i="4" s="1"/>
  <c r="G173" i="10" s="1"/>
  <c r="N172" i="4"/>
  <c r="L172" i="4"/>
  <c r="M172" i="4" s="1"/>
  <c r="V171" i="4"/>
  <c r="O171" i="4"/>
  <c r="P171" i="4" s="1"/>
  <c r="L171" i="4" s="1"/>
  <c r="M171" i="4" s="1"/>
  <c r="N171" i="4"/>
  <c r="V170" i="4"/>
  <c r="Q170" i="4"/>
  <c r="G171" i="10" s="1"/>
  <c r="P170" i="4"/>
  <c r="O170" i="4"/>
  <c r="N170" i="4"/>
  <c r="M170" i="4"/>
  <c r="L170" i="4"/>
  <c r="V169" i="4"/>
  <c r="T169" i="4"/>
  <c r="S169" i="4"/>
  <c r="U169" i="4" s="1"/>
  <c r="P169" i="4"/>
  <c r="O169" i="4"/>
  <c r="Q169" i="4" s="1"/>
  <c r="G170" i="10" s="1"/>
  <c r="N169" i="4"/>
  <c r="L169" i="4"/>
  <c r="M169" i="4" s="1"/>
  <c r="V168" i="4"/>
  <c r="O168" i="4"/>
  <c r="P168" i="4" s="1"/>
  <c r="L168" i="4" s="1"/>
  <c r="M168" i="4" s="1"/>
  <c r="N168" i="4"/>
  <c r="V167" i="4"/>
  <c r="Q167" i="4"/>
  <c r="G168" i="10" s="1"/>
  <c r="P167" i="4"/>
  <c r="O167" i="4"/>
  <c r="N167" i="4"/>
  <c r="M167" i="4"/>
  <c r="L167" i="4"/>
  <c r="V166" i="4"/>
  <c r="P166" i="4"/>
  <c r="O166" i="4"/>
  <c r="Q166" i="4" s="1"/>
  <c r="G167" i="10" s="1"/>
  <c r="N166" i="4"/>
  <c r="L166" i="4"/>
  <c r="M166" i="4" s="1"/>
  <c r="V165" i="4"/>
  <c r="P165" i="4"/>
  <c r="O165" i="4"/>
  <c r="Q165" i="4" s="1"/>
  <c r="G166" i="10" s="1"/>
  <c r="N165" i="4"/>
  <c r="L165" i="4"/>
  <c r="M165" i="4" s="1"/>
  <c r="V164" i="4"/>
  <c r="O164" i="4"/>
  <c r="P164" i="4" s="1"/>
  <c r="L164" i="4" s="1"/>
  <c r="M164" i="4" s="1"/>
  <c r="N164" i="4"/>
  <c r="V163" i="4"/>
  <c r="Q163" i="4"/>
  <c r="G164" i="10" s="1"/>
  <c r="P163" i="4"/>
  <c r="O163" i="4"/>
  <c r="N163" i="4"/>
  <c r="M163" i="4"/>
  <c r="L163" i="4"/>
  <c r="V162" i="4"/>
  <c r="P162" i="4"/>
  <c r="O162" i="4"/>
  <c r="Q162" i="4" s="1"/>
  <c r="G163" i="10" s="1"/>
  <c r="N162" i="4"/>
  <c r="L162" i="4"/>
  <c r="M162" i="4" s="1"/>
  <c r="V161" i="4"/>
  <c r="P161" i="4"/>
  <c r="O161" i="4"/>
  <c r="Q161" i="4" s="1"/>
  <c r="G162" i="10" s="1"/>
  <c r="N161" i="4"/>
  <c r="L161" i="4"/>
  <c r="M161" i="4" s="1"/>
  <c r="V160" i="4"/>
  <c r="O160" i="4"/>
  <c r="P160" i="4" s="1"/>
  <c r="N160" i="4"/>
  <c r="M160" i="4"/>
  <c r="L160" i="4"/>
  <c r="V159" i="4"/>
  <c r="Q159" i="4"/>
  <c r="G160" i="10" s="1"/>
  <c r="P159" i="4"/>
  <c r="O159" i="4"/>
  <c r="N159" i="4"/>
  <c r="M159" i="4"/>
  <c r="L159" i="4"/>
  <c r="V158" i="4"/>
  <c r="Q158" i="4"/>
  <c r="G159" i="10" s="1"/>
  <c r="P158" i="4"/>
  <c r="O158" i="4"/>
  <c r="N158" i="4"/>
  <c r="M158" i="4"/>
  <c r="L158" i="4"/>
  <c r="V157" i="4"/>
  <c r="P157" i="4"/>
  <c r="O157" i="4"/>
  <c r="Q157" i="4" s="1"/>
  <c r="G158" i="10" s="1"/>
  <c r="N157" i="4"/>
  <c r="L157" i="4"/>
  <c r="M157" i="4" s="1"/>
  <c r="V156" i="4"/>
  <c r="O156" i="4"/>
  <c r="Q156" i="4" s="1"/>
  <c r="G157" i="10" s="1"/>
  <c r="N156" i="4"/>
  <c r="V155" i="4"/>
  <c r="Q155" i="4"/>
  <c r="G156" i="10" s="1"/>
  <c r="P155" i="4"/>
  <c r="O155" i="4"/>
  <c r="N155" i="4"/>
  <c r="M155" i="4"/>
  <c r="L155" i="4"/>
  <c r="V154" i="4"/>
  <c r="Q154" i="4"/>
  <c r="G155" i="10" s="1"/>
  <c r="P154" i="4"/>
  <c r="O154" i="4"/>
  <c r="N154" i="4"/>
  <c r="M154" i="4"/>
  <c r="L154" i="4"/>
  <c r="V153" i="4"/>
  <c r="P153" i="4"/>
  <c r="O153" i="4"/>
  <c r="Q153" i="4" s="1"/>
  <c r="G154" i="10" s="1"/>
  <c r="N153" i="4"/>
  <c r="L153" i="4"/>
  <c r="M153" i="4" s="1"/>
  <c r="V152" i="4"/>
  <c r="O152" i="4"/>
  <c r="Q152" i="4" s="1"/>
  <c r="G153" i="10" s="1"/>
  <c r="N152" i="4"/>
  <c r="V151" i="4"/>
  <c r="Q151" i="4"/>
  <c r="G152" i="10" s="1"/>
  <c r="P151" i="4"/>
  <c r="O151" i="4"/>
  <c r="N151" i="4"/>
  <c r="M151" i="4"/>
  <c r="L151" i="4"/>
  <c r="V150" i="4"/>
  <c r="Q150" i="4"/>
  <c r="G151" i="10" s="1"/>
  <c r="P150" i="4"/>
  <c r="O150" i="4"/>
  <c r="N150" i="4"/>
  <c r="M150" i="4"/>
  <c r="L150" i="4"/>
  <c r="V149" i="4"/>
  <c r="P149" i="4"/>
  <c r="O149" i="4"/>
  <c r="Q149" i="4" s="1"/>
  <c r="G150" i="10" s="1"/>
  <c r="N149" i="4"/>
  <c r="L149" i="4"/>
  <c r="M149" i="4" s="1"/>
  <c r="V148" i="4"/>
  <c r="O148" i="4"/>
  <c r="Q148" i="4" s="1"/>
  <c r="G149" i="10" s="1"/>
  <c r="N148" i="4"/>
  <c r="V147" i="4"/>
  <c r="Q147" i="4"/>
  <c r="G148" i="10" s="1"/>
  <c r="P147" i="4"/>
  <c r="O147" i="4"/>
  <c r="N147" i="4"/>
  <c r="M147" i="4"/>
  <c r="L147" i="4"/>
  <c r="V146" i="4"/>
  <c r="Q146" i="4"/>
  <c r="G147" i="10" s="1"/>
  <c r="P146" i="4"/>
  <c r="O146" i="4"/>
  <c r="N146" i="4"/>
  <c r="M146" i="4"/>
  <c r="L146" i="4"/>
  <c r="V145" i="4"/>
  <c r="P145" i="4"/>
  <c r="O145" i="4"/>
  <c r="Q145" i="4" s="1"/>
  <c r="G146" i="10" s="1"/>
  <c r="N145" i="4"/>
  <c r="L145" i="4"/>
  <c r="M145" i="4" s="1"/>
  <c r="V144" i="4"/>
  <c r="O144" i="4"/>
  <c r="Q144" i="4" s="1"/>
  <c r="G145" i="10" s="1"/>
  <c r="N144" i="4"/>
  <c r="V143" i="4"/>
  <c r="Q143" i="4"/>
  <c r="G144" i="10" s="1"/>
  <c r="P143" i="4"/>
  <c r="O143" i="4"/>
  <c r="N143" i="4"/>
  <c r="M143" i="4"/>
  <c r="L143" i="4"/>
  <c r="V142" i="4"/>
  <c r="Q142" i="4"/>
  <c r="G143" i="10" s="1"/>
  <c r="P142" i="4"/>
  <c r="O142" i="4"/>
  <c r="N142" i="4"/>
  <c r="M142" i="4"/>
  <c r="L142" i="4"/>
  <c r="V141" i="4"/>
  <c r="P141" i="4"/>
  <c r="O141" i="4"/>
  <c r="Q141" i="4" s="1"/>
  <c r="G142" i="10" s="1"/>
  <c r="N141" i="4"/>
  <c r="L141" i="4"/>
  <c r="M141" i="4" s="1"/>
  <c r="V140" i="4"/>
  <c r="O140" i="4"/>
  <c r="Q140" i="4" s="1"/>
  <c r="G141" i="10" s="1"/>
  <c r="N140" i="4"/>
  <c r="V139" i="4"/>
  <c r="Q139" i="4"/>
  <c r="G140" i="10" s="1"/>
  <c r="P139" i="4"/>
  <c r="O139" i="4"/>
  <c r="N139" i="4"/>
  <c r="M139" i="4"/>
  <c r="L139" i="4"/>
  <c r="V138" i="4"/>
  <c r="Q138" i="4"/>
  <c r="G139" i="10" s="1"/>
  <c r="P138" i="4"/>
  <c r="O138" i="4"/>
  <c r="N138" i="4"/>
  <c r="M138" i="4"/>
  <c r="L138" i="4"/>
  <c r="V137" i="4"/>
  <c r="P137" i="4"/>
  <c r="O137" i="4"/>
  <c r="Q137" i="4" s="1"/>
  <c r="G138" i="10" s="1"/>
  <c r="N137" i="4"/>
  <c r="L137" i="4"/>
  <c r="M137" i="4" s="1"/>
  <c r="V136" i="4"/>
  <c r="O136" i="4"/>
  <c r="Q136" i="4" s="1"/>
  <c r="G137" i="10" s="1"/>
  <c r="N136" i="4"/>
  <c r="V135" i="4"/>
  <c r="Q135" i="4"/>
  <c r="G136" i="10" s="1"/>
  <c r="P135" i="4"/>
  <c r="O135" i="4"/>
  <c r="N135" i="4"/>
  <c r="M135" i="4"/>
  <c r="L135" i="4"/>
  <c r="V134" i="4"/>
  <c r="Q134" i="4"/>
  <c r="G135" i="10" s="1"/>
  <c r="P134" i="4"/>
  <c r="O134" i="4"/>
  <c r="N134" i="4"/>
  <c r="M134" i="4"/>
  <c r="L134" i="4"/>
  <c r="V133" i="4"/>
  <c r="P133" i="4"/>
  <c r="O133" i="4"/>
  <c r="Q133" i="4" s="1"/>
  <c r="G134" i="10" s="1"/>
  <c r="N133" i="4"/>
  <c r="L133" i="4"/>
  <c r="M133" i="4" s="1"/>
  <c r="V132" i="4"/>
  <c r="O132" i="4"/>
  <c r="Q132" i="4" s="1"/>
  <c r="G133" i="10" s="1"/>
  <c r="N132" i="4"/>
  <c r="M132" i="4"/>
  <c r="L132" i="4"/>
  <c r="V131" i="4"/>
  <c r="Q131" i="4"/>
  <c r="G132" i="10" s="1"/>
  <c r="P131" i="4"/>
  <c r="O131" i="4"/>
  <c r="N131" i="4"/>
  <c r="M131" i="4"/>
  <c r="L131" i="4"/>
  <c r="V130" i="4"/>
  <c r="Q130" i="4"/>
  <c r="G131" i="10" s="1"/>
  <c r="P130" i="4"/>
  <c r="O130" i="4"/>
  <c r="N130" i="4"/>
  <c r="M130" i="4"/>
  <c r="L130" i="4"/>
  <c r="V129" i="4"/>
  <c r="P129" i="4"/>
  <c r="O129" i="4"/>
  <c r="Q129" i="4" s="1"/>
  <c r="G130" i="10" s="1"/>
  <c r="N129" i="4"/>
  <c r="L129" i="4"/>
  <c r="M129" i="4" s="1"/>
  <c r="V128" i="4"/>
  <c r="O128" i="4"/>
  <c r="Q128" i="4" s="1"/>
  <c r="G129" i="10" s="1"/>
  <c r="N128" i="4"/>
  <c r="M128" i="4"/>
  <c r="L128" i="4"/>
  <c r="V127" i="4"/>
  <c r="Q127" i="4"/>
  <c r="G128" i="10" s="1"/>
  <c r="P127" i="4"/>
  <c r="O127" i="4"/>
  <c r="N127" i="4"/>
  <c r="M127" i="4"/>
  <c r="L127" i="4"/>
  <c r="V126" i="4"/>
  <c r="Q126" i="4"/>
  <c r="G127" i="10" s="1"/>
  <c r="P126" i="4"/>
  <c r="O126" i="4"/>
  <c r="N126" i="4"/>
  <c r="M126" i="4"/>
  <c r="L126" i="4"/>
  <c r="V125" i="4"/>
  <c r="P125" i="4"/>
  <c r="O125" i="4"/>
  <c r="Q125" i="4" s="1"/>
  <c r="G126" i="10" s="1"/>
  <c r="N125" i="4"/>
  <c r="L125" i="4"/>
  <c r="M125" i="4" s="1"/>
  <c r="V124" i="4"/>
  <c r="S124" i="4"/>
  <c r="Q124" i="4"/>
  <c r="G125" i="10" s="1"/>
  <c r="P124" i="4"/>
  <c r="O124" i="4"/>
  <c r="T124" i="4" s="1"/>
  <c r="N124" i="4"/>
  <c r="U124" i="4" s="1"/>
  <c r="M124" i="4"/>
  <c r="L124" i="4"/>
  <c r="V123" i="4"/>
  <c r="Q123" i="4"/>
  <c r="G124" i="10" s="1"/>
  <c r="P123" i="4"/>
  <c r="O123" i="4"/>
  <c r="N123" i="4"/>
  <c r="M123" i="4"/>
  <c r="L123" i="4"/>
  <c r="V122" i="4"/>
  <c r="P122" i="4"/>
  <c r="O122" i="4"/>
  <c r="Q122" i="4" s="1"/>
  <c r="G123" i="10" s="1"/>
  <c r="N122" i="4"/>
  <c r="L122" i="4"/>
  <c r="M122" i="4" s="1"/>
  <c r="V121" i="4"/>
  <c r="O121" i="4"/>
  <c r="Q121" i="4" s="1"/>
  <c r="G122" i="10" s="1"/>
  <c r="N121" i="4"/>
  <c r="V120" i="4"/>
  <c r="Q120" i="4"/>
  <c r="G121" i="10" s="1"/>
  <c r="P120" i="4"/>
  <c r="O120" i="4"/>
  <c r="N120" i="4"/>
  <c r="M120" i="4"/>
  <c r="L120" i="4"/>
  <c r="V119" i="4"/>
  <c r="Q119" i="4"/>
  <c r="G120" i="10" s="1"/>
  <c r="P119" i="4"/>
  <c r="O119" i="4"/>
  <c r="N119" i="4"/>
  <c r="M119" i="4"/>
  <c r="L119" i="4"/>
  <c r="V118" i="4"/>
  <c r="P118" i="4"/>
  <c r="O118" i="4"/>
  <c r="Q118" i="4" s="1"/>
  <c r="G119" i="10" s="1"/>
  <c r="N118" i="4"/>
  <c r="L118" i="4"/>
  <c r="M118" i="4" s="1"/>
  <c r="V117" i="4"/>
  <c r="O117" i="4"/>
  <c r="Q117" i="4" s="1"/>
  <c r="G118" i="10" s="1"/>
  <c r="N117" i="4"/>
  <c r="V116" i="4"/>
  <c r="Q116" i="4"/>
  <c r="G117" i="10" s="1"/>
  <c r="P116" i="4"/>
  <c r="O116" i="4"/>
  <c r="N116" i="4"/>
  <c r="M116" i="4"/>
  <c r="L116" i="4"/>
  <c r="V115" i="4"/>
  <c r="Q115" i="4"/>
  <c r="G116" i="10" s="1"/>
  <c r="P115" i="4"/>
  <c r="O115" i="4"/>
  <c r="N115" i="4"/>
  <c r="M115" i="4"/>
  <c r="L115" i="4"/>
  <c r="V114" i="4"/>
  <c r="P114" i="4"/>
  <c r="O114" i="4"/>
  <c r="Q114" i="4" s="1"/>
  <c r="G115" i="10" s="1"/>
  <c r="N114" i="4"/>
  <c r="L114" i="4"/>
  <c r="M114" i="4" s="1"/>
  <c r="V113" i="4"/>
  <c r="O113" i="4"/>
  <c r="Q113" i="4" s="1"/>
  <c r="G114" i="10" s="1"/>
  <c r="N113" i="4"/>
  <c r="V112" i="4"/>
  <c r="Q112" i="4"/>
  <c r="G113" i="10" s="1"/>
  <c r="P112" i="4"/>
  <c r="O112" i="4"/>
  <c r="N112" i="4"/>
  <c r="M112" i="4"/>
  <c r="L112" i="4"/>
  <c r="V111" i="4"/>
  <c r="Q111" i="4"/>
  <c r="G112" i="10" s="1"/>
  <c r="P111" i="4"/>
  <c r="O111" i="4"/>
  <c r="N111" i="4"/>
  <c r="M111" i="4"/>
  <c r="L111" i="4"/>
  <c r="V110" i="4"/>
  <c r="P110" i="4"/>
  <c r="O110" i="4"/>
  <c r="Q110" i="4" s="1"/>
  <c r="G111" i="10" s="1"/>
  <c r="N110" i="4"/>
  <c r="L110" i="4"/>
  <c r="M110" i="4" s="1"/>
  <c r="V109" i="4"/>
  <c r="O109" i="4"/>
  <c r="Q109" i="4" s="1"/>
  <c r="G110" i="10" s="1"/>
  <c r="N109" i="4"/>
  <c r="V108" i="4"/>
  <c r="Q108" i="4"/>
  <c r="G109" i="10" s="1"/>
  <c r="P108" i="4"/>
  <c r="O108" i="4"/>
  <c r="N108" i="4"/>
  <c r="M108" i="4"/>
  <c r="L108" i="4"/>
  <c r="V107" i="4"/>
  <c r="Q107" i="4"/>
  <c r="G108" i="10" s="1"/>
  <c r="P107" i="4"/>
  <c r="O107" i="4"/>
  <c r="N107" i="4"/>
  <c r="M107" i="4"/>
  <c r="L107" i="4"/>
  <c r="V106" i="4"/>
  <c r="P106" i="4"/>
  <c r="O106" i="4"/>
  <c r="Q106" i="4" s="1"/>
  <c r="G107" i="10" s="1"/>
  <c r="N106" i="4"/>
  <c r="L106" i="4"/>
  <c r="M106" i="4" s="1"/>
  <c r="V105" i="4"/>
  <c r="O105" i="4"/>
  <c r="Q105" i="4" s="1"/>
  <c r="G106" i="10" s="1"/>
  <c r="N105" i="4"/>
  <c r="V104" i="4"/>
  <c r="Q104" i="4"/>
  <c r="G105" i="10" s="1"/>
  <c r="P104" i="4"/>
  <c r="O104" i="4"/>
  <c r="N104" i="4"/>
  <c r="M104" i="4"/>
  <c r="L104" i="4"/>
  <c r="V103" i="4"/>
  <c r="Q103" i="4"/>
  <c r="G104" i="10" s="1"/>
  <c r="P103" i="4"/>
  <c r="O103" i="4"/>
  <c r="N103" i="4"/>
  <c r="M103" i="4"/>
  <c r="L103" i="4"/>
  <c r="V102" i="4"/>
  <c r="P102" i="4"/>
  <c r="O102" i="4"/>
  <c r="Q102" i="4" s="1"/>
  <c r="G103" i="10" s="1"/>
  <c r="N102" i="4"/>
  <c r="L102" i="4"/>
  <c r="M102" i="4" s="1"/>
  <c r="V101" i="4"/>
  <c r="O101" i="4"/>
  <c r="Q101" i="4" s="1"/>
  <c r="G102" i="10" s="1"/>
  <c r="N101" i="4"/>
  <c r="V100" i="4"/>
  <c r="Q100" i="4"/>
  <c r="G101" i="10" s="1"/>
  <c r="P100" i="4"/>
  <c r="O100" i="4"/>
  <c r="N100" i="4"/>
  <c r="M100" i="4"/>
  <c r="L100" i="4"/>
  <c r="V99" i="4"/>
  <c r="Q99" i="4"/>
  <c r="G100" i="10" s="1"/>
  <c r="P99" i="4"/>
  <c r="O99" i="4"/>
  <c r="N99" i="4"/>
  <c r="M99" i="4"/>
  <c r="L99" i="4"/>
  <c r="V98" i="4"/>
  <c r="P98" i="4"/>
  <c r="O98" i="4"/>
  <c r="Q98" i="4" s="1"/>
  <c r="G99" i="10" s="1"/>
  <c r="N98" i="4"/>
  <c r="L98" i="4"/>
  <c r="M98" i="4" s="1"/>
  <c r="V97" i="4"/>
  <c r="O97" i="4"/>
  <c r="Q97" i="4" s="1"/>
  <c r="G98" i="10" s="1"/>
  <c r="N97" i="4"/>
  <c r="V96" i="4"/>
  <c r="Q96" i="4"/>
  <c r="G97" i="10" s="1"/>
  <c r="P96" i="4"/>
  <c r="O96" i="4"/>
  <c r="N96" i="4"/>
  <c r="M96" i="4"/>
  <c r="L96" i="4"/>
  <c r="V95" i="4"/>
  <c r="U95" i="4"/>
  <c r="S95" i="4"/>
  <c r="P95" i="4"/>
  <c r="O95" i="4"/>
  <c r="Q95" i="4" s="1"/>
  <c r="G96" i="10" s="1"/>
  <c r="N95" i="4"/>
  <c r="L95" i="4"/>
  <c r="M95" i="4" s="1"/>
  <c r="V94" i="4"/>
  <c r="O94" i="4"/>
  <c r="Q94" i="4" s="1"/>
  <c r="G95" i="10" s="1"/>
  <c r="N94" i="4"/>
  <c r="V93" i="4"/>
  <c r="Q93" i="4"/>
  <c r="G94" i="10" s="1"/>
  <c r="P93" i="4"/>
  <c r="O93" i="4"/>
  <c r="N93" i="4"/>
  <c r="M93" i="4"/>
  <c r="L93" i="4"/>
  <c r="V92" i="4"/>
  <c r="Q92" i="4"/>
  <c r="G93" i="10" s="1"/>
  <c r="P92" i="4"/>
  <c r="O92" i="4"/>
  <c r="N92" i="4"/>
  <c r="M92" i="4"/>
  <c r="L92" i="4"/>
  <c r="V91" i="4"/>
  <c r="P91" i="4"/>
  <c r="O91" i="4"/>
  <c r="Q91" i="4" s="1"/>
  <c r="G92" i="10" s="1"/>
  <c r="N91" i="4"/>
  <c r="L91" i="4"/>
  <c r="M91" i="4" s="1"/>
  <c r="V90" i="4"/>
  <c r="O90" i="4"/>
  <c r="Q90" i="4" s="1"/>
  <c r="G91" i="10" s="1"/>
  <c r="N90" i="4"/>
  <c r="V89" i="4"/>
  <c r="Q89" i="4"/>
  <c r="G90" i="10" s="1"/>
  <c r="P89" i="4"/>
  <c r="O89" i="4"/>
  <c r="N89" i="4"/>
  <c r="M89" i="4"/>
  <c r="L89" i="4"/>
  <c r="V88" i="4"/>
  <c r="Q88" i="4"/>
  <c r="G89" i="10" s="1"/>
  <c r="P88" i="4"/>
  <c r="O88" i="4"/>
  <c r="N88" i="4"/>
  <c r="M88" i="4"/>
  <c r="L88" i="4"/>
  <c r="V87" i="4"/>
  <c r="P87" i="4"/>
  <c r="O87" i="4"/>
  <c r="Q87" i="4" s="1"/>
  <c r="G88" i="10" s="1"/>
  <c r="N87" i="4"/>
  <c r="L87" i="4"/>
  <c r="M87" i="4" s="1"/>
  <c r="V86" i="4"/>
  <c r="O86" i="4"/>
  <c r="Q86" i="4" s="1"/>
  <c r="G87" i="10" s="1"/>
  <c r="N86" i="4"/>
  <c r="V85" i="4"/>
  <c r="Q85" i="4"/>
  <c r="G86" i="10" s="1"/>
  <c r="P85" i="4"/>
  <c r="O85" i="4"/>
  <c r="N85" i="4"/>
  <c r="M85" i="4"/>
  <c r="L85" i="4"/>
  <c r="V84" i="4"/>
  <c r="Q84" i="4"/>
  <c r="G85" i="10" s="1"/>
  <c r="P84" i="4"/>
  <c r="O84" i="4"/>
  <c r="N84" i="4"/>
  <c r="M84" i="4"/>
  <c r="L84" i="4"/>
  <c r="V83" i="4"/>
  <c r="T83" i="4"/>
  <c r="Q83" i="4"/>
  <c r="G84" i="10" s="1"/>
  <c r="P83" i="4"/>
  <c r="O83" i="4"/>
  <c r="N83" i="4"/>
  <c r="U83" i="4" s="1"/>
  <c r="M83" i="4"/>
  <c r="L83" i="4"/>
  <c r="V82" i="4"/>
  <c r="Q82" i="4"/>
  <c r="G83" i="10" s="1"/>
  <c r="P82" i="4"/>
  <c r="O82" i="4"/>
  <c r="N82" i="4"/>
  <c r="M82" i="4"/>
  <c r="L82" i="4"/>
  <c r="V81" i="4"/>
  <c r="P81" i="4"/>
  <c r="O81" i="4"/>
  <c r="Q81" i="4" s="1"/>
  <c r="G82" i="10" s="1"/>
  <c r="N81" i="4"/>
  <c r="L81" i="4"/>
  <c r="M81" i="4" s="1"/>
  <c r="V80" i="4"/>
  <c r="O80" i="4"/>
  <c r="Q80" i="4" s="1"/>
  <c r="G81" i="10" s="1"/>
  <c r="N80" i="4"/>
  <c r="V79" i="4"/>
  <c r="Q79" i="4"/>
  <c r="G80" i="10" s="1"/>
  <c r="P79" i="4"/>
  <c r="O79" i="4"/>
  <c r="N79" i="4"/>
  <c r="M79" i="4"/>
  <c r="L79" i="4"/>
  <c r="V78" i="4"/>
  <c r="Q78" i="4"/>
  <c r="G79" i="10" s="1"/>
  <c r="P78" i="4"/>
  <c r="O78" i="4"/>
  <c r="N78" i="4"/>
  <c r="M78" i="4"/>
  <c r="L78" i="4"/>
  <c r="V77" i="4"/>
  <c r="P77" i="4"/>
  <c r="O77" i="4"/>
  <c r="Q77" i="4" s="1"/>
  <c r="G78" i="10" s="1"/>
  <c r="N77" i="4"/>
  <c r="L77" i="4"/>
  <c r="M77" i="4" s="1"/>
  <c r="V76" i="4"/>
  <c r="O76" i="4"/>
  <c r="Q76" i="4" s="1"/>
  <c r="G77" i="10" s="1"/>
  <c r="N76" i="4"/>
  <c r="V75" i="4"/>
  <c r="Q75" i="4"/>
  <c r="G76" i="10" s="1"/>
  <c r="P75" i="4"/>
  <c r="O75" i="4"/>
  <c r="N75" i="4"/>
  <c r="M75" i="4"/>
  <c r="L75" i="4"/>
  <c r="V74" i="4"/>
  <c r="U74" i="4"/>
  <c r="S74" i="4"/>
  <c r="P74" i="4"/>
  <c r="O74" i="4"/>
  <c r="Q74" i="4" s="1"/>
  <c r="G75" i="10" s="1"/>
  <c r="N74" i="4"/>
  <c r="L74" i="4"/>
  <c r="M74" i="4" s="1"/>
  <c r="V73" i="4"/>
  <c r="O73" i="4"/>
  <c r="Q73" i="4" s="1"/>
  <c r="G74" i="10" s="1"/>
  <c r="N73" i="4"/>
  <c r="V72" i="4"/>
  <c r="Q72" i="4"/>
  <c r="G73" i="10" s="1"/>
  <c r="P72" i="4"/>
  <c r="O72" i="4"/>
  <c r="N72" i="4"/>
  <c r="M72" i="4"/>
  <c r="L72" i="4"/>
  <c r="V71" i="4"/>
  <c r="Q71" i="4"/>
  <c r="G72" i="10" s="1"/>
  <c r="P71" i="4"/>
  <c r="O71" i="4"/>
  <c r="N71" i="4"/>
  <c r="M71" i="4"/>
  <c r="L71" i="4"/>
  <c r="V70" i="4"/>
  <c r="P70" i="4"/>
  <c r="O70" i="4"/>
  <c r="Q70" i="4" s="1"/>
  <c r="G71" i="10" s="1"/>
  <c r="N70" i="4"/>
  <c r="L70" i="4"/>
  <c r="M70" i="4" s="1"/>
  <c r="V69" i="4"/>
  <c r="O69" i="4"/>
  <c r="Q69" i="4" s="1"/>
  <c r="G70" i="10" s="1"/>
  <c r="N69" i="4"/>
  <c r="V68" i="4"/>
  <c r="Q68" i="4"/>
  <c r="G69" i="10" s="1"/>
  <c r="P68" i="4"/>
  <c r="O68" i="4"/>
  <c r="N68" i="4"/>
  <c r="M68" i="4"/>
  <c r="L68" i="4"/>
  <c r="V67" i="4"/>
  <c r="Q67" i="4"/>
  <c r="G68" i="10" s="1"/>
  <c r="P67" i="4"/>
  <c r="O67" i="4"/>
  <c r="N67" i="4"/>
  <c r="M67" i="4"/>
  <c r="L67" i="4"/>
  <c r="V66" i="4"/>
  <c r="P66" i="4"/>
  <c r="O66" i="4"/>
  <c r="Q66" i="4" s="1"/>
  <c r="G67" i="10" s="1"/>
  <c r="N66" i="4"/>
  <c r="L66" i="4"/>
  <c r="M66" i="4" s="1"/>
  <c r="V65" i="4"/>
  <c r="O65" i="4"/>
  <c r="Q65" i="4" s="1"/>
  <c r="G66" i="10" s="1"/>
  <c r="N65" i="4"/>
  <c r="V64" i="4"/>
  <c r="Q64" i="4"/>
  <c r="G65" i="10" s="1"/>
  <c r="P64" i="4"/>
  <c r="O64" i="4"/>
  <c r="N64" i="4"/>
  <c r="M64" i="4"/>
  <c r="L64" i="4"/>
  <c r="V63" i="4"/>
  <c r="Q63" i="4"/>
  <c r="G64" i="10" s="1"/>
  <c r="P63" i="4"/>
  <c r="O63" i="4"/>
  <c r="N63" i="4"/>
  <c r="M63" i="4"/>
  <c r="L63" i="4"/>
  <c r="V62" i="4"/>
  <c r="P62" i="4"/>
  <c r="O62" i="4"/>
  <c r="Q62" i="4" s="1"/>
  <c r="G63" i="10" s="1"/>
  <c r="N62" i="4"/>
  <c r="L62" i="4"/>
  <c r="M62" i="4" s="1"/>
  <c r="V61" i="4"/>
  <c r="O61" i="4"/>
  <c r="Q61" i="4" s="1"/>
  <c r="G62" i="10" s="1"/>
  <c r="N61" i="4"/>
  <c r="V60" i="4"/>
  <c r="Q60" i="4"/>
  <c r="G61" i="10" s="1"/>
  <c r="P60" i="4"/>
  <c r="O60" i="4"/>
  <c r="N60" i="4"/>
  <c r="M60" i="4"/>
  <c r="L60" i="4"/>
  <c r="V59" i="4"/>
  <c r="Q59" i="4"/>
  <c r="G60" i="10" s="1"/>
  <c r="P59" i="4"/>
  <c r="O59" i="4"/>
  <c r="N59" i="4"/>
  <c r="M59" i="4"/>
  <c r="L59" i="4"/>
  <c r="V58" i="4"/>
  <c r="P58" i="4"/>
  <c r="O58" i="4"/>
  <c r="Q58" i="4" s="1"/>
  <c r="G59" i="10" s="1"/>
  <c r="N58" i="4"/>
  <c r="L58" i="4"/>
  <c r="M58" i="4" s="1"/>
  <c r="V57" i="4"/>
  <c r="O57" i="4"/>
  <c r="Q57" i="4" s="1"/>
  <c r="G58" i="10" s="1"/>
  <c r="N57" i="4"/>
  <c r="V56" i="4"/>
  <c r="Q56" i="4"/>
  <c r="G57" i="10" s="1"/>
  <c r="P56" i="4"/>
  <c r="O56" i="4"/>
  <c r="N56" i="4"/>
  <c r="M56" i="4"/>
  <c r="L56" i="4"/>
  <c r="V55" i="4"/>
  <c r="Q55" i="4"/>
  <c r="G56" i="10" s="1"/>
  <c r="P55" i="4"/>
  <c r="O55" i="4"/>
  <c r="N55" i="4"/>
  <c r="M55" i="4"/>
  <c r="L55" i="4"/>
  <c r="V54" i="4"/>
  <c r="P54" i="4"/>
  <c r="O54" i="4"/>
  <c r="Q54" i="4" s="1"/>
  <c r="G55" i="10" s="1"/>
  <c r="N54" i="4"/>
  <c r="L54" i="4"/>
  <c r="M54" i="4" s="1"/>
  <c r="V53" i="4"/>
  <c r="O53" i="4"/>
  <c r="Q53" i="4" s="1"/>
  <c r="G54" i="10" s="1"/>
  <c r="N53" i="4"/>
  <c r="V52" i="4"/>
  <c r="Q52" i="4"/>
  <c r="G53" i="10" s="1"/>
  <c r="P52" i="4"/>
  <c r="O52" i="4"/>
  <c r="N52" i="4"/>
  <c r="M52" i="4"/>
  <c r="L52" i="4"/>
  <c r="V51" i="4"/>
  <c r="Q51" i="4"/>
  <c r="G52" i="10" s="1"/>
  <c r="P51" i="4"/>
  <c r="O51" i="4"/>
  <c r="N51" i="4"/>
  <c r="M51" i="4"/>
  <c r="L51" i="4"/>
  <c r="V50" i="4"/>
  <c r="O50" i="4"/>
  <c r="Q50" i="4" s="1"/>
  <c r="G51" i="10" s="1"/>
  <c r="N50" i="4"/>
  <c r="L50" i="4"/>
  <c r="M50" i="4" s="1"/>
  <c r="V49" i="4"/>
  <c r="O49" i="4"/>
  <c r="Q49" i="4" s="1"/>
  <c r="G50" i="10" s="1"/>
  <c r="N49" i="4"/>
  <c r="V48" i="4"/>
  <c r="Q48" i="4"/>
  <c r="G49" i="10" s="1"/>
  <c r="P48" i="4"/>
  <c r="O48" i="4"/>
  <c r="N48" i="4"/>
  <c r="M48" i="4"/>
  <c r="L48" i="4"/>
  <c r="V47" i="4"/>
  <c r="Q47" i="4"/>
  <c r="G48" i="10" s="1"/>
  <c r="P47" i="4"/>
  <c r="O47" i="4"/>
  <c r="N47" i="4"/>
  <c r="L47" i="4"/>
  <c r="M47" i="4" s="1"/>
  <c r="V46" i="4"/>
  <c r="O46" i="4"/>
  <c r="Q46" i="4" s="1"/>
  <c r="G47" i="10" s="1"/>
  <c r="N46" i="4"/>
  <c r="V45" i="4"/>
  <c r="O45" i="4"/>
  <c r="Q45" i="4" s="1"/>
  <c r="G46" i="10" s="1"/>
  <c r="N45" i="4"/>
  <c r="V44" i="4"/>
  <c r="Q44" i="4"/>
  <c r="G45" i="10" s="1"/>
  <c r="P44" i="4"/>
  <c r="O44" i="4"/>
  <c r="N44" i="4"/>
  <c r="M44" i="4"/>
  <c r="L44" i="4"/>
  <c r="V43" i="4"/>
  <c r="Q43" i="4"/>
  <c r="G44" i="10" s="1"/>
  <c r="P43" i="4"/>
  <c r="O43" i="4"/>
  <c r="N43" i="4"/>
  <c r="L43" i="4"/>
  <c r="M43" i="4" s="1"/>
  <c r="V42" i="4"/>
  <c r="O42" i="4"/>
  <c r="Q42" i="4" s="1"/>
  <c r="G43" i="10" s="1"/>
  <c r="N42" i="4"/>
  <c r="V41" i="4"/>
  <c r="O41" i="4"/>
  <c r="Q41" i="4" s="1"/>
  <c r="G42" i="10" s="1"/>
  <c r="N41" i="4"/>
  <c r="V40" i="4"/>
  <c r="Q40" i="4"/>
  <c r="G41" i="10" s="1"/>
  <c r="P40" i="4"/>
  <c r="O40" i="4"/>
  <c r="N40" i="4"/>
  <c r="M40" i="4"/>
  <c r="L40" i="4"/>
  <c r="V39" i="4"/>
  <c r="Q39" i="4"/>
  <c r="G40" i="10" s="1"/>
  <c r="P39" i="4"/>
  <c r="O39" i="4"/>
  <c r="N39" i="4"/>
  <c r="L39" i="4"/>
  <c r="M39" i="4" s="1"/>
  <c r="V38" i="4"/>
  <c r="O38" i="4"/>
  <c r="Q38" i="4" s="1"/>
  <c r="G39" i="10" s="1"/>
  <c r="N38" i="4"/>
  <c r="V37" i="4"/>
  <c r="O37" i="4"/>
  <c r="Q37" i="4" s="1"/>
  <c r="G38" i="10" s="1"/>
  <c r="N37" i="4"/>
  <c r="V36" i="4"/>
  <c r="Q36" i="4"/>
  <c r="G37" i="10" s="1"/>
  <c r="P36" i="4"/>
  <c r="O36" i="4"/>
  <c r="N36" i="4"/>
  <c r="M36" i="4"/>
  <c r="L36" i="4"/>
  <c r="V35" i="4"/>
  <c r="Q35" i="4"/>
  <c r="G36" i="10" s="1"/>
  <c r="P35" i="4"/>
  <c r="O35" i="4"/>
  <c r="N35" i="4"/>
  <c r="L35" i="4"/>
  <c r="M35" i="4" s="1"/>
  <c r="V34" i="4"/>
  <c r="O34" i="4"/>
  <c r="Q34" i="4" s="1"/>
  <c r="G35" i="10" s="1"/>
  <c r="N34" i="4"/>
  <c r="V33" i="4"/>
  <c r="O33" i="4"/>
  <c r="Q33" i="4" s="1"/>
  <c r="G34" i="10" s="1"/>
  <c r="N33" i="4"/>
  <c r="V32" i="4"/>
  <c r="Q32" i="4"/>
  <c r="G33" i="10" s="1"/>
  <c r="P32" i="4"/>
  <c r="O32" i="4"/>
  <c r="N32" i="4"/>
  <c r="M32" i="4"/>
  <c r="L32" i="4"/>
  <c r="V31" i="4"/>
  <c r="Q31" i="4"/>
  <c r="G32" i="10" s="1"/>
  <c r="P31" i="4"/>
  <c r="O31" i="4"/>
  <c r="N31" i="4"/>
  <c r="L31" i="4"/>
  <c r="M31" i="4" s="1"/>
  <c r="V30" i="4"/>
  <c r="O30" i="4"/>
  <c r="Q30" i="4" s="1"/>
  <c r="G31" i="10" s="1"/>
  <c r="N30" i="4"/>
  <c r="V29" i="4"/>
  <c r="O29" i="4"/>
  <c r="Q29" i="4" s="1"/>
  <c r="G30" i="10" s="1"/>
  <c r="N29" i="4"/>
  <c r="V28" i="4"/>
  <c r="U28" i="4"/>
  <c r="O28" i="4"/>
  <c r="T28" i="4" s="1"/>
  <c r="N28" i="4"/>
  <c r="V27" i="4"/>
  <c r="O27" i="4"/>
  <c r="Q27" i="4" s="1"/>
  <c r="G28" i="10" s="1"/>
  <c r="N27" i="4"/>
  <c r="V26" i="4"/>
  <c r="Q26" i="4"/>
  <c r="G27" i="10" s="1"/>
  <c r="P26" i="4"/>
  <c r="O26" i="4"/>
  <c r="N26" i="4"/>
  <c r="M26" i="4"/>
  <c r="L26" i="4"/>
  <c r="V25" i="4"/>
  <c r="Q25" i="4"/>
  <c r="G26" i="10" s="1"/>
  <c r="P25" i="4"/>
  <c r="O25" i="4"/>
  <c r="N25" i="4"/>
  <c r="L25" i="4"/>
  <c r="M25" i="4" s="1"/>
  <c r="V24" i="4"/>
  <c r="O24" i="4"/>
  <c r="Q24" i="4" s="1"/>
  <c r="G25" i="10" s="1"/>
  <c r="N24" i="4"/>
  <c r="V23" i="4"/>
  <c r="O23" i="4"/>
  <c r="Q23" i="4" s="1"/>
  <c r="G24" i="10" s="1"/>
  <c r="N23" i="4"/>
  <c r="V22" i="4"/>
  <c r="Q22" i="4"/>
  <c r="G23" i="10" s="1"/>
  <c r="P22" i="4"/>
  <c r="O22" i="4"/>
  <c r="N22" i="4"/>
  <c r="M22" i="4"/>
  <c r="L22" i="4"/>
  <c r="V21" i="4"/>
  <c r="Q21" i="4"/>
  <c r="G22" i="10" s="1"/>
  <c r="P21" i="4"/>
  <c r="O21" i="4"/>
  <c r="N21" i="4"/>
  <c r="L21" i="4"/>
  <c r="M21" i="4" s="1"/>
  <c r="V20" i="4"/>
  <c r="O20" i="4"/>
  <c r="Q20" i="4" s="1"/>
  <c r="G21" i="10" s="1"/>
  <c r="N20" i="4"/>
  <c r="V19" i="4"/>
  <c r="O19" i="4"/>
  <c r="Q19" i="4" s="1"/>
  <c r="G20" i="10" s="1"/>
  <c r="N19" i="4"/>
  <c r="V18" i="4"/>
  <c r="Q18" i="4"/>
  <c r="G19" i="10" s="1"/>
  <c r="P18" i="4"/>
  <c r="O18" i="4"/>
  <c r="N18" i="4"/>
  <c r="M18" i="4"/>
  <c r="L18" i="4"/>
  <c r="V17" i="4"/>
  <c r="Q17" i="4"/>
  <c r="G18" i="10" s="1"/>
  <c r="P17" i="4"/>
  <c r="O17" i="4"/>
  <c r="N17" i="4"/>
  <c r="L17" i="4"/>
  <c r="M17" i="4" s="1"/>
  <c r="V16" i="4"/>
  <c r="O16" i="4"/>
  <c r="Q16" i="4" s="1"/>
  <c r="G17" i="10" s="1"/>
  <c r="N16" i="4"/>
  <c r="V15" i="4"/>
  <c r="O15" i="4"/>
  <c r="Q15" i="4" s="1"/>
  <c r="G16" i="10" s="1"/>
  <c r="N15" i="4"/>
  <c r="V14" i="4"/>
  <c r="Q14" i="4"/>
  <c r="G15" i="10" s="1"/>
  <c r="P14" i="4"/>
  <c r="O14" i="4"/>
  <c r="N14" i="4"/>
  <c r="M14" i="4"/>
  <c r="L14" i="4"/>
  <c r="V13" i="4"/>
  <c r="Q13" i="4"/>
  <c r="G14" i="10" s="1"/>
  <c r="P13" i="4"/>
  <c r="O13" i="4"/>
  <c r="N13" i="4"/>
  <c r="L13" i="4"/>
  <c r="M13" i="4" s="1"/>
  <c r="V12" i="4"/>
  <c r="O12" i="4"/>
  <c r="Q12" i="4" s="1"/>
  <c r="G13" i="10" s="1"/>
  <c r="N12" i="4"/>
  <c r="V11" i="4"/>
  <c r="O11" i="4"/>
  <c r="Q11" i="4" s="1"/>
  <c r="G12" i="10" s="1"/>
  <c r="N11" i="4"/>
  <c r="V10" i="4"/>
  <c r="Q10" i="4"/>
  <c r="G11" i="10" s="1"/>
  <c r="P10" i="4"/>
  <c r="O10" i="4"/>
  <c r="N10" i="4"/>
  <c r="M10" i="4"/>
  <c r="L10" i="4"/>
  <c r="V9" i="4"/>
  <c r="Q9" i="4"/>
  <c r="G10" i="10" s="1"/>
  <c r="P9" i="4"/>
  <c r="O9" i="4"/>
  <c r="N9" i="4"/>
  <c r="L9" i="4"/>
  <c r="M9" i="4" s="1"/>
  <c r="V8" i="4"/>
  <c r="O8" i="4"/>
  <c r="Q8" i="4" s="1"/>
  <c r="G9" i="10" s="1"/>
  <c r="N8" i="4"/>
  <c r="V7" i="4"/>
  <c r="O7" i="4"/>
  <c r="Q7" i="4" s="1"/>
  <c r="G8" i="10" s="1"/>
  <c r="N7" i="4"/>
  <c r="V6" i="4"/>
  <c r="Q6" i="4"/>
  <c r="G7" i="10" s="1"/>
  <c r="P6" i="4"/>
  <c r="O6" i="4"/>
  <c r="N6" i="4"/>
  <c r="M6" i="4"/>
  <c r="L6" i="4"/>
  <c r="V5" i="4"/>
  <c r="Q5" i="4"/>
  <c r="G6" i="10" s="1"/>
  <c r="P5" i="4"/>
  <c r="O5" i="4"/>
  <c r="N5" i="4"/>
  <c r="L5" i="4"/>
  <c r="M5" i="4" s="1"/>
  <c r="V4" i="4"/>
  <c r="O4" i="4"/>
  <c r="Q4" i="4" s="1"/>
  <c r="G5" i="10" s="1"/>
  <c r="N4" i="4"/>
  <c r="V3" i="4"/>
  <c r="O3" i="4"/>
  <c r="Q3" i="4" s="1"/>
  <c r="G4" i="10" s="1"/>
  <c r="N3" i="4"/>
  <c r="V2" i="4"/>
  <c r="Q2" i="4"/>
  <c r="G3" i="10" s="1"/>
  <c r="P2" i="4"/>
  <c r="O2" i="4"/>
  <c r="N2" i="4"/>
  <c r="M2" i="4"/>
  <c r="L2" i="4"/>
  <c r="AD466" i="3"/>
  <c r="Y466" i="3"/>
  <c r="Z466" i="3" s="1"/>
  <c r="X466" i="3"/>
  <c r="W466" i="3"/>
  <c r="V466" i="3"/>
  <c r="U466" i="3"/>
  <c r="T466" i="3"/>
  <c r="R466" i="3"/>
  <c r="S466" i="3" s="1"/>
  <c r="AD465" i="3"/>
  <c r="Z465" i="3"/>
  <c r="Y465" i="3"/>
  <c r="X465" i="3"/>
  <c r="W465" i="3"/>
  <c r="V465" i="3"/>
  <c r="U465" i="3"/>
  <c r="T465" i="3"/>
  <c r="R465" i="3" s="1"/>
  <c r="S465" i="3" s="1"/>
  <c r="AD464" i="3"/>
  <c r="Y464" i="3"/>
  <c r="Z464" i="3" s="1"/>
  <c r="X464" i="3"/>
  <c r="W464" i="3"/>
  <c r="V464" i="3"/>
  <c r="U464" i="3"/>
  <c r="T464" i="3"/>
  <c r="R464" i="3"/>
  <c r="S464" i="3" s="1"/>
  <c r="AD463" i="3"/>
  <c r="Z463" i="3"/>
  <c r="Y463" i="3"/>
  <c r="X463" i="3"/>
  <c r="W463" i="3"/>
  <c r="V463" i="3"/>
  <c r="U463" i="3"/>
  <c r="T463" i="3"/>
  <c r="R463" i="3" s="1"/>
  <c r="S463" i="3" s="1"/>
  <c r="AD462" i="3"/>
  <c r="Y462" i="3"/>
  <c r="Z462" i="3" s="1"/>
  <c r="X462" i="3"/>
  <c r="W462" i="3"/>
  <c r="V462" i="3"/>
  <c r="U462" i="3"/>
  <c r="T462" i="3"/>
  <c r="R462" i="3"/>
  <c r="S462" i="3" s="1"/>
  <c r="AD461" i="3"/>
  <c r="Z461" i="3"/>
  <c r="Y461" i="3"/>
  <c r="X461" i="3"/>
  <c r="W461" i="3"/>
  <c r="V461" i="3"/>
  <c r="U461" i="3"/>
  <c r="T461" i="3"/>
  <c r="R461" i="3" s="1"/>
  <c r="S461" i="3" s="1"/>
  <c r="AD460" i="3"/>
  <c r="Y460" i="3"/>
  <c r="Z460" i="3" s="1"/>
  <c r="X460" i="3"/>
  <c r="W460" i="3"/>
  <c r="V460" i="3"/>
  <c r="U460" i="3"/>
  <c r="T460" i="3"/>
  <c r="R460" i="3"/>
  <c r="S460" i="3" s="1"/>
  <c r="AD459" i="3"/>
  <c r="Z459" i="3"/>
  <c r="Y459" i="3"/>
  <c r="X459" i="3"/>
  <c r="W459" i="3"/>
  <c r="V459" i="3"/>
  <c r="U459" i="3"/>
  <c r="T459" i="3"/>
  <c r="R459" i="3" s="1"/>
  <c r="S459" i="3" s="1"/>
  <c r="AD458" i="3"/>
  <c r="Y458" i="3"/>
  <c r="Z458" i="3" s="1"/>
  <c r="X458" i="3"/>
  <c r="W458" i="3"/>
  <c r="V458" i="3"/>
  <c r="U458" i="3"/>
  <c r="T458" i="3"/>
  <c r="R458" i="3"/>
  <c r="S458" i="3" s="1"/>
  <c r="AD457" i="3"/>
  <c r="Z457" i="3"/>
  <c r="Y457" i="3"/>
  <c r="X457" i="3"/>
  <c r="W457" i="3"/>
  <c r="V457" i="3"/>
  <c r="U457" i="3"/>
  <c r="T457" i="3"/>
  <c r="R457" i="3" s="1"/>
  <c r="S457" i="3" s="1"/>
  <c r="AD456" i="3"/>
  <c r="Y456" i="3"/>
  <c r="Z456" i="3" s="1"/>
  <c r="X456" i="3"/>
  <c r="W456" i="3"/>
  <c r="V456" i="3"/>
  <c r="U456" i="3"/>
  <c r="T456" i="3"/>
  <c r="R456" i="3"/>
  <c r="S456" i="3" s="1"/>
  <c r="AD455" i="3"/>
  <c r="Z455" i="3"/>
  <c r="Y455" i="3"/>
  <c r="X455" i="3"/>
  <c r="W455" i="3"/>
  <c r="V455" i="3"/>
  <c r="U455" i="3"/>
  <c r="T455" i="3"/>
  <c r="R455" i="3" s="1"/>
  <c r="S455" i="3" s="1"/>
  <c r="AD454" i="3"/>
  <c r="Y454" i="3"/>
  <c r="Z454" i="3" s="1"/>
  <c r="X454" i="3"/>
  <c r="W454" i="3"/>
  <c r="V454" i="3"/>
  <c r="U454" i="3"/>
  <c r="T454" i="3"/>
  <c r="R454" i="3"/>
  <c r="S454" i="3" s="1"/>
  <c r="AD453" i="3"/>
  <c r="Z453" i="3"/>
  <c r="Y453" i="3"/>
  <c r="X453" i="3"/>
  <c r="W453" i="3"/>
  <c r="V453" i="3"/>
  <c r="U453" i="3"/>
  <c r="T453" i="3"/>
  <c r="R453" i="3" s="1"/>
  <c r="S453" i="3" s="1"/>
  <c r="AD452" i="3"/>
  <c r="Y452" i="3"/>
  <c r="Z452" i="3" s="1"/>
  <c r="X452" i="3"/>
  <c r="W452" i="3"/>
  <c r="V452" i="3"/>
  <c r="U452" i="3"/>
  <c r="T452" i="3"/>
  <c r="R452" i="3"/>
  <c r="S452" i="3" s="1"/>
  <c r="AD451" i="3"/>
  <c r="Z451" i="3"/>
  <c r="Y451" i="3"/>
  <c r="X451" i="3"/>
  <c r="W451" i="3"/>
  <c r="V451" i="3"/>
  <c r="U451" i="3"/>
  <c r="T451" i="3"/>
  <c r="R451" i="3" s="1"/>
  <c r="S451" i="3" s="1"/>
  <c r="AD450" i="3"/>
  <c r="Y450" i="3"/>
  <c r="Z450" i="3" s="1"/>
  <c r="X450" i="3"/>
  <c r="W450" i="3"/>
  <c r="V450" i="3"/>
  <c r="U450" i="3"/>
  <c r="T450" i="3"/>
  <c r="R450" i="3"/>
  <c r="S450" i="3" s="1"/>
  <c r="AD449" i="3"/>
  <c r="Z449" i="3"/>
  <c r="Y449" i="3"/>
  <c r="X449" i="3"/>
  <c r="W449" i="3"/>
  <c r="V449" i="3"/>
  <c r="U449" i="3"/>
  <c r="T449" i="3"/>
  <c r="R449" i="3" s="1"/>
  <c r="S449" i="3" s="1"/>
  <c r="AD448" i="3"/>
  <c r="Y448" i="3"/>
  <c r="Z448" i="3" s="1"/>
  <c r="X448" i="3"/>
  <c r="W448" i="3"/>
  <c r="V448" i="3"/>
  <c r="U448" i="3"/>
  <c r="T448" i="3"/>
  <c r="R448" i="3"/>
  <c r="S448" i="3" s="1"/>
  <c r="AD447" i="3"/>
  <c r="Z447" i="3"/>
  <c r="Y447" i="3"/>
  <c r="X447" i="3"/>
  <c r="W447" i="3"/>
  <c r="V447" i="3"/>
  <c r="U447" i="3"/>
  <c r="T447" i="3"/>
  <c r="R447" i="3" s="1"/>
  <c r="S447" i="3" s="1"/>
  <c r="AD446" i="3"/>
  <c r="Y446" i="3"/>
  <c r="Z446" i="3" s="1"/>
  <c r="X446" i="3"/>
  <c r="W446" i="3"/>
  <c r="V446" i="3"/>
  <c r="U446" i="3"/>
  <c r="T446" i="3"/>
  <c r="R446" i="3"/>
  <c r="S446" i="3" s="1"/>
  <c r="AD445" i="3"/>
  <c r="Z445" i="3"/>
  <c r="Y445" i="3"/>
  <c r="X445" i="3"/>
  <c r="W445" i="3"/>
  <c r="V445" i="3"/>
  <c r="U445" i="3"/>
  <c r="T445" i="3"/>
  <c r="R445" i="3" s="1"/>
  <c r="S445" i="3" s="1"/>
  <c r="AD444" i="3"/>
  <c r="Z444" i="3"/>
  <c r="Y444" i="3"/>
  <c r="X444" i="3"/>
  <c r="W444" i="3"/>
  <c r="V444" i="3"/>
  <c r="U444" i="3"/>
  <c r="T444" i="3"/>
  <c r="R444" i="3"/>
  <c r="S444" i="3" s="1"/>
  <c r="AD443" i="3"/>
  <c r="Z443" i="3"/>
  <c r="Y443" i="3"/>
  <c r="X443" i="3"/>
  <c r="W443" i="3"/>
  <c r="V443" i="3"/>
  <c r="U443" i="3"/>
  <c r="T443" i="3"/>
  <c r="R443" i="3" s="1"/>
  <c r="S443" i="3" s="1"/>
  <c r="AD442" i="3"/>
  <c r="Z442" i="3"/>
  <c r="Y442" i="3"/>
  <c r="X442" i="3"/>
  <c r="W442" i="3"/>
  <c r="V442" i="3"/>
  <c r="U442" i="3"/>
  <c r="T442" i="3"/>
  <c r="R442" i="3"/>
  <c r="S442" i="3" s="1"/>
  <c r="AD441" i="3"/>
  <c r="Z441" i="3"/>
  <c r="Y441" i="3"/>
  <c r="X441" i="3"/>
  <c r="W441" i="3"/>
  <c r="V441" i="3"/>
  <c r="U441" i="3"/>
  <c r="T441" i="3"/>
  <c r="R441" i="3" s="1"/>
  <c r="S441" i="3" s="1"/>
  <c r="AD440" i="3"/>
  <c r="Z440" i="3"/>
  <c r="Y440" i="3"/>
  <c r="X440" i="3"/>
  <c r="W440" i="3"/>
  <c r="V440" i="3"/>
  <c r="U440" i="3"/>
  <c r="T440" i="3"/>
  <c r="R440" i="3"/>
  <c r="S440" i="3" s="1"/>
  <c r="AD439" i="3"/>
  <c r="Z439" i="3"/>
  <c r="Y439" i="3"/>
  <c r="X439" i="3"/>
  <c r="W439" i="3"/>
  <c r="V439" i="3"/>
  <c r="U439" i="3"/>
  <c r="T439" i="3"/>
  <c r="R439" i="3" s="1"/>
  <c r="S439" i="3" s="1"/>
  <c r="AD438" i="3"/>
  <c r="Z438" i="3"/>
  <c r="Y438" i="3"/>
  <c r="X438" i="3"/>
  <c r="W438" i="3"/>
  <c r="V438" i="3"/>
  <c r="U438" i="3"/>
  <c r="T438" i="3"/>
  <c r="R438" i="3"/>
  <c r="S438" i="3" s="1"/>
  <c r="AD437" i="3"/>
  <c r="Z437" i="3"/>
  <c r="Y437" i="3"/>
  <c r="X437" i="3"/>
  <c r="W437" i="3"/>
  <c r="V437" i="3"/>
  <c r="U437" i="3"/>
  <c r="T437" i="3"/>
  <c r="R437" i="3" s="1"/>
  <c r="S437" i="3" s="1"/>
  <c r="AD436" i="3"/>
  <c r="Z436" i="3"/>
  <c r="Y436" i="3"/>
  <c r="X436" i="3"/>
  <c r="W436" i="3"/>
  <c r="V436" i="3"/>
  <c r="U436" i="3"/>
  <c r="T436" i="3"/>
  <c r="R436" i="3"/>
  <c r="S436" i="3" s="1"/>
  <c r="AD435" i="3"/>
  <c r="Z435" i="3"/>
  <c r="Y435" i="3"/>
  <c r="X435" i="3"/>
  <c r="W435" i="3"/>
  <c r="V435" i="3"/>
  <c r="U435" i="3"/>
  <c r="T435" i="3"/>
  <c r="S435" i="3"/>
  <c r="R435" i="3"/>
  <c r="AD434" i="3"/>
  <c r="Y434" i="3"/>
  <c r="Z434" i="3" s="1"/>
  <c r="X434" i="3"/>
  <c r="W434" i="3"/>
  <c r="V434" i="3"/>
  <c r="U434" i="3"/>
  <c r="T434" i="3"/>
  <c r="R434" i="3" s="1"/>
  <c r="S434" i="3" s="1"/>
  <c r="AD433" i="3"/>
  <c r="Z433" i="3"/>
  <c r="Y433" i="3"/>
  <c r="X433" i="3"/>
  <c r="W433" i="3"/>
  <c r="V433" i="3"/>
  <c r="U433" i="3"/>
  <c r="T433" i="3"/>
  <c r="R433" i="3"/>
  <c r="S433" i="3" s="1"/>
  <c r="AD432" i="3"/>
  <c r="Y432" i="3"/>
  <c r="Z432" i="3" s="1"/>
  <c r="X432" i="3"/>
  <c r="W432" i="3"/>
  <c r="V432" i="3"/>
  <c r="U432" i="3"/>
  <c r="T432" i="3"/>
  <c r="R432" i="3" s="1"/>
  <c r="S432" i="3" s="1"/>
  <c r="AD431" i="3"/>
  <c r="Z431" i="3"/>
  <c r="Y431" i="3"/>
  <c r="X431" i="3"/>
  <c r="W431" i="3"/>
  <c r="V431" i="3"/>
  <c r="U431" i="3"/>
  <c r="T431" i="3"/>
  <c r="R431" i="3"/>
  <c r="S431" i="3" s="1"/>
  <c r="AD430" i="3"/>
  <c r="Y430" i="3"/>
  <c r="Z430" i="3" s="1"/>
  <c r="X430" i="3"/>
  <c r="W430" i="3"/>
  <c r="V430" i="3"/>
  <c r="U430" i="3"/>
  <c r="T430" i="3"/>
  <c r="R430" i="3"/>
  <c r="S430" i="3" s="1"/>
  <c r="AD429" i="3"/>
  <c r="Y429" i="3"/>
  <c r="Z429" i="3" s="1"/>
  <c r="X429" i="3"/>
  <c r="W429" i="3"/>
  <c r="V429" i="3"/>
  <c r="U429" i="3"/>
  <c r="T429" i="3"/>
  <c r="R429" i="3" s="1"/>
  <c r="S429" i="3" s="1"/>
  <c r="AD428" i="3"/>
  <c r="Y428" i="3"/>
  <c r="Z428" i="3" s="1"/>
  <c r="X428" i="3"/>
  <c r="W428" i="3"/>
  <c r="V428" i="3"/>
  <c r="U428" i="3"/>
  <c r="T428" i="3"/>
  <c r="R428" i="3"/>
  <c r="S428" i="3" s="1"/>
  <c r="AD427" i="3"/>
  <c r="Z427" i="3"/>
  <c r="Y427" i="3"/>
  <c r="X427" i="3"/>
  <c r="W427" i="3"/>
  <c r="V427" i="3"/>
  <c r="U427" i="3"/>
  <c r="T427" i="3"/>
  <c r="R427" i="3" s="1"/>
  <c r="S427" i="3" s="1"/>
  <c r="AD426" i="3"/>
  <c r="Z426" i="3"/>
  <c r="Y426" i="3"/>
  <c r="X426" i="3"/>
  <c r="W426" i="3"/>
  <c r="V426" i="3"/>
  <c r="U426" i="3"/>
  <c r="T426" i="3"/>
  <c r="R426" i="3"/>
  <c r="S426" i="3" s="1"/>
  <c r="AD425" i="3"/>
  <c r="Z425" i="3"/>
  <c r="Y425" i="3"/>
  <c r="X425" i="3"/>
  <c r="W425" i="3"/>
  <c r="V425" i="3"/>
  <c r="U425" i="3"/>
  <c r="T425" i="3"/>
  <c r="R425" i="3" s="1"/>
  <c r="S425" i="3" s="1"/>
  <c r="AD424" i="3"/>
  <c r="Z424" i="3"/>
  <c r="F425" i="10" s="1"/>
  <c r="Y424" i="3"/>
  <c r="X424" i="3"/>
  <c r="W424" i="3"/>
  <c r="V424" i="3"/>
  <c r="U424" i="3"/>
  <c r="T424" i="3"/>
  <c r="R424" i="3"/>
  <c r="S424" i="3" s="1"/>
  <c r="AD423" i="3"/>
  <c r="Z423" i="3"/>
  <c r="F424" i="10" s="1"/>
  <c r="Y423" i="3"/>
  <c r="X423" i="3"/>
  <c r="W423" i="3"/>
  <c r="V423" i="3"/>
  <c r="U423" i="3"/>
  <c r="T423" i="3"/>
  <c r="R423" i="3" s="1"/>
  <c r="S423" i="3" s="1"/>
  <c r="AD422" i="3"/>
  <c r="Z422" i="3"/>
  <c r="F423" i="10" s="1"/>
  <c r="Y422" i="3"/>
  <c r="X422" i="3"/>
  <c r="W422" i="3"/>
  <c r="V422" i="3"/>
  <c r="U422" i="3"/>
  <c r="T422" i="3"/>
  <c r="R422" i="3"/>
  <c r="S422" i="3" s="1"/>
  <c r="AD421" i="3"/>
  <c r="Z421" i="3"/>
  <c r="F422" i="10" s="1"/>
  <c r="Y421" i="3"/>
  <c r="X421" i="3"/>
  <c r="W421" i="3"/>
  <c r="V421" i="3"/>
  <c r="U421" i="3"/>
  <c r="T421" i="3"/>
  <c r="R421" i="3" s="1"/>
  <c r="S421" i="3" s="1"/>
  <c r="AD420" i="3"/>
  <c r="Z420" i="3"/>
  <c r="F421" i="10" s="1"/>
  <c r="Y420" i="3"/>
  <c r="X420" i="3"/>
  <c r="W420" i="3"/>
  <c r="V420" i="3"/>
  <c r="U420" i="3"/>
  <c r="T420" i="3"/>
  <c r="R420" i="3"/>
  <c r="S420" i="3" s="1"/>
  <c r="AD419" i="3"/>
  <c r="Z419" i="3"/>
  <c r="F420" i="10" s="1"/>
  <c r="Y419" i="3"/>
  <c r="X419" i="3"/>
  <c r="W419" i="3"/>
  <c r="V419" i="3"/>
  <c r="U419" i="3"/>
  <c r="T419" i="3"/>
  <c r="R419" i="3" s="1"/>
  <c r="S419" i="3" s="1"/>
  <c r="AD418" i="3"/>
  <c r="Z418" i="3"/>
  <c r="F419" i="10" s="1"/>
  <c r="Y418" i="3"/>
  <c r="X418" i="3"/>
  <c r="W418" i="3"/>
  <c r="V418" i="3"/>
  <c r="U418" i="3"/>
  <c r="T418" i="3"/>
  <c r="R418" i="3"/>
  <c r="S418" i="3" s="1"/>
  <c r="AD417" i="3"/>
  <c r="Z417" i="3"/>
  <c r="F418" i="10" s="1"/>
  <c r="Y417" i="3"/>
  <c r="X417" i="3"/>
  <c r="W417" i="3"/>
  <c r="V417" i="3"/>
  <c r="U417" i="3"/>
  <c r="T417" i="3"/>
  <c r="R417" i="3" s="1"/>
  <c r="S417" i="3" s="1"/>
  <c r="AD416" i="3"/>
  <c r="Z416" i="3"/>
  <c r="F417" i="10" s="1"/>
  <c r="Y416" i="3"/>
  <c r="X416" i="3"/>
  <c r="W416" i="3"/>
  <c r="V416" i="3"/>
  <c r="U416" i="3"/>
  <c r="T416" i="3"/>
  <c r="R416" i="3"/>
  <c r="S416" i="3" s="1"/>
  <c r="AD415" i="3"/>
  <c r="Z415" i="3"/>
  <c r="F416" i="10" s="1"/>
  <c r="Y415" i="3"/>
  <c r="X415" i="3"/>
  <c r="W415" i="3"/>
  <c r="V415" i="3"/>
  <c r="U415" i="3"/>
  <c r="T415" i="3"/>
  <c r="R415" i="3" s="1"/>
  <c r="S415" i="3" s="1"/>
  <c r="AD414" i="3"/>
  <c r="Z414" i="3"/>
  <c r="F415" i="10" s="1"/>
  <c r="Y414" i="3"/>
  <c r="X414" i="3"/>
  <c r="W414" i="3"/>
  <c r="V414" i="3"/>
  <c r="U414" i="3"/>
  <c r="T414" i="3"/>
  <c r="R414" i="3"/>
  <c r="S414" i="3" s="1"/>
  <c r="AD413" i="3"/>
  <c r="Z413" i="3"/>
  <c r="F414" i="10" s="1"/>
  <c r="Y413" i="3"/>
  <c r="X413" i="3"/>
  <c r="W413" i="3"/>
  <c r="V413" i="3"/>
  <c r="U413" i="3"/>
  <c r="T413" i="3"/>
  <c r="R413" i="3" s="1"/>
  <c r="S413" i="3" s="1"/>
  <c r="AD412" i="3"/>
  <c r="Z412" i="3"/>
  <c r="F413" i="10" s="1"/>
  <c r="Y412" i="3"/>
  <c r="X412" i="3"/>
  <c r="W412" i="3"/>
  <c r="V412" i="3"/>
  <c r="U412" i="3"/>
  <c r="T412" i="3"/>
  <c r="R412" i="3"/>
  <c r="S412" i="3" s="1"/>
  <c r="AD411" i="3"/>
  <c r="Z411" i="3"/>
  <c r="F412" i="10" s="1"/>
  <c r="Y411" i="3"/>
  <c r="X411" i="3"/>
  <c r="W411" i="3"/>
  <c r="V411" i="3"/>
  <c r="U411" i="3"/>
  <c r="T411" i="3"/>
  <c r="R411" i="3" s="1"/>
  <c r="S411" i="3" s="1"/>
  <c r="AD410" i="3"/>
  <c r="Z410" i="3"/>
  <c r="F411" i="10" s="1"/>
  <c r="Y410" i="3"/>
  <c r="X410" i="3"/>
  <c r="W410" i="3"/>
  <c r="V410" i="3"/>
  <c r="U410" i="3"/>
  <c r="T410" i="3"/>
  <c r="R410" i="3"/>
  <c r="S410" i="3" s="1"/>
  <c r="AD409" i="3"/>
  <c r="Z409" i="3"/>
  <c r="F410" i="10" s="1"/>
  <c r="Y409" i="3"/>
  <c r="X409" i="3"/>
  <c r="W409" i="3"/>
  <c r="V409" i="3"/>
  <c r="U409" i="3"/>
  <c r="T409" i="3"/>
  <c r="R409" i="3" s="1"/>
  <c r="S409" i="3" s="1"/>
  <c r="AD408" i="3"/>
  <c r="Z408" i="3"/>
  <c r="F409" i="10" s="1"/>
  <c r="Y408" i="3"/>
  <c r="X408" i="3"/>
  <c r="W408" i="3"/>
  <c r="V408" i="3"/>
  <c r="U408" i="3"/>
  <c r="T408" i="3"/>
  <c r="R408" i="3"/>
  <c r="S408" i="3" s="1"/>
  <c r="AD407" i="3"/>
  <c r="Z407" i="3"/>
  <c r="F408" i="10" s="1"/>
  <c r="Y407" i="3"/>
  <c r="X407" i="3"/>
  <c r="W407" i="3"/>
  <c r="V407" i="3"/>
  <c r="U407" i="3"/>
  <c r="T407" i="3"/>
  <c r="R407" i="3" s="1"/>
  <c r="S407" i="3" s="1"/>
  <c r="AD406" i="3"/>
  <c r="Z406" i="3"/>
  <c r="F407" i="10" s="1"/>
  <c r="Y406" i="3"/>
  <c r="X406" i="3"/>
  <c r="W406" i="3"/>
  <c r="V406" i="3"/>
  <c r="U406" i="3"/>
  <c r="T406" i="3"/>
  <c r="R406" i="3"/>
  <c r="S406" i="3" s="1"/>
  <c r="AD405" i="3"/>
  <c r="Z405" i="3"/>
  <c r="F406" i="10" s="1"/>
  <c r="Y405" i="3"/>
  <c r="X405" i="3"/>
  <c r="W405" i="3"/>
  <c r="V405" i="3"/>
  <c r="U405" i="3"/>
  <c r="T405" i="3"/>
  <c r="R405" i="3" s="1"/>
  <c r="S405" i="3" s="1"/>
  <c r="AD404" i="3"/>
  <c r="Z404" i="3"/>
  <c r="F405" i="10" s="1"/>
  <c r="Y404" i="3"/>
  <c r="X404" i="3"/>
  <c r="W404" i="3"/>
  <c r="V404" i="3"/>
  <c r="U404" i="3"/>
  <c r="T404" i="3"/>
  <c r="R404" i="3"/>
  <c r="S404" i="3" s="1"/>
  <c r="AD403" i="3"/>
  <c r="Z403" i="3"/>
  <c r="F404" i="10" s="1"/>
  <c r="Y403" i="3"/>
  <c r="X403" i="3"/>
  <c r="W403" i="3"/>
  <c r="V403" i="3"/>
  <c r="U403" i="3"/>
  <c r="T403" i="3"/>
  <c r="R403" i="3" s="1"/>
  <c r="S403" i="3" s="1"/>
  <c r="AD402" i="3"/>
  <c r="Z402" i="3"/>
  <c r="F403" i="10" s="1"/>
  <c r="Y402" i="3"/>
  <c r="X402" i="3"/>
  <c r="W402" i="3"/>
  <c r="V402" i="3"/>
  <c r="U402" i="3"/>
  <c r="T402" i="3"/>
  <c r="R402" i="3"/>
  <c r="S402" i="3" s="1"/>
  <c r="AD401" i="3"/>
  <c r="Z401" i="3"/>
  <c r="F402" i="10" s="1"/>
  <c r="Y401" i="3"/>
  <c r="X401" i="3"/>
  <c r="W401" i="3"/>
  <c r="V401" i="3"/>
  <c r="U401" i="3"/>
  <c r="T401" i="3"/>
  <c r="R401" i="3" s="1"/>
  <c r="S401" i="3" s="1"/>
  <c r="AD400" i="3"/>
  <c r="Z400" i="3"/>
  <c r="F401" i="10" s="1"/>
  <c r="Y400" i="3"/>
  <c r="X400" i="3"/>
  <c r="W400" i="3"/>
  <c r="V400" i="3"/>
  <c r="U400" i="3"/>
  <c r="T400" i="3"/>
  <c r="R400" i="3"/>
  <c r="S400" i="3" s="1"/>
  <c r="AD399" i="3"/>
  <c r="Z399" i="3"/>
  <c r="F400" i="10" s="1"/>
  <c r="Y399" i="3"/>
  <c r="X399" i="3"/>
  <c r="W399" i="3"/>
  <c r="V399" i="3"/>
  <c r="U399" i="3"/>
  <c r="T399" i="3"/>
  <c r="R399" i="3" s="1"/>
  <c r="S399" i="3" s="1"/>
  <c r="AD398" i="3"/>
  <c r="Z398" i="3"/>
  <c r="F399" i="10" s="1"/>
  <c r="Y398" i="3"/>
  <c r="X398" i="3"/>
  <c r="W398" i="3"/>
  <c r="V398" i="3"/>
  <c r="U398" i="3"/>
  <c r="T398" i="3"/>
  <c r="R398" i="3"/>
  <c r="S398" i="3" s="1"/>
  <c r="AD397" i="3"/>
  <c r="Z397" i="3"/>
  <c r="F398" i="10" s="1"/>
  <c r="Y397" i="3"/>
  <c r="X397" i="3"/>
  <c r="W397" i="3"/>
  <c r="V397" i="3"/>
  <c r="U397" i="3"/>
  <c r="T397" i="3"/>
  <c r="R397" i="3" s="1"/>
  <c r="S397" i="3" s="1"/>
  <c r="AD396" i="3"/>
  <c r="AB396" i="3"/>
  <c r="Y396" i="3"/>
  <c r="Z396" i="3" s="1"/>
  <c r="F397" i="10" s="1"/>
  <c r="X396" i="3"/>
  <c r="W396" i="3"/>
  <c r="V396" i="3"/>
  <c r="U396" i="3"/>
  <c r="T396" i="3"/>
  <c r="S396" i="3"/>
  <c r="R396" i="3"/>
  <c r="AD395" i="3"/>
  <c r="Y395" i="3"/>
  <c r="Z395" i="3" s="1"/>
  <c r="F396" i="10" s="1"/>
  <c r="X395" i="3"/>
  <c r="W395" i="3"/>
  <c r="V395" i="3"/>
  <c r="U395" i="3"/>
  <c r="T395" i="3"/>
  <c r="R395" i="3" s="1"/>
  <c r="S395" i="3" s="1"/>
  <c r="AD394" i="3"/>
  <c r="Y394" i="3"/>
  <c r="Z394" i="3" s="1"/>
  <c r="F395" i="10" s="1"/>
  <c r="X394" i="3"/>
  <c r="W394" i="3"/>
  <c r="V394" i="3"/>
  <c r="U394" i="3"/>
  <c r="T394" i="3"/>
  <c r="S394" i="3"/>
  <c r="R394" i="3"/>
  <c r="AD393" i="3"/>
  <c r="Y393" i="3"/>
  <c r="Z393" i="3" s="1"/>
  <c r="F394" i="10" s="1"/>
  <c r="X393" i="3"/>
  <c r="W393" i="3"/>
  <c r="V393" i="3"/>
  <c r="U393" i="3"/>
  <c r="T393" i="3"/>
  <c r="R393" i="3" s="1"/>
  <c r="S393" i="3" s="1"/>
  <c r="AD392" i="3"/>
  <c r="Y392" i="3"/>
  <c r="Z392" i="3" s="1"/>
  <c r="F393" i="10" s="1"/>
  <c r="X392" i="3"/>
  <c r="W392" i="3"/>
  <c r="V392" i="3"/>
  <c r="U392" i="3"/>
  <c r="T392" i="3"/>
  <c r="S392" i="3"/>
  <c r="R392" i="3"/>
  <c r="AD391" i="3"/>
  <c r="Y391" i="3"/>
  <c r="Z391" i="3" s="1"/>
  <c r="F392" i="10" s="1"/>
  <c r="X391" i="3"/>
  <c r="W391" i="3"/>
  <c r="V391" i="3"/>
  <c r="U391" i="3"/>
  <c r="T391" i="3"/>
  <c r="R391" i="3" s="1"/>
  <c r="S391" i="3" s="1"/>
  <c r="AD390" i="3"/>
  <c r="Y390" i="3"/>
  <c r="Z390" i="3" s="1"/>
  <c r="F391" i="10" s="1"/>
  <c r="X390" i="3"/>
  <c r="W390" i="3"/>
  <c r="V390" i="3"/>
  <c r="U390" i="3"/>
  <c r="T390" i="3"/>
  <c r="S390" i="3"/>
  <c r="R390" i="3"/>
  <c r="AD389" i="3"/>
  <c r="Y389" i="3"/>
  <c r="Z389" i="3" s="1"/>
  <c r="F390" i="10" s="1"/>
  <c r="X389" i="3"/>
  <c r="W389" i="3"/>
  <c r="V389" i="3"/>
  <c r="U389" i="3"/>
  <c r="T389" i="3"/>
  <c r="R389" i="3" s="1"/>
  <c r="S389" i="3" s="1"/>
  <c r="AD388" i="3"/>
  <c r="Y388" i="3"/>
  <c r="Z388" i="3" s="1"/>
  <c r="F389" i="10" s="1"/>
  <c r="X388" i="3"/>
  <c r="W388" i="3"/>
  <c r="V388" i="3"/>
  <c r="U388" i="3"/>
  <c r="T388" i="3"/>
  <c r="S388" i="3"/>
  <c r="R388" i="3"/>
  <c r="AD387" i="3"/>
  <c r="Y387" i="3"/>
  <c r="Z387" i="3" s="1"/>
  <c r="F388" i="10" s="1"/>
  <c r="X387" i="3"/>
  <c r="W387" i="3"/>
  <c r="V387" i="3"/>
  <c r="U387" i="3"/>
  <c r="T387" i="3"/>
  <c r="R387" i="3" s="1"/>
  <c r="S387" i="3" s="1"/>
  <c r="AD386" i="3"/>
  <c r="Y386" i="3"/>
  <c r="Z386" i="3" s="1"/>
  <c r="F387" i="10" s="1"/>
  <c r="X386" i="3"/>
  <c r="W386" i="3"/>
  <c r="V386" i="3"/>
  <c r="U386" i="3"/>
  <c r="T386" i="3"/>
  <c r="S386" i="3"/>
  <c r="R386" i="3"/>
  <c r="AD385" i="3"/>
  <c r="Y385" i="3"/>
  <c r="Z385" i="3" s="1"/>
  <c r="F386" i="10" s="1"/>
  <c r="X385" i="3"/>
  <c r="W385" i="3"/>
  <c r="V385" i="3"/>
  <c r="U385" i="3"/>
  <c r="T385" i="3"/>
  <c r="R385" i="3" s="1"/>
  <c r="S385" i="3" s="1"/>
  <c r="AD384" i="3"/>
  <c r="Y384" i="3"/>
  <c r="Z384" i="3" s="1"/>
  <c r="F385" i="10" s="1"/>
  <c r="X384" i="3"/>
  <c r="W384" i="3"/>
  <c r="V384" i="3"/>
  <c r="U384" i="3"/>
  <c r="T384" i="3"/>
  <c r="S384" i="3"/>
  <c r="R384" i="3"/>
  <c r="AD383" i="3"/>
  <c r="Y383" i="3"/>
  <c r="Z383" i="3" s="1"/>
  <c r="F384" i="10" s="1"/>
  <c r="X383" i="3"/>
  <c r="W383" i="3"/>
  <c r="V383" i="3"/>
  <c r="U383" i="3"/>
  <c r="T383" i="3"/>
  <c r="R383" i="3" s="1"/>
  <c r="S383" i="3" s="1"/>
  <c r="AD382" i="3"/>
  <c r="Y382" i="3"/>
  <c r="Z382" i="3" s="1"/>
  <c r="F383" i="10" s="1"/>
  <c r="X382" i="3"/>
  <c r="W382" i="3"/>
  <c r="V382" i="3"/>
  <c r="U382" i="3"/>
  <c r="T382" i="3"/>
  <c r="S382" i="3"/>
  <c r="R382" i="3"/>
  <c r="AD381" i="3"/>
  <c r="Y381" i="3"/>
  <c r="Z381" i="3" s="1"/>
  <c r="F382" i="10" s="1"/>
  <c r="X381" i="3"/>
  <c r="W381" i="3"/>
  <c r="V381" i="3"/>
  <c r="U381" i="3"/>
  <c r="T381" i="3"/>
  <c r="R381" i="3" s="1"/>
  <c r="S381" i="3" s="1"/>
  <c r="AD380" i="3"/>
  <c r="Y380" i="3"/>
  <c r="Z380" i="3" s="1"/>
  <c r="F381" i="10" s="1"/>
  <c r="X380" i="3"/>
  <c r="W380" i="3"/>
  <c r="V380" i="3"/>
  <c r="U380" i="3"/>
  <c r="T380" i="3"/>
  <c r="S380" i="3"/>
  <c r="R380" i="3"/>
  <c r="AD379" i="3"/>
  <c r="Y379" i="3"/>
  <c r="Z379" i="3" s="1"/>
  <c r="F380" i="10" s="1"/>
  <c r="X379" i="3"/>
  <c r="W379" i="3"/>
  <c r="V379" i="3"/>
  <c r="U379" i="3"/>
  <c r="T379" i="3"/>
  <c r="R379" i="3" s="1"/>
  <c r="S379" i="3" s="1"/>
  <c r="AD378" i="3"/>
  <c r="Y378" i="3"/>
  <c r="Z378" i="3" s="1"/>
  <c r="F379" i="10" s="1"/>
  <c r="X378" i="3"/>
  <c r="W378" i="3"/>
  <c r="V378" i="3"/>
  <c r="U378" i="3"/>
  <c r="T378" i="3"/>
  <c r="S378" i="3"/>
  <c r="R378" i="3"/>
  <c r="AD377" i="3"/>
  <c r="Y377" i="3"/>
  <c r="Z377" i="3" s="1"/>
  <c r="F378" i="10" s="1"/>
  <c r="X377" i="3"/>
  <c r="W377" i="3"/>
  <c r="V377" i="3"/>
  <c r="U377" i="3"/>
  <c r="T377" i="3"/>
  <c r="R377" i="3" s="1"/>
  <c r="S377" i="3" s="1"/>
  <c r="AD376" i="3"/>
  <c r="Y376" i="3"/>
  <c r="Z376" i="3" s="1"/>
  <c r="F377" i="10" s="1"/>
  <c r="X376" i="3"/>
  <c r="W376" i="3"/>
  <c r="V376" i="3"/>
  <c r="U376" i="3"/>
  <c r="T376" i="3"/>
  <c r="S376" i="3"/>
  <c r="R376" i="3"/>
  <c r="AD375" i="3"/>
  <c r="Y375" i="3"/>
  <c r="Z375" i="3" s="1"/>
  <c r="F376" i="10" s="1"/>
  <c r="X375" i="3"/>
  <c r="W375" i="3"/>
  <c r="V375" i="3"/>
  <c r="U375" i="3"/>
  <c r="T375" i="3"/>
  <c r="S375" i="3"/>
  <c r="R375" i="3"/>
  <c r="AD374" i="3"/>
  <c r="Y374" i="3"/>
  <c r="Z374" i="3" s="1"/>
  <c r="F375" i="10" s="1"/>
  <c r="X374" i="3"/>
  <c r="W374" i="3"/>
  <c r="V374" i="3"/>
  <c r="U374" i="3"/>
  <c r="T374" i="3"/>
  <c r="S374" i="3"/>
  <c r="R374" i="3"/>
  <c r="AD373" i="3"/>
  <c r="Y373" i="3"/>
  <c r="Z373" i="3" s="1"/>
  <c r="F374" i="10" s="1"/>
  <c r="X373" i="3"/>
  <c r="W373" i="3"/>
  <c r="V373" i="3"/>
  <c r="U373" i="3"/>
  <c r="T373" i="3"/>
  <c r="R373" i="3" s="1"/>
  <c r="S373" i="3" s="1"/>
  <c r="AD372" i="3"/>
  <c r="Y372" i="3"/>
  <c r="Z372" i="3" s="1"/>
  <c r="F373" i="10" s="1"/>
  <c r="X372" i="3"/>
  <c r="W372" i="3"/>
  <c r="V372" i="3"/>
  <c r="U372" i="3"/>
  <c r="T372" i="3"/>
  <c r="S372" i="3"/>
  <c r="R372" i="3"/>
  <c r="AD371" i="3"/>
  <c r="Y371" i="3"/>
  <c r="Z371" i="3" s="1"/>
  <c r="F372" i="10" s="1"/>
  <c r="X371" i="3"/>
  <c r="W371" i="3"/>
  <c r="V371" i="3"/>
  <c r="U371" i="3"/>
  <c r="T371" i="3"/>
  <c r="R371" i="3" s="1"/>
  <c r="S371" i="3" s="1"/>
  <c r="AD370" i="3"/>
  <c r="Y370" i="3"/>
  <c r="Z370" i="3" s="1"/>
  <c r="F371" i="10" s="1"/>
  <c r="X370" i="3"/>
  <c r="W370" i="3"/>
  <c r="V370" i="3"/>
  <c r="U370" i="3"/>
  <c r="T370" i="3"/>
  <c r="S370" i="3"/>
  <c r="R370" i="3"/>
  <c r="AD369" i="3"/>
  <c r="Y369" i="3"/>
  <c r="Z369" i="3" s="1"/>
  <c r="F370" i="10" s="1"/>
  <c r="X369" i="3"/>
  <c r="W369" i="3"/>
  <c r="V369" i="3"/>
  <c r="U369" i="3"/>
  <c r="T369" i="3"/>
  <c r="R369" i="3" s="1"/>
  <c r="S369" i="3" s="1"/>
  <c r="AD368" i="3"/>
  <c r="Y368" i="3"/>
  <c r="Z368" i="3" s="1"/>
  <c r="F369" i="10" s="1"/>
  <c r="X368" i="3"/>
  <c r="W368" i="3"/>
  <c r="V368" i="3"/>
  <c r="U368" i="3"/>
  <c r="T368" i="3"/>
  <c r="S368" i="3"/>
  <c r="R368" i="3"/>
  <c r="AD367" i="3"/>
  <c r="Y367" i="3"/>
  <c r="Z367" i="3" s="1"/>
  <c r="F368" i="10" s="1"/>
  <c r="X367" i="3"/>
  <c r="W367" i="3"/>
  <c r="V367" i="3"/>
  <c r="U367" i="3"/>
  <c r="T367" i="3"/>
  <c r="R367" i="3" s="1"/>
  <c r="S367" i="3" s="1"/>
  <c r="AD366" i="3"/>
  <c r="Y366" i="3"/>
  <c r="Z366" i="3" s="1"/>
  <c r="F367" i="10" s="1"/>
  <c r="X366" i="3"/>
  <c r="W366" i="3"/>
  <c r="V366" i="3"/>
  <c r="U366" i="3"/>
  <c r="T366" i="3"/>
  <c r="S366" i="3"/>
  <c r="R366" i="3"/>
  <c r="AD365" i="3"/>
  <c r="Y365" i="3"/>
  <c r="Z365" i="3" s="1"/>
  <c r="F366" i="10" s="1"/>
  <c r="X365" i="3"/>
  <c r="W365" i="3"/>
  <c r="V365" i="3"/>
  <c r="U365" i="3"/>
  <c r="T365" i="3"/>
  <c r="R365" i="3" s="1"/>
  <c r="S365" i="3" s="1"/>
  <c r="AD364" i="3"/>
  <c r="Y364" i="3"/>
  <c r="Z364" i="3" s="1"/>
  <c r="F365" i="10" s="1"/>
  <c r="X364" i="3"/>
  <c r="W364" i="3"/>
  <c r="V364" i="3"/>
  <c r="U364" i="3"/>
  <c r="T364" i="3"/>
  <c r="S364" i="3"/>
  <c r="R364" i="3"/>
  <c r="AD363" i="3"/>
  <c r="Y363" i="3"/>
  <c r="Z363" i="3" s="1"/>
  <c r="F364" i="10" s="1"/>
  <c r="X363" i="3"/>
  <c r="W363" i="3"/>
  <c r="V363" i="3"/>
  <c r="U363" i="3"/>
  <c r="T363" i="3"/>
  <c r="R363" i="3" s="1"/>
  <c r="S363" i="3" s="1"/>
  <c r="AD362" i="3"/>
  <c r="Y362" i="3"/>
  <c r="Z362" i="3" s="1"/>
  <c r="F363" i="10" s="1"/>
  <c r="X362" i="3"/>
  <c r="W362" i="3"/>
  <c r="V362" i="3"/>
  <c r="U362" i="3"/>
  <c r="T362" i="3"/>
  <c r="S362" i="3"/>
  <c r="R362" i="3"/>
  <c r="AD361" i="3"/>
  <c r="Y361" i="3"/>
  <c r="Z361" i="3" s="1"/>
  <c r="F362" i="10" s="1"/>
  <c r="X361" i="3"/>
  <c r="W361" i="3"/>
  <c r="V361" i="3"/>
  <c r="U361" i="3"/>
  <c r="T361" i="3"/>
  <c r="R361" i="3" s="1"/>
  <c r="S361" i="3" s="1"/>
  <c r="AD360" i="3"/>
  <c r="Y360" i="3"/>
  <c r="Z360" i="3" s="1"/>
  <c r="F361" i="10" s="1"/>
  <c r="X360" i="3"/>
  <c r="W360" i="3"/>
  <c r="V360" i="3"/>
  <c r="U360" i="3"/>
  <c r="T360" i="3"/>
  <c r="S360" i="3"/>
  <c r="R360" i="3"/>
  <c r="AD359" i="3"/>
  <c r="Y359" i="3"/>
  <c r="Z359" i="3" s="1"/>
  <c r="F360" i="10" s="1"/>
  <c r="X359" i="3"/>
  <c r="W359" i="3"/>
  <c r="V359" i="3"/>
  <c r="U359" i="3"/>
  <c r="T359" i="3"/>
  <c r="R359" i="3" s="1"/>
  <c r="S359" i="3" s="1"/>
  <c r="AD358" i="3"/>
  <c r="Y358" i="3"/>
  <c r="Z358" i="3" s="1"/>
  <c r="F359" i="10" s="1"/>
  <c r="X358" i="3"/>
  <c r="W358" i="3"/>
  <c r="V358" i="3"/>
  <c r="U358" i="3"/>
  <c r="T358" i="3"/>
  <c r="S358" i="3"/>
  <c r="R358" i="3"/>
  <c r="AD357" i="3"/>
  <c r="Y357" i="3"/>
  <c r="Z357" i="3" s="1"/>
  <c r="F358" i="10" s="1"/>
  <c r="X357" i="3"/>
  <c r="W357" i="3"/>
  <c r="V357" i="3"/>
  <c r="U357" i="3"/>
  <c r="T357" i="3"/>
  <c r="R357" i="3" s="1"/>
  <c r="S357" i="3" s="1"/>
  <c r="AD356" i="3"/>
  <c r="Y356" i="3"/>
  <c r="Z356" i="3" s="1"/>
  <c r="F357" i="10" s="1"/>
  <c r="X356" i="3"/>
  <c r="W356" i="3"/>
  <c r="V356" i="3"/>
  <c r="U356" i="3"/>
  <c r="T356" i="3"/>
  <c r="S356" i="3"/>
  <c r="R356" i="3"/>
  <c r="AD355" i="3"/>
  <c r="Y355" i="3"/>
  <c r="Z355" i="3" s="1"/>
  <c r="F356" i="10" s="1"/>
  <c r="X355" i="3"/>
  <c r="W355" i="3"/>
  <c r="V355" i="3"/>
  <c r="U355" i="3"/>
  <c r="T355" i="3"/>
  <c r="R355" i="3" s="1"/>
  <c r="S355" i="3" s="1"/>
  <c r="AD354" i="3"/>
  <c r="Y354" i="3"/>
  <c r="Z354" i="3" s="1"/>
  <c r="F355" i="10" s="1"/>
  <c r="X354" i="3"/>
  <c r="W354" i="3"/>
  <c r="V354" i="3"/>
  <c r="U354" i="3"/>
  <c r="T354" i="3"/>
  <c r="S354" i="3"/>
  <c r="R354" i="3"/>
  <c r="AD353" i="3"/>
  <c r="Y353" i="3"/>
  <c r="Z353" i="3" s="1"/>
  <c r="F354" i="10" s="1"/>
  <c r="X353" i="3"/>
  <c r="W353" i="3"/>
  <c r="V353" i="3"/>
  <c r="U353" i="3"/>
  <c r="T353" i="3"/>
  <c r="R353" i="3" s="1"/>
  <c r="S353" i="3" s="1"/>
  <c r="AD352" i="3"/>
  <c r="Y352" i="3"/>
  <c r="Z352" i="3" s="1"/>
  <c r="F353" i="10" s="1"/>
  <c r="X352" i="3"/>
  <c r="W352" i="3"/>
  <c r="V352" i="3"/>
  <c r="U352" i="3"/>
  <c r="T352" i="3"/>
  <c r="S352" i="3"/>
  <c r="R352" i="3"/>
  <c r="AD351" i="3"/>
  <c r="Y351" i="3"/>
  <c r="Z351" i="3" s="1"/>
  <c r="F352" i="10" s="1"/>
  <c r="X351" i="3"/>
  <c r="W351" i="3"/>
  <c r="V351" i="3"/>
  <c r="U351" i="3"/>
  <c r="T351" i="3"/>
  <c r="R351" i="3" s="1"/>
  <c r="S351" i="3" s="1"/>
  <c r="AD350" i="3"/>
  <c r="Y350" i="3"/>
  <c r="Z350" i="3" s="1"/>
  <c r="F351" i="10" s="1"/>
  <c r="X350" i="3"/>
  <c r="W350" i="3"/>
  <c r="V350" i="3"/>
  <c r="U350" i="3"/>
  <c r="T350" i="3"/>
  <c r="S350" i="3"/>
  <c r="R350" i="3"/>
  <c r="AD349" i="3"/>
  <c r="Y349" i="3"/>
  <c r="Z349" i="3" s="1"/>
  <c r="F350" i="10" s="1"/>
  <c r="X349" i="3"/>
  <c r="W349" i="3"/>
  <c r="V349" i="3"/>
  <c r="U349" i="3"/>
  <c r="T349" i="3"/>
  <c r="R349" i="3" s="1"/>
  <c r="S349" i="3" s="1"/>
  <c r="AD348" i="3"/>
  <c r="Y348" i="3"/>
  <c r="Z348" i="3" s="1"/>
  <c r="F349" i="10" s="1"/>
  <c r="X348" i="3"/>
  <c r="W348" i="3"/>
  <c r="V348" i="3"/>
  <c r="U348" i="3"/>
  <c r="T348" i="3"/>
  <c r="S348" i="3"/>
  <c r="R348" i="3"/>
  <c r="AD347" i="3"/>
  <c r="Y347" i="3"/>
  <c r="Z347" i="3" s="1"/>
  <c r="F348" i="10" s="1"/>
  <c r="X347" i="3"/>
  <c r="W347" i="3"/>
  <c r="V347" i="3"/>
  <c r="U347" i="3"/>
  <c r="T347" i="3"/>
  <c r="R347" i="3" s="1"/>
  <c r="S347" i="3" s="1"/>
  <c r="AD346" i="3"/>
  <c r="Y346" i="3"/>
  <c r="Z346" i="3" s="1"/>
  <c r="F347" i="10" s="1"/>
  <c r="X346" i="3"/>
  <c r="W346" i="3"/>
  <c r="V346" i="3"/>
  <c r="U346" i="3"/>
  <c r="T346" i="3"/>
  <c r="S346" i="3"/>
  <c r="R346" i="3"/>
  <c r="AD345" i="3"/>
  <c r="Y345" i="3"/>
  <c r="Z345" i="3" s="1"/>
  <c r="F346" i="10" s="1"/>
  <c r="X345" i="3"/>
  <c r="W345" i="3"/>
  <c r="V345" i="3"/>
  <c r="U345" i="3"/>
  <c r="T345" i="3"/>
  <c r="R345" i="3" s="1"/>
  <c r="S345" i="3" s="1"/>
  <c r="AD344" i="3"/>
  <c r="Y344" i="3"/>
  <c r="Z344" i="3" s="1"/>
  <c r="F345" i="10" s="1"/>
  <c r="X344" i="3"/>
  <c r="W344" i="3"/>
  <c r="V344" i="3"/>
  <c r="U344" i="3"/>
  <c r="T344" i="3"/>
  <c r="S344" i="3"/>
  <c r="R344" i="3"/>
  <c r="AD343" i="3"/>
  <c r="Y343" i="3"/>
  <c r="Z343" i="3" s="1"/>
  <c r="F344" i="10" s="1"/>
  <c r="X343" i="3"/>
  <c r="W343" i="3"/>
  <c r="V343" i="3"/>
  <c r="U343" i="3"/>
  <c r="T343" i="3"/>
  <c r="R343" i="3" s="1"/>
  <c r="S343" i="3" s="1"/>
  <c r="AD342" i="3"/>
  <c r="Y342" i="3"/>
  <c r="Z342" i="3" s="1"/>
  <c r="F343" i="10" s="1"/>
  <c r="X342" i="3"/>
  <c r="W342" i="3"/>
  <c r="V342" i="3"/>
  <c r="U342" i="3"/>
  <c r="T342" i="3"/>
  <c r="S342" i="3"/>
  <c r="R342" i="3"/>
  <c r="AD341" i="3"/>
  <c r="Y341" i="3"/>
  <c r="Z341" i="3" s="1"/>
  <c r="F342" i="10" s="1"/>
  <c r="X341" i="3"/>
  <c r="W341" i="3"/>
  <c r="V341" i="3"/>
  <c r="U341" i="3"/>
  <c r="T341" i="3"/>
  <c r="R341" i="3" s="1"/>
  <c r="S341" i="3" s="1"/>
  <c r="AD340" i="3"/>
  <c r="Y340" i="3"/>
  <c r="Z340" i="3" s="1"/>
  <c r="F341" i="10" s="1"/>
  <c r="X340" i="3"/>
  <c r="W340" i="3"/>
  <c r="V340" i="3"/>
  <c r="U340" i="3"/>
  <c r="T340" i="3"/>
  <c r="S340" i="3"/>
  <c r="R340" i="3"/>
  <c r="AD339" i="3"/>
  <c r="Y339" i="3"/>
  <c r="Z339" i="3" s="1"/>
  <c r="F340" i="10" s="1"/>
  <c r="X339" i="3"/>
  <c r="W339" i="3"/>
  <c r="V339" i="3"/>
  <c r="U339" i="3"/>
  <c r="T339" i="3"/>
  <c r="R339" i="3" s="1"/>
  <c r="S339" i="3" s="1"/>
  <c r="AD338" i="3"/>
  <c r="Y338" i="3"/>
  <c r="Z338" i="3" s="1"/>
  <c r="F339" i="10" s="1"/>
  <c r="X338" i="3"/>
  <c r="W338" i="3"/>
  <c r="V338" i="3"/>
  <c r="U338" i="3"/>
  <c r="T338" i="3"/>
  <c r="S338" i="3"/>
  <c r="R338" i="3"/>
  <c r="AD337" i="3"/>
  <c r="Y337" i="3"/>
  <c r="Z337" i="3" s="1"/>
  <c r="F338" i="10" s="1"/>
  <c r="X337" i="3"/>
  <c r="W337" i="3"/>
  <c r="V337" i="3"/>
  <c r="U337" i="3"/>
  <c r="T337" i="3"/>
  <c r="R337" i="3" s="1"/>
  <c r="S337" i="3" s="1"/>
  <c r="AD336" i="3"/>
  <c r="Y336" i="3"/>
  <c r="Z336" i="3" s="1"/>
  <c r="F337" i="10" s="1"/>
  <c r="X336" i="3"/>
  <c r="W336" i="3"/>
  <c r="V336" i="3"/>
  <c r="U336" i="3"/>
  <c r="T336" i="3"/>
  <c r="S336" i="3"/>
  <c r="R336" i="3"/>
  <c r="AD335" i="3"/>
  <c r="Y335" i="3"/>
  <c r="Z335" i="3" s="1"/>
  <c r="F336" i="10" s="1"/>
  <c r="X335" i="3"/>
  <c r="W335" i="3"/>
  <c r="V335" i="3"/>
  <c r="U335" i="3"/>
  <c r="T335" i="3"/>
  <c r="R335" i="3"/>
  <c r="S335" i="3" s="1"/>
  <c r="AD334" i="3"/>
  <c r="Y334" i="3"/>
  <c r="Z334" i="3" s="1"/>
  <c r="F335" i="10" s="1"/>
  <c r="X334" i="3"/>
  <c r="W334" i="3"/>
  <c r="V334" i="3"/>
  <c r="U334" i="3"/>
  <c r="T334" i="3"/>
  <c r="R334" i="3" s="1"/>
  <c r="S334" i="3" s="1"/>
  <c r="AD333" i="3"/>
  <c r="Z333" i="3"/>
  <c r="F334" i="10" s="1"/>
  <c r="Y333" i="3"/>
  <c r="X333" i="3"/>
  <c r="W333" i="3"/>
  <c r="V333" i="3"/>
  <c r="U333" i="3"/>
  <c r="T333" i="3"/>
  <c r="R333" i="3"/>
  <c r="S333" i="3" s="1"/>
  <c r="AD332" i="3"/>
  <c r="Y332" i="3"/>
  <c r="Z332" i="3" s="1"/>
  <c r="F333" i="10" s="1"/>
  <c r="X332" i="3"/>
  <c r="W332" i="3"/>
  <c r="V332" i="3"/>
  <c r="U332" i="3"/>
  <c r="T332" i="3"/>
  <c r="R332" i="3" s="1"/>
  <c r="S332" i="3" s="1"/>
  <c r="AD331" i="3"/>
  <c r="Z331" i="3"/>
  <c r="F332" i="10" s="1"/>
  <c r="Y331" i="3"/>
  <c r="X331" i="3"/>
  <c r="W331" i="3"/>
  <c r="V331" i="3"/>
  <c r="U331" i="3"/>
  <c r="T331" i="3"/>
  <c r="S331" i="3"/>
  <c r="R331" i="3"/>
  <c r="AD330" i="3"/>
  <c r="Y330" i="3"/>
  <c r="Z330" i="3" s="1"/>
  <c r="F331" i="10" s="1"/>
  <c r="X330" i="3"/>
  <c r="W330" i="3"/>
  <c r="V330" i="3"/>
  <c r="U330" i="3"/>
  <c r="T330" i="3"/>
  <c r="R330" i="3" s="1"/>
  <c r="S330" i="3" s="1"/>
  <c r="AD329" i="3"/>
  <c r="Z329" i="3"/>
  <c r="F330" i="10" s="1"/>
  <c r="Y329" i="3"/>
  <c r="X329" i="3"/>
  <c r="W329" i="3"/>
  <c r="V329" i="3"/>
  <c r="U329" i="3"/>
  <c r="T329" i="3"/>
  <c r="S329" i="3"/>
  <c r="R329" i="3"/>
  <c r="AD328" i="3"/>
  <c r="Y328" i="3"/>
  <c r="Z328" i="3" s="1"/>
  <c r="F329" i="10" s="1"/>
  <c r="X328" i="3"/>
  <c r="W328" i="3"/>
  <c r="V328" i="3"/>
  <c r="U328" i="3"/>
  <c r="T328" i="3"/>
  <c r="R328" i="3" s="1"/>
  <c r="S328" i="3" s="1"/>
  <c r="AD327" i="3"/>
  <c r="Z327" i="3"/>
  <c r="F328" i="10" s="1"/>
  <c r="Y327" i="3"/>
  <c r="X327" i="3"/>
  <c r="W327" i="3"/>
  <c r="V327" i="3"/>
  <c r="U327" i="3"/>
  <c r="T327" i="3"/>
  <c r="S327" i="3"/>
  <c r="R327" i="3"/>
  <c r="AD326" i="3"/>
  <c r="Y326" i="3"/>
  <c r="Z326" i="3" s="1"/>
  <c r="F327" i="10" s="1"/>
  <c r="X326" i="3"/>
  <c r="W326" i="3"/>
  <c r="V326" i="3"/>
  <c r="U326" i="3"/>
  <c r="T326" i="3"/>
  <c r="R326" i="3" s="1"/>
  <c r="S326" i="3" s="1"/>
  <c r="AD325" i="3"/>
  <c r="Z325" i="3"/>
  <c r="F326" i="10" s="1"/>
  <c r="Y325" i="3"/>
  <c r="X325" i="3"/>
  <c r="W325" i="3"/>
  <c r="V325" i="3"/>
  <c r="U325" i="3"/>
  <c r="T325" i="3"/>
  <c r="S325" i="3"/>
  <c r="R325" i="3"/>
  <c r="AD324" i="3"/>
  <c r="Y324" i="3"/>
  <c r="Z324" i="3" s="1"/>
  <c r="F325" i="10" s="1"/>
  <c r="X324" i="3"/>
  <c r="W324" i="3"/>
  <c r="V324" i="3"/>
  <c r="U324" i="3"/>
  <c r="T324" i="3"/>
  <c r="R324" i="3" s="1"/>
  <c r="S324" i="3" s="1"/>
  <c r="AD323" i="3"/>
  <c r="Z323" i="3"/>
  <c r="F324" i="10" s="1"/>
  <c r="Y323" i="3"/>
  <c r="X323" i="3"/>
  <c r="W323" i="3"/>
  <c r="V323" i="3"/>
  <c r="U323" i="3"/>
  <c r="T323" i="3"/>
  <c r="S323" i="3"/>
  <c r="R323" i="3"/>
  <c r="AD322" i="3"/>
  <c r="Y322" i="3"/>
  <c r="Z322" i="3" s="1"/>
  <c r="F323" i="10" s="1"/>
  <c r="X322" i="3"/>
  <c r="W322" i="3"/>
  <c r="V322" i="3"/>
  <c r="U322" i="3"/>
  <c r="T322" i="3"/>
  <c r="R322" i="3" s="1"/>
  <c r="S322" i="3" s="1"/>
  <c r="AD321" i="3"/>
  <c r="Z321" i="3"/>
  <c r="F322" i="10" s="1"/>
  <c r="Y321" i="3"/>
  <c r="X321" i="3"/>
  <c r="W321" i="3"/>
  <c r="V321" i="3"/>
  <c r="U321" i="3"/>
  <c r="T321" i="3"/>
  <c r="S321" i="3"/>
  <c r="R321" i="3"/>
  <c r="AD320" i="3"/>
  <c r="Y320" i="3"/>
  <c r="Z320" i="3" s="1"/>
  <c r="F321" i="10" s="1"/>
  <c r="X320" i="3"/>
  <c r="W320" i="3"/>
  <c r="V320" i="3"/>
  <c r="U320" i="3"/>
  <c r="T320" i="3"/>
  <c r="R320" i="3" s="1"/>
  <c r="S320" i="3" s="1"/>
  <c r="AD319" i="3"/>
  <c r="Z319" i="3"/>
  <c r="F320" i="10" s="1"/>
  <c r="Y319" i="3"/>
  <c r="X319" i="3"/>
  <c r="W319" i="3"/>
  <c r="V319" i="3"/>
  <c r="U319" i="3"/>
  <c r="T319" i="3"/>
  <c r="S319" i="3"/>
  <c r="R319" i="3"/>
  <c r="AD318" i="3"/>
  <c r="Y318" i="3"/>
  <c r="Z318" i="3" s="1"/>
  <c r="F319" i="10" s="1"/>
  <c r="X318" i="3"/>
  <c r="W318" i="3"/>
  <c r="V318" i="3"/>
  <c r="U318" i="3"/>
  <c r="T318" i="3"/>
  <c r="R318" i="3" s="1"/>
  <c r="S318" i="3" s="1"/>
  <c r="AD317" i="3"/>
  <c r="AC317" i="3"/>
  <c r="Y317" i="3"/>
  <c r="Z317" i="3" s="1"/>
  <c r="F318" i="10" s="1"/>
  <c r="X317" i="3"/>
  <c r="W317" i="3"/>
  <c r="V317" i="3"/>
  <c r="U317" i="3"/>
  <c r="T317" i="3"/>
  <c r="R317" i="3" s="1"/>
  <c r="S317" i="3" s="1"/>
  <c r="AD316" i="3"/>
  <c r="Z316" i="3"/>
  <c r="F317" i="10" s="1"/>
  <c r="Y316" i="3"/>
  <c r="X316" i="3"/>
  <c r="W316" i="3"/>
  <c r="V316" i="3"/>
  <c r="U316" i="3"/>
  <c r="T316" i="3"/>
  <c r="R316" i="3"/>
  <c r="S316" i="3" s="1"/>
  <c r="AD315" i="3"/>
  <c r="Y315" i="3"/>
  <c r="Z315" i="3" s="1"/>
  <c r="F316" i="10" s="1"/>
  <c r="X315" i="3"/>
  <c r="W315" i="3"/>
  <c r="V315" i="3"/>
  <c r="U315" i="3"/>
  <c r="T315" i="3"/>
  <c r="R315" i="3" s="1"/>
  <c r="S315" i="3" s="1"/>
  <c r="AD314" i="3"/>
  <c r="Z314" i="3"/>
  <c r="F315" i="10" s="1"/>
  <c r="Y314" i="3"/>
  <c r="X314" i="3"/>
  <c r="W314" i="3"/>
  <c r="V314" i="3"/>
  <c r="U314" i="3"/>
  <c r="T314" i="3"/>
  <c r="R314" i="3"/>
  <c r="S314" i="3" s="1"/>
  <c r="AD313" i="3"/>
  <c r="Y313" i="3"/>
  <c r="Z313" i="3" s="1"/>
  <c r="F314" i="10" s="1"/>
  <c r="X313" i="3"/>
  <c r="W313" i="3"/>
  <c r="V313" i="3"/>
  <c r="U313" i="3"/>
  <c r="T313" i="3"/>
  <c r="R313" i="3" s="1"/>
  <c r="S313" i="3" s="1"/>
  <c r="AD312" i="3"/>
  <c r="Z312" i="3"/>
  <c r="F313" i="10" s="1"/>
  <c r="Y312" i="3"/>
  <c r="X312" i="3"/>
  <c r="W312" i="3"/>
  <c r="V312" i="3"/>
  <c r="U312" i="3"/>
  <c r="T312" i="3"/>
  <c r="R312" i="3"/>
  <c r="S312" i="3" s="1"/>
  <c r="AD311" i="3"/>
  <c r="Y311" i="3"/>
  <c r="Z311" i="3" s="1"/>
  <c r="F312" i="10" s="1"/>
  <c r="X311" i="3"/>
  <c r="W311" i="3"/>
  <c r="V311" i="3"/>
  <c r="U311" i="3"/>
  <c r="T311" i="3"/>
  <c r="R311" i="3" s="1"/>
  <c r="S311" i="3" s="1"/>
  <c r="AD310" i="3"/>
  <c r="Z310" i="3"/>
  <c r="F311" i="10" s="1"/>
  <c r="Y310" i="3"/>
  <c r="X310" i="3"/>
  <c r="W310" i="3"/>
  <c r="V310" i="3"/>
  <c r="U310" i="3"/>
  <c r="T310" i="3"/>
  <c r="R310" i="3"/>
  <c r="S310" i="3" s="1"/>
  <c r="AD309" i="3"/>
  <c r="Y309" i="3"/>
  <c r="Z309" i="3" s="1"/>
  <c r="F310" i="10" s="1"/>
  <c r="X309" i="3"/>
  <c r="W309" i="3"/>
  <c r="V309" i="3"/>
  <c r="U309" i="3"/>
  <c r="T309" i="3"/>
  <c r="R309" i="3" s="1"/>
  <c r="S309" i="3" s="1"/>
  <c r="AD308" i="3"/>
  <c r="Z308" i="3"/>
  <c r="F309" i="10" s="1"/>
  <c r="Y308" i="3"/>
  <c r="X308" i="3"/>
  <c r="W308" i="3"/>
  <c r="V308" i="3"/>
  <c r="U308" i="3"/>
  <c r="T308" i="3"/>
  <c r="R308" i="3"/>
  <c r="S308" i="3" s="1"/>
  <c r="AD307" i="3"/>
  <c r="Y307" i="3"/>
  <c r="Z307" i="3" s="1"/>
  <c r="F308" i="10" s="1"/>
  <c r="X307" i="3"/>
  <c r="W307" i="3"/>
  <c r="V307" i="3"/>
  <c r="U307" i="3"/>
  <c r="T307" i="3"/>
  <c r="R307" i="3" s="1"/>
  <c r="S307" i="3" s="1"/>
  <c r="AD306" i="3"/>
  <c r="Z306" i="3"/>
  <c r="F307" i="10" s="1"/>
  <c r="Y306" i="3"/>
  <c r="X306" i="3"/>
  <c r="W306" i="3"/>
  <c r="V306" i="3"/>
  <c r="U306" i="3"/>
  <c r="T306" i="3"/>
  <c r="R306" i="3"/>
  <c r="S306" i="3" s="1"/>
  <c r="AD305" i="3"/>
  <c r="Y305" i="3"/>
  <c r="Z305" i="3" s="1"/>
  <c r="F306" i="10" s="1"/>
  <c r="X305" i="3"/>
  <c r="W305" i="3"/>
  <c r="V305" i="3"/>
  <c r="U305" i="3"/>
  <c r="T305" i="3"/>
  <c r="R305" i="3" s="1"/>
  <c r="S305" i="3" s="1"/>
  <c r="AD304" i="3"/>
  <c r="Z304" i="3"/>
  <c r="F305" i="10" s="1"/>
  <c r="Y304" i="3"/>
  <c r="X304" i="3"/>
  <c r="W304" i="3"/>
  <c r="V304" i="3"/>
  <c r="U304" i="3"/>
  <c r="T304" i="3"/>
  <c r="R304" i="3"/>
  <c r="S304" i="3" s="1"/>
  <c r="AD303" i="3"/>
  <c r="Y303" i="3"/>
  <c r="Z303" i="3" s="1"/>
  <c r="F304" i="10" s="1"/>
  <c r="X303" i="3"/>
  <c r="W303" i="3"/>
  <c r="V303" i="3"/>
  <c r="U303" i="3"/>
  <c r="T303" i="3"/>
  <c r="R303" i="3" s="1"/>
  <c r="S303" i="3" s="1"/>
  <c r="AD302" i="3"/>
  <c r="Z302" i="3"/>
  <c r="F303" i="10" s="1"/>
  <c r="Y302" i="3"/>
  <c r="X302" i="3"/>
  <c r="W302" i="3"/>
  <c r="V302" i="3"/>
  <c r="U302" i="3"/>
  <c r="T302" i="3"/>
  <c r="R302" i="3"/>
  <c r="S302" i="3" s="1"/>
  <c r="AD301" i="3"/>
  <c r="Y301" i="3"/>
  <c r="Z301" i="3" s="1"/>
  <c r="F302" i="10" s="1"/>
  <c r="X301" i="3"/>
  <c r="W301" i="3"/>
  <c r="V301" i="3"/>
  <c r="U301" i="3"/>
  <c r="T301" i="3"/>
  <c r="R301" i="3" s="1"/>
  <c r="S301" i="3" s="1"/>
  <c r="AD300" i="3"/>
  <c r="Z300" i="3"/>
  <c r="F301" i="10" s="1"/>
  <c r="Y300" i="3"/>
  <c r="X300" i="3"/>
  <c r="W300" i="3"/>
  <c r="V300" i="3"/>
  <c r="U300" i="3"/>
  <c r="T300" i="3"/>
  <c r="S300" i="3"/>
  <c r="R300" i="3"/>
  <c r="AD299" i="3"/>
  <c r="Y299" i="3"/>
  <c r="Z299" i="3" s="1"/>
  <c r="F300" i="10" s="1"/>
  <c r="X299" i="3"/>
  <c r="W299" i="3"/>
  <c r="V299" i="3"/>
  <c r="U299" i="3"/>
  <c r="T299" i="3"/>
  <c r="R299" i="3" s="1"/>
  <c r="S299" i="3" s="1"/>
  <c r="AD298" i="3"/>
  <c r="Z298" i="3"/>
  <c r="F299" i="10" s="1"/>
  <c r="Y298" i="3"/>
  <c r="X298" i="3"/>
  <c r="W298" i="3"/>
  <c r="V298" i="3"/>
  <c r="U298" i="3"/>
  <c r="T298" i="3"/>
  <c r="S298" i="3"/>
  <c r="R298" i="3"/>
  <c r="AD297" i="3"/>
  <c r="Y297" i="3"/>
  <c r="Z297" i="3" s="1"/>
  <c r="F298" i="10" s="1"/>
  <c r="X297" i="3"/>
  <c r="W297" i="3"/>
  <c r="V297" i="3"/>
  <c r="U297" i="3"/>
  <c r="T297" i="3"/>
  <c r="R297" i="3" s="1"/>
  <c r="S297" i="3" s="1"/>
  <c r="AD296" i="3"/>
  <c r="Z296" i="3"/>
  <c r="F297" i="10" s="1"/>
  <c r="Y296" i="3"/>
  <c r="X296" i="3"/>
  <c r="W296" i="3"/>
  <c r="V296" i="3"/>
  <c r="U296" i="3"/>
  <c r="T296" i="3"/>
  <c r="S296" i="3"/>
  <c r="R296" i="3"/>
  <c r="AD295" i="3"/>
  <c r="Y295" i="3"/>
  <c r="Z295" i="3" s="1"/>
  <c r="F296" i="10" s="1"/>
  <c r="X295" i="3"/>
  <c r="W295" i="3"/>
  <c r="V295" i="3"/>
  <c r="U295" i="3"/>
  <c r="T295" i="3"/>
  <c r="R295" i="3" s="1"/>
  <c r="S295" i="3" s="1"/>
  <c r="AD294" i="3"/>
  <c r="Z294" i="3"/>
  <c r="F295" i="10" s="1"/>
  <c r="Y294" i="3"/>
  <c r="X294" i="3"/>
  <c r="W294" i="3"/>
  <c r="V294" i="3"/>
  <c r="U294" i="3"/>
  <c r="T294" i="3"/>
  <c r="S294" i="3"/>
  <c r="R294" i="3"/>
  <c r="AD293" i="3"/>
  <c r="Y293" i="3"/>
  <c r="Z293" i="3" s="1"/>
  <c r="F294" i="10" s="1"/>
  <c r="X293" i="3"/>
  <c r="W293" i="3"/>
  <c r="V293" i="3"/>
  <c r="U293" i="3"/>
  <c r="T293" i="3"/>
  <c r="R293" i="3" s="1"/>
  <c r="S293" i="3" s="1"/>
  <c r="AD292" i="3"/>
  <c r="Z292" i="3"/>
  <c r="F293" i="10" s="1"/>
  <c r="Y292" i="3"/>
  <c r="X292" i="3"/>
  <c r="W292" i="3"/>
  <c r="V292" i="3"/>
  <c r="U292" i="3"/>
  <c r="T292" i="3"/>
  <c r="S292" i="3"/>
  <c r="R292" i="3"/>
  <c r="AD291" i="3"/>
  <c r="Y291" i="3"/>
  <c r="Z291" i="3" s="1"/>
  <c r="F292" i="10" s="1"/>
  <c r="X291" i="3"/>
  <c r="W291" i="3"/>
  <c r="V291" i="3"/>
  <c r="U291" i="3"/>
  <c r="T291" i="3"/>
  <c r="R291" i="3" s="1"/>
  <c r="S291" i="3" s="1"/>
  <c r="AD290" i="3"/>
  <c r="Z290" i="3"/>
  <c r="F291" i="10" s="1"/>
  <c r="Y290" i="3"/>
  <c r="X290" i="3"/>
  <c r="W290" i="3"/>
  <c r="V290" i="3"/>
  <c r="U290" i="3"/>
  <c r="T290" i="3"/>
  <c r="S290" i="3"/>
  <c r="R290" i="3"/>
  <c r="AD289" i="3"/>
  <c r="Y289" i="3"/>
  <c r="Z289" i="3" s="1"/>
  <c r="F290" i="10" s="1"/>
  <c r="X289" i="3"/>
  <c r="W289" i="3"/>
  <c r="V289" i="3"/>
  <c r="U289" i="3"/>
  <c r="T289" i="3"/>
  <c r="R289" i="3" s="1"/>
  <c r="S289" i="3" s="1"/>
  <c r="AD288" i="3"/>
  <c r="Z288" i="3"/>
  <c r="F289" i="10" s="1"/>
  <c r="Y288" i="3"/>
  <c r="X288" i="3"/>
  <c r="W288" i="3"/>
  <c r="V288" i="3"/>
  <c r="U288" i="3"/>
  <c r="T288" i="3"/>
  <c r="S288" i="3"/>
  <c r="R288" i="3"/>
  <c r="AD287" i="3"/>
  <c r="Y287" i="3"/>
  <c r="Z287" i="3" s="1"/>
  <c r="F288" i="10" s="1"/>
  <c r="X287" i="3"/>
  <c r="W287" i="3"/>
  <c r="V287" i="3"/>
  <c r="U287" i="3"/>
  <c r="T287" i="3"/>
  <c r="R287" i="3" s="1"/>
  <c r="S287" i="3" s="1"/>
  <c r="AD286" i="3"/>
  <c r="Z286" i="3"/>
  <c r="F287" i="10" s="1"/>
  <c r="Y286" i="3"/>
  <c r="X286" i="3"/>
  <c r="W286" i="3"/>
  <c r="V286" i="3"/>
  <c r="U286" i="3"/>
  <c r="T286" i="3"/>
  <c r="S286" i="3"/>
  <c r="R286" i="3"/>
  <c r="AD285" i="3"/>
  <c r="Y285" i="3"/>
  <c r="Z285" i="3" s="1"/>
  <c r="F286" i="10" s="1"/>
  <c r="X285" i="3"/>
  <c r="W285" i="3"/>
  <c r="V285" i="3"/>
  <c r="U285" i="3"/>
  <c r="T285" i="3"/>
  <c r="R285" i="3" s="1"/>
  <c r="S285" i="3" s="1"/>
  <c r="AD284" i="3"/>
  <c r="Z284" i="3"/>
  <c r="F285" i="10" s="1"/>
  <c r="Y284" i="3"/>
  <c r="X284" i="3"/>
  <c r="W284" i="3"/>
  <c r="V284" i="3"/>
  <c r="U284" i="3"/>
  <c r="T284" i="3"/>
  <c r="S284" i="3"/>
  <c r="R284" i="3"/>
  <c r="AD283" i="3"/>
  <c r="Y283" i="3"/>
  <c r="Z283" i="3" s="1"/>
  <c r="F284" i="10" s="1"/>
  <c r="X283" i="3"/>
  <c r="W283" i="3"/>
  <c r="V283" i="3"/>
  <c r="U283" i="3"/>
  <c r="T283" i="3"/>
  <c r="R283" i="3" s="1"/>
  <c r="S283" i="3" s="1"/>
  <c r="AD282" i="3"/>
  <c r="Z282" i="3"/>
  <c r="F283" i="10" s="1"/>
  <c r="Y282" i="3"/>
  <c r="X282" i="3"/>
  <c r="W282" i="3"/>
  <c r="V282" i="3"/>
  <c r="U282" i="3"/>
  <c r="T282" i="3"/>
  <c r="S282" i="3"/>
  <c r="R282" i="3"/>
  <c r="AD281" i="3"/>
  <c r="Y281" i="3"/>
  <c r="Z281" i="3" s="1"/>
  <c r="F282" i="10" s="1"/>
  <c r="X281" i="3"/>
  <c r="W281" i="3"/>
  <c r="V281" i="3"/>
  <c r="U281" i="3"/>
  <c r="T281" i="3"/>
  <c r="R281" i="3" s="1"/>
  <c r="S281" i="3" s="1"/>
  <c r="AD280" i="3"/>
  <c r="Z280" i="3"/>
  <c r="F281" i="10" s="1"/>
  <c r="Y280" i="3"/>
  <c r="X280" i="3"/>
  <c r="W280" i="3"/>
  <c r="V280" i="3"/>
  <c r="U280" i="3"/>
  <c r="T280" i="3"/>
  <c r="S280" i="3"/>
  <c r="R280" i="3"/>
  <c r="AD279" i="3"/>
  <c r="Y279" i="3"/>
  <c r="Z279" i="3" s="1"/>
  <c r="F280" i="10" s="1"/>
  <c r="X279" i="3"/>
  <c r="W279" i="3"/>
  <c r="V279" i="3"/>
  <c r="U279" i="3"/>
  <c r="T279" i="3"/>
  <c r="R279" i="3" s="1"/>
  <c r="S279" i="3" s="1"/>
  <c r="AD278" i="3"/>
  <c r="Z278" i="3"/>
  <c r="F279" i="10" s="1"/>
  <c r="Y278" i="3"/>
  <c r="X278" i="3"/>
  <c r="W278" i="3"/>
  <c r="V278" i="3"/>
  <c r="U278" i="3"/>
  <c r="T278" i="3"/>
  <c r="S278" i="3"/>
  <c r="R278" i="3"/>
  <c r="AD277" i="3"/>
  <c r="Y277" i="3"/>
  <c r="Z277" i="3" s="1"/>
  <c r="F278" i="10" s="1"/>
  <c r="X277" i="3"/>
  <c r="W277" i="3"/>
  <c r="V277" i="3"/>
  <c r="U277" i="3"/>
  <c r="T277" i="3"/>
  <c r="R277" i="3"/>
  <c r="S277" i="3" s="1"/>
  <c r="AD276" i="3"/>
  <c r="Z276" i="3"/>
  <c r="F277" i="10" s="1"/>
  <c r="Y276" i="3"/>
  <c r="X276" i="3"/>
  <c r="W276" i="3"/>
  <c r="V276" i="3"/>
  <c r="U276" i="3"/>
  <c r="T276" i="3"/>
  <c r="S276" i="3"/>
  <c r="R276" i="3"/>
  <c r="AD275" i="3"/>
  <c r="Y275" i="3"/>
  <c r="Z275" i="3" s="1"/>
  <c r="F276" i="10" s="1"/>
  <c r="X275" i="3"/>
  <c r="W275" i="3"/>
  <c r="V275" i="3"/>
  <c r="U275" i="3"/>
  <c r="T275" i="3"/>
  <c r="R275" i="3" s="1"/>
  <c r="S275" i="3" s="1"/>
  <c r="AD274" i="3"/>
  <c r="Z274" i="3"/>
  <c r="F275" i="10" s="1"/>
  <c r="Y274" i="3"/>
  <c r="X274" i="3"/>
  <c r="W274" i="3"/>
  <c r="V274" i="3"/>
  <c r="U274" i="3"/>
  <c r="T274" i="3"/>
  <c r="S274" i="3"/>
  <c r="R274" i="3"/>
  <c r="AD273" i="3"/>
  <c r="Y273" i="3"/>
  <c r="Z273" i="3" s="1"/>
  <c r="F274" i="10" s="1"/>
  <c r="X273" i="3"/>
  <c r="W273" i="3"/>
  <c r="V273" i="3"/>
  <c r="U273" i="3"/>
  <c r="T273" i="3"/>
  <c r="R273" i="3" s="1"/>
  <c r="S273" i="3" s="1"/>
  <c r="AD272" i="3"/>
  <c r="Z272" i="3"/>
  <c r="F273" i="10" s="1"/>
  <c r="Y272" i="3"/>
  <c r="X272" i="3"/>
  <c r="W272" i="3"/>
  <c r="V272" i="3"/>
  <c r="U272" i="3"/>
  <c r="T272" i="3"/>
  <c r="S272" i="3"/>
  <c r="R272" i="3"/>
  <c r="AD271" i="3"/>
  <c r="Y271" i="3"/>
  <c r="Z271" i="3" s="1"/>
  <c r="F272" i="10" s="1"/>
  <c r="X271" i="3"/>
  <c r="W271" i="3"/>
  <c r="V271" i="3"/>
  <c r="U271" i="3"/>
  <c r="T271" i="3"/>
  <c r="R271" i="3" s="1"/>
  <c r="S271" i="3" s="1"/>
  <c r="AD270" i="3"/>
  <c r="Z270" i="3"/>
  <c r="F271" i="10" s="1"/>
  <c r="Y270" i="3"/>
  <c r="X270" i="3"/>
  <c r="W270" i="3"/>
  <c r="V270" i="3"/>
  <c r="U270" i="3"/>
  <c r="T270" i="3"/>
  <c r="S270" i="3"/>
  <c r="R270" i="3"/>
  <c r="AD269" i="3"/>
  <c r="Y269" i="3"/>
  <c r="Z269" i="3" s="1"/>
  <c r="F270" i="10" s="1"/>
  <c r="X269" i="3"/>
  <c r="W269" i="3"/>
  <c r="V269" i="3"/>
  <c r="U269" i="3"/>
  <c r="T269" i="3"/>
  <c r="R269" i="3" s="1"/>
  <c r="S269" i="3" s="1"/>
  <c r="AD268" i="3"/>
  <c r="Z268" i="3"/>
  <c r="F269" i="10" s="1"/>
  <c r="Y268" i="3"/>
  <c r="X268" i="3"/>
  <c r="W268" i="3"/>
  <c r="V268" i="3"/>
  <c r="U268" i="3"/>
  <c r="T268" i="3"/>
  <c r="S268" i="3"/>
  <c r="R268" i="3"/>
  <c r="AD267" i="3"/>
  <c r="Y267" i="3"/>
  <c r="Z267" i="3" s="1"/>
  <c r="F268" i="10" s="1"/>
  <c r="X267" i="3"/>
  <c r="W267" i="3"/>
  <c r="V267" i="3"/>
  <c r="U267" i="3"/>
  <c r="T267" i="3"/>
  <c r="R267" i="3" s="1"/>
  <c r="S267" i="3" s="1"/>
  <c r="AD266" i="3"/>
  <c r="Z266" i="3"/>
  <c r="F267" i="10" s="1"/>
  <c r="Y266" i="3"/>
  <c r="X266" i="3"/>
  <c r="W266" i="3"/>
  <c r="V266" i="3"/>
  <c r="U266" i="3"/>
  <c r="T266" i="3"/>
  <c r="S266" i="3"/>
  <c r="R266" i="3"/>
  <c r="AD265" i="3"/>
  <c r="Y265" i="3"/>
  <c r="Z265" i="3" s="1"/>
  <c r="F266" i="10" s="1"/>
  <c r="X265" i="3"/>
  <c r="W265" i="3"/>
  <c r="V265" i="3"/>
  <c r="U265" i="3"/>
  <c r="T265" i="3"/>
  <c r="R265" i="3" s="1"/>
  <c r="S265" i="3" s="1"/>
  <c r="AD264" i="3"/>
  <c r="Z264" i="3"/>
  <c r="F265" i="10" s="1"/>
  <c r="Y264" i="3"/>
  <c r="X264" i="3"/>
  <c r="W264" i="3"/>
  <c r="V264" i="3"/>
  <c r="U264" i="3"/>
  <c r="T264" i="3"/>
  <c r="S264" i="3"/>
  <c r="R264" i="3"/>
  <c r="AD263" i="3"/>
  <c r="Y263" i="3"/>
  <c r="Z263" i="3" s="1"/>
  <c r="F264" i="10" s="1"/>
  <c r="L264" i="10" s="1"/>
  <c r="X263" i="3"/>
  <c r="W263" i="3"/>
  <c r="V263" i="3"/>
  <c r="U263" i="3"/>
  <c r="T263" i="3"/>
  <c r="R263" i="3" s="1"/>
  <c r="S263" i="3" s="1"/>
  <c r="AD262" i="3"/>
  <c r="Z262" i="3"/>
  <c r="F263" i="10" s="1"/>
  <c r="Y262" i="3"/>
  <c r="X262" i="3"/>
  <c r="W262" i="3"/>
  <c r="V262" i="3"/>
  <c r="U262" i="3"/>
  <c r="T262" i="3"/>
  <c r="S262" i="3"/>
  <c r="R262" i="3"/>
  <c r="AD261" i="3"/>
  <c r="Y261" i="3"/>
  <c r="Z261" i="3" s="1"/>
  <c r="F262" i="10" s="1"/>
  <c r="X261" i="3"/>
  <c r="W261" i="3"/>
  <c r="V261" i="3"/>
  <c r="U261" i="3"/>
  <c r="T261" i="3"/>
  <c r="R261" i="3" s="1"/>
  <c r="S261" i="3" s="1"/>
  <c r="AD260" i="3"/>
  <c r="Z260" i="3"/>
  <c r="F261" i="10" s="1"/>
  <c r="Y260" i="3"/>
  <c r="X260" i="3"/>
  <c r="W260" i="3"/>
  <c r="V260" i="3"/>
  <c r="U260" i="3"/>
  <c r="T260" i="3"/>
  <c r="S260" i="3"/>
  <c r="R260" i="3"/>
  <c r="AD259" i="3"/>
  <c r="Y259" i="3"/>
  <c r="Z259" i="3" s="1"/>
  <c r="F260" i="10" s="1"/>
  <c r="X259" i="3"/>
  <c r="W259" i="3"/>
  <c r="V259" i="3"/>
  <c r="U259" i="3"/>
  <c r="T259" i="3"/>
  <c r="R259" i="3" s="1"/>
  <c r="S259" i="3" s="1"/>
  <c r="AD258" i="3"/>
  <c r="Z258" i="3"/>
  <c r="F259" i="10" s="1"/>
  <c r="Y258" i="3"/>
  <c r="X258" i="3"/>
  <c r="W258" i="3"/>
  <c r="V258" i="3"/>
  <c r="U258" i="3"/>
  <c r="T258" i="3"/>
  <c r="S258" i="3"/>
  <c r="R258" i="3"/>
  <c r="AD257" i="3"/>
  <c r="Y257" i="3"/>
  <c r="Z257" i="3" s="1"/>
  <c r="F258" i="10" s="1"/>
  <c r="X257" i="3"/>
  <c r="W257" i="3"/>
  <c r="V257" i="3"/>
  <c r="U257" i="3"/>
  <c r="T257" i="3"/>
  <c r="R257" i="3" s="1"/>
  <c r="S257" i="3" s="1"/>
  <c r="AD256" i="3"/>
  <c r="Z256" i="3"/>
  <c r="F257" i="10" s="1"/>
  <c r="Y256" i="3"/>
  <c r="X256" i="3"/>
  <c r="W256" i="3"/>
  <c r="V256" i="3"/>
  <c r="U256" i="3"/>
  <c r="T256" i="3"/>
  <c r="S256" i="3"/>
  <c r="R256" i="3"/>
  <c r="AD255" i="3"/>
  <c r="Y255" i="3"/>
  <c r="Z255" i="3" s="1"/>
  <c r="F256" i="10" s="1"/>
  <c r="X255" i="3"/>
  <c r="W255" i="3"/>
  <c r="V255" i="3"/>
  <c r="U255" i="3"/>
  <c r="T255" i="3"/>
  <c r="R255" i="3" s="1"/>
  <c r="S255" i="3" s="1"/>
  <c r="AD254" i="3"/>
  <c r="Z254" i="3"/>
  <c r="F255" i="10" s="1"/>
  <c r="Y254" i="3"/>
  <c r="X254" i="3"/>
  <c r="W254" i="3"/>
  <c r="V254" i="3"/>
  <c r="U254" i="3"/>
  <c r="T254" i="3"/>
  <c r="S254" i="3"/>
  <c r="R254" i="3"/>
  <c r="AD253" i="3"/>
  <c r="Y253" i="3"/>
  <c r="Z253" i="3" s="1"/>
  <c r="F254" i="10" s="1"/>
  <c r="X253" i="3"/>
  <c r="W253" i="3"/>
  <c r="V253" i="3"/>
  <c r="U253" i="3"/>
  <c r="T253" i="3"/>
  <c r="R253" i="3" s="1"/>
  <c r="S253" i="3" s="1"/>
  <c r="AD252" i="3"/>
  <c r="Z252" i="3"/>
  <c r="F253" i="10" s="1"/>
  <c r="Y252" i="3"/>
  <c r="X252" i="3"/>
  <c r="W252" i="3"/>
  <c r="V252" i="3"/>
  <c r="U252" i="3"/>
  <c r="T252" i="3"/>
  <c r="S252" i="3"/>
  <c r="R252" i="3"/>
  <c r="AD251" i="3"/>
  <c r="Y251" i="3"/>
  <c r="Z251" i="3" s="1"/>
  <c r="F252" i="10" s="1"/>
  <c r="X251" i="3"/>
  <c r="W251" i="3"/>
  <c r="V251" i="3"/>
  <c r="U251" i="3"/>
  <c r="T251" i="3"/>
  <c r="R251" i="3" s="1"/>
  <c r="S251" i="3" s="1"/>
  <c r="AD250" i="3"/>
  <c r="Z250" i="3"/>
  <c r="F251" i="10" s="1"/>
  <c r="Y250" i="3"/>
  <c r="X250" i="3"/>
  <c r="W250" i="3"/>
  <c r="V250" i="3"/>
  <c r="U250" i="3"/>
  <c r="T250" i="3"/>
  <c r="S250" i="3"/>
  <c r="R250" i="3"/>
  <c r="AD249" i="3"/>
  <c r="Y249" i="3"/>
  <c r="Z249" i="3" s="1"/>
  <c r="F250" i="10" s="1"/>
  <c r="X249" i="3"/>
  <c r="W249" i="3"/>
  <c r="V249" i="3"/>
  <c r="U249" i="3"/>
  <c r="T249" i="3"/>
  <c r="R249" i="3" s="1"/>
  <c r="S249" i="3" s="1"/>
  <c r="AD248" i="3"/>
  <c r="Z248" i="3"/>
  <c r="F249" i="10" s="1"/>
  <c r="Y248" i="3"/>
  <c r="X248" i="3"/>
  <c r="W248" i="3"/>
  <c r="V248" i="3"/>
  <c r="U248" i="3"/>
  <c r="T248" i="3"/>
  <c r="S248" i="3"/>
  <c r="R248" i="3"/>
  <c r="AD247" i="3"/>
  <c r="Y247" i="3"/>
  <c r="Z247" i="3" s="1"/>
  <c r="F248" i="10" s="1"/>
  <c r="X247" i="3"/>
  <c r="W247" i="3"/>
  <c r="V247" i="3"/>
  <c r="U247" i="3"/>
  <c r="T247" i="3"/>
  <c r="R247" i="3" s="1"/>
  <c r="S247" i="3" s="1"/>
  <c r="AD246" i="3"/>
  <c r="Z246" i="3"/>
  <c r="F247" i="10" s="1"/>
  <c r="Y246" i="3"/>
  <c r="X246" i="3"/>
  <c r="W246" i="3"/>
  <c r="V246" i="3"/>
  <c r="U246" i="3"/>
  <c r="T246" i="3"/>
  <c r="S246" i="3"/>
  <c r="R246" i="3"/>
  <c r="AD245" i="3"/>
  <c r="Y245" i="3"/>
  <c r="Z245" i="3" s="1"/>
  <c r="F246" i="10" s="1"/>
  <c r="X245" i="3"/>
  <c r="W245" i="3"/>
  <c r="V245" i="3"/>
  <c r="U245" i="3"/>
  <c r="T245" i="3"/>
  <c r="R245" i="3" s="1"/>
  <c r="S245" i="3" s="1"/>
  <c r="AD244" i="3"/>
  <c r="Z244" i="3"/>
  <c r="F245" i="10" s="1"/>
  <c r="Y244" i="3"/>
  <c r="X244" i="3"/>
  <c r="W244" i="3"/>
  <c r="V244" i="3"/>
  <c r="U244" i="3"/>
  <c r="T244" i="3"/>
  <c r="S244" i="3"/>
  <c r="R244" i="3"/>
  <c r="AD243" i="3"/>
  <c r="Y243" i="3"/>
  <c r="Z243" i="3" s="1"/>
  <c r="F244" i="10" s="1"/>
  <c r="X243" i="3"/>
  <c r="W243" i="3"/>
  <c r="V243" i="3"/>
  <c r="U243" i="3"/>
  <c r="T243" i="3"/>
  <c r="R243" i="3" s="1"/>
  <c r="S243" i="3" s="1"/>
  <c r="AD242" i="3"/>
  <c r="Z242" i="3"/>
  <c r="F243" i="10" s="1"/>
  <c r="Y242" i="3"/>
  <c r="X242" i="3"/>
  <c r="W242" i="3"/>
  <c r="V242" i="3"/>
  <c r="U242" i="3"/>
  <c r="T242" i="3"/>
  <c r="S242" i="3"/>
  <c r="R242" i="3"/>
  <c r="AD241" i="3"/>
  <c r="Y241" i="3"/>
  <c r="Z241" i="3" s="1"/>
  <c r="F242" i="10" s="1"/>
  <c r="X241" i="3"/>
  <c r="W241" i="3"/>
  <c r="V241" i="3"/>
  <c r="U241" i="3"/>
  <c r="T241" i="3"/>
  <c r="R241" i="3" s="1"/>
  <c r="S241" i="3" s="1"/>
  <c r="AD240" i="3"/>
  <c r="Z240" i="3"/>
  <c r="F241" i="10" s="1"/>
  <c r="Y240" i="3"/>
  <c r="X240" i="3"/>
  <c r="W240" i="3"/>
  <c r="V240" i="3"/>
  <c r="U240" i="3"/>
  <c r="T240" i="3"/>
  <c r="S240" i="3"/>
  <c r="R240" i="3"/>
  <c r="AD239" i="3"/>
  <c r="Y239" i="3"/>
  <c r="Z239" i="3" s="1"/>
  <c r="F240" i="10" s="1"/>
  <c r="X239" i="3"/>
  <c r="W239" i="3"/>
  <c r="V239" i="3"/>
  <c r="U239" i="3"/>
  <c r="T239" i="3"/>
  <c r="R239" i="3"/>
  <c r="S239" i="3" s="1"/>
  <c r="AD238" i="3"/>
  <c r="Z238" i="3"/>
  <c r="F239" i="10" s="1"/>
  <c r="Y238" i="3"/>
  <c r="X238" i="3"/>
  <c r="W238" i="3"/>
  <c r="V238" i="3"/>
  <c r="U238" i="3"/>
  <c r="T238" i="3"/>
  <c r="S238" i="3"/>
  <c r="R238" i="3"/>
  <c r="AD237" i="3"/>
  <c r="Y237" i="3"/>
  <c r="Z237" i="3" s="1"/>
  <c r="F238" i="10" s="1"/>
  <c r="X237" i="3"/>
  <c r="W237" i="3"/>
  <c r="V237" i="3"/>
  <c r="U237" i="3"/>
  <c r="T237" i="3"/>
  <c r="R237" i="3" s="1"/>
  <c r="S237" i="3" s="1"/>
  <c r="AD236" i="3"/>
  <c r="Z236" i="3"/>
  <c r="F237" i="10" s="1"/>
  <c r="Y236" i="3"/>
  <c r="X236" i="3"/>
  <c r="W236" i="3"/>
  <c r="V236" i="3"/>
  <c r="U236" i="3"/>
  <c r="T236" i="3"/>
  <c r="S236" i="3"/>
  <c r="R236" i="3"/>
  <c r="AD235" i="3"/>
  <c r="Y235" i="3"/>
  <c r="Z235" i="3" s="1"/>
  <c r="F236" i="10" s="1"/>
  <c r="X235" i="3"/>
  <c r="W235" i="3"/>
  <c r="V235" i="3"/>
  <c r="U235" i="3"/>
  <c r="T235" i="3"/>
  <c r="R235" i="3" s="1"/>
  <c r="S235" i="3" s="1"/>
  <c r="AD234" i="3"/>
  <c r="Z234" i="3"/>
  <c r="F235" i="10" s="1"/>
  <c r="Y234" i="3"/>
  <c r="X234" i="3"/>
  <c r="W234" i="3"/>
  <c r="V234" i="3"/>
  <c r="U234" i="3"/>
  <c r="T234" i="3"/>
  <c r="S234" i="3"/>
  <c r="R234" i="3"/>
  <c r="AD233" i="3"/>
  <c r="Y233" i="3"/>
  <c r="Z233" i="3" s="1"/>
  <c r="F234" i="10" s="1"/>
  <c r="X233" i="3"/>
  <c r="W233" i="3"/>
  <c r="V233" i="3"/>
  <c r="U233" i="3"/>
  <c r="T233" i="3"/>
  <c r="R233" i="3" s="1"/>
  <c r="S233" i="3" s="1"/>
  <c r="AD232" i="3"/>
  <c r="Z232" i="3"/>
  <c r="F233" i="10" s="1"/>
  <c r="Y232" i="3"/>
  <c r="X232" i="3"/>
  <c r="W232" i="3"/>
  <c r="V232" i="3"/>
  <c r="U232" i="3"/>
  <c r="T232" i="3"/>
  <c r="S232" i="3"/>
  <c r="R232" i="3"/>
  <c r="AD231" i="3"/>
  <c r="Y231" i="3"/>
  <c r="Z231" i="3" s="1"/>
  <c r="F232" i="10" s="1"/>
  <c r="X231" i="3"/>
  <c r="W231" i="3"/>
  <c r="V231" i="3"/>
  <c r="U231" i="3"/>
  <c r="T231" i="3"/>
  <c r="R231" i="3" s="1"/>
  <c r="S231" i="3" s="1"/>
  <c r="AD230" i="3"/>
  <c r="Z230" i="3"/>
  <c r="F231" i="10" s="1"/>
  <c r="Y230" i="3"/>
  <c r="X230" i="3"/>
  <c r="W230" i="3"/>
  <c r="V230" i="3"/>
  <c r="U230" i="3"/>
  <c r="T230" i="3"/>
  <c r="S230" i="3"/>
  <c r="R230" i="3"/>
  <c r="AD229" i="3"/>
  <c r="Y229" i="3"/>
  <c r="Z229" i="3" s="1"/>
  <c r="F230" i="10" s="1"/>
  <c r="X229" i="3"/>
  <c r="W229" i="3"/>
  <c r="V229" i="3"/>
  <c r="U229" i="3"/>
  <c r="T229" i="3"/>
  <c r="R229" i="3" s="1"/>
  <c r="S229" i="3" s="1"/>
  <c r="AD228" i="3"/>
  <c r="Z228" i="3"/>
  <c r="F229" i="10" s="1"/>
  <c r="Y228" i="3"/>
  <c r="X228" i="3"/>
  <c r="W228" i="3"/>
  <c r="V228" i="3"/>
  <c r="U228" i="3"/>
  <c r="T228" i="3"/>
  <c r="S228" i="3"/>
  <c r="R228" i="3"/>
  <c r="AD227" i="3"/>
  <c r="Y227" i="3"/>
  <c r="Z227" i="3" s="1"/>
  <c r="F228" i="10" s="1"/>
  <c r="X227" i="3"/>
  <c r="W227" i="3"/>
  <c r="V227" i="3"/>
  <c r="U227" i="3"/>
  <c r="T227" i="3"/>
  <c r="R227" i="3" s="1"/>
  <c r="S227" i="3" s="1"/>
  <c r="AD226" i="3"/>
  <c r="Z226" i="3"/>
  <c r="F227" i="10" s="1"/>
  <c r="Y226" i="3"/>
  <c r="X226" i="3"/>
  <c r="W226" i="3"/>
  <c r="V226" i="3"/>
  <c r="U226" i="3"/>
  <c r="T226" i="3"/>
  <c r="S226" i="3"/>
  <c r="R226" i="3"/>
  <c r="AD225" i="3"/>
  <c r="Y225" i="3"/>
  <c r="Z225" i="3" s="1"/>
  <c r="F226" i="10" s="1"/>
  <c r="X225" i="3"/>
  <c r="W225" i="3"/>
  <c r="V225" i="3"/>
  <c r="U225" i="3"/>
  <c r="T225" i="3"/>
  <c r="R225" i="3" s="1"/>
  <c r="S225" i="3" s="1"/>
  <c r="AD224" i="3"/>
  <c r="Z224" i="3"/>
  <c r="F225" i="10" s="1"/>
  <c r="Y224" i="3"/>
  <c r="X224" i="3"/>
  <c r="W224" i="3"/>
  <c r="V224" i="3"/>
  <c r="U224" i="3"/>
  <c r="T224" i="3"/>
  <c r="S224" i="3"/>
  <c r="R224" i="3"/>
  <c r="AD223" i="3"/>
  <c r="Y223" i="3"/>
  <c r="Z223" i="3" s="1"/>
  <c r="F224" i="10" s="1"/>
  <c r="X223" i="3"/>
  <c r="W223" i="3"/>
  <c r="V223" i="3"/>
  <c r="U223" i="3"/>
  <c r="T223" i="3"/>
  <c r="R223" i="3" s="1"/>
  <c r="S223" i="3" s="1"/>
  <c r="AD222" i="3"/>
  <c r="Z222" i="3"/>
  <c r="F223" i="10" s="1"/>
  <c r="Y222" i="3"/>
  <c r="X222" i="3"/>
  <c r="W222" i="3"/>
  <c r="V222" i="3"/>
  <c r="U222" i="3"/>
  <c r="T222" i="3"/>
  <c r="S222" i="3"/>
  <c r="R222" i="3"/>
  <c r="AD221" i="3"/>
  <c r="Y221" i="3"/>
  <c r="Z221" i="3" s="1"/>
  <c r="F222" i="10" s="1"/>
  <c r="X221" i="3"/>
  <c r="W221" i="3"/>
  <c r="V221" i="3"/>
  <c r="U221" i="3"/>
  <c r="T221" i="3"/>
  <c r="R221" i="3" s="1"/>
  <c r="S221" i="3" s="1"/>
  <c r="AD220" i="3"/>
  <c r="Z220" i="3"/>
  <c r="F221" i="10" s="1"/>
  <c r="Y220" i="3"/>
  <c r="X220" i="3"/>
  <c r="W220" i="3"/>
  <c r="V220" i="3"/>
  <c r="U220" i="3"/>
  <c r="T220" i="3"/>
  <c r="S220" i="3"/>
  <c r="R220" i="3"/>
  <c r="AD219" i="3"/>
  <c r="Y219" i="3"/>
  <c r="Z219" i="3" s="1"/>
  <c r="F220" i="10" s="1"/>
  <c r="X219" i="3"/>
  <c r="W219" i="3"/>
  <c r="V219" i="3"/>
  <c r="U219" i="3"/>
  <c r="T219" i="3"/>
  <c r="R219" i="3"/>
  <c r="S219" i="3" s="1"/>
  <c r="AD218" i="3"/>
  <c r="Z218" i="3"/>
  <c r="F219" i="10" s="1"/>
  <c r="Y218" i="3"/>
  <c r="X218" i="3"/>
  <c r="W218" i="3"/>
  <c r="V218" i="3"/>
  <c r="U218" i="3"/>
  <c r="T218" i="3"/>
  <c r="S218" i="3"/>
  <c r="R218" i="3"/>
  <c r="AD217" i="3"/>
  <c r="Z217" i="3"/>
  <c r="F218" i="10" s="1"/>
  <c r="Y217" i="3"/>
  <c r="AC217" i="3" s="1"/>
  <c r="X217" i="3"/>
  <c r="W217" i="3"/>
  <c r="V217" i="3"/>
  <c r="U217" i="3"/>
  <c r="T217" i="3"/>
  <c r="R217" i="3"/>
  <c r="S217" i="3" s="1"/>
  <c r="AD216" i="3"/>
  <c r="Y216" i="3"/>
  <c r="Z216" i="3" s="1"/>
  <c r="F217" i="10" s="1"/>
  <c r="X216" i="3"/>
  <c r="W216" i="3"/>
  <c r="V216" i="3"/>
  <c r="U216" i="3"/>
  <c r="T216" i="3"/>
  <c r="R216" i="3" s="1"/>
  <c r="S216" i="3" s="1"/>
  <c r="AD215" i="3"/>
  <c r="Z215" i="3"/>
  <c r="F216" i="10" s="1"/>
  <c r="Y215" i="3"/>
  <c r="X215" i="3"/>
  <c r="W215" i="3"/>
  <c r="V215" i="3"/>
  <c r="U215" i="3"/>
  <c r="T215" i="3"/>
  <c r="R215" i="3"/>
  <c r="S215" i="3" s="1"/>
  <c r="AD214" i="3"/>
  <c r="Y214" i="3"/>
  <c r="Z214" i="3" s="1"/>
  <c r="F215" i="10" s="1"/>
  <c r="X214" i="3"/>
  <c r="W214" i="3"/>
  <c r="V214" i="3"/>
  <c r="U214" i="3"/>
  <c r="T214" i="3"/>
  <c r="R214" i="3" s="1"/>
  <c r="S214" i="3" s="1"/>
  <c r="AD213" i="3"/>
  <c r="Z213" i="3"/>
  <c r="F214" i="10" s="1"/>
  <c r="Y213" i="3"/>
  <c r="X213" i="3"/>
  <c r="W213" i="3"/>
  <c r="V213" i="3"/>
  <c r="U213" i="3"/>
  <c r="T213" i="3"/>
  <c r="S213" i="3"/>
  <c r="R213" i="3"/>
  <c r="AD212" i="3"/>
  <c r="Y212" i="3"/>
  <c r="Z212" i="3" s="1"/>
  <c r="F213" i="10" s="1"/>
  <c r="X212" i="3"/>
  <c r="W212" i="3"/>
  <c r="V212" i="3"/>
  <c r="U212" i="3"/>
  <c r="T212" i="3"/>
  <c r="R212" i="3" s="1"/>
  <c r="S212" i="3" s="1"/>
  <c r="AD211" i="3"/>
  <c r="Z211" i="3"/>
  <c r="F212" i="10" s="1"/>
  <c r="Y211" i="3"/>
  <c r="X211" i="3"/>
  <c r="W211" i="3"/>
  <c r="V211" i="3"/>
  <c r="U211" i="3"/>
  <c r="T211" i="3"/>
  <c r="S211" i="3"/>
  <c r="R211" i="3"/>
  <c r="AD210" i="3"/>
  <c r="Y210" i="3"/>
  <c r="Z210" i="3" s="1"/>
  <c r="F211" i="10" s="1"/>
  <c r="X210" i="3"/>
  <c r="W210" i="3"/>
  <c r="V210" i="3"/>
  <c r="U210" i="3"/>
  <c r="T210" i="3"/>
  <c r="R210" i="3" s="1"/>
  <c r="S210" i="3" s="1"/>
  <c r="AD209" i="3"/>
  <c r="Z209" i="3"/>
  <c r="F210" i="10" s="1"/>
  <c r="Y209" i="3"/>
  <c r="X209" i="3"/>
  <c r="W209" i="3"/>
  <c r="V209" i="3"/>
  <c r="U209" i="3"/>
  <c r="T209" i="3"/>
  <c r="S209" i="3"/>
  <c r="R209" i="3"/>
  <c r="AD208" i="3"/>
  <c r="Z208" i="3"/>
  <c r="F209" i="10" s="1"/>
  <c r="Y208" i="3"/>
  <c r="AC208" i="3" s="1"/>
  <c r="X208" i="3"/>
  <c r="W208" i="3"/>
  <c r="V208" i="3"/>
  <c r="U208" i="3"/>
  <c r="T208" i="3"/>
  <c r="R208" i="3"/>
  <c r="S208" i="3" s="1"/>
  <c r="AD207" i="3"/>
  <c r="Y207" i="3"/>
  <c r="Z207" i="3" s="1"/>
  <c r="F208" i="10" s="1"/>
  <c r="X207" i="3"/>
  <c r="W207" i="3"/>
  <c r="V207" i="3"/>
  <c r="U207" i="3"/>
  <c r="T207" i="3"/>
  <c r="R207" i="3" s="1"/>
  <c r="S207" i="3" s="1"/>
  <c r="AD206" i="3"/>
  <c r="Z206" i="3"/>
  <c r="F207" i="10" s="1"/>
  <c r="Y206" i="3"/>
  <c r="X206" i="3"/>
  <c r="W206" i="3"/>
  <c r="V206" i="3"/>
  <c r="U206" i="3"/>
  <c r="T206" i="3"/>
  <c r="R206" i="3"/>
  <c r="S206" i="3" s="1"/>
  <c r="AD205" i="3"/>
  <c r="Y205" i="3"/>
  <c r="Z205" i="3" s="1"/>
  <c r="F206" i="10" s="1"/>
  <c r="X205" i="3"/>
  <c r="W205" i="3"/>
  <c r="V205" i="3"/>
  <c r="U205" i="3"/>
  <c r="T205" i="3"/>
  <c r="R205" i="3" s="1"/>
  <c r="S205" i="3" s="1"/>
  <c r="AD204" i="3"/>
  <c r="Z204" i="3"/>
  <c r="F205" i="10" s="1"/>
  <c r="Y204" i="3"/>
  <c r="X204" i="3"/>
  <c r="W204" i="3"/>
  <c r="V204" i="3"/>
  <c r="U204" i="3"/>
  <c r="T204" i="3"/>
  <c r="R204" i="3"/>
  <c r="S204" i="3" s="1"/>
  <c r="AD203" i="3"/>
  <c r="Y203" i="3"/>
  <c r="Z203" i="3" s="1"/>
  <c r="F204" i="10" s="1"/>
  <c r="X203" i="3"/>
  <c r="W203" i="3"/>
  <c r="V203" i="3"/>
  <c r="U203" i="3"/>
  <c r="T203" i="3"/>
  <c r="R203" i="3" s="1"/>
  <c r="S203" i="3" s="1"/>
  <c r="AD202" i="3"/>
  <c r="Z202" i="3"/>
  <c r="F203" i="10" s="1"/>
  <c r="Y202" i="3"/>
  <c r="X202" i="3"/>
  <c r="W202" i="3"/>
  <c r="V202" i="3"/>
  <c r="U202" i="3"/>
  <c r="T202" i="3"/>
  <c r="R202" i="3"/>
  <c r="S202" i="3" s="1"/>
  <c r="AD201" i="3"/>
  <c r="Y201" i="3"/>
  <c r="Z201" i="3" s="1"/>
  <c r="F202" i="10" s="1"/>
  <c r="X201" i="3"/>
  <c r="W201" i="3"/>
  <c r="V201" i="3"/>
  <c r="U201" i="3"/>
  <c r="T201" i="3"/>
  <c r="S201" i="3"/>
  <c r="R201" i="3"/>
  <c r="AD200" i="3"/>
  <c r="Z200" i="3"/>
  <c r="F201" i="10" s="1"/>
  <c r="Y200" i="3"/>
  <c r="X200" i="3"/>
  <c r="W200" i="3"/>
  <c r="V200" i="3"/>
  <c r="U200" i="3"/>
  <c r="T200" i="3"/>
  <c r="R200" i="3"/>
  <c r="S200" i="3" s="1"/>
  <c r="AD199" i="3"/>
  <c r="Y199" i="3"/>
  <c r="Z199" i="3" s="1"/>
  <c r="F200" i="10" s="1"/>
  <c r="X199" i="3"/>
  <c r="W199" i="3"/>
  <c r="V199" i="3"/>
  <c r="U199" i="3"/>
  <c r="T199" i="3"/>
  <c r="R199" i="3" s="1"/>
  <c r="S199" i="3" s="1"/>
  <c r="AD198" i="3"/>
  <c r="Z198" i="3"/>
  <c r="F199" i="10" s="1"/>
  <c r="Y198" i="3"/>
  <c r="X198" i="3"/>
  <c r="W198" i="3"/>
  <c r="V198" i="3"/>
  <c r="U198" i="3"/>
  <c r="T198" i="3"/>
  <c r="R198" i="3"/>
  <c r="S198" i="3" s="1"/>
  <c r="AD197" i="3"/>
  <c r="Y197" i="3"/>
  <c r="Z197" i="3" s="1"/>
  <c r="F198" i="10" s="1"/>
  <c r="X197" i="3"/>
  <c r="W197" i="3"/>
  <c r="V197" i="3"/>
  <c r="U197" i="3"/>
  <c r="T197" i="3"/>
  <c r="S197" i="3"/>
  <c r="R197" i="3"/>
  <c r="AD196" i="3"/>
  <c r="Z196" i="3"/>
  <c r="F197" i="10" s="1"/>
  <c r="Y196" i="3"/>
  <c r="X196" i="3"/>
  <c r="W196" i="3"/>
  <c r="V196" i="3"/>
  <c r="U196" i="3"/>
  <c r="T196" i="3"/>
  <c r="R196" i="3"/>
  <c r="S196" i="3" s="1"/>
  <c r="AD195" i="3"/>
  <c r="Y195" i="3"/>
  <c r="Z195" i="3" s="1"/>
  <c r="F196" i="10" s="1"/>
  <c r="X195" i="3"/>
  <c r="W195" i="3"/>
  <c r="V195" i="3"/>
  <c r="U195" i="3"/>
  <c r="T195" i="3"/>
  <c r="S195" i="3"/>
  <c r="R195" i="3"/>
  <c r="AD194" i="3"/>
  <c r="Z194" i="3"/>
  <c r="F195" i="10" s="1"/>
  <c r="Y194" i="3"/>
  <c r="X194" i="3"/>
  <c r="W194" i="3"/>
  <c r="V194" i="3"/>
  <c r="U194" i="3"/>
  <c r="T194" i="3"/>
  <c r="R194" i="3"/>
  <c r="S194" i="3" s="1"/>
  <c r="AD193" i="3"/>
  <c r="Y193" i="3"/>
  <c r="Z193" i="3" s="1"/>
  <c r="F194" i="10" s="1"/>
  <c r="X193" i="3"/>
  <c r="W193" i="3"/>
  <c r="V193" i="3"/>
  <c r="U193" i="3"/>
  <c r="T193" i="3"/>
  <c r="S193" i="3"/>
  <c r="R193" i="3"/>
  <c r="AD192" i="3"/>
  <c r="Z192" i="3"/>
  <c r="F193" i="10" s="1"/>
  <c r="Y192" i="3"/>
  <c r="X192" i="3"/>
  <c r="W192" i="3"/>
  <c r="V192" i="3"/>
  <c r="U192" i="3"/>
  <c r="T192" i="3"/>
  <c r="R192" i="3"/>
  <c r="S192" i="3" s="1"/>
  <c r="AD191" i="3"/>
  <c r="Y191" i="3"/>
  <c r="Z191" i="3" s="1"/>
  <c r="F192" i="10" s="1"/>
  <c r="X191" i="3"/>
  <c r="W191" i="3"/>
  <c r="V191" i="3"/>
  <c r="U191" i="3"/>
  <c r="T191" i="3"/>
  <c r="R191" i="3" s="1"/>
  <c r="S191" i="3" s="1"/>
  <c r="AD190" i="3"/>
  <c r="Z190" i="3"/>
  <c r="F191" i="10" s="1"/>
  <c r="Y190" i="3"/>
  <c r="X190" i="3"/>
  <c r="W190" i="3"/>
  <c r="V190" i="3"/>
  <c r="U190" i="3"/>
  <c r="T190" i="3"/>
  <c r="R190" i="3"/>
  <c r="S190" i="3" s="1"/>
  <c r="AD189" i="3"/>
  <c r="Y189" i="3"/>
  <c r="Z189" i="3" s="1"/>
  <c r="F190" i="10" s="1"/>
  <c r="X189" i="3"/>
  <c r="W189" i="3"/>
  <c r="V189" i="3"/>
  <c r="U189" i="3"/>
  <c r="T189" i="3"/>
  <c r="R189" i="3" s="1"/>
  <c r="S189" i="3" s="1"/>
  <c r="AD188" i="3"/>
  <c r="Z188" i="3"/>
  <c r="F189" i="10" s="1"/>
  <c r="Y188" i="3"/>
  <c r="X188" i="3"/>
  <c r="W188" i="3"/>
  <c r="V188" i="3"/>
  <c r="U188" i="3"/>
  <c r="T188" i="3"/>
  <c r="R188" i="3"/>
  <c r="S188" i="3" s="1"/>
  <c r="AD187" i="3"/>
  <c r="Y187" i="3"/>
  <c r="Z187" i="3" s="1"/>
  <c r="F188" i="10" s="1"/>
  <c r="X187" i="3"/>
  <c r="W187" i="3"/>
  <c r="V187" i="3"/>
  <c r="U187" i="3"/>
  <c r="T187" i="3"/>
  <c r="S187" i="3"/>
  <c r="R187" i="3"/>
  <c r="AD186" i="3"/>
  <c r="AC186" i="3"/>
  <c r="Z186" i="3"/>
  <c r="F187" i="10" s="1"/>
  <c r="Y186" i="3"/>
  <c r="X186" i="3"/>
  <c r="W186" i="3"/>
  <c r="V186" i="3"/>
  <c r="U186" i="3"/>
  <c r="T186" i="3"/>
  <c r="S186" i="3"/>
  <c r="R186" i="3"/>
  <c r="AD185" i="3"/>
  <c r="Y185" i="3"/>
  <c r="Z185" i="3" s="1"/>
  <c r="F186" i="10" s="1"/>
  <c r="X185" i="3"/>
  <c r="W185" i="3"/>
  <c r="V185" i="3"/>
  <c r="U185" i="3"/>
  <c r="T185" i="3"/>
  <c r="R185" i="3" s="1"/>
  <c r="S185" i="3" s="1"/>
  <c r="AD184" i="3"/>
  <c r="Z184" i="3"/>
  <c r="F185" i="10" s="1"/>
  <c r="Y184" i="3"/>
  <c r="X184" i="3"/>
  <c r="W184" i="3"/>
  <c r="V184" i="3"/>
  <c r="U184" i="3"/>
  <c r="T184" i="3"/>
  <c r="S184" i="3"/>
  <c r="R184" i="3"/>
  <c r="AD183" i="3"/>
  <c r="Y183" i="3"/>
  <c r="Z183" i="3" s="1"/>
  <c r="F184" i="10" s="1"/>
  <c r="X183" i="3"/>
  <c r="W183" i="3"/>
  <c r="V183" i="3"/>
  <c r="U183" i="3"/>
  <c r="T183" i="3"/>
  <c r="R183" i="3"/>
  <c r="S183" i="3" s="1"/>
  <c r="AD182" i="3"/>
  <c r="Z182" i="3"/>
  <c r="F183" i="10" s="1"/>
  <c r="Y182" i="3"/>
  <c r="X182" i="3"/>
  <c r="W182" i="3"/>
  <c r="V182" i="3"/>
  <c r="U182" i="3"/>
  <c r="T182" i="3"/>
  <c r="S182" i="3"/>
  <c r="R182" i="3"/>
  <c r="AD181" i="3"/>
  <c r="Y181" i="3"/>
  <c r="Z181" i="3" s="1"/>
  <c r="F182" i="10" s="1"/>
  <c r="X181" i="3"/>
  <c r="W181" i="3"/>
  <c r="V181" i="3"/>
  <c r="U181" i="3"/>
  <c r="T181" i="3"/>
  <c r="R181" i="3" s="1"/>
  <c r="S181" i="3" s="1"/>
  <c r="AD180" i="3"/>
  <c r="Z180" i="3"/>
  <c r="F181" i="10" s="1"/>
  <c r="Y180" i="3"/>
  <c r="X180" i="3"/>
  <c r="W180" i="3"/>
  <c r="V180" i="3"/>
  <c r="U180" i="3"/>
  <c r="T180" i="3"/>
  <c r="S180" i="3"/>
  <c r="R180" i="3"/>
  <c r="AD179" i="3"/>
  <c r="Y179" i="3"/>
  <c r="Z179" i="3" s="1"/>
  <c r="F180" i="10" s="1"/>
  <c r="X179" i="3"/>
  <c r="W179" i="3"/>
  <c r="V179" i="3"/>
  <c r="U179" i="3"/>
  <c r="T179" i="3"/>
  <c r="R179" i="3" s="1"/>
  <c r="S179" i="3" s="1"/>
  <c r="AD178" i="3"/>
  <c r="Z178" i="3"/>
  <c r="F179" i="10" s="1"/>
  <c r="Y178" i="3"/>
  <c r="X178" i="3"/>
  <c r="W178" i="3"/>
  <c r="V178" i="3"/>
  <c r="U178" i="3"/>
  <c r="T178" i="3"/>
  <c r="S178" i="3"/>
  <c r="R178" i="3"/>
  <c r="AD177" i="3"/>
  <c r="Y177" i="3"/>
  <c r="Z177" i="3" s="1"/>
  <c r="F178" i="10" s="1"/>
  <c r="X177" i="3"/>
  <c r="W177" i="3"/>
  <c r="V177" i="3"/>
  <c r="U177" i="3"/>
  <c r="T177" i="3"/>
  <c r="R177" i="3"/>
  <c r="S177" i="3" s="1"/>
  <c r="AD176" i="3"/>
  <c r="Z176" i="3"/>
  <c r="F177" i="10" s="1"/>
  <c r="Y176" i="3"/>
  <c r="X176" i="3"/>
  <c r="W176" i="3"/>
  <c r="V176" i="3"/>
  <c r="U176" i="3"/>
  <c r="T176" i="3"/>
  <c r="S176" i="3"/>
  <c r="R176" i="3"/>
  <c r="AD175" i="3"/>
  <c r="Z175" i="3"/>
  <c r="F176" i="10" s="1"/>
  <c r="Y175" i="3"/>
  <c r="AC175" i="3" s="1"/>
  <c r="X175" i="3"/>
  <c r="W175" i="3"/>
  <c r="V175" i="3"/>
  <c r="U175" i="3"/>
  <c r="T175" i="3"/>
  <c r="R175" i="3"/>
  <c r="S175" i="3" s="1"/>
  <c r="AD174" i="3"/>
  <c r="Y174" i="3"/>
  <c r="Z174" i="3" s="1"/>
  <c r="F175" i="10" s="1"/>
  <c r="X174" i="3"/>
  <c r="W174" i="3"/>
  <c r="V174" i="3"/>
  <c r="U174" i="3"/>
  <c r="T174" i="3"/>
  <c r="R174" i="3" s="1"/>
  <c r="S174" i="3" s="1"/>
  <c r="AD173" i="3"/>
  <c r="Z173" i="3"/>
  <c r="F174" i="10" s="1"/>
  <c r="Y173" i="3"/>
  <c r="X173" i="3"/>
  <c r="W173" i="3"/>
  <c r="V173" i="3"/>
  <c r="U173" i="3"/>
  <c r="T173" i="3"/>
  <c r="R173" i="3"/>
  <c r="S173" i="3" s="1"/>
  <c r="AD172" i="3"/>
  <c r="Y172" i="3"/>
  <c r="Z172" i="3" s="1"/>
  <c r="F173" i="10" s="1"/>
  <c r="X172" i="3"/>
  <c r="W172" i="3"/>
  <c r="V172" i="3"/>
  <c r="U172" i="3"/>
  <c r="T172" i="3"/>
  <c r="R172" i="3" s="1"/>
  <c r="S172" i="3" s="1"/>
  <c r="AD171" i="3"/>
  <c r="Z171" i="3"/>
  <c r="F172" i="10" s="1"/>
  <c r="Y171" i="3"/>
  <c r="X171" i="3"/>
  <c r="W171" i="3"/>
  <c r="V171" i="3"/>
  <c r="U171" i="3"/>
  <c r="T171" i="3"/>
  <c r="R171" i="3"/>
  <c r="S171" i="3" s="1"/>
  <c r="AD170" i="3"/>
  <c r="Y170" i="3"/>
  <c r="Z170" i="3" s="1"/>
  <c r="F171" i="10" s="1"/>
  <c r="X170" i="3"/>
  <c r="W170" i="3"/>
  <c r="V170" i="3"/>
  <c r="U170" i="3"/>
  <c r="T170" i="3"/>
  <c r="R170" i="3" s="1"/>
  <c r="S170" i="3" s="1"/>
  <c r="AD169" i="3"/>
  <c r="Z169" i="3"/>
  <c r="F170" i="10" s="1"/>
  <c r="Y169" i="3"/>
  <c r="X169" i="3"/>
  <c r="W169" i="3"/>
  <c r="V169" i="3"/>
  <c r="U169" i="3"/>
  <c r="T169" i="3"/>
  <c r="R169" i="3"/>
  <c r="S169" i="3" s="1"/>
  <c r="AD168" i="3"/>
  <c r="AB168" i="3"/>
  <c r="Z168" i="3"/>
  <c r="F169" i="10" s="1"/>
  <c r="Y168" i="3"/>
  <c r="AC168" i="3" s="1"/>
  <c r="X168" i="3"/>
  <c r="W168" i="3"/>
  <c r="V168" i="3"/>
  <c r="U168" i="3"/>
  <c r="T168" i="3"/>
  <c r="R168" i="3"/>
  <c r="S168" i="3" s="1"/>
  <c r="AD167" i="3"/>
  <c r="Y167" i="3"/>
  <c r="Z167" i="3" s="1"/>
  <c r="F168" i="10" s="1"/>
  <c r="X167" i="3"/>
  <c r="W167" i="3"/>
  <c r="V167" i="3"/>
  <c r="U167" i="3"/>
  <c r="T167" i="3"/>
  <c r="R167" i="3" s="1"/>
  <c r="S167" i="3" s="1"/>
  <c r="AD166" i="3"/>
  <c r="Z166" i="3"/>
  <c r="F167" i="10" s="1"/>
  <c r="Y166" i="3"/>
  <c r="X166" i="3"/>
  <c r="W166" i="3"/>
  <c r="V166" i="3"/>
  <c r="U166" i="3"/>
  <c r="T166" i="3"/>
  <c r="R166" i="3"/>
  <c r="S166" i="3" s="1"/>
  <c r="AD165" i="3"/>
  <c r="Y165" i="3"/>
  <c r="Z165" i="3" s="1"/>
  <c r="F166" i="10" s="1"/>
  <c r="X165" i="3"/>
  <c r="W165" i="3"/>
  <c r="V165" i="3"/>
  <c r="U165" i="3"/>
  <c r="T165" i="3"/>
  <c r="R165" i="3" s="1"/>
  <c r="S165" i="3" s="1"/>
  <c r="AD164" i="3"/>
  <c r="Z164" i="3"/>
  <c r="F165" i="10" s="1"/>
  <c r="Y164" i="3"/>
  <c r="X164" i="3"/>
  <c r="W164" i="3"/>
  <c r="V164" i="3"/>
  <c r="U164" i="3"/>
  <c r="T164" i="3"/>
  <c r="R164" i="3"/>
  <c r="S164" i="3" s="1"/>
  <c r="AD163" i="3"/>
  <c r="Y163" i="3"/>
  <c r="Z163" i="3" s="1"/>
  <c r="F164" i="10" s="1"/>
  <c r="X163" i="3"/>
  <c r="W163" i="3"/>
  <c r="V163" i="3"/>
  <c r="U163" i="3"/>
  <c r="T163" i="3"/>
  <c r="R163" i="3" s="1"/>
  <c r="S163" i="3" s="1"/>
  <c r="AD162" i="3"/>
  <c r="Z162" i="3"/>
  <c r="F163" i="10" s="1"/>
  <c r="Y162" i="3"/>
  <c r="X162" i="3"/>
  <c r="W162" i="3"/>
  <c r="V162" i="3"/>
  <c r="U162" i="3"/>
  <c r="T162" i="3"/>
  <c r="R162" i="3"/>
  <c r="S162" i="3" s="1"/>
  <c r="AD161" i="3"/>
  <c r="Y161" i="3"/>
  <c r="Z161" i="3" s="1"/>
  <c r="F162" i="10" s="1"/>
  <c r="X161" i="3"/>
  <c r="W161" i="3"/>
  <c r="V161" i="3"/>
  <c r="U161" i="3"/>
  <c r="T161" i="3"/>
  <c r="R161" i="3" s="1"/>
  <c r="S161" i="3" s="1"/>
  <c r="AD160" i="3"/>
  <c r="Z160" i="3"/>
  <c r="F161" i="10" s="1"/>
  <c r="Y160" i="3"/>
  <c r="X160" i="3"/>
  <c r="W160" i="3"/>
  <c r="V160" i="3"/>
  <c r="U160" i="3"/>
  <c r="T160" i="3"/>
  <c r="R160" i="3"/>
  <c r="S160" i="3" s="1"/>
  <c r="AD159" i="3"/>
  <c r="Y159" i="3"/>
  <c r="Z159" i="3" s="1"/>
  <c r="F160" i="10" s="1"/>
  <c r="X159" i="3"/>
  <c r="W159" i="3"/>
  <c r="V159" i="3"/>
  <c r="U159" i="3"/>
  <c r="T159" i="3"/>
  <c r="R159" i="3" s="1"/>
  <c r="S159" i="3" s="1"/>
  <c r="AD158" i="3"/>
  <c r="Z158" i="3"/>
  <c r="F159" i="10" s="1"/>
  <c r="Y158" i="3"/>
  <c r="X158" i="3"/>
  <c r="W158" i="3"/>
  <c r="V158" i="3"/>
  <c r="U158" i="3"/>
  <c r="T158" i="3"/>
  <c r="R158" i="3"/>
  <c r="S158" i="3" s="1"/>
  <c r="AD157" i="3"/>
  <c r="Y157" i="3"/>
  <c r="Z157" i="3" s="1"/>
  <c r="F158" i="10" s="1"/>
  <c r="X157" i="3"/>
  <c r="W157" i="3"/>
  <c r="V157" i="3"/>
  <c r="U157" i="3"/>
  <c r="T157" i="3"/>
  <c r="R157" i="3" s="1"/>
  <c r="S157" i="3" s="1"/>
  <c r="AD156" i="3"/>
  <c r="Z156" i="3"/>
  <c r="F157" i="10" s="1"/>
  <c r="Y156" i="3"/>
  <c r="X156" i="3"/>
  <c r="W156" i="3"/>
  <c r="V156" i="3"/>
  <c r="U156" i="3"/>
  <c r="T156" i="3"/>
  <c r="R156" i="3"/>
  <c r="S156" i="3" s="1"/>
  <c r="AD155" i="3"/>
  <c r="Y155" i="3"/>
  <c r="Z155" i="3" s="1"/>
  <c r="F156" i="10" s="1"/>
  <c r="X155" i="3"/>
  <c r="W155" i="3"/>
  <c r="V155" i="3"/>
  <c r="U155" i="3"/>
  <c r="T155" i="3"/>
  <c r="R155" i="3" s="1"/>
  <c r="S155" i="3" s="1"/>
  <c r="AD154" i="3"/>
  <c r="Z154" i="3"/>
  <c r="F155" i="10" s="1"/>
  <c r="Y154" i="3"/>
  <c r="X154" i="3"/>
  <c r="W154" i="3"/>
  <c r="V154" i="3"/>
  <c r="U154" i="3"/>
  <c r="T154" i="3"/>
  <c r="R154" i="3"/>
  <c r="S154" i="3" s="1"/>
  <c r="AD153" i="3"/>
  <c r="Y153" i="3"/>
  <c r="Z153" i="3" s="1"/>
  <c r="F154" i="10" s="1"/>
  <c r="X153" i="3"/>
  <c r="W153" i="3"/>
  <c r="V153" i="3"/>
  <c r="U153" i="3"/>
  <c r="T153" i="3"/>
  <c r="R153" i="3" s="1"/>
  <c r="S153" i="3" s="1"/>
  <c r="AD152" i="3"/>
  <c r="Z152" i="3"/>
  <c r="F153" i="10" s="1"/>
  <c r="Y152" i="3"/>
  <c r="X152" i="3"/>
  <c r="W152" i="3"/>
  <c r="V152" i="3"/>
  <c r="U152" i="3"/>
  <c r="T152" i="3"/>
  <c r="R152" i="3"/>
  <c r="S152" i="3" s="1"/>
  <c r="AD151" i="3"/>
  <c r="Y151" i="3"/>
  <c r="Z151" i="3" s="1"/>
  <c r="F152" i="10" s="1"/>
  <c r="X151" i="3"/>
  <c r="W151" i="3"/>
  <c r="V151" i="3"/>
  <c r="U151" i="3"/>
  <c r="T151" i="3"/>
  <c r="S151" i="3"/>
  <c r="R151" i="3"/>
  <c r="AD150" i="3"/>
  <c r="Z150" i="3"/>
  <c r="F151" i="10" s="1"/>
  <c r="Y150" i="3"/>
  <c r="X150" i="3"/>
  <c r="W150" i="3"/>
  <c r="V150" i="3"/>
  <c r="U150" i="3"/>
  <c r="T150" i="3"/>
  <c r="R150" i="3"/>
  <c r="S150" i="3" s="1"/>
  <c r="AD149" i="3"/>
  <c r="Y149" i="3"/>
  <c r="Z149" i="3" s="1"/>
  <c r="F150" i="10" s="1"/>
  <c r="X149" i="3"/>
  <c r="W149" i="3"/>
  <c r="V149" i="3"/>
  <c r="U149" i="3"/>
  <c r="T149" i="3"/>
  <c r="S149" i="3"/>
  <c r="R149" i="3"/>
  <c r="AD148" i="3"/>
  <c r="Z148" i="3"/>
  <c r="F149" i="10" s="1"/>
  <c r="Y148" i="3"/>
  <c r="X148" i="3"/>
  <c r="W148" i="3"/>
  <c r="V148" i="3"/>
  <c r="U148" i="3"/>
  <c r="T148" i="3"/>
  <c r="R148" i="3"/>
  <c r="S148" i="3" s="1"/>
  <c r="AD147" i="3"/>
  <c r="Y147" i="3"/>
  <c r="Z147" i="3" s="1"/>
  <c r="F148" i="10" s="1"/>
  <c r="X147" i="3"/>
  <c r="W147" i="3"/>
  <c r="V147" i="3"/>
  <c r="U147" i="3"/>
  <c r="T147" i="3"/>
  <c r="R147" i="3" s="1"/>
  <c r="S147" i="3" s="1"/>
  <c r="AD146" i="3"/>
  <c r="Z146" i="3"/>
  <c r="F147" i="10" s="1"/>
  <c r="Y146" i="3"/>
  <c r="X146" i="3"/>
  <c r="W146" i="3"/>
  <c r="V146" i="3"/>
  <c r="U146" i="3"/>
  <c r="T146" i="3"/>
  <c r="R146" i="3"/>
  <c r="S146" i="3" s="1"/>
  <c r="AD145" i="3"/>
  <c r="Y145" i="3"/>
  <c r="Z145" i="3" s="1"/>
  <c r="F146" i="10" s="1"/>
  <c r="X145" i="3"/>
  <c r="W145" i="3"/>
  <c r="V145" i="3"/>
  <c r="U145" i="3"/>
  <c r="T145" i="3"/>
  <c r="S145" i="3"/>
  <c r="R145" i="3"/>
  <c r="AD144" i="3"/>
  <c r="Z144" i="3"/>
  <c r="F145" i="10" s="1"/>
  <c r="Y144" i="3"/>
  <c r="X144" i="3"/>
  <c r="W144" i="3"/>
  <c r="V144" i="3"/>
  <c r="U144" i="3"/>
  <c r="T144" i="3"/>
  <c r="R144" i="3"/>
  <c r="S144" i="3" s="1"/>
  <c r="AD143" i="3"/>
  <c r="Y143" i="3"/>
  <c r="Z143" i="3" s="1"/>
  <c r="F144" i="10" s="1"/>
  <c r="X143" i="3"/>
  <c r="W143" i="3"/>
  <c r="V143" i="3"/>
  <c r="U143" i="3"/>
  <c r="T143" i="3"/>
  <c r="R143" i="3" s="1"/>
  <c r="S143" i="3" s="1"/>
  <c r="AD142" i="3"/>
  <c r="Z142" i="3"/>
  <c r="F143" i="10" s="1"/>
  <c r="Y142" i="3"/>
  <c r="X142" i="3"/>
  <c r="W142" i="3"/>
  <c r="V142" i="3"/>
  <c r="U142" i="3"/>
  <c r="T142" i="3"/>
  <c r="R142" i="3"/>
  <c r="S142" i="3" s="1"/>
  <c r="AD141" i="3"/>
  <c r="Y141" i="3"/>
  <c r="Z141" i="3" s="1"/>
  <c r="F142" i="10" s="1"/>
  <c r="X141" i="3"/>
  <c r="W141" i="3"/>
  <c r="V141" i="3"/>
  <c r="U141" i="3"/>
  <c r="T141" i="3"/>
  <c r="R141" i="3" s="1"/>
  <c r="S141" i="3" s="1"/>
  <c r="AD140" i="3"/>
  <c r="Z140" i="3"/>
  <c r="F141" i="10" s="1"/>
  <c r="Y140" i="3"/>
  <c r="X140" i="3"/>
  <c r="W140" i="3"/>
  <c r="V140" i="3"/>
  <c r="U140" i="3"/>
  <c r="T140" i="3"/>
  <c r="R140" i="3"/>
  <c r="S140" i="3" s="1"/>
  <c r="AD139" i="3"/>
  <c r="Y139" i="3"/>
  <c r="Z139" i="3" s="1"/>
  <c r="F140" i="10" s="1"/>
  <c r="X139" i="3"/>
  <c r="W139" i="3"/>
  <c r="V139" i="3"/>
  <c r="U139" i="3"/>
  <c r="T139" i="3"/>
  <c r="S139" i="3"/>
  <c r="R139" i="3"/>
  <c r="AD138" i="3"/>
  <c r="Z138" i="3"/>
  <c r="F139" i="10" s="1"/>
  <c r="Y138" i="3"/>
  <c r="X138" i="3"/>
  <c r="W138" i="3"/>
  <c r="V138" i="3"/>
  <c r="U138" i="3"/>
  <c r="T138" i="3"/>
  <c r="R138" i="3"/>
  <c r="S138" i="3" s="1"/>
  <c r="AD137" i="3"/>
  <c r="Y137" i="3"/>
  <c r="Z137" i="3" s="1"/>
  <c r="F138" i="10" s="1"/>
  <c r="X137" i="3"/>
  <c r="W137" i="3"/>
  <c r="V137" i="3"/>
  <c r="U137" i="3"/>
  <c r="T137" i="3"/>
  <c r="R137" i="3" s="1"/>
  <c r="S137" i="3" s="1"/>
  <c r="AD136" i="3"/>
  <c r="Z136" i="3"/>
  <c r="F137" i="10" s="1"/>
  <c r="Y136" i="3"/>
  <c r="X136" i="3"/>
  <c r="W136" i="3"/>
  <c r="V136" i="3"/>
  <c r="U136" i="3"/>
  <c r="T136" i="3"/>
  <c r="R136" i="3"/>
  <c r="S136" i="3" s="1"/>
  <c r="AD135" i="3"/>
  <c r="Y135" i="3"/>
  <c r="Z135" i="3" s="1"/>
  <c r="F136" i="10" s="1"/>
  <c r="X135" i="3"/>
  <c r="W135" i="3"/>
  <c r="V135" i="3"/>
  <c r="U135" i="3"/>
  <c r="T135" i="3"/>
  <c r="S135" i="3"/>
  <c r="R135" i="3"/>
  <c r="AD134" i="3"/>
  <c r="Z134" i="3"/>
  <c r="F135" i="10" s="1"/>
  <c r="Y134" i="3"/>
  <c r="X134" i="3"/>
  <c r="W134" i="3"/>
  <c r="V134" i="3"/>
  <c r="U134" i="3"/>
  <c r="T134" i="3"/>
  <c r="R134" i="3"/>
  <c r="S134" i="3" s="1"/>
  <c r="AD133" i="3"/>
  <c r="Y133" i="3"/>
  <c r="Z133" i="3" s="1"/>
  <c r="F134" i="10" s="1"/>
  <c r="X133" i="3"/>
  <c r="W133" i="3"/>
  <c r="V133" i="3"/>
  <c r="U133" i="3"/>
  <c r="T133" i="3"/>
  <c r="S133" i="3"/>
  <c r="R133" i="3"/>
  <c r="AD132" i="3"/>
  <c r="Z132" i="3"/>
  <c r="F133" i="10" s="1"/>
  <c r="Y132" i="3"/>
  <c r="X132" i="3"/>
  <c r="W132" i="3"/>
  <c r="V132" i="3"/>
  <c r="U132" i="3"/>
  <c r="T132" i="3"/>
  <c r="R132" i="3"/>
  <c r="S132" i="3" s="1"/>
  <c r="AD131" i="3"/>
  <c r="Y131" i="3"/>
  <c r="Z131" i="3" s="1"/>
  <c r="F132" i="10" s="1"/>
  <c r="X131" i="3"/>
  <c r="W131" i="3"/>
  <c r="V131" i="3"/>
  <c r="U131" i="3"/>
  <c r="T131" i="3"/>
  <c r="R131" i="3" s="1"/>
  <c r="S131" i="3" s="1"/>
  <c r="AD130" i="3"/>
  <c r="Z130" i="3"/>
  <c r="F131" i="10" s="1"/>
  <c r="Y130" i="3"/>
  <c r="X130" i="3"/>
  <c r="W130" i="3"/>
  <c r="V130" i="3"/>
  <c r="U130" i="3"/>
  <c r="T130" i="3"/>
  <c r="R130" i="3"/>
  <c r="S130" i="3" s="1"/>
  <c r="AD129" i="3"/>
  <c r="Y129" i="3"/>
  <c r="Z129" i="3" s="1"/>
  <c r="F130" i="10" s="1"/>
  <c r="X129" i="3"/>
  <c r="W129" i="3"/>
  <c r="V129" i="3"/>
  <c r="U129" i="3"/>
  <c r="T129" i="3"/>
  <c r="R129" i="3" s="1"/>
  <c r="S129" i="3" s="1"/>
  <c r="AD128" i="3"/>
  <c r="Z128" i="3"/>
  <c r="F129" i="10" s="1"/>
  <c r="Y128" i="3"/>
  <c r="X128" i="3"/>
  <c r="W128" i="3"/>
  <c r="V128" i="3"/>
  <c r="U128" i="3"/>
  <c r="T128" i="3"/>
  <c r="R128" i="3"/>
  <c r="S128" i="3" s="1"/>
  <c r="AD127" i="3"/>
  <c r="Y127" i="3"/>
  <c r="Z127" i="3" s="1"/>
  <c r="F128" i="10" s="1"/>
  <c r="X127" i="3"/>
  <c r="W127" i="3"/>
  <c r="V127" i="3"/>
  <c r="U127" i="3"/>
  <c r="T127" i="3"/>
  <c r="S127" i="3"/>
  <c r="R127" i="3"/>
  <c r="AD126" i="3"/>
  <c r="Z126" i="3"/>
  <c r="F127" i="10" s="1"/>
  <c r="Y126" i="3"/>
  <c r="X126" i="3"/>
  <c r="W126" i="3"/>
  <c r="V126" i="3"/>
  <c r="U126" i="3"/>
  <c r="T126" i="3"/>
  <c r="R126" i="3"/>
  <c r="S126" i="3" s="1"/>
  <c r="AD125" i="3"/>
  <c r="Y125" i="3"/>
  <c r="Z125" i="3" s="1"/>
  <c r="F126" i="10" s="1"/>
  <c r="X125" i="3"/>
  <c r="W125" i="3"/>
  <c r="V125" i="3"/>
  <c r="U125" i="3"/>
  <c r="T125" i="3"/>
  <c r="S125" i="3"/>
  <c r="R125" i="3"/>
  <c r="AD124" i="3"/>
  <c r="Z124" i="3"/>
  <c r="F125" i="10" s="1"/>
  <c r="Y124" i="3"/>
  <c r="X124" i="3"/>
  <c r="W124" i="3"/>
  <c r="V124" i="3"/>
  <c r="U124" i="3"/>
  <c r="T124" i="3"/>
  <c r="R124" i="3"/>
  <c r="S124" i="3" s="1"/>
  <c r="AD123" i="3"/>
  <c r="Y123" i="3"/>
  <c r="Z123" i="3" s="1"/>
  <c r="F124" i="10" s="1"/>
  <c r="X123" i="3"/>
  <c r="W123" i="3"/>
  <c r="V123" i="3"/>
  <c r="U123" i="3"/>
  <c r="T123" i="3"/>
  <c r="R123" i="3" s="1"/>
  <c r="S123" i="3" s="1"/>
  <c r="AD122" i="3"/>
  <c r="Z122" i="3"/>
  <c r="F123" i="10" s="1"/>
  <c r="Y122" i="3"/>
  <c r="X122" i="3"/>
  <c r="W122" i="3"/>
  <c r="V122" i="3"/>
  <c r="U122" i="3"/>
  <c r="T122" i="3"/>
  <c r="S122" i="3"/>
  <c r="R122" i="3"/>
  <c r="AD121" i="3"/>
  <c r="Y121" i="3"/>
  <c r="Z121" i="3" s="1"/>
  <c r="F122" i="10" s="1"/>
  <c r="X121" i="3"/>
  <c r="W121" i="3"/>
  <c r="V121" i="3"/>
  <c r="U121" i="3"/>
  <c r="T121" i="3"/>
  <c r="R121" i="3"/>
  <c r="S121" i="3" s="1"/>
  <c r="AD120" i="3"/>
  <c r="Z120" i="3"/>
  <c r="F121" i="10" s="1"/>
  <c r="Y120" i="3"/>
  <c r="X120" i="3"/>
  <c r="W120" i="3"/>
  <c r="V120" i="3"/>
  <c r="U120" i="3"/>
  <c r="T120" i="3"/>
  <c r="S120" i="3"/>
  <c r="R120" i="3"/>
  <c r="AD119" i="3"/>
  <c r="Y119" i="3"/>
  <c r="Z119" i="3" s="1"/>
  <c r="F120" i="10" s="1"/>
  <c r="X119" i="3"/>
  <c r="W119" i="3"/>
  <c r="V119" i="3"/>
  <c r="U119" i="3"/>
  <c r="T119" i="3"/>
  <c r="R119" i="3" s="1"/>
  <c r="S119" i="3" s="1"/>
  <c r="AD118" i="3"/>
  <c r="Z118" i="3"/>
  <c r="F119" i="10" s="1"/>
  <c r="Y118" i="3"/>
  <c r="X118" i="3"/>
  <c r="W118" i="3"/>
  <c r="V118" i="3"/>
  <c r="U118" i="3"/>
  <c r="T118" i="3"/>
  <c r="S118" i="3"/>
  <c r="R118" i="3"/>
  <c r="AD117" i="3"/>
  <c r="Y117" i="3"/>
  <c r="Z117" i="3" s="1"/>
  <c r="F118" i="10" s="1"/>
  <c r="X117" i="3"/>
  <c r="W117" i="3"/>
  <c r="V117" i="3"/>
  <c r="U117" i="3"/>
  <c r="T117" i="3"/>
  <c r="R117" i="3" s="1"/>
  <c r="S117" i="3" s="1"/>
  <c r="AD116" i="3"/>
  <c r="Z116" i="3"/>
  <c r="F117" i="10" s="1"/>
  <c r="Y116" i="3"/>
  <c r="X116" i="3"/>
  <c r="W116" i="3"/>
  <c r="V116" i="3"/>
  <c r="U116" i="3"/>
  <c r="T116" i="3"/>
  <c r="S116" i="3"/>
  <c r="R116" i="3"/>
  <c r="AD115" i="3"/>
  <c r="Y115" i="3"/>
  <c r="Z115" i="3" s="1"/>
  <c r="F116" i="10" s="1"/>
  <c r="X115" i="3"/>
  <c r="W115" i="3"/>
  <c r="V115" i="3"/>
  <c r="U115" i="3"/>
  <c r="T115" i="3"/>
  <c r="R115" i="3" s="1"/>
  <c r="S115" i="3" s="1"/>
  <c r="AD114" i="3"/>
  <c r="Z114" i="3"/>
  <c r="F115" i="10" s="1"/>
  <c r="Y114" i="3"/>
  <c r="X114" i="3"/>
  <c r="W114" i="3"/>
  <c r="V114" i="3"/>
  <c r="U114" i="3"/>
  <c r="T114" i="3"/>
  <c r="S114" i="3"/>
  <c r="R114" i="3"/>
  <c r="AD113" i="3"/>
  <c r="Y113" i="3"/>
  <c r="Z113" i="3" s="1"/>
  <c r="F114" i="10" s="1"/>
  <c r="X113" i="3"/>
  <c r="W113" i="3"/>
  <c r="V113" i="3"/>
  <c r="U113" i="3"/>
  <c r="T113" i="3"/>
  <c r="R113" i="3" s="1"/>
  <c r="S113" i="3" s="1"/>
  <c r="AD112" i="3"/>
  <c r="Z112" i="3"/>
  <c r="F113" i="10" s="1"/>
  <c r="Y112" i="3"/>
  <c r="X112" i="3"/>
  <c r="W112" i="3"/>
  <c r="V112" i="3"/>
  <c r="U112" i="3"/>
  <c r="T112" i="3"/>
  <c r="S112" i="3"/>
  <c r="R112" i="3"/>
  <c r="AD111" i="3"/>
  <c r="Y111" i="3"/>
  <c r="Z111" i="3" s="1"/>
  <c r="F112" i="10" s="1"/>
  <c r="X111" i="3"/>
  <c r="W111" i="3"/>
  <c r="V111" i="3"/>
  <c r="U111" i="3"/>
  <c r="T111" i="3"/>
  <c r="R111" i="3" s="1"/>
  <c r="S111" i="3" s="1"/>
  <c r="AD110" i="3"/>
  <c r="Z110" i="3"/>
  <c r="F111" i="10" s="1"/>
  <c r="Y110" i="3"/>
  <c r="X110" i="3"/>
  <c r="W110" i="3"/>
  <c r="V110" i="3"/>
  <c r="U110" i="3"/>
  <c r="T110" i="3"/>
  <c r="S110" i="3"/>
  <c r="R110" i="3"/>
  <c r="AD109" i="3"/>
  <c r="Y109" i="3"/>
  <c r="Z109" i="3" s="1"/>
  <c r="F110" i="10" s="1"/>
  <c r="X109" i="3"/>
  <c r="W109" i="3"/>
  <c r="V109" i="3"/>
  <c r="U109" i="3"/>
  <c r="T109" i="3"/>
  <c r="R109" i="3"/>
  <c r="S109" i="3" s="1"/>
  <c r="AD108" i="3"/>
  <c r="Z108" i="3"/>
  <c r="F109" i="10" s="1"/>
  <c r="Y108" i="3"/>
  <c r="X108" i="3"/>
  <c r="W108" i="3"/>
  <c r="V108" i="3"/>
  <c r="U108" i="3"/>
  <c r="T108" i="3"/>
  <c r="S108" i="3"/>
  <c r="R108" i="3"/>
  <c r="AD107" i="3"/>
  <c r="AB107" i="3"/>
  <c r="AC107" i="3" s="1"/>
  <c r="Z107" i="3"/>
  <c r="F108" i="10" s="1"/>
  <c r="Y107" i="3"/>
  <c r="X107" i="3"/>
  <c r="W107" i="3"/>
  <c r="V107" i="3"/>
  <c r="U107" i="3"/>
  <c r="T107" i="3"/>
  <c r="S107" i="3"/>
  <c r="R107" i="3"/>
  <c r="AD106" i="3"/>
  <c r="Y106" i="3"/>
  <c r="Z106" i="3" s="1"/>
  <c r="F107" i="10" s="1"/>
  <c r="X106" i="3"/>
  <c r="W106" i="3"/>
  <c r="V106" i="3"/>
  <c r="U106" i="3"/>
  <c r="T106" i="3"/>
  <c r="R106" i="3"/>
  <c r="S106" i="3" s="1"/>
  <c r="AD105" i="3"/>
  <c r="Z105" i="3"/>
  <c r="F106" i="10" s="1"/>
  <c r="Y105" i="3"/>
  <c r="X105" i="3"/>
  <c r="W105" i="3"/>
  <c r="V105" i="3"/>
  <c r="U105" i="3"/>
  <c r="T105" i="3"/>
  <c r="S105" i="3"/>
  <c r="R105" i="3"/>
  <c r="AD104" i="3"/>
  <c r="Y104" i="3"/>
  <c r="Z104" i="3" s="1"/>
  <c r="F105" i="10" s="1"/>
  <c r="X104" i="3"/>
  <c r="W104" i="3"/>
  <c r="V104" i="3"/>
  <c r="U104" i="3"/>
  <c r="T104" i="3"/>
  <c r="R104" i="3" s="1"/>
  <c r="S104" i="3" s="1"/>
  <c r="AD103" i="3"/>
  <c r="Z103" i="3"/>
  <c r="F104" i="10" s="1"/>
  <c r="Y103" i="3"/>
  <c r="X103" i="3"/>
  <c r="W103" i="3"/>
  <c r="V103" i="3"/>
  <c r="U103" i="3"/>
  <c r="T103" i="3"/>
  <c r="S103" i="3"/>
  <c r="R103" i="3"/>
  <c r="AD102" i="3"/>
  <c r="Y102" i="3"/>
  <c r="Z102" i="3" s="1"/>
  <c r="F103" i="10" s="1"/>
  <c r="X102" i="3"/>
  <c r="W102" i="3"/>
  <c r="V102" i="3"/>
  <c r="U102" i="3"/>
  <c r="T102" i="3"/>
  <c r="R102" i="3" s="1"/>
  <c r="S102" i="3" s="1"/>
  <c r="AD101" i="3"/>
  <c r="Z101" i="3"/>
  <c r="F102" i="10" s="1"/>
  <c r="Y101" i="3"/>
  <c r="X101" i="3"/>
  <c r="W101" i="3"/>
  <c r="V101" i="3"/>
  <c r="U101" i="3"/>
  <c r="T101" i="3"/>
  <c r="S101" i="3"/>
  <c r="R101" i="3"/>
  <c r="AD100" i="3"/>
  <c r="Y100" i="3"/>
  <c r="Z100" i="3" s="1"/>
  <c r="F101" i="10" s="1"/>
  <c r="X100" i="3"/>
  <c r="W100" i="3"/>
  <c r="V100" i="3"/>
  <c r="U100" i="3"/>
  <c r="T100" i="3"/>
  <c r="R100" i="3" s="1"/>
  <c r="S100" i="3" s="1"/>
  <c r="AD99" i="3"/>
  <c r="Z99" i="3"/>
  <c r="F100" i="10" s="1"/>
  <c r="Y99" i="3"/>
  <c r="X99" i="3"/>
  <c r="W99" i="3"/>
  <c r="V99" i="3"/>
  <c r="U99" i="3"/>
  <c r="T99" i="3"/>
  <c r="S99" i="3"/>
  <c r="R99" i="3"/>
  <c r="AD98" i="3"/>
  <c r="Y98" i="3"/>
  <c r="Z98" i="3" s="1"/>
  <c r="F99" i="10" s="1"/>
  <c r="X98" i="3"/>
  <c r="W98" i="3"/>
  <c r="V98" i="3"/>
  <c r="U98" i="3"/>
  <c r="T98" i="3"/>
  <c r="R98" i="3" s="1"/>
  <c r="S98" i="3" s="1"/>
  <c r="AD97" i="3"/>
  <c r="Z97" i="3"/>
  <c r="F98" i="10" s="1"/>
  <c r="Y97" i="3"/>
  <c r="X97" i="3"/>
  <c r="W97" i="3"/>
  <c r="V97" i="3"/>
  <c r="U97" i="3"/>
  <c r="T97" i="3"/>
  <c r="S97" i="3"/>
  <c r="R97" i="3"/>
  <c r="AD96" i="3"/>
  <c r="Y96" i="3"/>
  <c r="Z96" i="3" s="1"/>
  <c r="F97" i="10" s="1"/>
  <c r="X96" i="3"/>
  <c r="W96" i="3"/>
  <c r="V96" i="3"/>
  <c r="U96" i="3"/>
  <c r="T96" i="3"/>
  <c r="R96" i="3" s="1"/>
  <c r="S96" i="3" s="1"/>
  <c r="AD95" i="3"/>
  <c r="Z95" i="3"/>
  <c r="F96" i="10" s="1"/>
  <c r="Y95" i="3"/>
  <c r="X95" i="3"/>
  <c r="W95" i="3"/>
  <c r="V95" i="3"/>
  <c r="U95" i="3"/>
  <c r="T95" i="3"/>
  <c r="S95" i="3"/>
  <c r="R95" i="3"/>
  <c r="AD94" i="3"/>
  <c r="Y94" i="3"/>
  <c r="Z94" i="3" s="1"/>
  <c r="F95" i="10" s="1"/>
  <c r="X94" i="3"/>
  <c r="W94" i="3"/>
  <c r="V94" i="3"/>
  <c r="U94" i="3"/>
  <c r="T94" i="3"/>
  <c r="R94" i="3" s="1"/>
  <c r="S94" i="3" s="1"/>
  <c r="AD93" i="3"/>
  <c r="Z93" i="3"/>
  <c r="F94" i="10" s="1"/>
  <c r="Y93" i="3"/>
  <c r="X93" i="3"/>
  <c r="W93" i="3"/>
  <c r="V93" i="3"/>
  <c r="U93" i="3"/>
  <c r="T93" i="3"/>
  <c r="S93" i="3"/>
  <c r="R93" i="3"/>
  <c r="AD92" i="3"/>
  <c r="Y92" i="3"/>
  <c r="Z92" i="3" s="1"/>
  <c r="F93" i="10" s="1"/>
  <c r="X92" i="3"/>
  <c r="W92" i="3"/>
  <c r="V92" i="3"/>
  <c r="U92" i="3"/>
  <c r="T92" i="3"/>
  <c r="R92" i="3" s="1"/>
  <c r="S92" i="3" s="1"/>
  <c r="AD91" i="3"/>
  <c r="Z91" i="3"/>
  <c r="F92" i="10" s="1"/>
  <c r="Y91" i="3"/>
  <c r="X91" i="3"/>
  <c r="W91" i="3"/>
  <c r="V91" i="3"/>
  <c r="U91" i="3"/>
  <c r="T91" i="3"/>
  <c r="S91" i="3"/>
  <c r="R91" i="3"/>
  <c r="AD90" i="3"/>
  <c r="Y90" i="3"/>
  <c r="Z90" i="3" s="1"/>
  <c r="F91" i="10" s="1"/>
  <c r="X90" i="3"/>
  <c r="W90" i="3"/>
  <c r="V90" i="3"/>
  <c r="U90" i="3"/>
  <c r="T90" i="3"/>
  <c r="R90" i="3" s="1"/>
  <c r="S90" i="3" s="1"/>
  <c r="AD89" i="3"/>
  <c r="Z89" i="3"/>
  <c r="F90" i="10" s="1"/>
  <c r="Y89" i="3"/>
  <c r="X89" i="3"/>
  <c r="W89" i="3"/>
  <c r="V89" i="3"/>
  <c r="U89" i="3"/>
  <c r="T89" i="3"/>
  <c r="S89" i="3"/>
  <c r="R89" i="3"/>
  <c r="AD88" i="3"/>
  <c r="Y88" i="3"/>
  <c r="Z88" i="3" s="1"/>
  <c r="F89" i="10" s="1"/>
  <c r="X88" i="3"/>
  <c r="W88" i="3"/>
  <c r="V88" i="3"/>
  <c r="U88" i="3"/>
  <c r="T88" i="3"/>
  <c r="R88" i="3" s="1"/>
  <c r="S88" i="3" s="1"/>
  <c r="AD87" i="3"/>
  <c r="Z87" i="3"/>
  <c r="F88" i="10" s="1"/>
  <c r="Y87" i="3"/>
  <c r="X87" i="3"/>
  <c r="W87" i="3"/>
  <c r="V87" i="3"/>
  <c r="U87" i="3"/>
  <c r="T87" i="3"/>
  <c r="S87" i="3"/>
  <c r="R87" i="3"/>
  <c r="AD86" i="3"/>
  <c r="Y86" i="3"/>
  <c r="Z86" i="3" s="1"/>
  <c r="F87" i="10" s="1"/>
  <c r="X86" i="3"/>
  <c r="W86" i="3"/>
  <c r="V86" i="3"/>
  <c r="U86" i="3"/>
  <c r="T86" i="3"/>
  <c r="R86" i="3" s="1"/>
  <c r="S86" i="3" s="1"/>
  <c r="AD85" i="3"/>
  <c r="Z85" i="3"/>
  <c r="F86" i="10" s="1"/>
  <c r="Y85" i="3"/>
  <c r="X85" i="3"/>
  <c r="W85" i="3"/>
  <c r="V85" i="3"/>
  <c r="U85" i="3"/>
  <c r="T85" i="3"/>
  <c r="S85" i="3"/>
  <c r="R85" i="3"/>
  <c r="AD84" i="3"/>
  <c r="Y84" i="3"/>
  <c r="Z84" i="3" s="1"/>
  <c r="F85" i="10" s="1"/>
  <c r="X84" i="3"/>
  <c r="W84" i="3"/>
  <c r="V84" i="3"/>
  <c r="U84" i="3"/>
  <c r="T84" i="3"/>
  <c r="R84" i="3"/>
  <c r="S84" i="3" s="1"/>
  <c r="AD83" i="3"/>
  <c r="Z83" i="3"/>
  <c r="F84" i="10" s="1"/>
  <c r="Y83" i="3"/>
  <c r="X83" i="3"/>
  <c r="W83" i="3"/>
  <c r="V83" i="3"/>
  <c r="U83" i="3"/>
  <c r="T83" i="3"/>
  <c r="S83" i="3"/>
  <c r="R83" i="3"/>
  <c r="AD82" i="3"/>
  <c r="Y82" i="3"/>
  <c r="Z82" i="3" s="1"/>
  <c r="F83" i="10" s="1"/>
  <c r="X82" i="3"/>
  <c r="W82" i="3"/>
  <c r="V82" i="3"/>
  <c r="U82" i="3"/>
  <c r="T82" i="3"/>
  <c r="R82" i="3" s="1"/>
  <c r="S82" i="3" s="1"/>
  <c r="AD81" i="3"/>
  <c r="Z81" i="3"/>
  <c r="F82" i="10" s="1"/>
  <c r="Y81" i="3"/>
  <c r="X81" i="3"/>
  <c r="W81" i="3"/>
  <c r="V81" i="3"/>
  <c r="U81" i="3"/>
  <c r="T81" i="3"/>
  <c r="S81" i="3"/>
  <c r="R81" i="3"/>
  <c r="AD80" i="3"/>
  <c r="Y80" i="3"/>
  <c r="Z80" i="3" s="1"/>
  <c r="F81" i="10" s="1"/>
  <c r="X80" i="3"/>
  <c r="W80" i="3"/>
  <c r="V80" i="3"/>
  <c r="U80" i="3"/>
  <c r="T80" i="3"/>
  <c r="R80" i="3" s="1"/>
  <c r="S80" i="3" s="1"/>
  <c r="AD79" i="3"/>
  <c r="Z79" i="3"/>
  <c r="F80" i="10" s="1"/>
  <c r="Y79" i="3"/>
  <c r="X79" i="3"/>
  <c r="W79" i="3"/>
  <c r="V79" i="3"/>
  <c r="U79" i="3"/>
  <c r="T79" i="3"/>
  <c r="S79" i="3"/>
  <c r="R79" i="3"/>
  <c r="AD78" i="3"/>
  <c r="Y78" i="3"/>
  <c r="Z78" i="3" s="1"/>
  <c r="F79" i="10" s="1"/>
  <c r="X78" i="3"/>
  <c r="W78" i="3"/>
  <c r="V78" i="3"/>
  <c r="U78" i="3"/>
  <c r="T78" i="3"/>
  <c r="R78" i="3" s="1"/>
  <c r="S78" i="3" s="1"/>
  <c r="AD77" i="3"/>
  <c r="Z77" i="3"/>
  <c r="F78" i="10" s="1"/>
  <c r="Y77" i="3"/>
  <c r="X77" i="3"/>
  <c r="W77" i="3"/>
  <c r="V77" i="3"/>
  <c r="U77" i="3"/>
  <c r="T77" i="3"/>
  <c r="S77" i="3"/>
  <c r="R77" i="3"/>
  <c r="AD76" i="3"/>
  <c r="Y76" i="3"/>
  <c r="Z76" i="3" s="1"/>
  <c r="F77" i="10" s="1"/>
  <c r="X76" i="3"/>
  <c r="W76" i="3"/>
  <c r="V76" i="3"/>
  <c r="U76" i="3"/>
  <c r="T76" i="3"/>
  <c r="R76" i="3" s="1"/>
  <c r="S76" i="3" s="1"/>
  <c r="AD75" i="3"/>
  <c r="Z75" i="3"/>
  <c r="F76" i="10" s="1"/>
  <c r="Y75" i="3"/>
  <c r="X75" i="3"/>
  <c r="W75" i="3"/>
  <c r="V75" i="3"/>
  <c r="U75" i="3"/>
  <c r="T75" i="3"/>
  <c r="S75" i="3"/>
  <c r="R75" i="3"/>
  <c r="AD74" i="3"/>
  <c r="Z74" i="3"/>
  <c r="F75" i="10" s="1"/>
  <c r="Y74" i="3"/>
  <c r="AC74" i="3" s="1"/>
  <c r="X74" i="3"/>
  <c r="W74" i="3"/>
  <c r="V74" i="3"/>
  <c r="U74" i="3"/>
  <c r="T74" i="3"/>
  <c r="R74" i="3"/>
  <c r="S74" i="3" s="1"/>
  <c r="AD73" i="3"/>
  <c r="Y73" i="3"/>
  <c r="Z73" i="3" s="1"/>
  <c r="F74" i="10" s="1"/>
  <c r="X73" i="3"/>
  <c r="W73" i="3"/>
  <c r="V73" i="3"/>
  <c r="U73" i="3"/>
  <c r="T73" i="3"/>
  <c r="R73" i="3" s="1"/>
  <c r="S73" i="3" s="1"/>
  <c r="AD72" i="3"/>
  <c r="Z72" i="3"/>
  <c r="F73" i="10" s="1"/>
  <c r="Y72" i="3"/>
  <c r="X72" i="3"/>
  <c r="W72" i="3"/>
  <c r="V72" i="3"/>
  <c r="U72" i="3"/>
  <c r="T72" i="3"/>
  <c r="R72" i="3"/>
  <c r="S72" i="3" s="1"/>
  <c r="AD71" i="3"/>
  <c r="Y71" i="3"/>
  <c r="Z71" i="3" s="1"/>
  <c r="F72" i="10" s="1"/>
  <c r="X71" i="3"/>
  <c r="W71" i="3"/>
  <c r="V71" i="3"/>
  <c r="U71" i="3"/>
  <c r="T71" i="3"/>
  <c r="R71" i="3" s="1"/>
  <c r="S71" i="3" s="1"/>
  <c r="AD70" i="3"/>
  <c r="Z70" i="3"/>
  <c r="F71" i="10" s="1"/>
  <c r="Y70" i="3"/>
  <c r="X70" i="3"/>
  <c r="W70" i="3"/>
  <c r="V70" i="3"/>
  <c r="U70" i="3"/>
  <c r="T70" i="3"/>
  <c r="R70" i="3"/>
  <c r="S70" i="3" s="1"/>
  <c r="AD69" i="3"/>
  <c r="Y69" i="3"/>
  <c r="Z69" i="3" s="1"/>
  <c r="F70" i="10" s="1"/>
  <c r="X69" i="3"/>
  <c r="W69" i="3"/>
  <c r="V69" i="3"/>
  <c r="U69" i="3"/>
  <c r="T69" i="3"/>
  <c r="S69" i="3"/>
  <c r="R69" i="3"/>
  <c r="AD68" i="3"/>
  <c r="Z68" i="3"/>
  <c r="F69" i="10" s="1"/>
  <c r="Y68" i="3"/>
  <c r="X68" i="3"/>
  <c r="W68" i="3"/>
  <c r="V68" i="3"/>
  <c r="U68" i="3"/>
  <c r="T68" i="3"/>
  <c r="R68" i="3"/>
  <c r="S68" i="3" s="1"/>
  <c r="AD67" i="3"/>
  <c r="Y67" i="3"/>
  <c r="Z67" i="3" s="1"/>
  <c r="F68" i="10" s="1"/>
  <c r="X67" i="3"/>
  <c r="W67" i="3"/>
  <c r="V67" i="3"/>
  <c r="U67" i="3"/>
  <c r="T67" i="3"/>
  <c r="R67" i="3" s="1"/>
  <c r="S67" i="3" s="1"/>
  <c r="AD66" i="3"/>
  <c r="Z66" i="3"/>
  <c r="F67" i="10" s="1"/>
  <c r="Y66" i="3"/>
  <c r="X66" i="3"/>
  <c r="W66" i="3"/>
  <c r="V66" i="3"/>
  <c r="U66" i="3"/>
  <c r="T66" i="3"/>
  <c r="R66" i="3"/>
  <c r="S66" i="3" s="1"/>
  <c r="AD65" i="3"/>
  <c r="Y65" i="3"/>
  <c r="Z65" i="3" s="1"/>
  <c r="F66" i="10" s="1"/>
  <c r="X65" i="3"/>
  <c r="W65" i="3"/>
  <c r="V65" i="3"/>
  <c r="U65" i="3"/>
  <c r="T65" i="3"/>
  <c r="S65" i="3"/>
  <c r="R65" i="3"/>
  <c r="AD64" i="3"/>
  <c r="Z64" i="3"/>
  <c r="F65" i="10" s="1"/>
  <c r="Y64" i="3"/>
  <c r="X64" i="3"/>
  <c r="W64" i="3"/>
  <c r="V64" i="3"/>
  <c r="U64" i="3"/>
  <c r="T64" i="3"/>
  <c r="R64" i="3"/>
  <c r="S64" i="3" s="1"/>
  <c r="AD63" i="3"/>
  <c r="Y63" i="3"/>
  <c r="Z63" i="3" s="1"/>
  <c r="F64" i="10" s="1"/>
  <c r="X63" i="3"/>
  <c r="W63" i="3"/>
  <c r="V63" i="3"/>
  <c r="U63" i="3"/>
  <c r="T63" i="3"/>
  <c r="S63" i="3"/>
  <c r="R63" i="3"/>
  <c r="AD62" i="3"/>
  <c r="Z62" i="3"/>
  <c r="F63" i="10" s="1"/>
  <c r="Y62" i="3"/>
  <c r="X62" i="3"/>
  <c r="W62" i="3"/>
  <c r="V62" i="3"/>
  <c r="U62" i="3"/>
  <c r="T62" i="3"/>
  <c r="R62" i="3"/>
  <c r="S62" i="3" s="1"/>
  <c r="AD61" i="3"/>
  <c r="Y61" i="3"/>
  <c r="Z61" i="3" s="1"/>
  <c r="F62" i="10" s="1"/>
  <c r="X61" i="3"/>
  <c r="W61" i="3"/>
  <c r="V61" i="3"/>
  <c r="U61" i="3"/>
  <c r="T61" i="3"/>
  <c r="R61" i="3" s="1"/>
  <c r="S61" i="3" s="1"/>
  <c r="AD60" i="3"/>
  <c r="Z60" i="3"/>
  <c r="F61" i="10" s="1"/>
  <c r="Y60" i="3"/>
  <c r="X60" i="3"/>
  <c r="W60" i="3"/>
  <c r="V60" i="3"/>
  <c r="U60" i="3"/>
  <c r="T60" i="3"/>
  <c r="R60" i="3"/>
  <c r="S60" i="3" s="1"/>
  <c r="AD59" i="3"/>
  <c r="Y59" i="3"/>
  <c r="Z59" i="3" s="1"/>
  <c r="F60" i="10" s="1"/>
  <c r="X59" i="3"/>
  <c r="W59" i="3"/>
  <c r="V59" i="3"/>
  <c r="U59" i="3"/>
  <c r="T59" i="3"/>
  <c r="R59" i="3" s="1"/>
  <c r="S59" i="3" s="1"/>
  <c r="AD58" i="3"/>
  <c r="Z58" i="3"/>
  <c r="F59" i="10" s="1"/>
  <c r="Y58" i="3"/>
  <c r="X58" i="3"/>
  <c r="W58" i="3"/>
  <c r="V58" i="3"/>
  <c r="U58" i="3"/>
  <c r="T58" i="3"/>
  <c r="R58" i="3"/>
  <c r="S58" i="3" s="1"/>
  <c r="AD57" i="3"/>
  <c r="Y57" i="3"/>
  <c r="Z57" i="3" s="1"/>
  <c r="F58" i="10" s="1"/>
  <c r="X57" i="3"/>
  <c r="W57" i="3"/>
  <c r="V57" i="3"/>
  <c r="U57" i="3"/>
  <c r="T57" i="3"/>
  <c r="R57" i="3" s="1"/>
  <c r="S57" i="3" s="1"/>
  <c r="AD56" i="3"/>
  <c r="Z56" i="3"/>
  <c r="F57" i="10" s="1"/>
  <c r="Y56" i="3"/>
  <c r="X56" i="3"/>
  <c r="W56" i="3"/>
  <c r="V56" i="3"/>
  <c r="U56" i="3"/>
  <c r="T56" i="3"/>
  <c r="R56" i="3"/>
  <c r="S56" i="3" s="1"/>
  <c r="AD55" i="3"/>
  <c r="Y55" i="3"/>
  <c r="Z55" i="3" s="1"/>
  <c r="F56" i="10" s="1"/>
  <c r="X55" i="3"/>
  <c r="W55" i="3"/>
  <c r="V55" i="3"/>
  <c r="U55" i="3"/>
  <c r="T55" i="3"/>
  <c r="R55" i="3" s="1"/>
  <c r="S55" i="3" s="1"/>
  <c r="AD54" i="3"/>
  <c r="Z54" i="3"/>
  <c r="F55" i="10" s="1"/>
  <c r="Y54" i="3"/>
  <c r="X54" i="3"/>
  <c r="W54" i="3"/>
  <c r="V54" i="3"/>
  <c r="U54" i="3"/>
  <c r="T54" i="3"/>
  <c r="R54" i="3"/>
  <c r="S54" i="3" s="1"/>
  <c r="AD53" i="3"/>
  <c r="Y53" i="3"/>
  <c r="Z53" i="3" s="1"/>
  <c r="F54" i="10" s="1"/>
  <c r="X53" i="3"/>
  <c r="W53" i="3"/>
  <c r="V53" i="3"/>
  <c r="U53" i="3"/>
  <c r="T53" i="3"/>
  <c r="S53" i="3"/>
  <c r="R53" i="3"/>
  <c r="AD52" i="3"/>
  <c r="Z52" i="3"/>
  <c r="F53" i="10" s="1"/>
  <c r="Y52" i="3"/>
  <c r="X52" i="3"/>
  <c r="W52" i="3"/>
  <c r="V52" i="3"/>
  <c r="U52" i="3"/>
  <c r="T52" i="3"/>
  <c r="R52" i="3"/>
  <c r="S52" i="3" s="1"/>
  <c r="AD51" i="3"/>
  <c r="Y51" i="3"/>
  <c r="Z51" i="3" s="1"/>
  <c r="F52" i="10" s="1"/>
  <c r="X51" i="3"/>
  <c r="W51" i="3"/>
  <c r="V51" i="3"/>
  <c r="U51" i="3"/>
  <c r="T51" i="3"/>
  <c r="R51" i="3" s="1"/>
  <c r="S51" i="3" s="1"/>
  <c r="AD50" i="3"/>
  <c r="Z50" i="3"/>
  <c r="F51" i="10" s="1"/>
  <c r="Y50" i="3"/>
  <c r="X50" i="3"/>
  <c r="W50" i="3"/>
  <c r="V50" i="3"/>
  <c r="U50" i="3"/>
  <c r="T50" i="3"/>
  <c r="R50" i="3"/>
  <c r="S50" i="3" s="1"/>
  <c r="AD49" i="3"/>
  <c r="Y49" i="3"/>
  <c r="Z49" i="3" s="1"/>
  <c r="F50" i="10" s="1"/>
  <c r="X49" i="3"/>
  <c r="W49" i="3"/>
  <c r="V49" i="3"/>
  <c r="U49" i="3"/>
  <c r="T49" i="3"/>
  <c r="R49" i="3" s="1"/>
  <c r="S49" i="3" s="1"/>
  <c r="AD48" i="3"/>
  <c r="Z48" i="3"/>
  <c r="F49" i="10" s="1"/>
  <c r="Y48" i="3"/>
  <c r="X48" i="3"/>
  <c r="W48" i="3"/>
  <c r="V48" i="3"/>
  <c r="U48" i="3"/>
  <c r="T48" i="3"/>
  <c r="R48" i="3"/>
  <c r="S48" i="3" s="1"/>
  <c r="AD47" i="3"/>
  <c r="Y47" i="3"/>
  <c r="Z47" i="3" s="1"/>
  <c r="F48" i="10" s="1"/>
  <c r="X47" i="3"/>
  <c r="W47" i="3"/>
  <c r="V47" i="3"/>
  <c r="U47" i="3"/>
  <c r="T47" i="3"/>
  <c r="R47" i="3" s="1"/>
  <c r="S47" i="3" s="1"/>
  <c r="AD46" i="3"/>
  <c r="Z46" i="3"/>
  <c r="F47" i="10" s="1"/>
  <c r="Y46" i="3"/>
  <c r="X46" i="3"/>
  <c r="W46" i="3"/>
  <c r="V46" i="3"/>
  <c r="U46" i="3"/>
  <c r="T46" i="3"/>
  <c r="R46" i="3"/>
  <c r="S46" i="3" s="1"/>
  <c r="AD45" i="3"/>
  <c r="Y45" i="3"/>
  <c r="Z45" i="3" s="1"/>
  <c r="F46" i="10" s="1"/>
  <c r="X45" i="3"/>
  <c r="W45" i="3"/>
  <c r="V45" i="3"/>
  <c r="U45" i="3"/>
  <c r="T45" i="3"/>
  <c r="R45" i="3" s="1"/>
  <c r="S45" i="3" s="1"/>
  <c r="AD44" i="3"/>
  <c r="Z44" i="3"/>
  <c r="F45" i="10" s="1"/>
  <c r="Y44" i="3"/>
  <c r="X44" i="3"/>
  <c r="W44" i="3"/>
  <c r="V44" i="3"/>
  <c r="U44" i="3"/>
  <c r="T44" i="3"/>
  <c r="R44" i="3"/>
  <c r="S44" i="3" s="1"/>
  <c r="AD43" i="3"/>
  <c r="Y43" i="3"/>
  <c r="Z43" i="3" s="1"/>
  <c r="F44" i="10" s="1"/>
  <c r="X43" i="3"/>
  <c r="W43" i="3"/>
  <c r="V43" i="3"/>
  <c r="U43" i="3"/>
  <c r="T43" i="3"/>
  <c r="R43" i="3" s="1"/>
  <c r="S43" i="3" s="1"/>
  <c r="AD42" i="3"/>
  <c r="Z42" i="3"/>
  <c r="F43" i="10" s="1"/>
  <c r="Y42" i="3"/>
  <c r="X42" i="3"/>
  <c r="W42" i="3"/>
  <c r="V42" i="3"/>
  <c r="U42" i="3"/>
  <c r="T42" i="3"/>
  <c r="R42" i="3"/>
  <c r="S42" i="3" s="1"/>
  <c r="AD41" i="3"/>
  <c r="Y41" i="3"/>
  <c r="Z41" i="3" s="1"/>
  <c r="F42" i="10" s="1"/>
  <c r="X41" i="3"/>
  <c r="W41" i="3"/>
  <c r="V41" i="3"/>
  <c r="U41" i="3"/>
  <c r="T41" i="3"/>
  <c r="R41" i="3" s="1"/>
  <c r="S41" i="3" s="1"/>
  <c r="AD40" i="3"/>
  <c r="Z40" i="3"/>
  <c r="F41" i="10" s="1"/>
  <c r="Y40" i="3"/>
  <c r="X40" i="3"/>
  <c r="W40" i="3"/>
  <c r="V40" i="3"/>
  <c r="U40" i="3"/>
  <c r="T40" i="3"/>
  <c r="R40" i="3"/>
  <c r="S40" i="3" s="1"/>
  <c r="AD39" i="3"/>
  <c r="Y39" i="3"/>
  <c r="Z39" i="3" s="1"/>
  <c r="F40" i="10" s="1"/>
  <c r="X39" i="3"/>
  <c r="W39" i="3"/>
  <c r="V39" i="3"/>
  <c r="U39" i="3"/>
  <c r="T39" i="3"/>
  <c r="R39" i="3" s="1"/>
  <c r="S39" i="3" s="1"/>
  <c r="AD38" i="3"/>
  <c r="Z38" i="3"/>
  <c r="F39" i="10" s="1"/>
  <c r="Y38" i="3"/>
  <c r="X38" i="3"/>
  <c r="W38" i="3"/>
  <c r="V38" i="3"/>
  <c r="U38" i="3"/>
  <c r="T38" i="3"/>
  <c r="R38" i="3"/>
  <c r="S38" i="3" s="1"/>
  <c r="AD37" i="3"/>
  <c r="Y37" i="3"/>
  <c r="Z37" i="3" s="1"/>
  <c r="F38" i="10" s="1"/>
  <c r="X37" i="3"/>
  <c r="W37" i="3"/>
  <c r="V37" i="3"/>
  <c r="U37" i="3"/>
  <c r="T37" i="3"/>
  <c r="R37" i="3" s="1"/>
  <c r="S37" i="3" s="1"/>
  <c r="AD36" i="3"/>
  <c r="Z36" i="3"/>
  <c r="F37" i="10" s="1"/>
  <c r="Y36" i="3"/>
  <c r="X36" i="3"/>
  <c r="W36" i="3"/>
  <c r="V36" i="3"/>
  <c r="U36" i="3"/>
  <c r="T36" i="3"/>
  <c r="R36" i="3"/>
  <c r="S36" i="3" s="1"/>
  <c r="AD35" i="3"/>
  <c r="Y35" i="3"/>
  <c r="Z35" i="3" s="1"/>
  <c r="F36" i="10" s="1"/>
  <c r="X35" i="3"/>
  <c r="W35" i="3"/>
  <c r="V35" i="3"/>
  <c r="U35" i="3"/>
  <c r="T35" i="3"/>
  <c r="R35" i="3" s="1"/>
  <c r="S35" i="3" s="1"/>
  <c r="AD34" i="3"/>
  <c r="AB34" i="3"/>
  <c r="AA34" i="3"/>
  <c r="Y34" i="3"/>
  <c r="Z34" i="3" s="1"/>
  <c r="F35" i="10" s="1"/>
  <c r="X34" i="3"/>
  <c r="W34" i="3"/>
  <c r="V34" i="3"/>
  <c r="U34" i="3"/>
  <c r="T34" i="3"/>
  <c r="R34" i="3" s="1"/>
  <c r="S34" i="3" s="1"/>
  <c r="AD33" i="3"/>
  <c r="Z33" i="3"/>
  <c r="F34" i="10" s="1"/>
  <c r="Y33" i="3"/>
  <c r="X33" i="3"/>
  <c r="W33" i="3"/>
  <c r="V33" i="3"/>
  <c r="U33" i="3"/>
  <c r="T33" i="3"/>
  <c r="S33" i="3"/>
  <c r="R33" i="3"/>
  <c r="AD32" i="3"/>
  <c r="Y32" i="3"/>
  <c r="Z32" i="3" s="1"/>
  <c r="F33" i="10" s="1"/>
  <c r="X32" i="3"/>
  <c r="W32" i="3"/>
  <c r="V32" i="3"/>
  <c r="U32" i="3"/>
  <c r="T32" i="3"/>
  <c r="R32" i="3"/>
  <c r="S32" i="3" s="1"/>
  <c r="AD31" i="3"/>
  <c r="Z31" i="3"/>
  <c r="F32" i="10" s="1"/>
  <c r="Y31" i="3"/>
  <c r="X31" i="3"/>
  <c r="W31" i="3"/>
  <c r="V31" i="3"/>
  <c r="U31" i="3"/>
  <c r="T31" i="3"/>
  <c r="S31" i="3"/>
  <c r="R31" i="3"/>
  <c r="AD30" i="3"/>
  <c r="Y30" i="3"/>
  <c r="Z30" i="3" s="1"/>
  <c r="F31" i="10" s="1"/>
  <c r="X30" i="3"/>
  <c r="W30" i="3"/>
  <c r="V30" i="3"/>
  <c r="U30" i="3"/>
  <c r="T30" i="3"/>
  <c r="R30" i="3"/>
  <c r="S30" i="3" s="1"/>
  <c r="AD29" i="3"/>
  <c r="Z29" i="3"/>
  <c r="F30" i="10" s="1"/>
  <c r="Y29" i="3"/>
  <c r="X29" i="3"/>
  <c r="W29" i="3"/>
  <c r="V29" i="3"/>
  <c r="U29" i="3"/>
  <c r="T29" i="3"/>
  <c r="S29" i="3"/>
  <c r="R29" i="3"/>
  <c r="AD28" i="3"/>
  <c r="Y28" i="3"/>
  <c r="Z28" i="3" s="1"/>
  <c r="F29" i="10" s="1"/>
  <c r="X28" i="3"/>
  <c r="W28" i="3"/>
  <c r="V28" i="3"/>
  <c r="U28" i="3"/>
  <c r="T28" i="3"/>
  <c r="R28" i="3" s="1"/>
  <c r="S28" i="3" s="1"/>
  <c r="AD27" i="3"/>
  <c r="Z27" i="3"/>
  <c r="F28" i="10" s="1"/>
  <c r="Y27" i="3"/>
  <c r="X27" i="3"/>
  <c r="W27" i="3"/>
  <c r="V27" i="3"/>
  <c r="U27" i="3"/>
  <c r="T27" i="3"/>
  <c r="S27" i="3"/>
  <c r="R27" i="3"/>
  <c r="AD26" i="3"/>
  <c r="Y26" i="3"/>
  <c r="Z26" i="3" s="1"/>
  <c r="F27" i="10" s="1"/>
  <c r="X26" i="3"/>
  <c r="W26" i="3"/>
  <c r="V26" i="3"/>
  <c r="U26" i="3"/>
  <c r="T26" i="3"/>
  <c r="R26" i="3" s="1"/>
  <c r="S26" i="3" s="1"/>
  <c r="AD25" i="3"/>
  <c r="Z25" i="3"/>
  <c r="F26" i="10" s="1"/>
  <c r="Y25" i="3"/>
  <c r="X25" i="3"/>
  <c r="W25" i="3"/>
  <c r="V25" i="3"/>
  <c r="U25" i="3"/>
  <c r="T25" i="3"/>
  <c r="S25" i="3"/>
  <c r="R25" i="3"/>
  <c r="AD24" i="3"/>
  <c r="Y24" i="3"/>
  <c r="Z24" i="3" s="1"/>
  <c r="F25" i="10" s="1"/>
  <c r="X24" i="3"/>
  <c r="W24" i="3"/>
  <c r="V24" i="3"/>
  <c r="U24" i="3"/>
  <c r="T24" i="3"/>
  <c r="R24" i="3" s="1"/>
  <c r="S24" i="3" s="1"/>
  <c r="AD23" i="3"/>
  <c r="Z23" i="3"/>
  <c r="F24" i="10" s="1"/>
  <c r="Y23" i="3"/>
  <c r="X23" i="3"/>
  <c r="W23" i="3"/>
  <c r="V23" i="3"/>
  <c r="U23" i="3"/>
  <c r="T23" i="3"/>
  <c r="S23" i="3"/>
  <c r="R23" i="3"/>
  <c r="AD22" i="3"/>
  <c r="Y22" i="3"/>
  <c r="Z22" i="3" s="1"/>
  <c r="F23" i="10" s="1"/>
  <c r="X22" i="3"/>
  <c r="W22" i="3"/>
  <c r="V22" i="3"/>
  <c r="U22" i="3"/>
  <c r="T22" i="3"/>
  <c r="R22" i="3" s="1"/>
  <c r="S22" i="3" s="1"/>
  <c r="AD21" i="3"/>
  <c r="Z21" i="3"/>
  <c r="F22" i="10" s="1"/>
  <c r="Y21" i="3"/>
  <c r="X21" i="3"/>
  <c r="W21" i="3"/>
  <c r="V21" i="3"/>
  <c r="U21" i="3"/>
  <c r="T21" i="3"/>
  <c r="S21" i="3"/>
  <c r="R21" i="3"/>
  <c r="AD20" i="3"/>
  <c r="Y20" i="3"/>
  <c r="Z20" i="3" s="1"/>
  <c r="F21" i="10" s="1"/>
  <c r="X20" i="3"/>
  <c r="W20" i="3"/>
  <c r="V20" i="3"/>
  <c r="U20" i="3"/>
  <c r="T20" i="3"/>
  <c r="R20" i="3" s="1"/>
  <c r="S20" i="3" s="1"/>
  <c r="AD19" i="3"/>
  <c r="Z19" i="3"/>
  <c r="F20" i="10" s="1"/>
  <c r="Y19" i="3"/>
  <c r="X19" i="3"/>
  <c r="W19" i="3"/>
  <c r="V19" i="3"/>
  <c r="U19" i="3"/>
  <c r="T19" i="3"/>
  <c r="S19" i="3"/>
  <c r="R19" i="3"/>
  <c r="AD18" i="3"/>
  <c r="Y18" i="3"/>
  <c r="Z18" i="3" s="1"/>
  <c r="F19" i="10" s="1"/>
  <c r="X18" i="3"/>
  <c r="W18" i="3"/>
  <c r="V18" i="3"/>
  <c r="U18" i="3"/>
  <c r="T18" i="3"/>
  <c r="R18" i="3" s="1"/>
  <c r="S18" i="3" s="1"/>
  <c r="AD17" i="3"/>
  <c r="Z17" i="3"/>
  <c r="F18" i="10" s="1"/>
  <c r="Y17" i="3"/>
  <c r="X17" i="3"/>
  <c r="W17" i="3"/>
  <c r="V17" i="3"/>
  <c r="U17" i="3"/>
  <c r="T17" i="3"/>
  <c r="S17" i="3"/>
  <c r="R17" i="3"/>
  <c r="AD16" i="3"/>
  <c r="Y16" i="3"/>
  <c r="Z16" i="3" s="1"/>
  <c r="F17" i="10" s="1"/>
  <c r="X16" i="3"/>
  <c r="W16" i="3"/>
  <c r="V16" i="3"/>
  <c r="U16" i="3"/>
  <c r="T16" i="3"/>
  <c r="R16" i="3" s="1"/>
  <c r="S16" i="3" s="1"/>
  <c r="AD15" i="3"/>
  <c r="Z15" i="3"/>
  <c r="F16" i="10" s="1"/>
  <c r="Y15" i="3"/>
  <c r="X15" i="3"/>
  <c r="W15" i="3"/>
  <c r="V15" i="3"/>
  <c r="U15" i="3"/>
  <c r="T15" i="3"/>
  <c r="S15" i="3"/>
  <c r="R15" i="3"/>
  <c r="AD14" i="3"/>
  <c r="Y14" i="3"/>
  <c r="Z14" i="3" s="1"/>
  <c r="F15" i="10" s="1"/>
  <c r="X14" i="3"/>
  <c r="W14" i="3"/>
  <c r="V14" i="3"/>
  <c r="U14" i="3"/>
  <c r="T14" i="3"/>
  <c r="R14" i="3" s="1"/>
  <c r="S14" i="3" s="1"/>
  <c r="AD13" i="3"/>
  <c r="Z13" i="3"/>
  <c r="F14" i="10" s="1"/>
  <c r="Y13" i="3"/>
  <c r="X13" i="3"/>
  <c r="W13" i="3"/>
  <c r="V13" i="3"/>
  <c r="U13" i="3"/>
  <c r="T13" i="3"/>
  <c r="S13" i="3"/>
  <c r="R13" i="3"/>
  <c r="AD12" i="3"/>
  <c r="Y12" i="3"/>
  <c r="Z12" i="3" s="1"/>
  <c r="F13" i="10" s="1"/>
  <c r="X12" i="3"/>
  <c r="W12" i="3"/>
  <c r="V12" i="3"/>
  <c r="U12" i="3"/>
  <c r="T12" i="3"/>
  <c r="R12" i="3" s="1"/>
  <c r="S12" i="3" s="1"/>
  <c r="AD11" i="3"/>
  <c r="Z11" i="3"/>
  <c r="F12" i="10" s="1"/>
  <c r="Y11" i="3"/>
  <c r="X11" i="3"/>
  <c r="W11" i="3"/>
  <c r="V11" i="3"/>
  <c r="U11" i="3"/>
  <c r="T11" i="3"/>
  <c r="S11" i="3"/>
  <c r="R11" i="3"/>
  <c r="AD10" i="3"/>
  <c r="Y10" i="3"/>
  <c r="Z10" i="3" s="1"/>
  <c r="F11" i="10" s="1"/>
  <c r="X10" i="3"/>
  <c r="W10" i="3"/>
  <c r="V10" i="3"/>
  <c r="U10" i="3"/>
  <c r="T10" i="3"/>
  <c r="R10" i="3" s="1"/>
  <c r="S10" i="3" s="1"/>
  <c r="AD9" i="3"/>
  <c r="Z9" i="3"/>
  <c r="F10" i="10" s="1"/>
  <c r="Y9" i="3"/>
  <c r="X9" i="3"/>
  <c r="W9" i="3"/>
  <c r="V9" i="3"/>
  <c r="U9" i="3"/>
  <c r="T9" i="3"/>
  <c r="S9" i="3"/>
  <c r="R9" i="3"/>
  <c r="AD8" i="3"/>
  <c r="Y8" i="3"/>
  <c r="Z8" i="3" s="1"/>
  <c r="F9" i="10" s="1"/>
  <c r="X8" i="3"/>
  <c r="W8" i="3"/>
  <c r="V8" i="3"/>
  <c r="U8" i="3"/>
  <c r="T8" i="3"/>
  <c r="R8" i="3"/>
  <c r="S8" i="3" s="1"/>
  <c r="AD7" i="3"/>
  <c r="Z7" i="3"/>
  <c r="F8" i="10" s="1"/>
  <c r="Y7" i="3"/>
  <c r="X7" i="3"/>
  <c r="W7" i="3"/>
  <c r="V7" i="3"/>
  <c r="U7" i="3"/>
  <c r="T7" i="3"/>
  <c r="S7" i="3"/>
  <c r="R7" i="3"/>
  <c r="AD6" i="3"/>
  <c r="Y6" i="3"/>
  <c r="Z6" i="3" s="1"/>
  <c r="F7" i="10" s="1"/>
  <c r="X6" i="3"/>
  <c r="W6" i="3"/>
  <c r="V6" i="3"/>
  <c r="U6" i="3"/>
  <c r="T6" i="3"/>
  <c r="R6" i="3" s="1"/>
  <c r="S6" i="3" s="1"/>
  <c r="AD5" i="3"/>
  <c r="Z5" i="3"/>
  <c r="F6" i="10" s="1"/>
  <c r="Y5" i="3"/>
  <c r="X5" i="3"/>
  <c r="W5" i="3"/>
  <c r="V5" i="3"/>
  <c r="U5" i="3"/>
  <c r="T5" i="3"/>
  <c r="S5" i="3"/>
  <c r="R5" i="3"/>
  <c r="AD4" i="3"/>
  <c r="Y4" i="3"/>
  <c r="Z4" i="3" s="1"/>
  <c r="F5" i="10" s="1"/>
  <c r="X4" i="3"/>
  <c r="W4" i="3"/>
  <c r="V4" i="3"/>
  <c r="U4" i="3"/>
  <c r="T4" i="3"/>
  <c r="R4" i="3"/>
  <c r="S4" i="3" s="1"/>
  <c r="AD3" i="3"/>
  <c r="Z3" i="3"/>
  <c r="F4" i="10" s="1"/>
  <c r="Y3" i="3"/>
  <c r="X3" i="3"/>
  <c r="W3" i="3"/>
  <c r="V3" i="3"/>
  <c r="U3" i="3"/>
  <c r="T3" i="3"/>
  <c r="S3" i="3"/>
  <c r="R3" i="3"/>
  <c r="AD2" i="3"/>
  <c r="Y2" i="3"/>
  <c r="Z2" i="3" s="1"/>
  <c r="F3" i="10" s="1"/>
  <c r="X2" i="3"/>
  <c r="W2" i="3"/>
  <c r="V2" i="3"/>
  <c r="U2" i="3"/>
  <c r="T2" i="3"/>
  <c r="R2" i="3" s="1"/>
  <c r="S2" i="3" s="1"/>
  <c r="AD228" i="2"/>
  <c r="E229" i="10" s="1"/>
  <c r="L229" i="10" s="1"/>
  <c r="AC228" i="2"/>
  <c r="AB228" i="2"/>
  <c r="AA228" i="2"/>
  <c r="Z228" i="2"/>
  <c r="Y228" i="2"/>
  <c r="X228" i="2"/>
  <c r="D229" i="10" s="1"/>
  <c r="V228" i="2"/>
  <c r="W228" i="2" s="1"/>
  <c r="AD227" i="2"/>
  <c r="E228" i="10" s="1"/>
  <c r="AC227" i="2"/>
  <c r="AB227" i="2"/>
  <c r="AA227" i="2"/>
  <c r="Z227" i="2"/>
  <c r="Y227" i="2"/>
  <c r="X227" i="2"/>
  <c r="D228" i="10" s="1"/>
  <c r="V227" i="2"/>
  <c r="W227" i="2" s="1"/>
  <c r="AD226" i="2"/>
  <c r="E227" i="10" s="1"/>
  <c r="L227" i="10" s="1"/>
  <c r="AC226" i="2"/>
  <c r="AB226" i="2"/>
  <c r="AA226" i="2"/>
  <c r="Z226" i="2"/>
  <c r="Y226" i="2"/>
  <c r="X226" i="2"/>
  <c r="D227" i="10" s="1"/>
  <c r="AC225" i="2"/>
  <c r="AD225" i="2" s="1"/>
  <c r="E226" i="10" s="1"/>
  <c r="AB225" i="2"/>
  <c r="AA225" i="2"/>
  <c r="Z225" i="2"/>
  <c r="Y225" i="2"/>
  <c r="X225" i="2"/>
  <c r="D226" i="10" s="1"/>
  <c r="V225" i="2"/>
  <c r="W225" i="2" s="1"/>
  <c r="AC224" i="2"/>
  <c r="AD224" i="2" s="1"/>
  <c r="E225" i="10" s="1"/>
  <c r="L225" i="10" s="1"/>
  <c r="AB224" i="2"/>
  <c r="AA224" i="2"/>
  <c r="Z224" i="2"/>
  <c r="Y224" i="2"/>
  <c r="X224" i="2"/>
  <c r="D225" i="10" s="1"/>
  <c r="W224" i="2"/>
  <c r="V224" i="2"/>
  <c r="AD223" i="2"/>
  <c r="E224" i="10" s="1"/>
  <c r="AC223" i="2"/>
  <c r="AB223" i="2"/>
  <c r="AA223" i="2"/>
  <c r="Z223" i="2"/>
  <c r="Y223" i="2"/>
  <c r="X223" i="2"/>
  <c r="D224" i="10" s="1"/>
  <c r="AC222" i="2"/>
  <c r="AD222" i="2" s="1"/>
  <c r="E223" i="10" s="1"/>
  <c r="L223" i="10" s="1"/>
  <c r="AB222" i="2"/>
  <c r="AA222" i="2"/>
  <c r="Z222" i="2"/>
  <c r="Y222" i="2"/>
  <c r="X222" i="2"/>
  <c r="D223" i="10" s="1"/>
  <c r="AD221" i="2"/>
  <c r="E222" i="10" s="1"/>
  <c r="AC221" i="2"/>
  <c r="AB221" i="2"/>
  <c r="AA221" i="2"/>
  <c r="Z221" i="2"/>
  <c r="Y221" i="2"/>
  <c r="X221" i="2"/>
  <c r="D222" i="10" s="1"/>
  <c r="V221" i="2"/>
  <c r="W221" i="2" s="1"/>
  <c r="AC220" i="2"/>
  <c r="AD220" i="2" s="1"/>
  <c r="E221" i="10" s="1"/>
  <c r="L221" i="10" s="1"/>
  <c r="AB220" i="2"/>
  <c r="AA220" i="2"/>
  <c r="Z220" i="2"/>
  <c r="Y220" i="2"/>
  <c r="X220" i="2"/>
  <c r="D221" i="10" s="1"/>
  <c r="W220" i="2"/>
  <c r="V220" i="2"/>
  <c r="AD219" i="2"/>
  <c r="E220" i="10" s="1"/>
  <c r="AC219" i="2"/>
  <c r="AB219" i="2"/>
  <c r="AA219" i="2"/>
  <c r="Z219" i="2"/>
  <c r="Y219" i="2"/>
  <c r="X219" i="2"/>
  <c r="D220" i="10" s="1"/>
  <c r="AC218" i="2"/>
  <c r="AD218" i="2" s="1"/>
  <c r="E219" i="10" s="1"/>
  <c r="L219" i="10" s="1"/>
  <c r="AB218" i="2"/>
  <c r="AA218" i="2"/>
  <c r="Z218" i="2"/>
  <c r="Y218" i="2"/>
  <c r="X218" i="2"/>
  <c r="D219" i="10" s="1"/>
  <c r="AD217" i="2"/>
  <c r="AC217" i="2"/>
  <c r="AB217" i="2"/>
  <c r="AA217" i="2"/>
  <c r="Z217" i="2"/>
  <c r="Y217" i="2"/>
  <c r="X217" i="2"/>
  <c r="V217" i="2"/>
  <c r="W217" i="2" s="1"/>
  <c r="AD216" i="2"/>
  <c r="AC216" i="2"/>
  <c r="AB216" i="2"/>
  <c r="AA216" i="2"/>
  <c r="Z216" i="2"/>
  <c r="Y216" i="2"/>
  <c r="X216" i="2"/>
  <c r="W216" i="2"/>
  <c r="V216" i="2"/>
  <c r="AC215" i="2"/>
  <c r="AG215" i="2" s="1"/>
  <c r="AB215" i="2"/>
  <c r="AA215" i="2"/>
  <c r="Z215" i="2"/>
  <c r="Y215" i="2"/>
  <c r="X215" i="2"/>
  <c r="V215" i="2" s="1"/>
  <c r="W215" i="2" s="1"/>
  <c r="AD214" i="2"/>
  <c r="AC214" i="2"/>
  <c r="AB214" i="2"/>
  <c r="AA214" i="2"/>
  <c r="Z214" i="2"/>
  <c r="Y214" i="2"/>
  <c r="X214" i="2"/>
  <c r="V214" i="2"/>
  <c r="W214" i="2" s="1"/>
  <c r="AD213" i="2"/>
  <c r="AC213" i="2"/>
  <c r="AB213" i="2"/>
  <c r="AA213" i="2"/>
  <c r="Z213" i="2"/>
  <c r="Y213" i="2"/>
  <c r="X213" i="2"/>
  <c r="W213" i="2"/>
  <c r="V213" i="2"/>
  <c r="AD212" i="2"/>
  <c r="AC212" i="2"/>
  <c r="AB212" i="2"/>
  <c r="AA212" i="2"/>
  <c r="Z212" i="2"/>
  <c r="Y212" i="2"/>
  <c r="X212" i="2"/>
  <c r="V212" i="2" s="1"/>
  <c r="W212" i="2" s="1"/>
  <c r="AC211" i="2"/>
  <c r="AD211" i="2" s="1"/>
  <c r="AB211" i="2"/>
  <c r="AA211" i="2"/>
  <c r="Z211" i="2"/>
  <c r="Y211" i="2"/>
  <c r="X211" i="2"/>
  <c r="V211" i="2" s="1"/>
  <c r="W211" i="2" s="1"/>
  <c r="AD210" i="2"/>
  <c r="AC210" i="2"/>
  <c r="AB210" i="2"/>
  <c r="AA210" i="2"/>
  <c r="Z210" i="2"/>
  <c r="Y210" i="2"/>
  <c r="X210" i="2"/>
  <c r="V210" i="2"/>
  <c r="W210" i="2" s="1"/>
  <c r="AD209" i="2"/>
  <c r="AC209" i="2"/>
  <c r="AB209" i="2"/>
  <c r="AA209" i="2"/>
  <c r="Z209" i="2"/>
  <c r="Y209" i="2"/>
  <c r="X209" i="2"/>
  <c r="W209" i="2"/>
  <c r="V209" i="2"/>
  <c r="AD208" i="2"/>
  <c r="AC208" i="2"/>
  <c r="AB208" i="2"/>
  <c r="AA208" i="2"/>
  <c r="Z208" i="2"/>
  <c r="Y208" i="2"/>
  <c r="X208" i="2"/>
  <c r="V208" i="2" s="1"/>
  <c r="W208" i="2" s="1"/>
  <c r="AD207" i="2"/>
  <c r="AC207" i="2"/>
  <c r="AB207" i="2"/>
  <c r="AA207" i="2"/>
  <c r="Z207" i="2"/>
  <c r="Y207" i="2"/>
  <c r="X207" i="2"/>
  <c r="V207" i="2"/>
  <c r="W207" i="2" s="1"/>
  <c r="AD206" i="2"/>
  <c r="AG206" i="2" s="1"/>
  <c r="AC206" i="2"/>
  <c r="AB206" i="2"/>
  <c r="AA206" i="2"/>
  <c r="Z206" i="2"/>
  <c r="Y206" i="2"/>
  <c r="X206" i="2"/>
  <c r="V206" i="2" s="1"/>
  <c r="W206" i="2" s="1"/>
  <c r="T206" i="2"/>
  <c r="AD205" i="2"/>
  <c r="AC205" i="2"/>
  <c r="AB205" i="2"/>
  <c r="AA205" i="2"/>
  <c r="Z205" i="2"/>
  <c r="Y205" i="2"/>
  <c r="X205" i="2"/>
  <c r="V205" i="2"/>
  <c r="W205" i="2" s="1"/>
  <c r="AC204" i="2"/>
  <c r="AD204" i="2" s="1"/>
  <c r="AB204" i="2"/>
  <c r="AA204" i="2"/>
  <c r="Z204" i="2"/>
  <c r="Y204" i="2"/>
  <c r="X204" i="2"/>
  <c r="W204" i="2"/>
  <c r="V204" i="2"/>
  <c r="AD203" i="2"/>
  <c r="AC203" i="2"/>
  <c r="AB203" i="2"/>
  <c r="AA203" i="2"/>
  <c r="Z203" i="2"/>
  <c r="Y203" i="2"/>
  <c r="X203" i="2"/>
  <c r="V203" i="2" s="1"/>
  <c r="W203" i="2" s="1"/>
  <c r="AC202" i="2"/>
  <c r="AD202" i="2" s="1"/>
  <c r="AB202" i="2"/>
  <c r="AA202" i="2"/>
  <c r="Z202" i="2"/>
  <c r="Y202" i="2"/>
  <c r="X202" i="2"/>
  <c r="V202" i="2" s="1"/>
  <c r="W202" i="2" s="1"/>
  <c r="AD201" i="2"/>
  <c r="AC201" i="2"/>
  <c r="AB201" i="2"/>
  <c r="AA201" i="2"/>
  <c r="Z201" i="2"/>
  <c r="Y201" i="2"/>
  <c r="X201" i="2"/>
  <c r="V201" i="2"/>
  <c r="W201" i="2" s="1"/>
  <c r="AC200" i="2"/>
  <c r="AD200" i="2" s="1"/>
  <c r="AB200" i="2"/>
  <c r="AA200" i="2"/>
  <c r="Z200" i="2"/>
  <c r="Y200" i="2"/>
  <c r="X200" i="2"/>
  <c r="W200" i="2"/>
  <c r="V200" i="2"/>
  <c r="AD199" i="2"/>
  <c r="AC199" i="2"/>
  <c r="AB199" i="2"/>
  <c r="AA199" i="2"/>
  <c r="Z199" i="2"/>
  <c r="Y199" i="2"/>
  <c r="X199" i="2"/>
  <c r="V199" i="2" s="1"/>
  <c r="W199" i="2" s="1"/>
  <c r="AC198" i="2"/>
  <c r="AD198" i="2" s="1"/>
  <c r="AB198" i="2"/>
  <c r="AA198" i="2"/>
  <c r="Z198" i="2"/>
  <c r="Y198" i="2"/>
  <c r="X198" i="2"/>
  <c r="V198" i="2" s="1"/>
  <c r="W198" i="2" s="1"/>
  <c r="AD197" i="2"/>
  <c r="AC197" i="2"/>
  <c r="AB197" i="2"/>
  <c r="AA197" i="2"/>
  <c r="Z197" i="2"/>
  <c r="Y197" i="2"/>
  <c r="X197" i="2"/>
  <c r="V197" i="2"/>
  <c r="W197" i="2" s="1"/>
  <c r="AC196" i="2"/>
  <c r="AD196" i="2" s="1"/>
  <c r="AB196" i="2"/>
  <c r="AA196" i="2"/>
  <c r="Z196" i="2"/>
  <c r="Y196" i="2"/>
  <c r="X196" i="2"/>
  <c r="W196" i="2"/>
  <c r="V196" i="2"/>
  <c r="AD195" i="2"/>
  <c r="AC195" i="2"/>
  <c r="AB195" i="2"/>
  <c r="AA195" i="2"/>
  <c r="Z195" i="2"/>
  <c r="Y195" i="2"/>
  <c r="X195" i="2"/>
  <c r="V195" i="2" s="1"/>
  <c r="W195" i="2" s="1"/>
  <c r="AC194" i="2"/>
  <c r="AD194" i="2" s="1"/>
  <c r="AB194" i="2"/>
  <c r="AA194" i="2"/>
  <c r="Z194" i="2"/>
  <c r="Y194" i="2"/>
  <c r="X194" i="2"/>
  <c r="V194" i="2" s="1"/>
  <c r="W194" i="2" s="1"/>
  <c r="AD193" i="2"/>
  <c r="AC193" i="2"/>
  <c r="AB193" i="2"/>
  <c r="AA193" i="2"/>
  <c r="Z193" i="2"/>
  <c r="Y193" i="2"/>
  <c r="X193" i="2"/>
  <c r="V193" i="2"/>
  <c r="W193" i="2" s="1"/>
  <c r="AC192" i="2"/>
  <c r="AD192" i="2" s="1"/>
  <c r="AB192" i="2"/>
  <c r="AA192" i="2"/>
  <c r="Z192" i="2"/>
  <c r="Y192" i="2"/>
  <c r="X192" i="2"/>
  <c r="W192" i="2"/>
  <c r="V192" i="2"/>
  <c r="AD191" i="2"/>
  <c r="AC191" i="2"/>
  <c r="AB191" i="2"/>
  <c r="AA191" i="2"/>
  <c r="Z191" i="2"/>
  <c r="Y191" i="2"/>
  <c r="X191" i="2"/>
  <c r="V191" i="2" s="1"/>
  <c r="W191" i="2" s="1"/>
  <c r="AC190" i="2"/>
  <c r="AD190" i="2" s="1"/>
  <c r="AB190" i="2"/>
  <c r="AA190" i="2"/>
  <c r="Z190" i="2"/>
  <c r="Y190" i="2"/>
  <c r="X190" i="2"/>
  <c r="V190" i="2" s="1"/>
  <c r="W190" i="2" s="1"/>
  <c r="AD189" i="2"/>
  <c r="AC189" i="2"/>
  <c r="AB189" i="2"/>
  <c r="AA189" i="2"/>
  <c r="Z189" i="2"/>
  <c r="Y189" i="2"/>
  <c r="X189" i="2"/>
  <c r="V189" i="2"/>
  <c r="W189" i="2" s="1"/>
  <c r="AD188" i="2"/>
  <c r="AC188" i="2"/>
  <c r="AB188" i="2"/>
  <c r="AA188" i="2"/>
  <c r="Z188" i="2"/>
  <c r="Y188" i="2"/>
  <c r="X188" i="2"/>
  <c r="W188" i="2"/>
  <c r="V188" i="2"/>
  <c r="AD187" i="2"/>
  <c r="AC187" i="2"/>
  <c r="AB187" i="2"/>
  <c r="AA187" i="2"/>
  <c r="Z187" i="2"/>
  <c r="Y187" i="2"/>
  <c r="X187" i="2"/>
  <c r="V187" i="2" s="1"/>
  <c r="W187" i="2" s="1"/>
  <c r="AD186" i="2"/>
  <c r="AC186" i="2"/>
  <c r="AB186" i="2"/>
  <c r="AA186" i="2"/>
  <c r="Z186" i="2"/>
  <c r="Y186" i="2"/>
  <c r="X186" i="2"/>
  <c r="V186" i="2" s="1"/>
  <c r="W186" i="2" s="1"/>
  <c r="AD185" i="2"/>
  <c r="AC185" i="2"/>
  <c r="AB185" i="2"/>
  <c r="AA185" i="2"/>
  <c r="Z185" i="2"/>
  <c r="Y185" i="2"/>
  <c r="X185" i="2"/>
  <c r="V185" i="2"/>
  <c r="W185" i="2" s="1"/>
  <c r="AD184" i="2"/>
  <c r="AC184" i="2"/>
  <c r="AB184" i="2"/>
  <c r="AA184" i="2"/>
  <c r="Z184" i="2"/>
  <c r="Y184" i="2"/>
  <c r="X184" i="2"/>
  <c r="W184" i="2"/>
  <c r="V184" i="2"/>
  <c r="AD183" i="2"/>
  <c r="AC183" i="2"/>
  <c r="AB183" i="2"/>
  <c r="AA183" i="2"/>
  <c r="Z183" i="2"/>
  <c r="Y183" i="2"/>
  <c r="X183" i="2"/>
  <c r="V183" i="2" s="1"/>
  <c r="W183" i="2" s="1"/>
  <c r="AC182" i="2"/>
  <c r="AD182" i="2" s="1"/>
  <c r="AB182" i="2"/>
  <c r="AA182" i="2"/>
  <c r="Z182" i="2"/>
  <c r="Y182" i="2"/>
  <c r="X182" i="2"/>
  <c r="V182" i="2" s="1"/>
  <c r="W182" i="2" s="1"/>
  <c r="AD181" i="2"/>
  <c r="AC181" i="2"/>
  <c r="AB181" i="2"/>
  <c r="AA181" i="2"/>
  <c r="Z181" i="2"/>
  <c r="Y181" i="2"/>
  <c r="X181" i="2"/>
  <c r="V181" i="2"/>
  <c r="W181" i="2" s="1"/>
  <c r="AD180" i="2"/>
  <c r="AC180" i="2"/>
  <c r="AB180" i="2"/>
  <c r="AA180" i="2"/>
  <c r="Z180" i="2"/>
  <c r="Y180" i="2"/>
  <c r="X180" i="2"/>
  <c r="W180" i="2"/>
  <c r="V180" i="2"/>
  <c r="AD179" i="2"/>
  <c r="AC179" i="2"/>
  <c r="AB179" i="2"/>
  <c r="AA179" i="2"/>
  <c r="Z179" i="2"/>
  <c r="Y179" i="2"/>
  <c r="X179" i="2"/>
  <c r="V179" i="2" s="1"/>
  <c r="W179" i="2" s="1"/>
  <c r="AC178" i="2"/>
  <c r="AD178" i="2" s="1"/>
  <c r="AB178" i="2"/>
  <c r="AA178" i="2"/>
  <c r="Z178" i="2"/>
  <c r="Y178" i="2"/>
  <c r="X178" i="2"/>
  <c r="V178" i="2" s="1"/>
  <c r="W178" i="2" s="1"/>
  <c r="AD177" i="2"/>
  <c r="AC177" i="2"/>
  <c r="AB177" i="2"/>
  <c r="AA177" i="2"/>
  <c r="Z177" i="2"/>
  <c r="Y177" i="2"/>
  <c r="X177" i="2"/>
  <c r="V177" i="2"/>
  <c r="W177" i="2" s="1"/>
  <c r="AD176" i="2"/>
  <c r="AC176" i="2"/>
  <c r="AB176" i="2"/>
  <c r="AA176" i="2"/>
  <c r="Z176" i="2"/>
  <c r="Y176" i="2"/>
  <c r="X176" i="2"/>
  <c r="W176" i="2"/>
  <c r="V176" i="2"/>
  <c r="AD175" i="2"/>
  <c r="AC175" i="2"/>
  <c r="AB175" i="2"/>
  <c r="AA175" i="2"/>
  <c r="Z175" i="2"/>
  <c r="Y175" i="2"/>
  <c r="X175" i="2"/>
  <c r="V175" i="2" s="1"/>
  <c r="W175" i="2" s="1"/>
  <c r="AC174" i="2"/>
  <c r="AD174" i="2" s="1"/>
  <c r="AB174" i="2"/>
  <c r="AA174" i="2"/>
  <c r="Z174" i="2"/>
  <c r="Y174" i="2"/>
  <c r="X174" i="2"/>
  <c r="V174" i="2" s="1"/>
  <c r="W174" i="2" s="1"/>
  <c r="AD173" i="2"/>
  <c r="AC173" i="2"/>
  <c r="AB173" i="2"/>
  <c r="AA173" i="2"/>
  <c r="Z173" i="2"/>
  <c r="Y173" i="2"/>
  <c r="X173" i="2"/>
  <c r="W173" i="2"/>
  <c r="V173" i="2"/>
  <c r="AD172" i="2"/>
  <c r="AC172" i="2"/>
  <c r="AB172" i="2"/>
  <c r="AA172" i="2"/>
  <c r="Z172" i="2"/>
  <c r="Y172" i="2"/>
  <c r="X172" i="2"/>
  <c r="V172" i="2" s="1"/>
  <c r="W172" i="2" s="1"/>
  <c r="AC171" i="2"/>
  <c r="AD171" i="2" s="1"/>
  <c r="AG173" i="2" s="1"/>
  <c r="AB171" i="2"/>
  <c r="AA171" i="2"/>
  <c r="Z171" i="2"/>
  <c r="Y171" i="2"/>
  <c r="X171" i="2"/>
  <c r="V171" i="2" s="1"/>
  <c r="W171" i="2" s="1"/>
  <c r="AD170" i="2"/>
  <c r="AC170" i="2"/>
  <c r="AB170" i="2"/>
  <c r="AA170" i="2"/>
  <c r="Z170" i="2"/>
  <c r="Y170" i="2"/>
  <c r="X170" i="2"/>
  <c r="V170" i="2"/>
  <c r="W170" i="2" s="1"/>
  <c r="AD169" i="2"/>
  <c r="AC169" i="2"/>
  <c r="AB169" i="2"/>
  <c r="AA169" i="2"/>
  <c r="Z169" i="2"/>
  <c r="Y169" i="2"/>
  <c r="X169" i="2"/>
  <c r="W169" i="2"/>
  <c r="V169" i="2"/>
  <c r="AD168" i="2"/>
  <c r="AC168" i="2"/>
  <c r="AB168" i="2"/>
  <c r="AA168" i="2"/>
  <c r="Z168" i="2"/>
  <c r="Y168" i="2"/>
  <c r="X168" i="2"/>
  <c r="V168" i="2" s="1"/>
  <c r="W168" i="2" s="1"/>
  <c r="AF167" i="2"/>
  <c r="AD167" i="2"/>
  <c r="AC167" i="2"/>
  <c r="AG167" i="2" s="1"/>
  <c r="AB167" i="2"/>
  <c r="AA167" i="2"/>
  <c r="Z167" i="2"/>
  <c r="Y167" i="2"/>
  <c r="X167" i="2"/>
  <c r="W167" i="2"/>
  <c r="V167" i="2"/>
  <c r="AD166" i="2"/>
  <c r="AC166" i="2"/>
  <c r="AB166" i="2"/>
  <c r="AA166" i="2"/>
  <c r="Z166" i="2"/>
  <c r="Y166" i="2"/>
  <c r="X166" i="2"/>
  <c r="V166" i="2" s="1"/>
  <c r="W166" i="2" s="1"/>
  <c r="AC165" i="2"/>
  <c r="AD165" i="2" s="1"/>
  <c r="AB165" i="2"/>
  <c r="AA165" i="2"/>
  <c r="Z165" i="2"/>
  <c r="Y165" i="2"/>
  <c r="X165" i="2"/>
  <c r="V165" i="2" s="1"/>
  <c r="W165" i="2" s="1"/>
  <c r="AD164" i="2"/>
  <c r="AC164" i="2"/>
  <c r="AB164" i="2"/>
  <c r="AA164" i="2"/>
  <c r="Z164" i="2"/>
  <c r="Y164" i="2"/>
  <c r="X164" i="2"/>
  <c r="V164" i="2"/>
  <c r="W164" i="2" s="1"/>
  <c r="AD163" i="2"/>
  <c r="AC163" i="2"/>
  <c r="AB163" i="2"/>
  <c r="AA163" i="2"/>
  <c r="Z163" i="2"/>
  <c r="Y163" i="2"/>
  <c r="X163" i="2"/>
  <c r="W163" i="2"/>
  <c r="V163" i="2"/>
  <c r="AD162" i="2"/>
  <c r="AC162" i="2"/>
  <c r="AB162" i="2"/>
  <c r="AA162" i="2"/>
  <c r="Z162" i="2"/>
  <c r="Y162" i="2"/>
  <c r="X162" i="2"/>
  <c r="V162" i="2" s="1"/>
  <c r="W162" i="2" s="1"/>
  <c r="AC161" i="2"/>
  <c r="AD161" i="2" s="1"/>
  <c r="AB161" i="2"/>
  <c r="AA161" i="2"/>
  <c r="Z161" i="2"/>
  <c r="Y161" i="2"/>
  <c r="X161" i="2"/>
  <c r="V161" i="2" s="1"/>
  <c r="W161" i="2" s="1"/>
  <c r="AD160" i="2"/>
  <c r="AC160" i="2"/>
  <c r="AB160" i="2"/>
  <c r="AA160" i="2"/>
  <c r="Z160" i="2"/>
  <c r="Y160" i="2"/>
  <c r="X160" i="2"/>
  <c r="V160" i="2"/>
  <c r="W160" i="2" s="1"/>
  <c r="AD159" i="2"/>
  <c r="AC159" i="2"/>
  <c r="AB159" i="2"/>
  <c r="AA159" i="2"/>
  <c r="Z159" i="2"/>
  <c r="Y159" i="2"/>
  <c r="X159" i="2"/>
  <c r="W159" i="2"/>
  <c r="V159" i="2"/>
  <c r="AD158" i="2"/>
  <c r="AC158" i="2"/>
  <c r="AB158" i="2"/>
  <c r="AA158" i="2"/>
  <c r="Z158" i="2"/>
  <c r="Y158" i="2"/>
  <c r="X158" i="2"/>
  <c r="V158" i="2" s="1"/>
  <c r="W158" i="2" s="1"/>
  <c r="AD157" i="2"/>
  <c r="AC157" i="2"/>
  <c r="AB157" i="2"/>
  <c r="AA157" i="2"/>
  <c r="Z157" i="2"/>
  <c r="Y157" i="2"/>
  <c r="X157" i="2"/>
  <c r="V157" i="2" s="1"/>
  <c r="W157" i="2" s="1"/>
  <c r="AD156" i="2"/>
  <c r="AC156" i="2"/>
  <c r="AB156" i="2"/>
  <c r="AA156" i="2"/>
  <c r="Z156" i="2"/>
  <c r="Y156" i="2"/>
  <c r="X156" i="2"/>
  <c r="V156" i="2"/>
  <c r="W156" i="2" s="1"/>
  <c r="AD155" i="2"/>
  <c r="AC155" i="2"/>
  <c r="AB155" i="2"/>
  <c r="AA155" i="2"/>
  <c r="Z155" i="2"/>
  <c r="Y155" i="2"/>
  <c r="X155" i="2"/>
  <c r="W155" i="2"/>
  <c r="V155" i="2"/>
  <c r="AD154" i="2"/>
  <c r="AC154" i="2"/>
  <c r="AB154" i="2"/>
  <c r="AA154" i="2"/>
  <c r="Z154" i="2"/>
  <c r="Y154" i="2"/>
  <c r="X154" i="2"/>
  <c r="V154" i="2" s="1"/>
  <c r="W154" i="2" s="1"/>
  <c r="AC153" i="2"/>
  <c r="AD153" i="2" s="1"/>
  <c r="AB153" i="2"/>
  <c r="AA153" i="2"/>
  <c r="Z153" i="2"/>
  <c r="Y153" i="2"/>
  <c r="X153" i="2"/>
  <c r="V153" i="2" s="1"/>
  <c r="W153" i="2" s="1"/>
  <c r="AD152" i="2"/>
  <c r="AC152" i="2"/>
  <c r="AB152" i="2"/>
  <c r="AA152" i="2"/>
  <c r="Z152" i="2"/>
  <c r="Y152" i="2"/>
  <c r="X152" i="2"/>
  <c r="V152" i="2"/>
  <c r="W152" i="2" s="1"/>
  <c r="AD151" i="2"/>
  <c r="AC151" i="2"/>
  <c r="AB151" i="2"/>
  <c r="AA151" i="2"/>
  <c r="Z151" i="2"/>
  <c r="Y151" i="2"/>
  <c r="X151" i="2"/>
  <c r="W151" i="2"/>
  <c r="V151" i="2"/>
  <c r="AD150" i="2"/>
  <c r="AC150" i="2"/>
  <c r="AB150" i="2"/>
  <c r="AA150" i="2"/>
  <c r="Z150" i="2"/>
  <c r="Y150" i="2"/>
  <c r="X150" i="2"/>
  <c r="V150" i="2" s="1"/>
  <c r="W150" i="2" s="1"/>
  <c r="AC149" i="2"/>
  <c r="AD149" i="2" s="1"/>
  <c r="AB149" i="2"/>
  <c r="AA149" i="2"/>
  <c r="Z149" i="2"/>
  <c r="Y149" i="2"/>
  <c r="X149" i="2"/>
  <c r="V149" i="2" s="1"/>
  <c r="W149" i="2" s="1"/>
  <c r="AD148" i="2"/>
  <c r="AC148" i="2"/>
  <c r="AB148" i="2"/>
  <c r="AA148" i="2"/>
  <c r="Z148" i="2"/>
  <c r="Y148" i="2"/>
  <c r="X148" i="2"/>
  <c r="V148" i="2"/>
  <c r="W148" i="2" s="1"/>
  <c r="AD147" i="2"/>
  <c r="AC147" i="2"/>
  <c r="AB147" i="2"/>
  <c r="AA147" i="2"/>
  <c r="Z147" i="2"/>
  <c r="Y147" i="2"/>
  <c r="X147" i="2"/>
  <c r="W147" i="2"/>
  <c r="V147" i="2"/>
  <c r="AD146" i="2"/>
  <c r="AC146" i="2"/>
  <c r="AB146" i="2"/>
  <c r="AA146" i="2"/>
  <c r="Z146" i="2"/>
  <c r="Y146" i="2"/>
  <c r="X146" i="2"/>
  <c r="V146" i="2" s="1"/>
  <c r="W146" i="2" s="1"/>
  <c r="AC145" i="2"/>
  <c r="AD145" i="2" s="1"/>
  <c r="AB145" i="2"/>
  <c r="AA145" i="2"/>
  <c r="Z145" i="2"/>
  <c r="Y145" i="2"/>
  <c r="X145" i="2"/>
  <c r="V145" i="2" s="1"/>
  <c r="W145" i="2" s="1"/>
  <c r="AD144" i="2"/>
  <c r="AC144" i="2"/>
  <c r="AB144" i="2"/>
  <c r="AA144" i="2"/>
  <c r="Z144" i="2"/>
  <c r="Y144" i="2"/>
  <c r="X144" i="2"/>
  <c r="V144" i="2"/>
  <c r="W144" i="2" s="1"/>
  <c r="AD143" i="2"/>
  <c r="AC143" i="2"/>
  <c r="AB143" i="2"/>
  <c r="AA143" i="2"/>
  <c r="Z143" i="2"/>
  <c r="Y143" i="2"/>
  <c r="X143" i="2"/>
  <c r="W143" i="2"/>
  <c r="V143" i="2"/>
  <c r="AD142" i="2"/>
  <c r="AC142" i="2"/>
  <c r="AB142" i="2"/>
  <c r="AA142" i="2"/>
  <c r="Z142" i="2"/>
  <c r="Y142" i="2"/>
  <c r="X142" i="2"/>
  <c r="V142" i="2" s="1"/>
  <c r="W142" i="2" s="1"/>
  <c r="AD141" i="2"/>
  <c r="AC141" i="2"/>
  <c r="AB141" i="2"/>
  <c r="AA141" i="2"/>
  <c r="Z141" i="2"/>
  <c r="Y141" i="2"/>
  <c r="X141" i="2"/>
  <c r="V141" i="2" s="1"/>
  <c r="W141" i="2" s="1"/>
  <c r="AD140" i="2"/>
  <c r="AC140" i="2"/>
  <c r="AB140" i="2"/>
  <c r="AA140" i="2"/>
  <c r="Z140" i="2"/>
  <c r="Y140" i="2"/>
  <c r="X140" i="2"/>
  <c r="V140" i="2"/>
  <c r="W140" i="2" s="1"/>
  <c r="AD139" i="2"/>
  <c r="AC139" i="2"/>
  <c r="AB139" i="2"/>
  <c r="AA139" i="2"/>
  <c r="Z139" i="2"/>
  <c r="Y139" i="2"/>
  <c r="X139" i="2"/>
  <c r="W139" i="2"/>
  <c r="V139" i="2"/>
  <c r="AD138" i="2"/>
  <c r="AC138" i="2"/>
  <c r="AB138" i="2"/>
  <c r="AA138" i="2"/>
  <c r="Z138" i="2"/>
  <c r="Y138" i="2"/>
  <c r="X138" i="2"/>
  <c r="V138" i="2" s="1"/>
  <c r="W138" i="2" s="1"/>
  <c r="AC137" i="2"/>
  <c r="AD137" i="2" s="1"/>
  <c r="AB137" i="2"/>
  <c r="AA137" i="2"/>
  <c r="Z137" i="2"/>
  <c r="Y137" i="2"/>
  <c r="X137" i="2"/>
  <c r="V137" i="2" s="1"/>
  <c r="W137" i="2" s="1"/>
  <c r="AD136" i="2"/>
  <c r="AC136" i="2"/>
  <c r="AB136" i="2"/>
  <c r="AA136" i="2"/>
  <c r="Z136" i="2"/>
  <c r="Y136" i="2"/>
  <c r="X136" i="2"/>
  <c r="V136" i="2"/>
  <c r="W136" i="2" s="1"/>
  <c r="AD135" i="2"/>
  <c r="AC135" i="2"/>
  <c r="AB135" i="2"/>
  <c r="AA135" i="2"/>
  <c r="Z135" i="2"/>
  <c r="Y135" i="2"/>
  <c r="X135" i="2"/>
  <c r="W135" i="2"/>
  <c r="V135" i="2"/>
  <c r="AD134" i="2"/>
  <c r="AC134" i="2"/>
  <c r="AB134" i="2"/>
  <c r="AA134" i="2"/>
  <c r="Z134" i="2"/>
  <c r="Y134" i="2"/>
  <c r="X134" i="2"/>
  <c r="V134" i="2" s="1"/>
  <c r="W134" i="2" s="1"/>
  <c r="AC133" i="2"/>
  <c r="AD133" i="2" s="1"/>
  <c r="AB133" i="2"/>
  <c r="AA133" i="2"/>
  <c r="Z133" i="2"/>
  <c r="Y133" i="2"/>
  <c r="X133" i="2"/>
  <c r="V133" i="2" s="1"/>
  <c r="W133" i="2" s="1"/>
  <c r="AD132" i="2"/>
  <c r="AC132" i="2"/>
  <c r="AB132" i="2"/>
  <c r="AA132" i="2"/>
  <c r="Z132" i="2"/>
  <c r="Y132" i="2"/>
  <c r="X132" i="2"/>
  <c r="V132" i="2"/>
  <c r="W132" i="2" s="1"/>
  <c r="AD131" i="2"/>
  <c r="AC131" i="2"/>
  <c r="AB131" i="2"/>
  <c r="AA131" i="2"/>
  <c r="Z131" i="2"/>
  <c r="Y131" i="2"/>
  <c r="X131" i="2"/>
  <c r="W131" i="2"/>
  <c r="V131" i="2"/>
  <c r="AD130" i="2"/>
  <c r="AC130" i="2"/>
  <c r="AB130" i="2"/>
  <c r="AA130" i="2"/>
  <c r="Z130" i="2"/>
  <c r="Y130" i="2"/>
  <c r="X130" i="2"/>
  <c r="V130" i="2" s="1"/>
  <c r="W130" i="2" s="1"/>
  <c r="AC129" i="2"/>
  <c r="AD129" i="2" s="1"/>
  <c r="AB129" i="2"/>
  <c r="AA129" i="2"/>
  <c r="Z129" i="2"/>
  <c r="Y129" i="2"/>
  <c r="X129" i="2"/>
  <c r="V129" i="2" s="1"/>
  <c r="W129" i="2" s="1"/>
  <c r="AD128" i="2"/>
  <c r="AC128" i="2"/>
  <c r="AB128" i="2"/>
  <c r="AA128" i="2"/>
  <c r="Z128" i="2"/>
  <c r="Y128" i="2"/>
  <c r="X128" i="2"/>
  <c r="V128" i="2"/>
  <c r="W128" i="2" s="1"/>
  <c r="AD127" i="2"/>
  <c r="AC127" i="2"/>
  <c r="AB127" i="2"/>
  <c r="AA127" i="2"/>
  <c r="Z127" i="2"/>
  <c r="Y127" i="2"/>
  <c r="X127" i="2"/>
  <c r="W127" i="2"/>
  <c r="V127" i="2"/>
  <c r="AD126" i="2"/>
  <c r="AC126" i="2"/>
  <c r="AB126" i="2"/>
  <c r="AA126" i="2"/>
  <c r="Z126" i="2"/>
  <c r="Y126" i="2"/>
  <c r="X126" i="2"/>
  <c r="V126" i="2" s="1"/>
  <c r="W126" i="2" s="1"/>
  <c r="AC125" i="2"/>
  <c r="AD125" i="2" s="1"/>
  <c r="AB125" i="2"/>
  <c r="AA125" i="2"/>
  <c r="Z125" i="2"/>
  <c r="Y125" i="2"/>
  <c r="X125" i="2"/>
  <c r="V125" i="2" s="1"/>
  <c r="W125" i="2" s="1"/>
  <c r="AD124" i="2"/>
  <c r="AC124" i="2"/>
  <c r="AB124" i="2"/>
  <c r="AA124" i="2"/>
  <c r="Z124" i="2"/>
  <c r="Y124" i="2"/>
  <c r="X124" i="2"/>
  <c r="W124" i="2"/>
  <c r="V124" i="2"/>
  <c r="AC123" i="2"/>
  <c r="AG123" i="2" s="1"/>
  <c r="AB123" i="2"/>
  <c r="AA123" i="2"/>
  <c r="Z123" i="2"/>
  <c r="Y123" i="2"/>
  <c r="X123" i="2"/>
  <c r="V123" i="2" s="1"/>
  <c r="W123" i="2" s="1"/>
  <c r="AD122" i="2"/>
  <c r="AC122" i="2"/>
  <c r="AB122" i="2"/>
  <c r="AA122" i="2"/>
  <c r="Z122" i="2"/>
  <c r="Y122" i="2"/>
  <c r="X122" i="2"/>
  <c r="W122" i="2"/>
  <c r="V122" i="2"/>
  <c r="AC121" i="2"/>
  <c r="AG121" i="2" s="1"/>
  <c r="AB121" i="2"/>
  <c r="AA121" i="2"/>
  <c r="Z121" i="2"/>
  <c r="Y121" i="2"/>
  <c r="X121" i="2"/>
  <c r="V121" i="2" s="1"/>
  <c r="W121" i="2" s="1"/>
  <c r="AD120" i="2"/>
  <c r="AC120" i="2"/>
  <c r="AB120" i="2"/>
  <c r="AA120" i="2"/>
  <c r="Z120" i="2"/>
  <c r="Y120" i="2"/>
  <c r="X120" i="2"/>
  <c r="V120" i="2"/>
  <c r="W120" i="2" s="1"/>
  <c r="AD119" i="2"/>
  <c r="AG124" i="2" s="1"/>
  <c r="AC119" i="2"/>
  <c r="AB119" i="2"/>
  <c r="AA119" i="2"/>
  <c r="Z119" i="2"/>
  <c r="Y119" i="2"/>
  <c r="X119" i="2"/>
  <c r="V119" i="2"/>
  <c r="W119" i="2" s="1"/>
  <c r="AC118" i="2"/>
  <c r="AD118" i="2" s="1"/>
  <c r="AB118" i="2"/>
  <c r="AA118" i="2"/>
  <c r="Z118" i="2"/>
  <c r="Y118" i="2"/>
  <c r="X118" i="2"/>
  <c r="V118" i="2" s="1"/>
  <c r="W118" i="2" s="1"/>
  <c r="AC117" i="2"/>
  <c r="AD117" i="2" s="1"/>
  <c r="AB117" i="2"/>
  <c r="AA117" i="2"/>
  <c r="Z117" i="2"/>
  <c r="Y117" i="2"/>
  <c r="X117" i="2"/>
  <c r="V117" i="2" s="1"/>
  <c r="W117" i="2" s="1"/>
  <c r="AC116" i="2"/>
  <c r="AD116" i="2" s="1"/>
  <c r="AB116" i="2"/>
  <c r="AA116" i="2"/>
  <c r="Z116" i="2"/>
  <c r="Y116" i="2"/>
  <c r="X116" i="2"/>
  <c r="V116" i="2"/>
  <c r="W116" i="2" s="1"/>
  <c r="AD115" i="2"/>
  <c r="AC115" i="2"/>
  <c r="AB115" i="2"/>
  <c r="AA115" i="2"/>
  <c r="Z115" i="2"/>
  <c r="Y115" i="2"/>
  <c r="X115" i="2"/>
  <c r="V115" i="2"/>
  <c r="W115" i="2" s="1"/>
  <c r="AC114" i="2"/>
  <c r="AD114" i="2" s="1"/>
  <c r="AB114" i="2"/>
  <c r="AA114" i="2"/>
  <c r="Z114" i="2"/>
  <c r="Y114" i="2"/>
  <c r="X114" i="2"/>
  <c r="V114" i="2" s="1"/>
  <c r="W114" i="2" s="1"/>
  <c r="AC113" i="2"/>
  <c r="AD113" i="2" s="1"/>
  <c r="AB113" i="2"/>
  <c r="AA113" i="2"/>
  <c r="Z113" i="2"/>
  <c r="Y113" i="2"/>
  <c r="X113" i="2"/>
  <c r="V113" i="2" s="1"/>
  <c r="W113" i="2" s="1"/>
  <c r="AC112" i="2"/>
  <c r="AD112" i="2" s="1"/>
  <c r="AB112" i="2"/>
  <c r="AA112" i="2"/>
  <c r="Z112" i="2"/>
  <c r="Y112" i="2"/>
  <c r="X112" i="2"/>
  <c r="V112" i="2"/>
  <c r="W112" i="2" s="1"/>
  <c r="AD111" i="2"/>
  <c r="AC111" i="2"/>
  <c r="AB111" i="2"/>
  <c r="AA111" i="2"/>
  <c r="Z111" i="2"/>
  <c r="Y111" i="2"/>
  <c r="X111" i="2"/>
  <c r="V111" i="2"/>
  <c r="W111" i="2" s="1"/>
  <c r="AC110" i="2"/>
  <c r="AD110" i="2" s="1"/>
  <c r="AB110" i="2"/>
  <c r="AA110" i="2"/>
  <c r="Z110" i="2"/>
  <c r="Y110" i="2"/>
  <c r="X110" i="2"/>
  <c r="V110" i="2" s="1"/>
  <c r="W110" i="2" s="1"/>
  <c r="AC109" i="2"/>
  <c r="AD109" i="2" s="1"/>
  <c r="AB109" i="2"/>
  <c r="AA109" i="2"/>
  <c r="Z109" i="2"/>
  <c r="Y109" i="2"/>
  <c r="X109" i="2"/>
  <c r="V109" i="2" s="1"/>
  <c r="W109" i="2" s="1"/>
  <c r="AC108" i="2"/>
  <c r="AD108" i="2" s="1"/>
  <c r="AB108" i="2"/>
  <c r="AA108" i="2"/>
  <c r="Z108" i="2"/>
  <c r="Y108" i="2"/>
  <c r="X108" i="2"/>
  <c r="V108" i="2"/>
  <c r="W108" i="2" s="1"/>
  <c r="AC107" i="2"/>
  <c r="AD107" i="2" s="1"/>
  <c r="AB107" i="2"/>
  <c r="AA107" i="2"/>
  <c r="Z107" i="2"/>
  <c r="Y107" i="2"/>
  <c r="X107" i="2"/>
  <c r="V107" i="2" s="1"/>
  <c r="W107" i="2" s="1"/>
  <c r="AC106" i="2"/>
  <c r="AD106" i="2" s="1"/>
  <c r="AB106" i="2"/>
  <c r="AA106" i="2"/>
  <c r="Z106" i="2"/>
  <c r="Y106" i="2"/>
  <c r="X106" i="2"/>
  <c r="V106" i="2" s="1"/>
  <c r="W106" i="2" s="1"/>
  <c r="AC105" i="2"/>
  <c r="AD105" i="2" s="1"/>
  <c r="AG107" i="2" s="1"/>
  <c r="AB105" i="2"/>
  <c r="AA105" i="2"/>
  <c r="Z105" i="2"/>
  <c r="Y105" i="2"/>
  <c r="X105" i="2"/>
  <c r="V105" i="2"/>
  <c r="W105" i="2" s="1"/>
  <c r="AD104" i="2"/>
  <c r="AC104" i="2"/>
  <c r="AB104" i="2"/>
  <c r="AA104" i="2"/>
  <c r="Z104" i="2"/>
  <c r="Y104" i="2"/>
  <c r="X104" i="2"/>
  <c r="V104" i="2"/>
  <c r="W104" i="2" s="1"/>
  <c r="AC103" i="2"/>
  <c r="AD103" i="2" s="1"/>
  <c r="AB103" i="2"/>
  <c r="AA103" i="2"/>
  <c r="Z103" i="2"/>
  <c r="Y103" i="2"/>
  <c r="X103" i="2"/>
  <c r="V103" i="2" s="1"/>
  <c r="W103" i="2" s="1"/>
  <c r="AC102" i="2"/>
  <c r="AD102" i="2" s="1"/>
  <c r="AB102" i="2"/>
  <c r="AA102" i="2"/>
  <c r="Z102" i="2"/>
  <c r="Y102" i="2"/>
  <c r="X102" i="2"/>
  <c r="V102" i="2" s="1"/>
  <c r="W102" i="2" s="1"/>
  <c r="AC101" i="2"/>
  <c r="AD101" i="2" s="1"/>
  <c r="AB101" i="2"/>
  <c r="AA101" i="2"/>
  <c r="Z101" i="2"/>
  <c r="Y101" i="2"/>
  <c r="X101" i="2"/>
  <c r="V101" i="2"/>
  <c r="W101" i="2" s="1"/>
  <c r="AD100" i="2"/>
  <c r="AC100" i="2"/>
  <c r="AB100" i="2"/>
  <c r="AA100" i="2"/>
  <c r="Z100" i="2"/>
  <c r="Y100" i="2"/>
  <c r="X100" i="2"/>
  <c r="V100" i="2"/>
  <c r="W100" i="2" s="1"/>
  <c r="AC99" i="2"/>
  <c r="AD99" i="2" s="1"/>
  <c r="AB99" i="2"/>
  <c r="AA99" i="2"/>
  <c r="Z99" i="2"/>
  <c r="Y99" i="2"/>
  <c r="X99" i="2"/>
  <c r="V99" i="2" s="1"/>
  <c r="W99" i="2" s="1"/>
  <c r="AC98" i="2"/>
  <c r="AD98" i="2" s="1"/>
  <c r="AB98" i="2"/>
  <c r="AA98" i="2"/>
  <c r="Z98" i="2"/>
  <c r="Y98" i="2"/>
  <c r="X98" i="2"/>
  <c r="V98" i="2" s="1"/>
  <c r="W98" i="2" s="1"/>
  <c r="AC97" i="2"/>
  <c r="AD97" i="2" s="1"/>
  <c r="AB97" i="2"/>
  <c r="AA97" i="2"/>
  <c r="Z97" i="2"/>
  <c r="Y97" i="2"/>
  <c r="X97" i="2"/>
  <c r="V97" i="2"/>
  <c r="W97" i="2" s="1"/>
  <c r="AD96" i="2"/>
  <c r="AC96" i="2"/>
  <c r="AB96" i="2"/>
  <c r="AA96" i="2"/>
  <c r="Z96" i="2"/>
  <c r="Y96" i="2"/>
  <c r="X96" i="2"/>
  <c r="V96" i="2"/>
  <c r="W96" i="2" s="1"/>
  <c r="AC95" i="2"/>
  <c r="AD95" i="2" s="1"/>
  <c r="AB95" i="2"/>
  <c r="AA95" i="2"/>
  <c r="Z95" i="2"/>
  <c r="Y95" i="2"/>
  <c r="X95" i="2"/>
  <c r="V95" i="2" s="1"/>
  <c r="W95" i="2" s="1"/>
  <c r="AC94" i="2"/>
  <c r="AD94" i="2" s="1"/>
  <c r="AB94" i="2"/>
  <c r="AA94" i="2"/>
  <c r="Z94" i="2"/>
  <c r="Y94" i="2"/>
  <c r="X94" i="2"/>
  <c r="V94" i="2"/>
  <c r="W94" i="2" s="1"/>
  <c r="AD93" i="2"/>
  <c r="AC93" i="2"/>
  <c r="AB93" i="2"/>
  <c r="AA93" i="2"/>
  <c r="Z93" i="2"/>
  <c r="Y93" i="2"/>
  <c r="X93" i="2"/>
  <c r="V93" i="2"/>
  <c r="W93" i="2" s="1"/>
  <c r="AD92" i="2"/>
  <c r="AC92" i="2"/>
  <c r="AB92" i="2"/>
  <c r="AA92" i="2"/>
  <c r="Z92" i="2"/>
  <c r="Y92" i="2"/>
  <c r="X92" i="2"/>
  <c r="V92" i="2" s="1"/>
  <c r="W92" i="2" s="1"/>
  <c r="AD91" i="2"/>
  <c r="AC91" i="2"/>
  <c r="AB91" i="2"/>
  <c r="AA91" i="2"/>
  <c r="Z91" i="2"/>
  <c r="Y91" i="2"/>
  <c r="X91" i="2"/>
  <c r="V91" i="2" s="1"/>
  <c r="W91" i="2" s="1"/>
  <c r="AC90" i="2"/>
  <c r="AD90" i="2" s="1"/>
  <c r="AB90" i="2"/>
  <c r="AA90" i="2"/>
  <c r="Z90" i="2"/>
  <c r="Y90" i="2"/>
  <c r="X90" i="2"/>
  <c r="V90" i="2"/>
  <c r="W90" i="2" s="1"/>
  <c r="AD89" i="2"/>
  <c r="AC89" i="2"/>
  <c r="AB89" i="2"/>
  <c r="AA89" i="2"/>
  <c r="Z89" i="2"/>
  <c r="Y89" i="2"/>
  <c r="X89" i="2"/>
  <c r="V89" i="2"/>
  <c r="W89" i="2" s="1"/>
  <c r="AC88" i="2"/>
  <c r="AD88" i="2" s="1"/>
  <c r="AB88" i="2"/>
  <c r="AA88" i="2"/>
  <c r="Z88" i="2"/>
  <c r="Y88" i="2"/>
  <c r="X88" i="2"/>
  <c r="V88" i="2" s="1"/>
  <c r="W88" i="2" s="1"/>
  <c r="AF87" i="2"/>
  <c r="AG87" i="2" s="1"/>
  <c r="AD87" i="2"/>
  <c r="AC87" i="2"/>
  <c r="AB87" i="2"/>
  <c r="AA87" i="2"/>
  <c r="Z87" i="2"/>
  <c r="Y87" i="2"/>
  <c r="X87" i="2"/>
  <c r="V87" i="2"/>
  <c r="W87" i="2" s="1"/>
  <c r="AC86" i="2"/>
  <c r="AD86" i="2" s="1"/>
  <c r="AB86" i="2"/>
  <c r="AA86" i="2"/>
  <c r="Z86" i="2"/>
  <c r="Y86" i="2"/>
  <c r="X86" i="2"/>
  <c r="V86" i="2" s="1"/>
  <c r="W86" i="2" s="1"/>
  <c r="AC85" i="2"/>
  <c r="AD85" i="2" s="1"/>
  <c r="AB85" i="2"/>
  <c r="AA85" i="2"/>
  <c r="Z85" i="2"/>
  <c r="Y85" i="2"/>
  <c r="X85" i="2"/>
  <c r="V85" i="2" s="1"/>
  <c r="W85" i="2" s="1"/>
  <c r="AC84" i="2"/>
  <c r="AD84" i="2" s="1"/>
  <c r="AB84" i="2"/>
  <c r="AA84" i="2"/>
  <c r="Z84" i="2"/>
  <c r="Y84" i="2"/>
  <c r="X84" i="2"/>
  <c r="V84" i="2"/>
  <c r="W84" i="2" s="1"/>
  <c r="AD83" i="2"/>
  <c r="AC83" i="2"/>
  <c r="AB83" i="2"/>
  <c r="AA83" i="2"/>
  <c r="Z83" i="2"/>
  <c r="Y83" i="2"/>
  <c r="X83" i="2"/>
  <c r="V83" i="2"/>
  <c r="W83" i="2" s="1"/>
  <c r="AC82" i="2"/>
  <c r="AD82" i="2" s="1"/>
  <c r="AB82" i="2"/>
  <c r="AA82" i="2"/>
  <c r="Z82" i="2"/>
  <c r="Y82" i="2"/>
  <c r="X82" i="2"/>
  <c r="V82" i="2" s="1"/>
  <c r="W82" i="2" s="1"/>
  <c r="AC81" i="2"/>
  <c r="AD81" i="2" s="1"/>
  <c r="AB81" i="2"/>
  <c r="AA81" i="2"/>
  <c r="Z81" i="2"/>
  <c r="Y81" i="2"/>
  <c r="X81" i="2"/>
  <c r="V81" i="2" s="1"/>
  <c r="W81" i="2" s="1"/>
  <c r="AD80" i="2"/>
  <c r="AC80" i="2"/>
  <c r="AB80" i="2"/>
  <c r="AA80" i="2"/>
  <c r="Z80" i="2"/>
  <c r="Y80" i="2"/>
  <c r="X80" i="2"/>
  <c r="V80" i="2"/>
  <c r="W80" i="2" s="1"/>
  <c r="AD79" i="2"/>
  <c r="AC79" i="2"/>
  <c r="AB79" i="2"/>
  <c r="AA79" i="2"/>
  <c r="Z79" i="2"/>
  <c r="Y79" i="2"/>
  <c r="X79" i="2"/>
  <c r="V79" i="2"/>
  <c r="W79" i="2" s="1"/>
  <c r="AD78" i="2"/>
  <c r="AC78" i="2"/>
  <c r="AB78" i="2"/>
  <c r="AA78" i="2"/>
  <c r="Z78" i="2"/>
  <c r="Y78" i="2"/>
  <c r="X78" i="2"/>
  <c r="V78" i="2" s="1"/>
  <c r="W78" i="2" s="1"/>
  <c r="AD77" i="2"/>
  <c r="AC77" i="2"/>
  <c r="AB77" i="2"/>
  <c r="AA77" i="2"/>
  <c r="Z77" i="2"/>
  <c r="Y77" i="2"/>
  <c r="X77" i="2"/>
  <c r="V77" i="2" s="1"/>
  <c r="W77" i="2" s="1"/>
  <c r="AD76" i="2"/>
  <c r="AC76" i="2"/>
  <c r="AB76" i="2"/>
  <c r="AA76" i="2"/>
  <c r="Z76" i="2"/>
  <c r="Y76" i="2"/>
  <c r="X76" i="2"/>
  <c r="V76" i="2"/>
  <c r="W76" i="2" s="1"/>
  <c r="AD75" i="2"/>
  <c r="AC75" i="2"/>
  <c r="AB75" i="2"/>
  <c r="AA75" i="2"/>
  <c r="Z75" i="2"/>
  <c r="Y75" i="2"/>
  <c r="X75" i="2"/>
  <c r="V75" i="2"/>
  <c r="W75" i="2" s="1"/>
  <c r="AF74" i="2"/>
  <c r="AC74" i="2"/>
  <c r="AD74" i="2" s="1"/>
  <c r="AB74" i="2"/>
  <c r="AA74" i="2"/>
  <c r="Z74" i="2"/>
  <c r="Y74" i="2"/>
  <c r="X74" i="2"/>
  <c r="V74" i="2"/>
  <c r="W74" i="2" s="1"/>
  <c r="AD73" i="2"/>
  <c r="AC73" i="2"/>
  <c r="AB73" i="2"/>
  <c r="AA73" i="2"/>
  <c r="Z73" i="2"/>
  <c r="Y73" i="2"/>
  <c r="X73" i="2"/>
  <c r="V73" i="2"/>
  <c r="W73" i="2" s="1"/>
  <c r="AC72" i="2"/>
  <c r="AD72" i="2" s="1"/>
  <c r="AB72" i="2"/>
  <c r="AA72" i="2"/>
  <c r="Z72" i="2"/>
  <c r="Y72" i="2"/>
  <c r="X72" i="2"/>
  <c r="V72" i="2" s="1"/>
  <c r="W72" i="2" s="1"/>
  <c r="AC71" i="2"/>
  <c r="AD71" i="2" s="1"/>
  <c r="AB71" i="2"/>
  <c r="AA71" i="2"/>
  <c r="Z71" i="2"/>
  <c r="Y71" i="2"/>
  <c r="X71" i="2"/>
  <c r="V71" i="2" s="1"/>
  <c r="W71" i="2" s="1"/>
  <c r="AC70" i="2"/>
  <c r="AD70" i="2" s="1"/>
  <c r="AB70" i="2"/>
  <c r="AA70" i="2"/>
  <c r="Z70" i="2"/>
  <c r="Y70" i="2"/>
  <c r="X70" i="2"/>
  <c r="V70" i="2"/>
  <c r="W70" i="2" s="1"/>
  <c r="AD69" i="2"/>
  <c r="AC69" i="2"/>
  <c r="AB69" i="2"/>
  <c r="AA69" i="2"/>
  <c r="Z69" i="2"/>
  <c r="Y69" i="2"/>
  <c r="X69" i="2"/>
  <c r="V69" i="2"/>
  <c r="W69" i="2" s="1"/>
  <c r="AC68" i="2"/>
  <c r="AD68" i="2" s="1"/>
  <c r="AB68" i="2"/>
  <c r="AA68" i="2"/>
  <c r="Z68" i="2"/>
  <c r="Y68" i="2"/>
  <c r="X68" i="2"/>
  <c r="V68" i="2" s="1"/>
  <c r="W68" i="2" s="1"/>
  <c r="AC67" i="2"/>
  <c r="AD67" i="2" s="1"/>
  <c r="AB67" i="2"/>
  <c r="AA67" i="2"/>
  <c r="Z67" i="2"/>
  <c r="Y67" i="2"/>
  <c r="X67" i="2"/>
  <c r="V67" i="2" s="1"/>
  <c r="W67" i="2" s="1"/>
  <c r="AD66" i="2"/>
  <c r="AC66" i="2"/>
  <c r="AB66" i="2"/>
  <c r="AA66" i="2"/>
  <c r="Z66" i="2"/>
  <c r="Y66" i="2"/>
  <c r="X66" i="2"/>
  <c r="V66" i="2"/>
  <c r="W66" i="2" s="1"/>
  <c r="AC65" i="2"/>
  <c r="AD65" i="2" s="1"/>
  <c r="AB65" i="2"/>
  <c r="AA65" i="2"/>
  <c r="Z65" i="2"/>
  <c r="Y65" i="2"/>
  <c r="X65" i="2"/>
  <c r="V65" i="2" s="1"/>
  <c r="W65" i="2" s="1"/>
  <c r="AC64" i="2"/>
  <c r="AD64" i="2" s="1"/>
  <c r="AB64" i="2"/>
  <c r="AA64" i="2"/>
  <c r="Z64" i="2"/>
  <c r="Y64" i="2"/>
  <c r="X64" i="2"/>
  <c r="V64" i="2" s="1"/>
  <c r="W64" i="2" s="1"/>
  <c r="AC63" i="2"/>
  <c r="AD63" i="2" s="1"/>
  <c r="AB63" i="2"/>
  <c r="AA63" i="2"/>
  <c r="Z63" i="2"/>
  <c r="Y63" i="2"/>
  <c r="X63" i="2"/>
  <c r="V63" i="2"/>
  <c r="W63" i="2" s="1"/>
  <c r="AD62" i="2"/>
  <c r="AC62" i="2"/>
  <c r="AB62" i="2"/>
  <c r="AA62" i="2"/>
  <c r="Z62" i="2"/>
  <c r="Y62" i="2"/>
  <c r="X62" i="2"/>
  <c r="V62" i="2"/>
  <c r="W62" i="2" s="1"/>
  <c r="AC61" i="2"/>
  <c r="AD61" i="2" s="1"/>
  <c r="AB61" i="2"/>
  <c r="AA61" i="2"/>
  <c r="Z61" i="2"/>
  <c r="Y61" i="2"/>
  <c r="X61" i="2"/>
  <c r="V61" i="2" s="1"/>
  <c r="W61" i="2" s="1"/>
  <c r="AC60" i="2"/>
  <c r="AD60" i="2" s="1"/>
  <c r="AB60" i="2"/>
  <c r="AA60" i="2"/>
  <c r="Z60" i="2"/>
  <c r="Y60" i="2"/>
  <c r="X60" i="2"/>
  <c r="V60" i="2" s="1"/>
  <c r="W60" i="2" s="1"/>
  <c r="AC59" i="2"/>
  <c r="AD59" i="2" s="1"/>
  <c r="AB59" i="2"/>
  <c r="AA59" i="2"/>
  <c r="Z59" i="2"/>
  <c r="Y59" i="2"/>
  <c r="X59" i="2"/>
  <c r="V59" i="2"/>
  <c r="W59" i="2" s="1"/>
  <c r="AD58" i="2"/>
  <c r="AC58" i="2"/>
  <c r="AB58" i="2"/>
  <c r="AA58" i="2"/>
  <c r="Z58" i="2"/>
  <c r="Y58" i="2"/>
  <c r="X58" i="2"/>
  <c r="V58" i="2"/>
  <c r="W58" i="2" s="1"/>
  <c r="AC57" i="2"/>
  <c r="AD57" i="2" s="1"/>
  <c r="AB57" i="2"/>
  <c r="AA57" i="2"/>
  <c r="Z57" i="2"/>
  <c r="Y57" i="2"/>
  <c r="X57" i="2"/>
  <c r="V57" i="2" s="1"/>
  <c r="W57" i="2" s="1"/>
  <c r="AC56" i="2"/>
  <c r="AD56" i="2" s="1"/>
  <c r="AB56" i="2"/>
  <c r="AA56" i="2"/>
  <c r="Z56" i="2"/>
  <c r="Y56" i="2"/>
  <c r="X56" i="2"/>
  <c r="V56" i="2" s="1"/>
  <c r="W56" i="2" s="1"/>
  <c r="AC55" i="2"/>
  <c r="AD55" i="2" s="1"/>
  <c r="AB55" i="2"/>
  <c r="AA55" i="2"/>
  <c r="Z55" i="2"/>
  <c r="Y55" i="2"/>
  <c r="X55" i="2"/>
  <c r="V55" i="2"/>
  <c r="W55" i="2" s="1"/>
  <c r="AD54" i="2"/>
  <c r="AC54" i="2"/>
  <c r="AB54" i="2"/>
  <c r="AA54" i="2"/>
  <c r="Z54" i="2"/>
  <c r="Y54" i="2"/>
  <c r="X54" i="2"/>
  <c r="V54" i="2"/>
  <c r="W54" i="2" s="1"/>
  <c r="AC53" i="2"/>
  <c r="AD53" i="2" s="1"/>
  <c r="AB53" i="2"/>
  <c r="AA53" i="2"/>
  <c r="Z53" i="2"/>
  <c r="Y53" i="2"/>
  <c r="X53" i="2"/>
  <c r="V53" i="2" s="1"/>
  <c r="W53" i="2" s="1"/>
  <c r="AC52" i="2"/>
  <c r="AD52" i="2" s="1"/>
  <c r="AB52" i="2"/>
  <c r="AA52" i="2"/>
  <c r="Z52" i="2"/>
  <c r="Y52" i="2"/>
  <c r="X52" i="2"/>
  <c r="V52" i="2" s="1"/>
  <c r="W52" i="2" s="1"/>
  <c r="AC51" i="2"/>
  <c r="AD51" i="2" s="1"/>
  <c r="AB51" i="2"/>
  <c r="AA51" i="2"/>
  <c r="Z51" i="2"/>
  <c r="Y51" i="2"/>
  <c r="X51" i="2"/>
  <c r="V51" i="2"/>
  <c r="W51" i="2" s="1"/>
  <c r="AD50" i="2"/>
  <c r="AC50" i="2"/>
  <c r="AB50" i="2"/>
  <c r="AA50" i="2"/>
  <c r="Z50" i="2"/>
  <c r="Y50" i="2"/>
  <c r="X50" i="2"/>
  <c r="V50" i="2"/>
  <c r="W50" i="2" s="1"/>
  <c r="AC49" i="2"/>
  <c r="AD49" i="2" s="1"/>
  <c r="AB49" i="2"/>
  <c r="AA49" i="2"/>
  <c r="Z49" i="2"/>
  <c r="Y49" i="2"/>
  <c r="X49" i="2"/>
  <c r="V49" i="2" s="1"/>
  <c r="W49" i="2" s="1"/>
  <c r="AC48" i="2"/>
  <c r="AD48" i="2" s="1"/>
  <c r="AB48" i="2"/>
  <c r="AA48" i="2"/>
  <c r="Z48" i="2"/>
  <c r="Y48" i="2"/>
  <c r="X48" i="2"/>
  <c r="V48" i="2" s="1"/>
  <c r="W48" i="2" s="1"/>
  <c r="AC47" i="2"/>
  <c r="AD47" i="2" s="1"/>
  <c r="AB47" i="2"/>
  <c r="AA47" i="2"/>
  <c r="Z47" i="2"/>
  <c r="Y47" i="2"/>
  <c r="X47" i="2"/>
  <c r="V47" i="2"/>
  <c r="W47" i="2" s="1"/>
  <c r="AD46" i="2"/>
  <c r="AC46" i="2"/>
  <c r="AB46" i="2"/>
  <c r="AA46" i="2"/>
  <c r="Z46" i="2"/>
  <c r="Y46" i="2"/>
  <c r="X46" i="2"/>
  <c r="V46" i="2"/>
  <c r="W46" i="2" s="1"/>
  <c r="AC45" i="2"/>
  <c r="AD45" i="2" s="1"/>
  <c r="AB45" i="2"/>
  <c r="AA45" i="2"/>
  <c r="Z45" i="2"/>
  <c r="Y45" i="2"/>
  <c r="X45" i="2"/>
  <c r="V45" i="2" s="1"/>
  <c r="W45" i="2" s="1"/>
  <c r="AC44" i="2"/>
  <c r="AD44" i="2" s="1"/>
  <c r="AB44" i="2"/>
  <c r="AA44" i="2"/>
  <c r="Z44" i="2"/>
  <c r="Y44" i="2"/>
  <c r="X44" i="2"/>
  <c r="V44" i="2" s="1"/>
  <c r="W44" i="2" s="1"/>
  <c r="AC43" i="2"/>
  <c r="AD43" i="2" s="1"/>
  <c r="AB43" i="2"/>
  <c r="AA43" i="2"/>
  <c r="Z43" i="2"/>
  <c r="Y43" i="2"/>
  <c r="X43" i="2"/>
  <c r="V43" i="2"/>
  <c r="W43" i="2" s="1"/>
  <c r="AD42" i="2"/>
  <c r="AC42" i="2"/>
  <c r="AB42" i="2"/>
  <c r="AA42" i="2"/>
  <c r="Z42" i="2"/>
  <c r="Y42" i="2"/>
  <c r="X42" i="2"/>
  <c r="V42" i="2"/>
  <c r="W42" i="2" s="1"/>
  <c r="AD41" i="2"/>
  <c r="AC41" i="2"/>
  <c r="AB41" i="2"/>
  <c r="AA41" i="2"/>
  <c r="Z41" i="2"/>
  <c r="Y41" i="2"/>
  <c r="X41" i="2"/>
  <c r="V41" i="2" s="1"/>
  <c r="W41" i="2" s="1"/>
  <c r="AD40" i="2"/>
  <c r="AC40" i="2"/>
  <c r="AB40" i="2"/>
  <c r="AA40" i="2"/>
  <c r="Z40" i="2"/>
  <c r="Y40" i="2"/>
  <c r="X40" i="2"/>
  <c r="V40" i="2" s="1"/>
  <c r="W40" i="2" s="1"/>
  <c r="AD39" i="2"/>
  <c r="AC39" i="2"/>
  <c r="AB39" i="2"/>
  <c r="AA39" i="2"/>
  <c r="Z39" i="2"/>
  <c r="Y39" i="2"/>
  <c r="X39" i="2"/>
  <c r="V39" i="2"/>
  <c r="W39" i="2" s="1"/>
  <c r="AD38" i="2"/>
  <c r="AC38" i="2"/>
  <c r="AB38" i="2"/>
  <c r="AA38" i="2"/>
  <c r="Z38" i="2"/>
  <c r="Y38" i="2"/>
  <c r="X38" i="2"/>
  <c r="V38" i="2"/>
  <c r="W38" i="2" s="1"/>
  <c r="AC37" i="2"/>
  <c r="AD37" i="2" s="1"/>
  <c r="AB37" i="2"/>
  <c r="AA37" i="2"/>
  <c r="Z37" i="2"/>
  <c r="Y37" i="2"/>
  <c r="X37" i="2"/>
  <c r="V37" i="2" s="1"/>
  <c r="W37" i="2" s="1"/>
  <c r="AC36" i="2"/>
  <c r="AD36" i="2" s="1"/>
  <c r="AB36" i="2"/>
  <c r="AA36" i="2"/>
  <c r="Z36" i="2"/>
  <c r="Y36" i="2"/>
  <c r="X36" i="2"/>
  <c r="V36" i="2" s="1"/>
  <c r="W36" i="2" s="1"/>
  <c r="AD35" i="2"/>
  <c r="AC35" i="2"/>
  <c r="AB35" i="2"/>
  <c r="AA35" i="2"/>
  <c r="Z35" i="2"/>
  <c r="Y35" i="2"/>
  <c r="X35" i="2"/>
  <c r="V35" i="2"/>
  <c r="W35" i="2" s="1"/>
  <c r="AD34" i="2"/>
  <c r="AC34" i="2"/>
  <c r="AB34" i="2"/>
  <c r="AA34" i="2"/>
  <c r="Z34" i="2"/>
  <c r="Y34" i="2"/>
  <c r="X34" i="2"/>
  <c r="V34" i="2"/>
  <c r="W34" i="2" s="1"/>
  <c r="AC33" i="2"/>
  <c r="AB33" i="2"/>
  <c r="AA33" i="2"/>
  <c r="Z33" i="2"/>
  <c r="Y33" i="2"/>
  <c r="X33" i="2"/>
  <c r="V33" i="2" s="1"/>
  <c r="W33" i="2" s="1"/>
  <c r="AC32" i="2"/>
  <c r="AD32" i="2" s="1"/>
  <c r="AB32" i="2"/>
  <c r="AA32" i="2"/>
  <c r="Z32" i="2"/>
  <c r="Y32" i="2"/>
  <c r="X32" i="2"/>
  <c r="V32" i="2"/>
  <c r="W32" i="2" s="1"/>
  <c r="AD31" i="2"/>
  <c r="AC31" i="2"/>
  <c r="AB31" i="2"/>
  <c r="AA31" i="2"/>
  <c r="Z31" i="2"/>
  <c r="Y31" i="2"/>
  <c r="X31" i="2"/>
  <c r="V31" i="2"/>
  <c r="W31" i="2" s="1"/>
  <c r="AD30" i="2"/>
  <c r="AC30" i="2"/>
  <c r="AB30" i="2"/>
  <c r="AA30" i="2"/>
  <c r="Z30" i="2"/>
  <c r="Y30" i="2"/>
  <c r="X30" i="2"/>
  <c r="V30" i="2" s="1"/>
  <c r="W30" i="2" s="1"/>
  <c r="AC29" i="2"/>
  <c r="AD29" i="2" s="1"/>
  <c r="AB29" i="2"/>
  <c r="AA29" i="2"/>
  <c r="Z29" i="2"/>
  <c r="Y29" i="2"/>
  <c r="X29" i="2"/>
  <c r="V29" i="2" s="1"/>
  <c r="W29" i="2" s="1"/>
  <c r="AD28" i="2"/>
  <c r="AC28" i="2"/>
  <c r="AB28" i="2"/>
  <c r="AA28" i="2"/>
  <c r="Z28" i="2"/>
  <c r="Y28" i="2"/>
  <c r="X28" i="2"/>
  <c r="V28" i="2"/>
  <c r="W28" i="2" s="1"/>
  <c r="AD27" i="2"/>
  <c r="AC27" i="2"/>
  <c r="AB27" i="2"/>
  <c r="AA27" i="2"/>
  <c r="Z27" i="2"/>
  <c r="Y27" i="2"/>
  <c r="X27" i="2"/>
  <c r="V27" i="2"/>
  <c r="W27" i="2" s="1"/>
  <c r="AE26" i="2"/>
  <c r="AC26" i="2"/>
  <c r="AD26" i="2" s="1"/>
  <c r="AB26" i="2"/>
  <c r="AA26" i="2"/>
  <c r="Z26" i="2"/>
  <c r="Y26" i="2"/>
  <c r="X26" i="2"/>
  <c r="V26" i="2"/>
  <c r="W26" i="2" s="1"/>
  <c r="AG25" i="2"/>
  <c r="AE25" i="2"/>
  <c r="AC25" i="2"/>
  <c r="AD25" i="2" s="1"/>
  <c r="AB25" i="2"/>
  <c r="AA25" i="2"/>
  <c r="Z25" i="2"/>
  <c r="Y25" i="2"/>
  <c r="X25" i="2"/>
  <c r="V25" i="2" s="1"/>
  <c r="W25" i="2" s="1"/>
  <c r="AC24" i="2"/>
  <c r="AD24" i="2" s="1"/>
  <c r="AB24" i="2"/>
  <c r="AA24" i="2"/>
  <c r="Z24" i="2"/>
  <c r="Y24" i="2"/>
  <c r="X24" i="2"/>
  <c r="V24" i="2"/>
  <c r="W24" i="2" s="1"/>
  <c r="AD23" i="2"/>
  <c r="AC23" i="2"/>
  <c r="AB23" i="2"/>
  <c r="AA23" i="2"/>
  <c r="Z23" i="2"/>
  <c r="Y23" i="2"/>
  <c r="X23" i="2"/>
  <c r="V23" i="2"/>
  <c r="W23" i="2" s="1"/>
  <c r="AC22" i="2"/>
  <c r="AD22" i="2" s="1"/>
  <c r="AB22" i="2"/>
  <c r="AA22" i="2"/>
  <c r="Z22" i="2"/>
  <c r="Y22" i="2"/>
  <c r="X22" i="2"/>
  <c r="V22" i="2" s="1"/>
  <c r="W22" i="2" s="1"/>
  <c r="AC21" i="2"/>
  <c r="AD21" i="2" s="1"/>
  <c r="AB21" i="2"/>
  <c r="AA21" i="2"/>
  <c r="Z21" i="2"/>
  <c r="Y21" i="2"/>
  <c r="X21" i="2"/>
  <c r="V21" i="2" s="1"/>
  <c r="W21" i="2" s="1"/>
  <c r="AC20" i="2"/>
  <c r="AD20" i="2" s="1"/>
  <c r="AB20" i="2"/>
  <c r="AA20" i="2"/>
  <c r="Z20" i="2"/>
  <c r="Y20" i="2"/>
  <c r="X20" i="2"/>
  <c r="V20" i="2"/>
  <c r="W20" i="2" s="1"/>
  <c r="AD19" i="2"/>
  <c r="AC19" i="2"/>
  <c r="AB19" i="2"/>
  <c r="AA19" i="2"/>
  <c r="Z19" i="2"/>
  <c r="Y19" i="2"/>
  <c r="X19" i="2"/>
  <c r="V19" i="2"/>
  <c r="W19" i="2" s="1"/>
  <c r="AC18" i="2"/>
  <c r="AD18" i="2" s="1"/>
  <c r="AB18" i="2"/>
  <c r="AA18" i="2"/>
  <c r="Z18" i="2"/>
  <c r="Y18" i="2"/>
  <c r="X18" i="2"/>
  <c r="V18" i="2" s="1"/>
  <c r="W18" i="2" s="1"/>
  <c r="AC17" i="2"/>
  <c r="AD17" i="2" s="1"/>
  <c r="AB17" i="2"/>
  <c r="AA17" i="2"/>
  <c r="Z17" i="2"/>
  <c r="Y17" i="2"/>
  <c r="X17" i="2"/>
  <c r="V17" i="2" s="1"/>
  <c r="W17" i="2" s="1"/>
  <c r="AC16" i="2"/>
  <c r="AD16" i="2" s="1"/>
  <c r="AB16" i="2"/>
  <c r="AA16" i="2"/>
  <c r="Z16" i="2"/>
  <c r="Y16" i="2"/>
  <c r="X16" i="2"/>
  <c r="V16" i="2"/>
  <c r="W16" i="2" s="1"/>
  <c r="AD15" i="2"/>
  <c r="AC15" i="2"/>
  <c r="AB15" i="2"/>
  <c r="AA15" i="2"/>
  <c r="Z15" i="2"/>
  <c r="Y15" i="2"/>
  <c r="X15" i="2"/>
  <c r="V15" i="2"/>
  <c r="W15" i="2" s="1"/>
  <c r="AC14" i="2"/>
  <c r="AD14" i="2" s="1"/>
  <c r="AB14" i="2"/>
  <c r="AA14" i="2"/>
  <c r="Z14" i="2"/>
  <c r="Y14" i="2"/>
  <c r="X14" i="2"/>
  <c r="V14" i="2" s="1"/>
  <c r="W14" i="2" s="1"/>
  <c r="AC13" i="2"/>
  <c r="AD13" i="2" s="1"/>
  <c r="AB13" i="2"/>
  <c r="AA13" i="2"/>
  <c r="Z13" i="2"/>
  <c r="Y13" i="2"/>
  <c r="X13" i="2"/>
  <c r="V13" i="2" s="1"/>
  <c r="W13" i="2" s="1"/>
  <c r="AC12" i="2"/>
  <c r="AD12" i="2" s="1"/>
  <c r="AB12" i="2"/>
  <c r="AA12" i="2"/>
  <c r="Z12" i="2"/>
  <c r="Y12" i="2"/>
  <c r="X12" i="2"/>
  <c r="V12" i="2"/>
  <c r="W12" i="2" s="1"/>
  <c r="AD11" i="2"/>
  <c r="AC11" i="2"/>
  <c r="AB11" i="2"/>
  <c r="AA11" i="2"/>
  <c r="Z11" i="2"/>
  <c r="Y11" i="2"/>
  <c r="X11" i="2"/>
  <c r="V11" i="2"/>
  <c r="W11" i="2" s="1"/>
  <c r="AC10" i="2"/>
  <c r="AD10" i="2" s="1"/>
  <c r="AB10" i="2"/>
  <c r="AA10" i="2"/>
  <c r="Z10" i="2"/>
  <c r="Y10" i="2"/>
  <c r="X10" i="2"/>
  <c r="V10" i="2" s="1"/>
  <c r="W10" i="2" s="1"/>
  <c r="AC9" i="2"/>
  <c r="AD9" i="2" s="1"/>
  <c r="AB9" i="2"/>
  <c r="AA9" i="2"/>
  <c r="Z9" i="2"/>
  <c r="Y9" i="2"/>
  <c r="X9" i="2"/>
  <c r="V9" i="2" s="1"/>
  <c r="W9" i="2" s="1"/>
  <c r="AC8" i="2"/>
  <c r="AD8" i="2" s="1"/>
  <c r="AB8" i="2"/>
  <c r="AA8" i="2"/>
  <c r="Z8" i="2"/>
  <c r="Y8" i="2"/>
  <c r="X8" i="2"/>
  <c r="V8" i="2"/>
  <c r="W8" i="2" s="1"/>
  <c r="AD7" i="2"/>
  <c r="AC7" i="2"/>
  <c r="AB7" i="2"/>
  <c r="AA7" i="2"/>
  <c r="Z7" i="2"/>
  <c r="Y7" i="2"/>
  <c r="X7" i="2"/>
  <c r="V7" i="2"/>
  <c r="W7" i="2" s="1"/>
  <c r="AC6" i="2"/>
  <c r="AD6" i="2" s="1"/>
  <c r="AB6" i="2"/>
  <c r="AA6" i="2"/>
  <c r="Z6" i="2"/>
  <c r="Y6" i="2"/>
  <c r="X6" i="2"/>
  <c r="V6" i="2" s="1"/>
  <c r="W6" i="2" s="1"/>
  <c r="AC5" i="2"/>
  <c r="AD5" i="2" s="1"/>
  <c r="AB5" i="2"/>
  <c r="AA5" i="2"/>
  <c r="Z5" i="2"/>
  <c r="Y5" i="2"/>
  <c r="X5" i="2"/>
  <c r="V5" i="2" s="1"/>
  <c r="W5" i="2" s="1"/>
  <c r="AC4" i="2"/>
  <c r="AD4" i="2" s="1"/>
  <c r="AB4" i="2"/>
  <c r="AA4" i="2"/>
  <c r="Z4" i="2"/>
  <c r="Y4" i="2"/>
  <c r="X4" i="2"/>
  <c r="V4" i="2"/>
  <c r="W4" i="2" s="1"/>
  <c r="AD3" i="2"/>
  <c r="AC3" i="2"/>
  <c r="AB3" i="2"/>
  <c r="AA3" i="2"/>
  <c r="Z3" i="2"/>
  <c r="Y3" i="2"/>
  <c r="X3" i="2"/>
  <c r="V3" i="2"/>
  <c r="W3" i="2" s="1"/>
  <c r="AD2" i="2"/>
  <c r="AC2" i="2"/>
  <c r="AB2" i="2"/>
  <c r="AA2" i="2"/>
  <c r="Z2" i="2"/>
  <c r="Y2" i="2"/>
  <c r="X2" i="2"/>
  <c r="V2" i="2" s="1"/>
  <c r="W2" i="2" s="1"/>
  <c r="AL455" i="1"/>
  <c r="AK455" i="1"/>
  <c r="AJ455" i="1"/>
  <c r="AI455" i="1"/>
  <c r="AH455" i="1"/>
  <c r="AG455" i="1"/>
  <c r="AF455" i="1"/>
  <c r="AD455" i="1" s="1"/>
  <c r="AE455" i="1" s="1"/>
  <c r="AL454" i="1"/>
  <c r="AK454" i="1"/>
  <c r="AJ454" i="1"/>
  <c r="AI454" i="1"/>
  <c r="AH454" i="1"/>
  <c r="AG454" i="1"/>
  <c r="AF454" i="1"/>
  <c r="AD454" i="1"/>
  <c r="AE454" i="1" s="1"/>
  <c r="AL453" i="1"/>
  <c r="AK453" i="1"/>
  <c r="AJ453" i="1"/>
  <c r="AI453" i="1"/>
  <c r="AH453" i="1"/>
  <c r="AG453" i="1"/>
  <c r="AF453" i="1"/>
  <c r="AD453" i="1"/>
  <c r="AE453" i="1" s="1"/>
  <c r="AL452" i="1"/>
  <c r="AK452" i="1"/>
  <c r="AJ452" i="1"/>
  <c r="AI452" i="1"/>
  <c r="AH452" i="1"/>
  <c r="AG452" i="1"/>
  <c r="AF452" i="1"/>
  <c r="AD452" i="1" s="1"/>
  <c r="AE452" i="1" s="1"/>
  <c r="AL451" i="1"/>
  <c r="AK451" i="1"/>
  <c r="AJ451" i="1"/>
  <c r="AI451" i="1"/>
  <c r="AH451" i="1"/>
  <c r="AG451" i="1"/>
  <c r="AF451" i="1"/>
  <c r="AD451" i="1" s="1"/>
  <c r="AE451" i="1" s="1"/>
  <c r="AL450" i="1"/>
  <c r="AK450" i="1"/>
  <c r="AJ450" i="1"/>
  <c r="AI450" i="1"/>
  <c r="AH450" i="1"/>
  <c r="AG450" i="1"/>
  <c r="AF450" i="1"/>
  <c r="AD450" i="1" s="1"/>
  <c r="AE450" i="1" s="1"/>
  <c r="AL449" i="1"/>
  <c r="AK449" i="1"/>
  <c r="AJ449" i="1"/>
  <c r="AI449" i="1"/>
  <c r="AH449" i="1"/>
  <c r="AG449" i="1"/>
  <c r="AF449" i="1"/>
  <c r="AD449" i="1" s="1"/>
  <c r="AE449" i="1" s="1"/>
  <c r="AL448" i="1"/>
  <c r="AK448" i="1"/>
  <c r="AJ448" i="1"/>
  <c r="AI448" i="1"/>
  <c r="AH448" i="1"/>
  <c r="AG448" i="1"/>
  <c r="AF448" i="1"/>
  <c r="AD448" i="1" s="1"/>
  <c r="AE448" i="1" s="1"/>
  <c r="AL447" i="1"/>
  <c r="AK447" i="1"/>
  <c r="AJ447" i="1"/>
  <c r="AI447" i="1"/>
  <c r="AH447" i="1"/>
  <c r="AG447" i="1"/>
  <c r="AF447" i="1"/>
  <c r="AD447" i="1" s="1"/>
  <c r="AE447" i="1" s="1"/>
  <c r="AL446" i="1"/>
  <c r="AK446" i="1"/>
  <c r="AJ446" i="1"/>
  <c r="AI446" i="1"/>
  <c r="AH446" i="1"/>
  <c r="AG446" i="1"/>
  <c r="AF446" i="1"/>
  <c r="AD446" i="1"/>
  <c r="AE446" i="1" s="1"/>
  <c r="AL445" i="1"/>
  <c r="AK445" i="1"/>
  <c r="AJ445" i="1"/>
  <c r="AI445" i="1"/>
  <c r="AH445" i="1"/>
  <c r="AG445" i="1"/>
  <c r="AF445" i="1"/>
  <c r="AD445" i="1"/>
  <c r="AE445" i="1" s="1"/>
  <c r="AL444" i="1"/>
  <c r="AK444" i="1"/>
  <c r="AJ444" i="1"/>
  <c r="AI444" i="1"/>
  <c r="AH444" i="1"/>
  <c r="AG444" i="1"/>
  <c r="AF444" i="1"/>
  <c r="AD444" i="1" s="1"/>
  <c r="AE444" i="1" s="1"/>
  <c r="AK443" i="1"/>
  <c r="AL443" i="1" s="1"/>
  <c r="AJ443" i="1"/>
  <c r="AI443" i="1"/>
  <c r="AH443" i="1"/>
  <c r="AG443" i="1"/>
  <c r="AF443" i="1"/>
  <c r="AD443" i="1" s="1"/>
  <c r="AE443" i="1" s="1"/>
  <c r="AK442" i="1"/>
  <c r="AL442" i="1" s="1"/>
  <c r="AJ442" i="1"/>
  <c r="AI442" i="1"/>
  <c r="AH442" i="1"/>
  <c r="AG442" i="1"/>
  <c r="AF442" i="1"/>
  <c r="AD442" i="1"/>
  <c r="AE442" i="1" s="1"/>
  <c r="AL441" i="1"/>
  <c r="AK441" i="1"/>
  <c r="AJ441" i="1"/>
  <c r="AI441" i="1"/>
  <c r="AH441" i="1"/>
  <c r="AG441" i="1"/>
  <c r="AF441" i="1"/>
  <c r="AD441" i="1"/>
  <c r="AE441" i="1" s="1"/>
  <c r="AK440" i="1"/>
  <c r="AO440" i="1" s="1"/>
  <c r="AJ440" i="1"/>
  <c r="AI440" i="1"/>
  <c r="AH440" i="1"/>
  <c r="AG440" i="1"/>
  <c r="AF440" i="1"/>
  <c r="AD440" i="1" s="1"/>
  <c r="AE440" i="1" s="1"/>
  <c r="AK439" i="1"/>
  <c r="AJ439" i="1"/>
  <c r="AI439" i="1"/>
  <c r="AH439" i="1"/>
  <c r="AG439" i="1"/>
  <c r="AF439" i="1"/>
  <c r="AD439" i="1" s="1"/>
  <c r="AE439" i="1" s="1"/>
  <c r="AL438" i="1"/>
  <c r="AK438" i="1"/>
  <c r="AJ438" i="1"/>
  <c r="AI438" i="1"/>
  <c r="AH438" i="1"/>
  <c r="AG438" i="1"/>
  <c r="AF438" i="1"/>
  <c r="AD438" i="1" s="1"/>
  <c r="AE438" i="1" s="1"/>
  <c r="AL437" i="1"/>
  <c r="AK437" i="1"/>
  <c r="AJ437" i="1"/>
  <c r="AI437" i="1"/>
  <c r="AH437" i="1"/>
  <c r="AG437" i="1"/>
  <c r="AF437" i="1"/>
  <c r="AD437" i="1" s="1"/>
  <c r="AE437" i="1" s="1"/>
  <c r="AL436" i="1"/>
  <c r="AK436" i="1"/>
  <c r="AJ436" i="1"/>
  <c r="AI436" i="1"/>
  <c r="AH436" i="1"/>
  <c r="AG436" i="1"/>
  <c r="AF436" i="1"/>
  <c r="AD436" i="1"/>
  <c r="AE436" i="1" s="1"/>
  <c r="AL435" i="1"/>
  <c r="AK435" i="1"/>
  <c r="AJ435" i="1"/>
  <c r="AI435" i="1"/>
  <c r="AH435" i="1"/>
  <c r="AG435" i="1"/>
  <c r="AF435" i="1"/>
  <c r="AD435" i="1"/>
  <c r="AE435" i="1" s="1"/>
  <c r="AL434" i="1"/>
  <c r="AK434" i="1"/>
  <c r="AJ434" i="1"/>
  <c r="AI434" i="1"/>
  <c r="AH434" i="1"/>
  <c r="AG434" i="1"/>
  <c r="AF434" i="1"/>
  <c r="AD434" i="1" s="1"/>
  <c r="AE434" i="1" s="1"/>
  <c r="AL433" i="1"/>
  <c r="AK433" i="1"/>
  <c r="AJ433" i="1"/>
  <c r="AI433" i="1"/>
  <c r="AH433" i="1"/>
  <c r="AG433" i="1"/>
  <c r="AF433" i="1"/>
  <c r="AD433" i="1" s="1"/>
  <c r="AE433" i="1" s="1"/>
  <c r="AL432" i="1"/>
  <c r="AK432" i="1"/>
  <c r="AJ432" i="1"/>
  <c r="AI432" i="1"/>
  <c r="AH432" i="1"/>
  <c r="AG432" i="1"/>
  <c r="AF432" i="1"/>
  <c r="AD432" i="1" s="1"/>
  <c r="AE432" i="1" s="1"/>
  <c r="AL431" i="1"/>
  <c r="AK431" i="1"/>
  <c r="AJ431" i="1"/>
  <c r="AI431" i="1"/>
  <c r="AH431" i="1"/>
  <c r="AG431" i="1"/>
  <c r="AF431" i="1"/>
  <c r="AD431" i="1" s="1"/>
  <c r="AE431" i="1" s="1"/>
  <c r="AL430" i="1"/>
  <c r="AK430" i="1"/>
  <c r="AJ430" i="1"/>
  <c r="AI430" i="1"/>
  <c r="AH430" i="1"/>
  <c r="AG430" i="1"/>
  <c r="AF430" i="1"/>
  <c r="AD430" i="1" s="1"/>
  <c r="AE430" i="1" s="1"/>
  <c r="AL429" i="1"/>
  <c r="AK429" i="1"/>
  <c r="AJ429" i="1"/>
  <c r="AI429" i="1"/>
  <c r="AH429" i="1"/>
  <c r="AG429" i="1"/>
  <c r="AF429" i="1"/>
  <c r="AD429" i="1" s="1"/>
  <c r="AE429" i="1" s="1"/>
  <c r="AL428" i="1"/>
  <c r="AK428" i="1"/>
  <c r="AJ428" i="1"/>
  <c r="AI428" i="1"/>
  <c r="AH428" i="1"/>
  <c r="AG428" i="1"/>
  <c r="AF428" i="1"/>
  <c r="AD428" i="1"/>
  <c r="AE428" i="1" s="1"/>
  <c r="AL427" i="1"/>
  <c r="AK427" i="1"/>
  <c r="AJ427" i="1"/>
  <c r="AI427" i="1"/>
  <c r="AH427" i="1"/>
  <c r="AG427" i="1"/>
  <c r="AF427" i="1"/>
  <c r="AD427" i="1"/>
  <c r="AE427" i="1" s="1"/>
  <c r="AL426" i="1"/>
  <c r="AK426" i="1"/>
  <c r="AJ426" i="1"/>
  <c r="AI426" i="1"/>
  <c r="AH426" i="1"/>
  <c r="AG426" i="1"/>
  <c r="AF426" i="1"/>
  <c r="AD426" i="1" s="1"/>
  <c r="AE426" i="1" s="1"/>
  <c r="AL425" i="1"/>
  <c r="AK425" i="1"/>
  <c r="AJ425" i="1"/>
  <c r="AI425" i="1"/>
  <c r="AH425" i="1"/>
  <c r="AG425" i="1"/>
  <c r="AF425" i="1"/>
  <c r="AD425" i="1" s="1"/>
  <c r="AE425" i="1" s="1"/>
  <c r="AL424" i="1"/>
  <c r="AK424" i="1"/>
  <c r="AJ424" i="1"/>
  <c r="AI424" i="1"/>
  <c r="AH424" i="1"/>
  <c r="AG424" i="1"/>
  <c r="AF424" i="1"/>
  <c r="AD424" i="1" s="1"/>
  <c r="AE424" i="1" s="1"/>
  <c r="AK423" i="1"/>
  <c r="AL423" i="1" s="1"/>
  <c r="AJ423" i="1"/>
  <c r="AI423" i="1"/>
  <c r="AH423" i="1"/>
  <c r="AG423" i="1"/>
  <c r="AF423" i="1"/>
  <c r="AD423" i="1" s="1"/>
  <c r="AE423" i="1" s="1"/>
  <c r="AL422" i="1"/>
  <c r="AK422" i="1"/>
  <c r="AJ422" i="1"/>
  <c r="AI422" i="1"/>
  <c r="AH422" i="1"/>
  <c r="AG422" i="1"/>
  <c r="AF422" i="1"/>
  <c r="AD422" i="1" s="1"/>
  <c r="AE422" i="1" s="1"/>
  <c r="AL421" i="1"/>
  <c r="AK421" i="1"/>
  <c r="AJ421" i="1"/>
  <c r="AI421" i="1"/>
  <c r="AH421" i="1"/>
  <c r="AG421" i="1"/>
  <c r="AF421" i="1"/>
  <c r="AD421" i="1" s="1"/>
  <c r="AE421" i="1" s="1"/>
  <c r="AK420" i="1"/>
  <c r="AL420" i="1" s="1"/>
  <c r="AJ420" i="1"/>
  <c r="AI420" i="1"/>
  <c r="AH420" i="1"/>
  <c r="AG420" i="1"/>
  <c r="AF420" i="1"/>
  <c r="AD420" i="1"/>
  <c r="AE420" i="1" s="1"/>
  <c r="AL419" i="1"/>
  <c r="AK419" i="1"/>
  <c r="AJ419" i="1"/>
  <c r="AI419" i="1"/>
  <c r="AH419" i="1"/>
  <c r="AG419" i="1"/>
  <c r="AF419" i="1"/>
  <c r="AD419" i="1"/>
  <c r="AE419" i="1" s="1"/>
  <c r="AK418" i="1"/>
  <c r="AL418" i="1" s="1"/>
  <c r="AJ418" i="1"/>
  <c r="AI418" i="1"/>
  <c r="AH418" i="1"/>
  <c r="AG418" i="1"/>
  <c r="AF418" i="1"/>
  <c r="AD418" i="1" s="1"/>
  <c r="AE418" i="1" s="1"/>
  <c r="AK417" i="1"/>
  <c r="AL417" i="1" s="1"/>
  <c r="AJ417" i="1"/>
  <c r="AI417" i="1"/>
  <c r="AH417" i="1"/>
  <c r="AG417" i="1"/>
  <c r="AF417" i="1"/>
  <c r="AD417" i="1" s="1"/>
  <c r="AE417" i="1" s="1"/>
  <c r="AK416" i="1"/>
  <c r="AL416" i="1" s="1"/>
  <c r="AJ416" i="1"/>
  <c r="AI416" i="1"/>
  <c r="AH416" i="1"/>
  <c r="AG416" i="1"/>
  <c r="AF416" i="1"/>
  <c r="AD416" i="1" s="1"/>
  <c r="AE416" i="1" s="1"/>
  <c r="AK415" i="1"/>
  <c r="AL415" i="1" s="1"/>
  <c r="AJ415" i="1"/>
  <c r="AI415" i="1"/>
  <c r="AH415" i="1"/>
  <c r="AG415" i="1"/>
  <c r="AF415" i="1"/>
  <c r="AD415" i="1" s="1"/>
  <c r="AE415" i="1" s="1"/>
  <c r="AK414" i="1"/>
  <c r="AL414" i="1" s="1"/>
  <c r="AJ414" i="1"/>
  <c r="AI414" i="1"/>
  <c r="AH414" i="1"/>
  <c r="AG414" i="1"/>
  <c r="AF414" i="1"/>
  <c r="AD414" i="1" s="1"/>
  <c r="AE414" i="1" s="1"/>
  <c r="AL413" i="1"/>
  <c r="E425" i="10" s="1"/>
  <c r="L425" i="10" s="1"/>
  <c r="AK413" i="1"/>
  <c r="AJ413" i="1"/>
  <c r="AI413" i="1"/>
  <c r="AH413" i="1"/>
  <c r="AG413" i="1"/>
  <c r="AF413" i="1"/>
  <c r="D425" i="10" s="1"/>
  <c r="AL412" i="1"/>
  <c r="E424" i="10" s="1"/>
  <c r="L424" i="10" s="1"/>
  <c r="AK412" i="1"/>
  <c r="AJ412" i="1"/>
  <c r="AI412" i="1"/>
  <c r="AH412" i="1"/>
  <c r="AG412" i="1"/>
  <c r="AF412" i="1"/>
  <c r="D424" i="10" s="1"/>
  <c r="AD412" i="1"/>
  <c r="AE412" i="1" s="1"/>
  <c r="AL411" i="1"/>
  <c r="E423" i="10" s="1"/>
  <c r="L423" i="10" s="1"/>
  <c r="AK411" i="1"/>
  <c r="AJ411" i="1"/>
  <c r="AI411" i="1"/>
  <c r="AH411" i="1"/>
  <c r="AG411" i="1"/>
  <c r="AF411" i="1"/>
  <c r="D423" i="10" s="1"/>
  <c r="AD411" i="1"/>
  <c r="AE411" i="1" s="1"/>
  <c r="AK410" i="1"/>
  <c r="AL410" i="1" s="1"/>
  <c r="E422" i="10" s="1"/>
  <c r="L422" i="10" s="1"/>
  <c r="AJ410" i="1"/>
  <c r="AI410" i="1"/>
  <c r="AH410" i="1"/>
  <c r="AG410" i="1"/>
  <c r="AF410" i="1"/>
  <c r="D422" i="10" s="1"/>
  <c r="AK409" i="1"/>
  <c r="AL409" i="1" s="1"/>
  <c r="E421" i="10" s="1"/>
  <c r="L421" i="10" s="1"/>
  <c r="AJ409" i="1"/>
  <c r="AI409" i="1"/>
  <c r="AH409" i="1"/>
  <c r="AG409" i="1"/>
  <c r="AF409" i="1"/>
  <c r="D421" i="10" s="1"/>
  <c r="AK408" i="1"/>
  <c r="AL408" i="1" s="1"/>
  <c r="E420" i="10" s="1"/>
  <c r="L420" i="10" s="1"/>
  <c r="AJ408" i="1"/>
  <c r="AI408" i="1"/>
  <c r="AH408" i="1"/>
  <c r="AG408" i="1"/>
  <c r="AF408" i="1"/>
  <c r="D420" i="10" s="1"/>
  <c r="AD408" i="1"/>
  <c r="AE408" i="1" s="1"/>
  <c r="AK407" i="1"/>
  <c r="AL407" i="1" s="1"/>
  <c r="E419" i="10" s="1"/>
  <c r="L419" i="10" s="1"/>
  <c r="AJ407" i="1"/>
  <c r="AI407" i="1"/>
  <c r="AH407" i="1"/>
  <c r="AG407" i="1"/>
  <c r="AF407" i="1"/>
  <c r="D419" i="10" s="1"/>
  <c r="AD407" i="1"/>
  <c r="AE407" i="1" s="1"/>
  <c r="AK406" i="1"/>
  <c r="AL406" i="1" s="1"/>
  <c r="E418" i="10" s="1"/>
  <c r="L418" i="10" s="1"/>
  <c r="AJ406" i="1"/>
  <c r="AI406" i="1"/>
  <c r="AH406" i="1"/>
  <c r="AG406" i="1"/>
  <c r="AF406" i="1"/>
  <c r="D418" i="10" s="1"/>
  <c r="AK405" i="1"/>
  <c r="AL405" i="1" s="1"/>
  <c r="E417" i="10" s="1"/>
  <c r="L417" i="10" s="1"/>
  <c r="AJ405" i="1"/>
  <c r="AI405" i="1"/>
  <c r="AH405" i="1"/>
  <c r="AG405" i="1"/>
  <c r="AF405" i="1"/>
  <c r="D417" i="10" s="1"/>
  <c r="AK404" i="1"/>
  <c r="AL404" i="1" s="1"/>
  <c r="E416" i="10" s="1"/>
  <c r="L416" i="10" s="1"/>
  <c r="AJ404" i="1"/>
  <c r="AI404" i="1"/>
  <c r="AH404" i="1"/>
  <c r="AG404" i="1"/>
  <c r="AF404" i="1"/>
  <c r="AK403" i="1"/>
  <c r="AL403" i="1" s="1"/>
  <c r="E415" i="10" s="1"/>
  <c r="L415" i="10" s="1"/>
  <c r="AJ403" i="1"/>
  <c r="AI403" i="1"/>
  <c r="AH403" i="1"/>
  <c r="AG403" i="1"/>
  <c r="AF403" i="1"/>
  <c r="AL402" i="1"/>
  <c r="E414" i="10" s="1"/>
  <c r="L414" i="10" s="1"/>
  <c r="AK402" i="1"/>
  <c r="AJ402" i="1"/>
  <c r="AI402" i="1"/>
  <c r="AH402" i="1"/>
  <c r="AG402" i="1"/>
  <c r="AF402" i="1"/>
  <c r="D414" i="10" s="1"/>
  <c r="AL401" i="1"/>
  <c r="E413" i="10" s="1"/>
  <c r="L413" i="10" s="1"/>
  <c r="AK401" i="1"/>
  <c r="AJ401" i="1"/>
  <c r="AI401" i="1"/>
  <c r="AH401" i="1"/>
  <c r="AG401" i="1"/>
  <c r="AF401" i="1"/>
  <c r="D413" i="10" s="1"/>
  <c r="AL400" i="1"/>
  <c r="E412" i="10" s="1"/>
  <c r="L412" i="10" s="1"/>
  <c r="AK400" i="1"/>
  <c r="AJ400" i="1"/>
  <c r="AI400" i="1"/>
  <c r="AH400" i="1"/>
  <c r="AG400" i="1"/>
  <c r="AF400" i="1"/>
  <c r="D412" i="10" s="1"/>
  <c r="AD400" i="1"/>
  <c r="AE400" i="1" s="1"/>
  <c r="AL399" i="1"/>
  <c r="E411" i="10" s="1"/>
  <c r="L411" i="10" s="1"/>
  <c r="AK399" i="1"/>
  <c r="AJ399" i="1"/>
  <c r="AI399" i="1"/>
  <c r="AH399" i="1"/>
  <c r="AG399" i="1"/>
  <c r="AF399" i="1"/>
  <c r="D411" i="10" s="1"/>
  <c r="AD399" i="1"/>
  <c r="AE399" i="1" s="1"/>
  <c r="AK398" i="1"/>
  <c r="AL398" i="1" s="1"/>
  <c r="E410" i="10" s="1"/>
  <c r="L410" i="10" s="1"/>
  <c r="AJ398" i="1"/>
  <c r="AI398" i="1"/>
  <c r="AH398" i="1"/>
  <c r="AG398" i="1"/>
  <c r="AF398" i="1"/>
  <c r="D410" i="10" s="1"/>
  <c r="AK397" i="1"/>
  <c r="AL397" i="1" s="1"/>
  <c r="E409" i="10" s="1"/>
  <c r="L409" i="10" s="1"/>
  <c r="AJ397" i="1"/>
  <c r="AI397" i="1"/>
  <c r="AH397" i="1"/>
  <c r="AG397" i="1"/>
  <c r="AF397" i="1"/>
  <c r="D409" i="10" s="1"/>
  <c r="AK396" i="1"/>
  <c r="AL396" i="1" s="1"/>
  <c r="E408" i="10" s="1"/>
  <c r="L408" i="10" s="1"/>
  <c r="AJ396" i="1"/>
  <c r="AI396" i="1"/>
  <c r="AH396" i="1"/>
  <c r="AG396" i="1"/>
  <c r="AF396" i="1"/>
  <c r="D408" i="10" s="1"/>
  <c r="AD396" i="1"/>
  <c r="AE396" i="1" s="1"/>
  <c r="AK395" i="1"/>
  <c r="AL395" i="1" s="1"/>
  <c r="E407" i="10" s="1"/>
  <c r="L407" i="10" s="1"/>
  <c r="AJ395" i="1"/>
  <c r="AI395" i="1"/>
  <c r="AH395" i="1"/>
  <c r="AG395" i="1"/>
  <c r="AF395" i="1"/>
  <c r="D407" i="10" s="1"/>
  <c r="AD395" i="1"/>
  <c r="AE395" i="1" s="1"/>
  <c r="AK394" i="1"/>
  <c r="AL394" i="1" s="1"/>
  <c r="E406" i="10" s="1"/>
  <c r="L406" i="10" s="1"/>
  <c r="AJ394" i="1"/>
  <c r="AI394" i="1"/>
  <c r="AH394" i="1"/>
  <c r="AG394" i="1"/>
  <c r="AF394" i="1"/>
  <c r="D406" i="10" s="1"/>
  <c r="AK393" i="1"/>
  <c r="AL393" i="1" s="1"/>
  <c r="E405" i="10" s="1"/>
  <c r="L405" i="10" s="1"/>
  <c r="AJ393" i="1"/>
  <c r="AI393" i="1"/>
  <c r="AH393" i="1"/>
  <c r="AG393" i="1"/>
  <c r="AF393" i="1"/>
  <c r="D405" i="10" s="1"/>
  <c r="AK392" i="1"/>
  <c r="AL392" i="1" s="1"/>
  <c r="E404" i="10" s="1"/>
  <c r="L404" i="10" s="1"/>
  <c r="AJ392" i="1"/>
  <c r="AI392" i="1"/>
  <c r="AH392" i="1"/>
  <c r="AG392" i="1"/>
  <c r="AF392" i="1"/>
  <c r="AK391" i="1"/>
  <c r="AL391" i="1" s="1"/>
  <c r="E403" i="10" s="1"/>
  <c r="L403" i="10" s="1"/>
  <c r="AJ391" i="1"/>
  <c r="AI391" i="1"/>
  <c r="AH391" i="1"/>
  <c r="AG391" i="1"/>
  <c r="AF391" i="1"/>
  <c r="AK390" i="1"/>
  <c r="AL390" i="1" s="1"/>
  <c r="E402" i="10" s="1"/>
  <c r="L402" i="10" s="1"/>
  <c r="AJ390" i="1"/>
  <c r="AI390" i="1"/>
  <c r="AH390" i="1"/>
  <c r="AG390" i="1"/>
  <c r="AF390" i="1"/>
  <c r="D402" i="10" s="1"/>
  <c r="AK389" i="1"/>
  <c r="AL389" i="1" s="1"/>
  <c r="E401" i="10" s="1"/>
  <c r="L401" i="10" s="1"/>
  <c r="AJ389" i="1"/>
  <c r="AI389" i="1"/>
  <c r="AH389" i="1"/>
  <c r="AG389" i="1"/>
  <c r="AF389" i="1"/>
  <c r="D401" i="10" s="1"/>
  <c r="AK388" i="1"/>
  <c r="AL388" i="1" s="1"/>
  <c r="E400" i="10" s="1"/>
  <c r="L400" i="10" s="1"/>
  <c r="AJ388" i="1"/>
  <c r="AI388" i="1"/>
  <c r="AH388" i="1"/>
  <c r="AG388" i="1"/>
  <c r="AF388" i="1"/>
  <c r="D400" i="10" s="1"/>
  <c r="AD388" i="1"/>
  <c r="AE388" i="1" s="1"/>
  <c r="AK387" i="1"/>
  <c r="AL387" i="1" s="1"/>
  <c r="E399" i="10" s="1"/>
  <c r="L399" i="10" s="1"/>
  <c r="AJ387" i="1"/>
  <c r="AI387" i="1"/>
  <c r="AH387" i="1"/>
  <c r="AG387" i="1"/>
  <c r="AF387" i="1"/>
  <c r="D399" i="10" s="1"/>
  <c r="AD387" i="1"/>
  <c r="AE387" i="1" s="1"/>
  <c r="AK386" i="1"/>
  <c r="AL386" i="1" s="1"/>
  <c r="E398" i="10" s="1"/>
  <c r="L398" i="10" s="1"/>
  <c r="AJ386" i="1"/>
  <c r="AI386" i="1"/>
  <c r="AH386" i="1"/>
  <c r="AG386" i="1"/>
  <c r="AF386" i="1"/>
  <c r="D398" i="10" s="1"/>
  <c r="AL385" i="1"/>
  <c r="E397" i="10" s="1"/>
  <c r="AK385" i="1"/>
  <c r="AJ385" i="1"/>
  <c r="AI385" i="1"/>
  <c r="AH385" i="1"/>
  <c r="AG385" i="1"/>
  <c r="AF385" i="1"/>
  <c r="D397" i="10" s="1"/>
  <c r="AL384" i="1"/>
  <c r="E396" i="10" s="1"/>
  <c r="AK384" i="1"/>
  <c r="AJ384" i="1"/>
  <c r="AI384" i="1"/>
  <c r="AH384" i="1"/>
  <c r="AG384" i="1"/>
  <c r="AF384" i="1"/>
  <c r="AK383" i="1"/>
  <c r="AL383" i="1" s="1"/>
  <c r="E395" i="10" s="1"/>
  <c r="AJ383" i="1"/>
  <c r="AI383" i="1"/>
  <c r="AH383" i="1"/>
  <c r="AG383" i="1"/>
  <c r="AF383" i="1"/>
  <c r="AK382" i="1"/>
  <c r="AL382" i="1" s="1"/>
  <c r="E394" i="10" s="1"/>
  <c r="L394" i="10" s="1"/>
  <c r="AJ382" i="1"/>
  <c r="AI382" i="1"/>
  <c r="AH382" i="1"/>
  <c r="AG382" i="1"/>
  <c r="AF382" i="1"/>
  <c r="D394" i="10" s="1"/>
  <c r="AK381" i="1"/>
  <c r="AL381" i="1" s="1"/>
  <c r="E393" i="10" s="1"/>
  <c r="L393" i="10" s="1"/>
  <c r="AJ381" i="1"/>
  <c r="AI381" i="1"/>
  <c r="AH381" i="1"/>
  <c r="AG381" i="1"/>
  <c r="AF381" i="1"/>
  <c r="D393" i="10" s="1"/>
  <c r="AD381" i="1"/>
  <c r="AE381" i="1" s="1"/>
  <c r="AK380" i="1"/>
  <c r="AL380" i="1" s="1"/>
  <c r="E392" i="10" s="1"/>
  <c r="AJ380" i="1"/>
  <c r="AI380" i="1"/>
  <c r="AH380" i="1"/>
  <c r="AG380" i="1"/>
  <c r="AF380" i="1"/>
  <c r="D392" i="10" s="1"/>
  <c r="AD380" i="1"/>
  <c r="AE380" i="1" s="1"/>
  <c r="AK379" i="1"/>
  <c r="AL379" i="1" s="1"/>
  <c r="E391" i="10" s="1"/>
  <c r="L391" i="10" s="1"/>
  <c r="AJ379" i="1"/>
  <c r="AI379" i="1"/>
  <c r="AH379" i="1"/>
  <c r="AG379" i="1"/>
  <c r="AF379" i="1"/>
  <c r="D391" i="10" s="1"/>
  <c r="AK378" i="1"/>
  <c r="AL378" i="1" s="1"/>
  <c r="E390" i="10" s="1"/>
  <c r="L390" i="10" s="1"/>
  <c r="AJ378" i="1"/>
  <c r="AI378" i="1"/>
  <c r="AH378" i="1"/>
  <c r="AG378" i="1"/>
  <c r="AF378" i="1"/>
  <c r="D390" i="10" s="1"/>
  <c r="AK377" i="1"/>
  <c r="AL377" i="1" s="1"/>
  <c r="E389" i="10" s="1"/>
  <c r="L389" i="10" s="1"/>
  <c r="AJ377" i="1"/>
  <c r="AI377" i="1"/>
  <c r="AH377" i="1"/>
  <c r="AG377" i="1"/>
  <c r="AF377" i="1"/>
  <c r="AK376" i="1"/>
  <c r="AL376" i="1" s="1"/>
  <c r="E388" i="10" s="1"/>
  <c r="AJ376" i="1"/>
  <c r="AI376" i="1"/>
  <c r="AH376" i="1"/>
  <c r="AG376" i="1"/>
  <c r="AF376" i="1"/>
  <c r="AK375" i="1"/>
  <c r="AL375" i="1" s="1"/>
  <c r="E387" i="10" s="1"/>
  <c r="L387" i="10" s="1"/>
  <c r="AJ375" i="1"/>
  <c r="AI375" i="1"/>
  <c r="AH375" i="1"/>
  <c r="AG375" i="1"/>
  <c r="AF375" i="1"/>
  <c r="D387" i="10" s="1"/>
  <c r="AK374" i="1"/>
  <c r="AL374" i="1" s="1"/>
  <c r="E386" i="10" s="1"/>
  <c r="L386" i="10" s="1"/>
  <c r="AJ374" i="1"/>
  <c r="AI374" i="1"/>
  <c r="AH374" i="1"/>
  <c r="AG374" i="1"/>
  <c r="AF374" i="1"/>
  <c r="D386" i="10" s="1"/>
  <c r="AK373" i="1"/>
  <c r="AL373" i="1" s="1"/>
  <c r="E385" i="10" s="1"/>
  <c r="L385" i="10" s="1"/>
  <c r="AJ373" i="1"/>
  <c r="AI373" i="1"/>
  <c r="AH373" i="1"/>
  <c r="AG373" i="1"/>
  <c r="AF373" i="1"/>
  <c r="D385" i="10" s="1"/>
  <c r="AD373" i="1"/>
  <c r="AE373" i="1" s="1"/>
  <c r="AK372" i="1"/>
  <c r="AL372" i="1" s="1"/>
  <c r="E384" i="10" s="1"/>
  <c r="AJ372" i="1"/>
  <c r="AI372" i="1"/>
  <c r="AH372" i="1"/>
  <c r="AG372" i="1"/>
  <c r="AF372" i="1"/>
  <c r="D384" i="10" s="1"/>
  <c r="AD372" i="1"/>
  <c r="AE372" i="1" s="1"/>
  <c r="AK371" i="1"/>
  <c r="AL371" i="1" s="1"/>
  <c r="E383" i="10" s="1"/>
  <c r="L383" i="10" s="1"/>
  <c r="AJ371" i="1"/>
  <c r="AI371" i="1"/>
  <c r="AH371" i="1"/>
  <c r="AG371" i="1"/>
  <c r="AF371" i="1"/>
  <c r="D383" i="10" s="1"/>
  <c r="AK370" i="1"/>
  <c r="AL370" i="1" s="1"/>
  <c r="E382" i="10" s="1"/>
  <c r="L382" i="10" s="1"/>
  <c r="AJ370" i="1"/>
  <c r="AI370" i="1"/>
  <c r="AH370" i="1"/>
  <c r="AG370" i="1"/>
  <c r="AF370" i="1"/>
  <c r="D382" i="10" s="1"/>
  <c r="AL369" i="1"/>
  <c r="E381" i="10" s="1"/>
  <c r="AK369" i="1"/>
  <c r="AJ369" i="1"/>
  <c r="AI369" i="1"/>
  <c r="AH369" i="1"/>
  <c r="AG369" i="1"/>
  <c r="AF369" i="1"/>
  <c r="D381" i="10" s="1"/>
  <c r="AD369" i="1"/>
  <c r="AE369" i="1" s="1"/>
  <c r="AL368" i="1"/>
  <c r="E380" i="10" s="1"/>
  <c r="AK368" i="1"/>
  <c r="AJ368" i="1"/>
  <c r="AI368" i="1"/>
  <c r="AH368" i="1"/>
  <c r="AG368" i="1"/>
  <c r="AF368" i="1"/>
  <c r="D380" i="10" s="1"/>
  <c r="AD368" i="1"/>
  <c r="AE368" i="1" s="1"/>
  <c r="AK367" i="1"/>
  <c r="AL367" i="1" s="1"/>
  <c r="E379" i="10" s="1"/>
  <c r="L379" i="10" s="1"/>
  <c r="AJ367" i="1"/>
  <c r="AI367" i="1"/>
  <c r="AH367" i="1"/>
  <c r="AG367" i="1"/>
  <c r="AF367" i="1"/>
  <c r="D379" i="10" s="1"/>
  <c r="AK366" i="1"/>
  <c r="AL366" i="1" s="1"/>
  <c r="E378" i="10" s="1"/>
  <c r="L378" i="10" s="1"/>
  <c r="AJ366" i="1"/>
  <c r="AI366" i="1"/>
  <c r="AH366" i="1"/>
  <c r="AG366" i="1"/>
  <c r="AF366" i="1"/>
  <c r="D378" i="10" s="1"/>
  <c r="AK365" i="1"/>
  <c r="AL365" i="1" s="1"/>
  <c r="E377" i="10" s="1"/>
  <c r="L377" i="10" s="1"/>
  <c r="AJ365" i="1"/>
  <c r="AI365" i="1"/>
  <c r="AH365" i="1"/>
  <c r="AG365" i="1"/>
  <c r="AF365" i="1"/>
  <c r="D377" i="10" s="1"/>
  <c r="AD365" i="1"/>
  <c r="AE365" i="1" s="1"/>
  <c r="AL364" i="1"/>
  <c r="E376" i="10" s="1"/>
  <c r="AK364" i="1"/>
  <c r="AJ364" i="1"/>
  <c r="AI364" i="1"/>
  <c r="AH364" i="1"/>
  <c r="AG364" i="1"/>
  <c r="AF364" i="1"/>
  <c r="D376" i="10" s="1"/>
  <c r="AD364" i="1"/>
  <c r="AE364" i="1" s="1"/>
  <c r="AK363" i="1"/>
  <c r="AL363" i="1" s="1"/>
  <c r="E375" i="10" s="1"/>
  <c r="L375" i="10" s="1"/>
  <c r="AJ363" i="1"/>
  <c r="AI363" i="1"/>
  <c r="AH363" i="1"/>
  <c r="AG363" i="1"/>
  <c r="AF363" i="1"/>
  <c r="D375" i="10" s="1"/>
  <c r="AK362" i="1"/>
  <c r="AL362" i="1" s="1"/>
  <c r="E374" i="10" s="1"/>
  <c r="L374" i="10" s="1"/>
  <c r="AJ362" i="1"/>
  <c r="AI362" i="1"/>
  <c r="AH362" i="1"/>
  <c r="AG362" i="1"/>
  <c r="AF362" i="1"/>
  <c r="D374" i="10" s="1"/>
  <c r="AK361" i="1"/>
  <c r="AL361" i="1" s="1"/>
  <c r="E373" i="10" s="1"/>
  <c r="L373" i="10" s="1"/>
  <c r="AJ361" i="1"/>
  <c r="AI361" i="1"/>
  <c r="AH361" i="1"/>
  <c r="AG361" i="1"/>
  <c r="AF361" i="1"/>
  <c r="D373" i="10" s="1"/>
  <c r="AD361" i="1"/>
  <c r="AE361" i="1" s="1"/>
  <c r="AK360" i="1"/>
  <c r="AL360" i="1" s="1"/>
  <c r="E372" i="10" s="1"/>
  <c r="AJ360" i="1"/>
  <c r="AI360" i="1"/>
  <c r="AH360" i="1"/>
  <c r="AG360" i="1"/>
  <c r="AF360" i="1"/>
  <c r="D372" i="10" s="1"/>
  <c r="AD360" i="1"/>
  <c r="AE360" i="1" s="1"/>
  <c r="AK359" i="1"/>
  <c r="AL359" i="1" s="1"/>
  <c r="E371" i="10" s="1"/>
  <c r="L371" i="10" s="1"/>
  <c r="AJ359" i="1"/>
  <c r="AI359" i="1"/>
  <c r="AH359" i="1"/>
  <c r="AG359" i="1"/>
  <c r="AF359" i="1"/>
  <c r="D371" i="10" s="1"/>
  <c r="AK358" i="1"/>
  <c r="AL358" i="1" s="1"/>
  <c r="E370" i="10" s="1"/>
  <c r="L370" i="10" s="1"/>
  <c r="AJ358" i="1"/>
  <c r="AI358" i="1"/>
  <c r="AH358" i="1"/>
  <c r="AG358" i="1"/>
  <c r="AF358" i="1"/>
  <c r="D370" i="10" s="1"/>
  <c r="AK357" i="1"/>
  <c r="AL357" i="1" s="1"/>
  <c r="E369" i="10" s="1"/>
  <c r="L369" i="10" s="1"/>
  <c r="AJ357" i="1"/>
  <c r="AI357" i="1"/>
  <c r="AH357" i="1"/>
  <c r="AG357" i="1"/>
  <c r="AF357" i="1"/>
  <c r="AK356" i="1"/>
  <c r="AL356" i="1" s="1"/>
  <c r="E368" i="10" s="1"/>
  <c r="AJ356" i="1"/>
  <c r="AI356" i="1"/>
  <c r="AH356" i="1"/>
  <c r="AG356" i="1"/>
  <c r="AF356" i="1"/>
  <c r="AK355" i="1"/>
  <c r="AL355" i="1" s="1"/>
  <c r="E367" i="10" s="1"/>
  <c r="L367" i="10" s="1"/>
  <c r="AJ355" i="1"/>
  <c r="AI355" i="1"/>
  <c r="AH355" i="1"/>
  <c r="AG355" i="1"/>
  <c r="AF355" i="1"/>
  <c r="D367" i="10" s="1"/>
  <c r="AK354" i="1"/>
  <c r="AL354" i="1" s="1"/>
  <c r="E366" i="10" s="1"/>
  <c r="L366" i="10" s="1"/>
  <c r="AJ354" i="1"/>
  <c r="AI354" i="1"/>
  <c r="AH354" i="1"/>
  <c r="AG354" i="1"/>
  <c r="AF354" i="1"/>
  <c r="D366" i="10" s="1"/>
  <c r="AK353" i="1"/>
  <c r="AL353" i="1" s="1"/>
  <c r="E365" i="10" s="1"/>
  <c r="L365" i="10" s="1"/>
  <c r="AJ353" i="1"/>
  <c r="AI353" i="1"/>
  <c r="AH353" i="1"/>
  <c r="AG353" i="1"/>
  <c r="AF353" i="1"/>
  <c r="D365" i="10" s="1"/>
  <c r="AD353" i="1"/>
  <c r="AE353" i="1" s="1"/>
  <c r="AK352" i="1"/>
  <c r="AL352" i="1" s="1"/>
  <c r="E364" i="10" s="1"/>
  <c r="AJ352" i="1"/>
  <c r="AI352" i="1"/>
  <c r="AH352" i="1"/>
  <c r="AG352" i="1"/>
  <c r="AF352" i="1"/>
  <c r="D364" i="10" s="1"/>
  <c r="AD352" i="1"/>
  <c r="AE352" i="1" s="1"/>
  <c r="AK351" i="1"/>
  <c r="AL351" i="1" s="1"/>
  <c r="E363" i="10" s="1"/>
  <c r="L363" i="10" s="1"/>
  <c r="AJ351" i="1"/>
  <c r="AI351" i="1"/>
  <c r="AH351" i="1"/>
  <c r="AG351" i="1"/>
  <c r="AF351" i="1"/>
  <c r="D363" i="10" s="1"/>
  <c r="AK350" i="1"/>
  <c r="AL350" i="1" s="1"/>
  <c r="E362" i="10" s="1"/>
  <c r="AJ350" i="1"/>
  <c r="AI350" i="1"/>
  <c r="AH350" i="1"/>
  <c r="AG350" i="1"/>
  <c r="AF350" i="1"/>
  <c r="D362" i="10" s="1"/>
  <c r="AK349" i="1"/>
  <c r="AL349" i="1" s="1"/>
  <c r="E361" i="10" s="1"/>
  <c r="L361" i="10" s="1"/>
  <c r="AJ349" i="1"/>
  <c r="AI349" i="1"/>
  <c r="AH349" i="1"/>
  <c r="AG349" i="1"/>
  <c r="AF349" i="1"/>
  <c r="D361" i="10" s="1"/>
  <c r="AK348" i="1"/>
  <c r="AL348" i="1" s="1"/>
  <c r="E360" i="10" s="1"/>
  <c r="AJ348" i="1"/>
  <c r="AI348" i="1"/>
  <c r="AH348" i="1"/>
  <c r="AG348" i="1"/>
  <c r="AF348" i="1"/>
  <c r="AK347" i="1"/>
  <c r="AL347" i="1" s="1"/>
  <c r="E359" i="10" s="1"/>
  <c r="L359" i="10" s="1"/>
  <c r="AJ347" i="1"/>
  <c r="AI347" i="1"/>
  <c r="AH347" i="1"/>
  <c r="AG347" i="1"/>
  <c r="AF347" i="1"/>
  <c r="D359" i="10" s="1"/>
  <c r="AL346" i="1"/>
  <c r="E358" i="10" s="1"/>
  <c r="AK346" i="1"/>
  <c r="AJ346" i="1"/>
  <c r="AI346" i="1"/>
  <c r="AH346" i="1"/>
  <c r="AG346" i="1"/>
  <c r="AF346" i="1"/>
  <c r="D358" i="10" s="1"/>
  <c r="AK345" i="1"/>
  <c r="AL345" i="1" s="1"/>
  <c r="E357" i="10" s="1"/>
  <c r="L357" i="10" s="1"/>
  <c r="AJ345" i="1"/>
  <c r="AI345" i="1"/>
  <c r="AH345" i="1"/>
  <c r="AG345" i="1"/>
  <c r="AF345" i="1"/>
  <c r="AK344" i="1"/>
  <c r="AL344" i="1" s="1"/>
  <c r="E356" i="10" s="1"/>
  <c r="AJ344" i="1"/>
  <c r="AI344" i="1"/>
  <c r="AH344" i="1"/>
  <c r="AG344" i="1"/>
  <c r="AF344" i="1"/>
  <c r="D356" i="10" s="1"/>
  <c r="AD344" i="1"/>
  <c r="AE344" i="1" s="1"/>
  <c r="AK343" i="1"/>
  <c r="AL343" i="1" s="1"/>
  <c r="E355" i="10" s="1"/>
  <c r="L355" i="10" s="1"/>
  <c r="AJ343" i="1"/>
  <c r="AI343" i="1"/>
  <c r="AH343" i="1"/>
  <c r="AG343" i="1"/>
  <c r="AF343" i="1"/>
  <c r="D355" i="10" s="1"/>
  <c r="AK342" i="1"/>
  <c r="AL342" i="1" s="1"/>
  <c r="E354" i="10" s="1"/>
  <c r="AJ342" i="1"/>
  <c r="AI342" i="1"/>
  <c r="AH342" i="1"/>
  <c r="AG342" i="1"/>
  <c r="AF342" i="1"/>
  <c r="D354" i="10" s="1"/>
  <c r="AK341" i="1"/>
  <c r="AL341" i="1" s="1"/>
  <c r="E353" i="10" s="1"/>
  <c r="L353" i="10" s="1"/>
  <c r="AJ341" i="1"/>
  <c r="AI341" i="1"/>
  <c r="AH341" i="1"/>
  <c r="AG341" i="1"/>
  <c r="AF341" i="1"/>
  <c r="D353" i="10" s="1"/>
  <c r="AD341" i="1"/>
  <c r="AE341" i="1" s="1"/>
  <c r="AK340" i="1"/>
  <c r="AJ340" i="1"/>
  <c r="AI340" i="1"/>
  <c r="AH340" i="1"/>
  <c r="AG340" i="1"/>
  <c r="AF340" i="1"/>
  <c r="D352" i="10" s="1"/>
  <c r="AD340" i="1"/>
  <c r="AE340" i="1" s="1"/>
  <c r="AB340" i="1"/>
  <c r="AL340" i="1" s="1"/>
  <c r="E352" i="10" s="1"/>
  <c r="AK339" i="1"/>
  <c r="AJ339" i="1"/>
  <c r="AI339" i="1"/>
  <c r="AH339" i="1"/>
  <c r="AG339" i="1"/>
  <c r="AF339" i="1"/>
  <c r="D351" i="10" s="1"/>
  <c r="AB339" i="1"/>
  <c r="AK338" i="1"/>
  <c r="AL338" i="1" s="1"/>
  <c r="E350" i="10" s="1"/>
  <c r="AJ338" i="1"/>
  <c r="AI338" i="1"/>
  <c r="AH338" i="1"/>
  <c r="AG338" i="1"/>
  <c r="AF338" i="1"/>
  <c r="D350" i="10" s="1"/>
  <c r="AD338" i="1"/>
  <c r="AE338" i="1" s="1"/>
  <c r="AB338" i="1"/>
  <c r="AL337" i="1"/>
  <c r="E349" i="10" s="1"/>
  <c r="AK337" i="1"/>
  <c r="AJ337" i="1"/>
  <c r="AI337" i="1"/>
  <c r="AH337" i="1"/>
  <c r="AG337" i="1"/>
  <c r="AF337" i="1"/>
  <c r="D349" i="10" s="1"/>
  <c r="AB337" i="1"/>
  <c r="AL336" i="1"/>
  <c r="E348" i="10" s="1"/>
  <c r="AK336" i="1"/>
  <c r="AJ336" i="1"/>
  <c r="AI336" i="1"/>
  <c r="AH336" i="1"/>
  <c r="AG336" i="1"/>
  <c r="AF336" i="1"/>
  <c r="AB336" i="1"/>
  <c r="AL335" i="1"/>
  <c r="E347" i="10" s="1"/>
  <c r="AK335" i="1"/>
  <c r="AJ335" i="1"/>
  <c r="AI335" i="1"/>
  <c r="AH335" i="1"/>
  <c r="AG335" i="1"/>
  <c r="AF335" i="1"/>
  <c r="D347" i="10" s="1"/>
  <c r="AL334" i="1"/>
  <c r="E346" i="10" s="1"/>
  <c r="AK334" i="1"/>
  <c r="AJ334" i="1"/>
  <c r="AI334" i="1"/>
  <c r="AH334" i="1"/>
  <c r="AG334" i="1"/>
  <c r="AF334" i="1"/>
  <c r="AK333" i="1"/>
  <c r="AL333" i="1" s="1"/>
  <c r="E345" i="10" s="1"/>
  <c r="AJ333" i="1"/>
  <c r="AI333" i="1"/>
  <c r="AH333" i="1"/>
  <c r="AG333" i="1"/>
  <c r="AF333" i="1"/>
  <c r="D345" i="10" s="1"/>
  <c r="AD333" i="1"/>
  <c r="AE333" i="1" s="1"/>
  <c r="AK332" i="1"/>
  <c r="AL332" i="1" s="1"/>
  <c r="E344" i="10" s="1"/>
  <c r="L344" i="10" s="1"/>
  <c r="AJ332" i="1"/>
  <c r="AI332" i="1"/>
  <c r="AH332" i="1"/>
  <c r="AG332" i="1"/>
  <c r="AF332" i="1"/>
  <c r="D344" i="10" s="1"/>
  <c r="AK331" i="1"/>
  <c r="AL331" i="1" s="1"/>
  <c r="E343" i="10" s="1"/>
  <c r="AJ331" i="1"/>
  <c r="AI331" i="1"/>
  <c r="AH331" i="1"/>
  <c r="AG331" i="1"/>
  <c r="AF331" i="1"/>
  <c r="D343" i="10" s="1"/>
  <c r="AK330" i="1"/>
  <c r="AL330" i="1" s="1"/>
  <c r="E342" i="10" s="1"/>
  <c r="L342" i="10" s="1"/>
  <c r="AJ330" i="1"/>
  <c r="AI330" i="1"/>
  <c r="AH330" i="1"/>
  <c r="AG330" i="1"/>
  <c r="AF330" i="1"/>
  <c r="D342" i="10" s="1"/>
  <c r="AD330" i="1"/>
  <c r="AE330" i="1" s="1"/>
  <c r="AL329" i="1"/>
  <c r="E341" i="10" s="1"/>
  <c r="AK329" i="1"/>
  <c r="AJ329" i="1"/>
  <c r="AI329" i="1"/>
  <c r="AH329" i="1"/>
  <c r="AG329" i="1"/>
  <c r="AF329" i="1"/>
  <c r="D341" i="10" s="1"/>
  <c r="AD329" i="1"/>
  <c r="AE329" i="1" s="1"/>
  <c r="AL328" i="1"/>
  <c r="E340" i="10" s="1"/>
  <c r="AK328" i="1"/>
  <c r="AO328" i="1" s="1"/>
  <c r="AJ328" i="1"/>
  <c r="AI328" i="1"/>
  <c r="AH328" i="1"/>
  <c r="AG328" i="1"/>
  <c r="AF328" i="1"/>
  <c r="D340" i="10" s="1"/>
  <c r="AK327" i="1"/>
  <c r="AL327" i="1" s="1"/>
  <c r="E339" i="10" s="1"/>
  <c r="AJ327" i="1"/>
  <c r="AI327" i="1"/>
  <c r="AH327" i="1"/>
  <c r="AG327" i="1"/>
  <c r="AF327" i="1"/>
  <c r="D339" i="10" s="1"/>
  <c r="AD327" i="1"/>
  <c r="AE327" i="1" s="1"/>
  <c r="AK326" i="1"/>
  <c r="AL326" i="1" s="1"/>
  <c r="E338" i="10" s="1"/>
  <c r="L338" i="10" s="1"/>
  <c r="AJ326" i="1"/>
  <c r="AI326" i="1"/>
  <c r="AH326" i="1"/>
  <c r="AG326" i="1"/>
  <c r="AF326" i="1"/>
  <c r="D338" i="10" s="1"/>
  <c r="AK325" i="1"/>
  <c r="AL325" i="1" s="1"/>
  <c r="E337" i="10" s="1"/>
  <c r="AJ325" i="1"/>
  <c r="AI325" i="1"/>
  <c r="AH325" i="1"/>
  <c r="AG325" i="1"/>
  <c r="AF325" i="1"/>
  <c r="D337" i="10" s="1"/>
  <c r="AK324" i="1"/>
  <c r="AL324" i="1" s="1"/>
  <c r="E336" i="10" s="1"/>
  <c r="L336" i="10" s="1"/>
  <c r="AJ324" i="1"/>
  <c r="AI324" i="1"/>
  <c r="AH324" i="1"/>
  <c r="AG324" i="1"/>
  <c r="AF324" i="1"/>
  <c r="D336" i="10" s="1"/>
  <c r="AD324" i="1"/>
  <c r="AE324" i="1" s="1"/>
  <c r="AL323" i="1"/>
  <c r="E335" i="10" s="1"/>
  <c r="AK323" i="1"/>
  <c r="AJ323" i="1"/>
  <c r="AI323" i="1"/>
  <c r="AH323" i="1"/>
  <c r="AG323" i="1"/>
  <c r="AF323" i="1"/>
  <c r="D335" i="10" s="1"/>
  <c r="AD323" i="1"/>
  <c r="AE323" i="1" s="1"/>
  <c r="AK322" i="1"/>
  <c r="AL322" i="1" s="1"/>
  <c r="E334" i="10" s="1"/>
  <c r="L334" i="10" s="1"/>
  <c r="AJ322" i="1"/>
  <c r="AI322" i="1"/>
  <c r="AH322" i="1"/>
  <c r="AG322" i="1"/>
  <c r="AF322" i="1"/>
  <c r="D334" i="10" s="1"/>
  <c r="AL321" i="1"/>
  <c r="E333" i="10" s="1"/>
  <c r="AK321" i="1"/>
  <c r="AJ321" i="1"/>
  <c r="AI321" i="1"/>
  <c r="AH321" i="1"/>
  <c r="AG321" i="1"/>
  <c r="AF321" i="1"/>
  <c r="D333" i="10" s="1"/>
  <c r="AK320" i="1"/>
  <c r="AL320" i="1" s="1"/>
  <c r="E332" i="10" s="1"/>
  <c r="L332" i="10" s="1"/>
  <c r="AJ320" i="1"/>
  <c r="AI320" i="1"/>
  <c r="AH320" i="1"/>
  <c r="AG320" i="1"/>
  <c r="AF320" i="1"/>
  <c r="D332" i="10" s="1"/>
  <c r="AE320" i="1"/>
  <c r="AD320" i="1"/>
  <c r="AK319" i="1"/>
  <c r="AL319" i="1" s="1"/>
  <c r="E331" i="10" s="1"/>
  <c r="AJ319" i="1"/>
  <c r="AI319" i="1"/>
  <c r="AH319" i="1"/>
  <c r="AG319" i="1"/>
  <c r="AF319" i="1"/>
  <c r="D331" i="10" s="1"/>
  <c r="AD319" i="1"/>
  <c r="AE319" i="1" s="1"/>
  <c r="AK318" i="1"/>
  <c r="AL318" i="1" s="1"/>
  <c r="E330" i="10" s="1"/>
  <c r="L330" i="10" s="1"/>
  <c r="AJ318" i="1"/>
  <c r="AI318" i="1"/>
  <c r="AH318" i="1"/>
  <c r="AG318" i="1"/>
  <c r="AF318" i="1"/>
  <c r="D330" i="10" s="1"/>
  <c r="AK317" i="1"/>
  <c r="AL317" i="1" s="1"/>
  <c r="E329" i="10" s="1"/>
  <c r="AJ317" i="1"/>
  <c r="AI317" i="1"/>
  <c r="AH317" i="1"/>
  <c r="AG317" i="1"/>
  <c r="AF317" i="1"/>
  <c r="D329" i="10" s="1"/>
  <c r="AK316" i="1"/>
  <c r="AL316" i="1" s="1"/>
  <c r="E328" i="10" s="1"/>
  <c r="L328" i="10" s="1"/>
  <c r="AJ316" i="1"/>
  <c r="AI316" i="1"/>
  <c r="AH316" i="1"/>
  <c r="AG316" i="1"/>
  <c r="AF316" i="1"/>
  <c r="AK315" i="1"/>
  <c r="AL315" i="1" s="1"/>
  <c r="E327" i="10" s="1"/>
  <c r="AJ315" i="1"/>
  <c r="AI315" i="1"/>
  <c r="AH315" i="1"/>
  <c r="AG315" i="1"/>
  <c r="AF315" i="1"/>
  <c r="AK314" i="1"/>
  <c r="AL314" i="1" s="1"/>
  <c r="E326" i="10" s="1"/>
  <c r="L326" i="10" s="1"/>
  <c r="AJ314" i="1"/>
  <c r="AI314" i="1"/>
  <c r="AH314" i="1"/>
  <c r="AG314" i="1"/>
  <c r="AF314" i="1"/>
  <c r="D326" i="10" s="1"/>
  <c r="AL313" i="1"/>
  <c r="E325" i="10" s="1"/>
  <c r="AK313" i="1"/>
  <c r="AJ313" i="1"/>
  <c r="AI313" i="1"/>
  <c r="AH313" i="1"/>
  <c r="AG313" i="1"/>
  <c r="AF313" i="1"/>
  <c r="D325" i="10" s="1"/>
  <c r="AK312" i="1"/>
  <c r="AL312" i="1" s="1"/>
  <c r="E324" i="10" s="1"/>
  <c r="L324" i="10" s="1"/>
  <c r="AJ312" i="1"/>
  <c r="AI312" i="1"/>
  <c r="AH312" i="1"/>
  <c r="AG312" i="1"/>
  <c r="AF312" i="1"/>
  <c r="AK311" i="1"/>
  <c r="AL311" i="1" s="1"/>
  <c r="E323" i="10" s="1"/>
  <c r="AJ311" i="1"/>
  <c r="AI311" i="1"/>
  <c r="AH311" i="1"/>
  <c r="AG311" i="1"/>
  <c r="AF311" i="1"/>
  <c r="D323" i="10" s="1"/>
  <c r="AD311" i="1"/>
  <c r="AE311" i="1" s="1"/>
  <c r="AK310" i="1"/>
  <c r="AL310" i="1" s="1"/>
  <c r="E322" i="10" s="1"/>
  <c r="L322" i="10" s="1"/>
  <c r="AJ310" i="1"/>
  <c r="AI310" i="1"/>
  <c r="AH310" i="1"/>
  <c r="AG310" i="1"/>
  <c r="AF310" i="1"/>
  <c r="D322" i="10" s="1"/>
  <c r="AK309" i="1"/>
  <c r="AL309" i="1" s="1"/>
  <c r="E321" i="10" s="1"/>
  <c r="AJ309" i="1"/>
  <c r="AI309" i="1"/>
  <c r="AH309" i="1"/>
  <c r="AG309" i="1"/>
  <c r="AF309" i="1"/>
  <c r="D321" i="10" s="1"/>
  <c r="AK308" i="1"/>
  <c r="AL308" i="1" s="1"/>
  <c r="E320" i="10" s="1"/>
  <c r="L320" i="10" s="1"/>
  <c r="AJ308" i="1"/>
  <c r="AI308" i="1"/>
  <c r="AH308" i="1"/>
  <c r="AG308" i="1"/>
  <c r="AF308" i="1"/>
  <c r="D320" i="10" s="1"/>
  <c r="AD308" i="1"/>
  <c r="AE308" i="1" s="1"/>
  <c r="AL307" i="1"/>
  <c r="E319" i="10" s="1"/>
  <c r="AK307" i="1"/>
  <c r="AJ307" i="1"/>
  <c r="AI307" i="1"/>
  <c r="AH307" i="1"/>
  <c r="AG307" i="1"/>
  <c r="AF307" i="1"/>
  <c r="D319" i="10" s="1"/>
  <c r="AD307" i="1"/>
  <c r="AE307" i="1" s="1"/>
  <c r="AK306" i="1"/>
  <c r="AL306" i="1" s="1"/>
  <c r="E318" i="10" s="1"/>
  <c r="L318" i="10" s="1"/>
  <c r="AJ306" i="1"/>
  <c r="AI306" i="1"/>
  <c r="AH306" i="1"/>
  <c r="AG306" i="1"/>
  <c r="AF306" i="1"/>
  <c r="D318" i="10" s="1"/>
  <c r="AK305" i="1"/>
  <c r="AL305" i="1" s="1"/>
  <c r="E317" i="10" s="1"/>
  <c r="L317" i="10" s="1"/>
  <c r="AJ305" i="1"/>
  <c r="AI305" i="1"/>
  <c r="AH305" i="1"/>
  <c r="AG305" i="1"/>
  <c r="AF305" i="1"/>
  <c r="D317" i="10" s="1"/>
  <c r="AK304" i="1"/>
  <c r="AL304" i="1" s="1"/>
  <c r="E316" i="10" s="1"/>
  <c r="AJ304" i="1"/>
  <c r="AI304" i="1"/>
  <c r="AH304" i="1"/>
  <c r="AG304" i="1"/>
  <c r="AF304" i="1"/>
  <c r="D316" i="10" s="1"/>
  <c r="AD304" i="1"/>
  <c r="AE304" i="1" s="1"/>
  <c r="AK303" i="1"/>
  <c r="AL303" i="1" s="1"/>
  <c r="E315" i="10" s="1"/>
  <c r="L315" i="10" s="1"/>
  <c r="AJ303" i="1"/>
  <c r="AI303" i="1"/>
  <c r="AH303" i="1"/>
  <c r="AG303" i="1"/>
  <c r="AF303" i="1"/>
  <c r="D315" i="10" s="1"/>
  <c r="AK302" i="1"/>
  <c r="AL302" i="1" s="1"/>
  <c r="E314" i="10" s="1"/>
  <c r="AJ302" i="1"/>
  <c r="AI302" i="1"/>
  <c r="AH302" i="1"/>
  <c r="AG302" i="1"/>
  <c r="AF302" i="1"/>
  <c r="D314" i="10" s="1"/>
  <c r="AK301" i="1"/>
  <c r="AL301" i="1" s="1"/>
  <c r="E313" i="10" s="1"/>
  <c r="L313" i="10" s="1"/>
  <c r="AJ301" i="1"/>
  <c r="AI301" i="1"/>
  <c r="AH301" i="1"/>
  <c r="AG301" i="1"/>
  <c r="AF301" i="1"/>
  <c r="AK300" i="1"/>
  <c r="AL300" i="1" s="1"/>
  <c r="E312" i="10" s="1"/>
  <c r="AJ300" i="1"/>
  <c r="AI300" i="1"/>
  <c r="AH300" i="1"/>
  <c r="AG300" i="1"/>
  <c r="AF300" i="1"/>
  <c r="AK299" i="1"/>
  <c r="AL299" i="1" s="1"/>
  <c r="E311" i="10" s="1"/>
  <c r="L311" i="10" s="1"/>
  <c r="AJ299" i="1"/>
  <c r="AI299" i="1"/>
  <c r="AH299" i="1"/>
  <c r="AG299" i="1"/>
  <c r="AF299" i="1"/>
  <c r="D311" i="10" s="1"/>
  <c r="AL298" i="1"/>
  <c r="E310" i="10" s="1"/>
  <c r="AK298" i="1"/>
  <c r="AJ298" i="1"/>
  <c r="AI298" i="1"/>
  <c r="AH298" i="1"/>
  <c r="AG298" i="1"/>
  <c r="AF298" i="1"/>
  <c r="D310" i="10" s="1"/>
  <c r="AL297" i="1"/>
  <c r="E309" i="10" s="1"/>
  <c r="L309" i="10" s="1"/>
  <c r="AK297" i="1"/>
  <c r="AJ297" i="1"/>
  <c r="AI297" i="1"/>
  <c r="AH297" i="1"/>
  <c r="AG297" i="1"/>
  <c r="AF297" i="1"/>
  <c r="D309" i="10" s="1"/>
  <c r="AD297" i="1"/>
  <c r="AE297" i="1" s="1"/>
  <c r="AL296" i="1"/>
  <c r="E308" i="10" s="1"/>
  <c r="AK296" i="1"/>
  <c r="AJ296" i="1"/>
  <c r="AI296" i="1"/>
  <c r="AH296" i="1"/>
  <c r="AG296" i="1"/>
  <c r="AF296" i="1"/>
  <c r="D308" i="10" s="1"/>
  <c r="AD296" i="1"/>
  <c r="AE296" i="1" s="1"/>
  <c r="AK295" i="1"/>
  <c r="AL295" i="1" s="1"/>
  <c r="E307" i="10" s="1"/>
  <c r="L307" i="10" s="1"/>
  <c r="AJ295" i="1"/>
  <c r="AI295" i="1"/>
  <c r="AH295" i="1"/>
  <c r="AG295" i="1"/>
  <c r="AF295" i="1"/>
  <c r="D307" i="10" s="1"/>
  <c r="AK294" i="1"/>
  <c r="AL294" i="1" s="1"/>
  <c r="E306" i="10" s="1"/>
  <c r="AJ294" i="1"/>
  <c r="AI294" i="1"/>
  <c r="AH294" i="1"/>
  <c r="AG294" i="1"/>
  <c r="AF294" i="1"/>
  <c r="D306" i="10" s="1"/>
  <c r="AK293" i="1"/>
  <c r="AJ293" i="1"/>
  <c r="AI293" i="1"/>
  <c r="AH293" i="1"/>
  <c r="AG293" i="1"/>
  <c r="AF293" i="1"/>
  <c r="AK292" i="1"/>
  <c r="AL292" i="1" s="1"/>
  <c r="E304" i="10" s="1"/>
  <c r="L304" i="10" s="1"/>
  <c r="AJ292" i="1"/>
  <c r="AI292" i="1"/>
  <c r="AH292" i="1"/>
  <c r="AG292" i="1"/>
  <c r="AF292" i="1"/>
  <c r="D304" i="10" s="1"/>
  <c r="AL291" i="1"/>
  <c r="E303" i="10" s="1"/>
  <c r="L303" i="10" s="1"/>
  <c r="AK291" i="1"/>
  <c r="AJ291" i="1"/>
  <c r="AI291" i="1"/>
  <c r="AH291" i="1"/>
  <c r="AG291" i="1"/>
  <c r="AF291" i="1"/>
  <c r="D303" i="10" s="1"/>
  <c r="AK290" i="1"/>
  <c r="AL290" i="1" s="1"/>
  <c r="E302" i="10" s="1"/>
  <c r="L302" i="10" s="1"/>
  <c r="AJ290" i="1"/>
  <c r="AI290" i="1"/>
  <c r="AH290" i="1"/>
  <c r="AG290" i="1"/>
  <c r="AF290" i="1"/>
  <c r="AL289" i="1"/>
  <c r="E301" i="10" s="1"/>
  <c r="L301" i="10" s="1"/>
  <c r="AK289" i="1"/>
  <c r="AJ289" i="1"/>
  <c r="AI289" i="1"/>
  <c r="AH289" i="1"/>
  <c r="AG289" i="1"/>
  <c r="AF289" i="1"/>
  <c r="D301" i="10" s="1"/>
  <c r="AD289" i="1"/>
  <c r="AE289" i="1" s="1"/>
  <c r="AL288" i="1"/>
  <c r="E300" i="10" s="1"/>
  <c r="AK288" i="1"/>
  <c r="AJ288" i="1"/>
  <c r="AI288" i="1"/>
  <c r="AH288" i="1"/>
  <c r="AG288" i="1"/>
  <c r="AF288" i="1"/>
  <c r="D300" i="10" s="1"/>
  <c r="AK287" i="1"/>
  <c r="AL287" i="1" s="1"/>
  <c r="E299" i="10" s="1"/>
  <c r="L299" i="10" s="1"/>
  <c r="AJ287" i="1"/>
  <c r="AI287" i="1"/>
  <c r="AH287" i="1"/>
  <c r="AG287" i="1"/>
  <c r="AF287" i="1"/>
  <c r="AK286" i="1"/>
  <c r="AL286" i="1" s="1"/>
  <c r="E298" i="10" s="1"/>
  <c r="AJ286" i="1"/>
  <c r="AI286" i="1"/>
  <c r="AH286" i="1"/>
  <c r="AG286" i="1"/>
  <c r="AF286" i="1"/>
  <c r="AK285" i="1"/>
  <c r="AL285" i="1" s="1"/>
  <c r="AJ285" i="1"/>
  <c r="AI285" i="1"/>
  <c r="AH285" i="1"/>
  <c r="AG285" i="1"/>
  <c r="AF285" i="1"/>
  <c r="D297" i="10" s="1"/>
  <c r="AL284" i="1"/>
  <c r="E296" i="10" s="1"/>
  <c r="AK284" i="1"/>
  <c r="AJ284" i="1"/>
  <c r="AI284" i="1"/>
  <c r="AH284" i="1"/>
  <c r="AG284" i="1"/>
  <c r="AF284" i="1"/>
  <c r="D296" i="10" s="1"/>
  <c r="AK283" i="1"/>
  <c r="AL283" i="1" s="1"/>
  <c r="E295" i="10" s="1"/>
  <c r="L295" i="10" s="1"/>
  <c r="AJ283" i="1"/>
  <c r="AI283" i="1"/>
  <c r="AH283" i="1"/>
  <c r="AG283" i="1"/>
  <c r="AF283" i="1"/>
  <c r="AK282" i="1"/>
  <c r="AL282" i="1" s="1"/>
  <c r="E294" i="10" s="1"/>
  <c r="AJ282" i="1"/>
  <c r="AI282" i="1"/>
  <c r="AH282" i="1"/>
  <c r="AG282" i="1"/>
  <c r="AF282" i="1"/>
  <c r="D294" i="10" s="1"/>
  <c r="AD282" i="1"/>
  <c r="AE282" i="1" s="1"/>
  <c r="AK281" i="1"/>
  <c r="AL281" i="1" s="1"/>
  <c r="E293" i="10" s="1"/>
  <c r="L293" i="10" s="1"/>
  <c r="AJ281" i="1"/>
  <c r="AI281" i="1"/>
  <c r="AH281" i="1"/>
  <c r="AG281" i="1"/>
  <c r="AF281" i="1"/>
  <c r="D293" i="10" s="1"/>
  <c r="AK280" i="1"/>
  <c r="AL280" i="1" s="1"/>
  <c r="E292" i="10" s="1"/>
  <c r="AJ280" i="1"/>
  <c r="AI280" i="1"/>
  <c r="AH280" i="1"/>
  <c r="AG280" i="1"/>
  <c r="AF280" i="1"/>
  <c r="D292" i="10" s="1"/>
  <c r="AK279" i="1"/>
  <c r="AL279" i="1" s="1"/>
  <c r="E291" i="10" s="1"/>
  <c r="L291" i="10" s="1"/>
  <c r="AJ279" i="1"/>
  <c r="AI279" i="1"/>
  <c r="AH279" i="1"/>
  <c r="AG279" i="1"/>
  <c r="AF279" i="1"/>
  <c r="D291" i="10" s="1"/>
  <c r="AD279" i="1"/>
  <c r="AE279" i="1" s="1"/>
  <c r="AL278" i="1"/>
  <c r="E290" i="10" s="1"/>
  <c r="AK278" i="1"/>
  <c r="AJ278" i="1"/>
  <c r="AI278" i="1"/>
  <c r="AH278" i="1"/>
  <c r="AG278" i="1"/>
  <c r="AF278" i="1"/>
  <c r="D290" i="10" s="1"/>
  <c r="AD278" i="1"/>
  <c r="AE278" i="1" s="1"/>
  <c r="AK277" i="1"/>
  <c r="AL277" i="1" s="1"/>
  <c r="E289" i="10" s="1"/>
  <c r="L289" i="10" s="1"/>
  <c r="AJ277" i="1"/>
  <c r="AI277" i="1"/>
  <c r="AH277" i="1"/>
  <c r="AG277" i="1"/>
  <c r="AF277" i="1"/>
  <c r="D289" i="10" s="1"/>
  <c r="AK276" i="1"/>
  <c r="AL276" i="1" s="1"/>
  <c r="E288" i="10" s="1"/>
  <c r="AJ276" i="1"/>
  <c r="AI276" i="1"/>
  <c r="AH276" i="1"/>
  <c r="AG276" i="1"/>
  <c r="AF276" i="1"/>
  <c r="D288" i="10" s="1"/>
  <c r="AK275" i="1"/>
  <c r="AL275" i="1" s="1"/>
  <c r="E287" i="10" s="1"/>
  <c r="L287" i="10" s="1"/>
  <c r="AJ275" i="1"/>
  <c r="AI275" i="1"/>
  <c r="AH275" i="1"/>
  <c r="AG275" i="1"/>
  <c r="AF275" i="1"/>
  <c r="D287" i="10" s="1"/>
  <c r="AE275" i="1"/>
  <c r="AD275" i="1"/>
  <c r="AK274" i="1"/>
  <c r="AL274" i="1" s="1"/>
  <c r="E286" i="10" s="1"/>
  <c r="AJ274" i="1"/>
  <c r="AI274" i="1"/>
  <c r="AH274" i="1"/>
  <c r="AG274" i="1"/>
  <c r="AF274" i="1"/>
  <c r="D286" i="10" s="1"/>
  <c r="AD274" i="1"/>
  <c r="AE274" i="1" s="1"/>
  <c r="AK273" i="1"/>
  <c r="AL273" i="1" s="1"/>
  <c r="E285" i="10" s="1"/>
  <c r="L285" i="10" s="1"/>
  <c r="AJ273" i="1"/>
  <c r="AI273" i="1"/>
  <c r="AH273" i="1"/>
  <c r="AG273" i="1"/>
  <c r="AF273" i="1"/>
  <c r="D285" i="10" s="1"/>
  <c r="AK272" i="1"/>
  <c r="AL272" i="1" s="1"/>
  <c r="E284" i="10" s="1"/>
  <c r="AJ272" i="1"/>
  <c r="AI272" i="1"/>
  <c r="AH272" i="1"/>
  <c r="AG272" i="1"/>
  <c r="AF272" i="1"/>
  <c r="D284" i="10" s="1"/>
  <c r="AK271" i="1"/>
  <c r="AL271" i="1" s="1"/>
  <c r="E283" i="10" s="1"/>
  <c r="L283" i="10" s="1"/>
  <c r="AJ271" i="1"/>
  <c r="AI271" i="1"/>
  <c r="AH271" i="1"/>
  <c r="AG271" i="1"/>
  <c r="AF271" i="1"/>
  <c r="AK270" i="1"/>
  <c r="AL270" i="1" s="1"/>
  <c r="E282" i="10" s="1"/>
  <c r="AJ270" i="1"/>
  <c r="AI270" i="1"/>
  <c r="AH270" i="1"/>
  <c r="AG270" i="1"/>
  <c r="AF270" i="1"/>
  <c r="AK269" i="1"/>
  <c r="AL269" i="1" s="1"/>
  <c r="E281" i="10" s="1"/>
  <c r="L281" i="10" s="1"/>
  <c r="AJ269" i="1"/>
  <c r="AI269" i="1"/>
  <c r="AH269" i="1"/>
  <c r="AG269" i="1"/>
  <c r="AF269" i="1"/>
  <c r="D281" i="10" s="1"/>
  <c r="AL268" i="1"/>
  <c r="E280" i="10" s="1"/>
  <c r="AK268" i="1"/>
  <c r="AJ268" i="1"/>
  <c r="AI268" i="1"/>
  <c r="AH268" i="1"/>
  <c r="AG268" i="1"/>
  <c r="AF268" i="1"/>
  <c r="D280" i="10" s="1"/>
  <c r="AK267" i="1"/>
  <c r="AL267" i="1" s="1"/>
  <c r="E279" i="10" s="1"/>
  <c r="L279" i="10" s="1"/>
  <c r="AJ267" i="1"/>
  <c r="AI267" i="1"/>
  <c r="AH267" i="1"/>
  <c r="AG267" i="1"/>
  <c r="AF267" i="1"/>
  <c r="AK266" i="1"/>
  <c r="AL266" i="1" s="1"/>
  <c r="E278" i="10" s="1"/>
  <c r="AJ266" i="1"/>
  <c r="AI266" i="1"/>
  <c r="AH266" i="1"/>
  <c r="AG266" i="1"/>
  <c r="AF266" i="1"/>
  <c r="D278" i="10" s="1"/>
  <c r="AD266" i="1"/>
  <c r="AE266" i="1" s="1"/>
  <c r="AK265" i="1"/>
  <c r="AL265" i="1" s="1"/>
  <c r="E277" i="10" s="1"/>
  <c r="L277" i="10" s="1"/>
  <c r="AJ265" i="1"/>
  <c r="AI265" i="1"/>
  <c r="AH265" i="1"/>
  <c r="AG265" i="1"/>
  <c r="AF265" i="1"/>
  <c r="D277" i="10" s="1"/>
  <c r="AK264" i="1"/>
  <c r="AL264" i="1" s="1"/>
  <c r="E276" i="10" s="1"/>
  <c r="AJ264" i="1"/>
  <c r="AI264" i="1"/>
  <c r="AH264" i="1"/>
  <c r="AG264" i="1"/>
  <c r="AF264" i="1"/>
  <c r="D276" i="10" s="1"/>
  <c r="AK263" i="1"/>
  <c r="AL263" i="1" s="1"/>
  <c r="E275" i="10" s="1"/>
  <c r="L275" i="10" s="1"/>
  <c r="AJ263" i="1"/>
  <c r="AI263" i="1"/>
  <c r="AH263" i="1"/>
  <c r="AG263" i="1"/>
  <c r="AF263" i="1"/>
  <c r="D275" i="10" s="1"/>
  <c r="AD263" i="1"/>
  <c r="AE263" i="1" s="1"/>
  <c r="AL262" i="1"/>
  <c r="E274" i="10" s="1"/>
  <c r="AK262" i="1"/>
  <c r="AJ262" i="1"/>
  <c r="AI262" i="1"/>
  <c r="AH262" i="1"/>
  <c r="AG262" i="1"/>
  <c r="AF262" i="1"/>
  <c r="D274" i="10" s="1"/>
  <c r="AD262" i="1"/>
  <c r="AE262" i="1" s="1"/>
  <c r="AK261" i="1"/>
  <c r="AL261" i="1" s="1"/>
  <c r="E273" i="10" s="1"/>
  <c r="L273" i="10" s="1"/>
  <c r="AJ261" i="1"/>
  <c r="AI261" i="1"/>
  <c r="AH261" i="1"/>
  <c r="AG261" i="1"/>
  <c r="AF261" i="1"/>
  <c r="D273" i="10" s="1"/>
  <c r="AK260" i="1"/>
  <c r="AL260" i="1" s="1"/>
  <c r="E272" i="10" s="1"/>
  <c r="AJ260" i="1"/>
  <c r="AI260" i="1"/>
  <c r="AH260" i="1"/>
  <c r="AG260" i="1"/>
  <c r="AF260" i="1"/>
  <c r="D272" i="10" s="1"/>
  <c r="AK259" i="1"/>
  <c r="AL259" i="1" s="1"/>
  <c r="E271" i="10" s="1"/>
  <c r="L271" i="10" s="1"/>
  <c r="AJ259" i="1"/>
  <c r="AI259" i="1"/>
  <c r="AH259" i="1"/>
  <c r="AG259" i="1"/>
  <c r="AF259" i="1"/>
  <c r="D271" i="10" s="1"/>
  <c r="AD259" i="1"/>
  <c r="AE259" i="1" s="1"/>
  <c r="AK258" i="1"/>
  <c r="AL258" i="1" s="1"/>
  <c r="E270" i="10" s="1"/>
  <c r="AJ258" i="1"/>
  <c r="AI258" i="1"/>
  <c r="AH258" i="1"/>
  <c r="AG258" i="1"/>
  <c r="AF258" i="1"/>
  <c r="D270" i="10" s="1"/>
  <c r="AD258" i="1"/>
  <c r="AE258" i="1" s="1"/>
  <c r="AK257" i="1"/>
  <c r="AL257" i="1" s="1"/>
  <c r="E269" i="10" s="1"/>
  <c r="L269" i="10" s="1"/>
  <c r="AJ257" i="1"/>
  <c r="AI257" i="1"/>
  <c r="AH257" i="1"/>
  <c r="AG257" i="1"/>
  <c r="AF257" i="1"/>
  <c r="D269" i="10" s="1"/>
  <c r="AL256" i="1"/>
  <c r="E268" i="10" s="1"/>
  <c r="AK256" i="1"/>
  <c r="AJ256" i="1"/>
  <c r="AI256" i="1"/>
  <c r="AH256" i="1"/>
  <c r="AG256" i="1"/>
  <c r="AF256" i="1"/>
  <c r="D268" i="10" s="1"/>
  <c r="AL255" i="1"/>
  <c r="E267" i="10" s="1"/>
  <c r="L267" i="10" s="1"/>
  <c r="AK255" i="1"/>
  <c r="AJ255" i="1"/>
  <c r="AI255" i="1"/>
  <c r="AH255" i="1"/>
  <c r="AG255" i="1"/>
  <c r="AF255" i="1"/>
  <c r="AK254" i="1"/>
  <c r="AJ254" i="1"/>
  <c r="AI254" i="1"/>
  <c r="AH254" i="1"/>
  <c r="AG254" i="1"/>
  <c r="AF254" i="1"/>
  <c r="AK253" i="1"/>
  <c r="AJ253" i="1"/>
  <c r="AI253" i="1"/>
  <c r="AH253" i="1"/>
  <c r="AG253" i="1"/>
  <c r="AF253" i="1"/>
  <c r="AK252" i="1"/>
  <c r="AJ252" i="1"/>
  <c r="AI252" i="1"/>
  <c r="AH252" i="1"/>
  <c r="AG252" i="1"/>
  <c r="AF252" i="1"/>
  <c r="AL251" i="1"/>
  <c r="E263" i="10" s="1"/>
  <c r="L263" i="10" s="1"/>
  <c r="AK251" i="1"/>
  <c r="AJ251" i="1"/>
  <c r="AI251" i="1"/>
  <c r="AH251" i="1"/>
  <c r="AG251" i="1"/>
  <c r="AF251" i="1"/>
  <c r="D263" i="10" s="1"/>
  <c r="AL250" i="1"/>
  <c r="E262" i="10" s="1"/>
  <c r="AK250" i="1"/>
  <c r="AJ250" i="1"/>
  <c r="AI250" i="1"/>
  <c r="AH250" i="1"/>
  <c r="AG250" i="1"/>
  <c r="AF250" i="1"/>
  <c r="D262" i="10" s="1"/>
  <c r="AL249" i="1"/>
  <c r="E261" i="10" s="1"/>
  <c r="L261" i="10" s="1"/>
  <c r="AK249" i="1"/>
  <c r="AJ249" i="1"/>
  <c r="AI249" i="1"/>
  <c r="AH249" i="1"/>
  <c r="AG249" i="1"/>
  <c r="AF249" i="1"/>
  <c r="D261" i="10" s="1"/>
  <c r="AL248" i="1"/>
  <c r="E260" i="10" s="1"/>
  <c r="AK248" i="1"/>
  <c r="AJ248" i="1"/>
  <c r="AI248" i="1"/>
  <c r="AH248" i="1"/>
  <c r="AG248" i="1"/>
  <c r="AF248" i="1"/>
  <c r="AL247" i="1"/>
  <c r="E259" i="10" s="1"/>
  <c r="L259" i="10" s="1"/>
  <c r="AK247" i="1"/>
  <c r="AJ247" i="1"/>
  <c r="AI247" i="1"/>
  <c r="AH247" i="1"/>
  <c r="AG247" i="1"/>
  <c r="AF247" i="1"/>
  <c r="AK246" i="1"/>
  <c r="AL246" i="1" s="1"/>
  <c r="E258" i="10" s="1"/>
  <c r="AJ246" i="1"/>
  <c r="AI246" i="1"/>
  <c r="AH246" i="1"/>
  <c r="AG246" i="1"/>
  <c r="AF246" i="1"/>
  <c r="D258" i="10" s="1"/>
  <c r="AL245" i="1"/>
  <c r="E257" i="10" s="1"/>
  <c r="L257" i="10" s="1"/>
  <c r="AK245" i="1"/>
  <c r="AJ245" i="1"/>
  <c r="AI245" i="1"/>
  <c r="AH245" i="1"/>
  <c r="AG245" i="1"/>
  <c r="AF245" i="1"/>
  <c r="D257" i="10" s="1"/>
  <c r="AL244" i="1"/>
  <c r="E256" i="10" s="1"/>
  <c r="AK244" i="1"/>
  <c r="AJ244" i="1"/>
  <c r="AI244" i="1"/>
  <c r="AH244" i="1"/>
  <c r="AG244" i="1"/>
  <c r="AF244" i="1"/>
  <c r="D256" i="10" s="1"/>
  <c r="AD244" i="1"/>
  <c r="AE244" i="1" s="1"/>
  <c r="AL243" i="1"/>
  <c r="E255" i="10" s="1"/>
  <c r="L255" i="10" s="1"/>
  <c r="AK243" i="1"/>
  <c r="AJ243" i="1"/>
  <c r="AI243" i="1"/>
  <c r="AH243" i="1"/>
  <c r="AG243" i="1"/>
  <c r="AF243" i="1"/>
  <c r="D255" i="10" s="1"/>
  <c r="AD243" i="1"/>
  <c r="AE243" i="1" s="1"/>
  <c r="AL242" i="1"/>
  <c r="E254" i="10" s="1"/>
  <c r="AK242" i="1"/>
  <c r="AJ242" i="1"/>
  <c r="AI242" i="1"/>
  <c r="AH242" i="1"/>
  <c r="AG242" i="1"/>
  <c r="AF242" i="1"/>
  <c r="D254" i="10" s="1"/>
  <c r="AK241" i="1"/>
  <c r="AL241" i="1" s="1"/>
  <c r="E253" i="10" s="1"/>
  <c r="L253" i="10" s="1"/>
  <c r="AJ241" i="1"/>
  <c r="AI241" i="1"/>
  <c r="AH241" i="1"/>
  <c r="AG241" i="1"/>
  <c r="AF241" i="1"/>
  <c r="D253" i="10" s="1"/>
  <c r="AL240" i="1"/>
  <c r="E252" i="10" s="1"/>
  <c r="AK240" i="1"/>
  <c r="AJ240" i="1"/>
  <c r="AI240" i="1"/>
  <c r="AH240" i="1"/>
  <c r="AG240" i="1"/>
  <c r="AF240" i="1"/>
  <c r="AL239" i="1"/>
  <c r="E251" i="10" s="1"/>
  <c r="L251" i="10" s="1"/>
  <c r="AK239" i="1"/>
  <c r="AJ239" i="1"/>
  <c r="AI239" i="1"/>
  <c r="AH239" i="1"/>
  <c r="AG239" i="1"/>
  <c r="AF239" i="1"/>
  <c r="D251" i="10" s="1"/>
  <c r="AK238" i="1"/>
  <c r="AL238" i="1" s="1"/>
  <c r="E250" i="10" s="1"/>
  <c r="AJ238" i="1"/>
  <c r="AI238" i="1"/>
  <c r="AH238" i="1"/>
  <c r="AG238" i="1"/>
  <c r="AF238" i="1"/>
  <c r="D250" i="10" s="1"/>
  <c r="AL237" i="1"/>
  <c r="E249" i="10" s="1"/>
  <c r="L249" i="10" s="1"/>
  <c r="AK237" i="1"/>
  <c r="AJ237" i="1"/>
  <c r="AI237" i="1"/>
  <c r="AH237" i="1"/>
  <c r="AG237" i="1"/>
  <c r="AF237" i="1"/>
  <c r="D249" i="10" s="1"/>
  <c r="AK236" i="1"/>
  <c r="AL236" i="1" s="1"/>
  <c r="E248" i="10" s="1"/>
  <c r="L248" i="10" s="1"/>
  <c r="AJ236" i="1"/>
  <c r="AI236" i="1"/>
  <c r="AH236" i="1"/>
  <c r="AG236" i="1"/>
  <c r="AF236" i="1"/>
  <c r="D248" i="10" s="1"/>
  <c r="AD236" i="1"/>
  <c r="AE236" i="1" s="1"/>
  <c r="AL235" i="1"/>
  <c r="E247" i="10" s="1"/>
  <c r="L247" i="10" s="1"/>
  <c r="AK235" i="1"/>
  <c r="AJ235" i="1"/>
  <c r="AI235" i="1"/>
  <c r="AH235" i="1"/>
  <c r="AG235" i="1"/>
  <c r="AF235" i="1"/>
  <c r="D247" i="10" s="1"/>
  <c r="AD235" i="1"/>
  <c r="AE235" i="1" s="1"/>
  <c r="AK234" i="1"/>
  <c r="AL234" i="1" s="1"/>
  <c r="E246" i="10" s="1"/>
  <c r="AJ234" i="1"/>
  <c r="AI234" i="1"/>
  <c r="AH234" i="1"/>
  <c r="AG234" i="1"/>
  <c r="AF234" i="1"/>
  <c r="D246" i="10" s="1"/>
  <c r="AK233" i="1"/>
  <c r="AL233" i="1" s="1"/>
  <c r="E245" i="10" s="1"/>
  <c r="L245" i="10" s="1"/>
  <c r="AJ233" i="1"/>
  <c r="AI233" i="1"/>
  <c r="AH233" i="1"/>
  <c r="AG233" i="1"/>
  <c r="AF233" i="1"/>
  <c r="D245" i="10" s="1"/>
  <c r="AK232" i="1"/>
  <c r="AL232" i="1" s="1"/>
  <c r="E244" i="10" s="1"/>
  <c r="L244" i="10" s="1"/>
  <c r="AJ232" i="1"/>
  <c r="AI232" i="1"/>
  <c r="AH232" i="1"/>
  <c r="AG232" i="1"/>
  <c r="AF232" i="1"/>
  <c r="D244" i="10" s="1"/>
  <c r="AD232" i="1"/>
  <c r="AE232" i="1" s="1"/>
  <c r="AL231" i="1"/>
  <c r="E243" i="10" s="1"/>
  <c r="L243" i="10" s="1"/>
  <c r="AK231" i="1"/>
  <c r="AJ231" i="1"/>
  <c r="AI231" i="1"/>
  <c r="AH231" i="1"/>
  <c r="AG231" i="1"/>
  <c r="AF231" i="1"/>
  <c r="D243" i="10" s="1"/>
  <c r="AD231" i="1"/>
  <c r="AE231" i="1" s="1"/>
  <c r="AK230" i="1"/>
  <c r="AL230" i="1" s="1"/>
  <c r="E242" i="10" s="1"/>
  <c r="AJ230" i="1"/>
  <c r="AI230" i="1"/>
  <c r="AH230" i="1"/>
  <c r="AG230" i="1"/>
  <c r="AF230" i="1"/>
  <c r="D242" i="10" s="1"/>
  <c r="AK229" i="1"/>
  <c r="AL229" i="1" s="1"/>
  <c r="E241" i="10" s="1"/>
  <c r="L241" i="10" s="1"/>
  <c r="AJ229" i="1"/>
  <c r="AI229" i="1"/>
  <c r="AH229" i="1"/>
  <c r="AG229" i="1"/>
  <c r="AF229" i="1"/>
  <c r="D241" i="10" s="1"/>
  <c r="AK228" i="1"/>
  <c r="AL228" i="1" s="1"/>
  <c r="E240" i="10" s="1"/>
  <c r="L240" i="10" s="1"/>
  <c r="AJ228" i="1"/>
  <c r="AI228" i="1"/>
  <c r="AH228" i="1"/>
  <c r="AG228" i="1"/>
  <c r="AF228" i="1"/>
  <c r="AK227" i="1"/>
  <c r="AL227" i="1" s="1"/>
  <c r="E239" i="10" s="1"/>
  <c r="L239" i="10" s="1"/>
  <c r="AJ227" i="1"/>
  <c r="AI227" i="1"/>
  <c r="AH227" i="1"/>
  <c r="AG227" i="1"/>
  <c r="AF227" i="1"/>
  <c r="AK226" i="1"/>
  <c r="AL226" i="1" s="1"/>
  <c r="E238" i="10" s="1"/>
  <c r="AJ226" i="1"/>
  <c r="AI226" i="1"/>
  <c r="AH226" i="1"/>
  <c r="AG226" i="1"/>
  <c r="AF226" i="1"/>
  <c r="D238" i="10" s="1"/>
  <c r="AL225" i="1"/>
  <c r="E237" i="10" s="1"/>
  <c r="L237" i="10" s="1"/>
  <c r="AK225" i="1"/>
  <c r="AJ225" i="1"/>
  <c r="AI225" i="1"/>
  <c r="AH225" i="1"/>
  <c r="AG225" i="1"/>
  <c r="AF225" i="1"/>
  <c r="D237" i="10" s="1"/>
  <c r="AK224" i="1"/>
  <c r="AL224" i="1" s="1"/>
  <c r="E236" i="10" s="1"/>
  <c r="L236" i="10" s="1"/>
  <c r="AJ224" i="1"/>
  <c r="AI224" i="1"/>
  <c r="AH224" i="1"/>
  <c r="AG224" i="1"/>
  <c r="AF224" i="1"/>
  <c r="AL223" i="1"/>
  <c r="E235" i="10" s="1"/>
  <c r="L235" i="10" s="1"/>
  <c r="AK223" i="1"/>
  <c r="AJ223" i="1"/>
  <c r="AI223" i="1"/>
  <c r="AH223" i="1"/>
  <c r="AG223" i="1"/>
  <c r="AF223" i="1"/>
  <c r="D235" i="10" s="1"/>
  <c r="AK222" i="1"/>
  <c r="AL222" i="1" s="1"/>
  <c r="E234" i="10" s="1"/>
  <c r="AJ222" i="1"/>
  <c r="AI222" i="1"/>
  <c r="AH222" i="1"/>
  <c r="AG222" i="1"/>
  <c r="AF222" i="1"/>
  <c r="D234" i="10" s="1"/>
  <c r="AL221" i="1"/>
  <c r="E233" i="10" s="1"/>
  <c r="L233" i="10" s="1"/>
  <c r="AK221" i="1"/>
  <c r="AJ221" i="1"/>
  <c r="AI221" i="1"/>
  <c r="AH221" i="1"/>
  <c r="AG221" i="1"/>
  <c r="AF221" i="1"/>
  <c r="D233" i="10" s="1"/>
  <c r="AK220" i="1"/>
  <c r="AL220" i="1" s="1"/>
  <c r="E232" i="10" s="1"/>
  <c r="L232" i="10" s="1"/>
  <c r="AJ220" i="1"/>
  <c r="AI220" i="1"/>
  <c r="AH220" i="1"/>
  <c r="AG220" i="1"/>
  <c r="AF220" i="1"/>
  <c r="D232" i="10" s="1"/>
  <c r="AD220" i="1"/>
  <c r="AE220" i="1" s="1"/>
  <c r="AL219" i="1"/>
  <c r="E231" i="10" s="1"/>
  <c r="L231" i="10" s="1"/>
  <c r="AK219" i="1"/>
  <c r="AJ219" i="1"/>
  <c r="AI219" i="1"/>
  <c r="AH219" i="1"/>
  <c r="AG219" i="1"/>
  <c r="AF219" i="1"/>
  <c r="D231" i="10" s="1"/>
  <c r="AD219" i="1"/>
  <c r="AE219" i="1" s="1"/>
  <c r="AK218" i="1"/>
  <c r="AL218" i="1" s="1"/>
  <c r="E230" i="10" s="1"/>
  <c r="L230" i="10" s="1"/>
  <c r="AJ218" i="1"/>
  <c r="AI218" i="1"/>
  <c r="AH218" i="1"/>
  <c r="AG218" i="1"/>
  <c r="AF218" i="1"/>
  <c r="D230" i="10" s="1"/>
  <c r="AL217" i="1"/>
  <c r="E218" i="10" s="1"/>
  <c r="L218" i="10" s="1"/>
  <c r="AK217" i="1"/>
  <c r="AJ217" i="1"/>
  <c r="AI217" i="1"/>
  <c r="AH217" i="1"/>
  <c r="AG217" i="1"/>
  <c r="AF217" i="1"/>
  <c r="D218" i="10" s="1"/>
  <c r="AL216" i="1"/>
  <c r="E217" i="10" s="1"/>
  <c r="AK216" i="1"/>
  <c r="AJ216" i="1"/>
  <c r="AI216" i="1"/>
  <c r="AH216" i="1"/>
  <c r="AG216" i="1"/>
  <c r="AF216" i="1"/>
  <c r="AK215" i="1"/>
  <c r="AJ215" i="1"/>
  <c r="AI215" i="1"/>
  <c r="AH215" i="1"/>
  <c r="AG215" i="1"/>
  <c r="AF215" i="1"/>
  <c r="D216" i="10" s="1"/>
  <c r="AL214" i="1"/>
  <c r="E215" i="10" s="1"/>
  <c r="AK214" i="1"/>
  <c r="AJ214" i="1"/>
  <c r="AI214" i="1"/>
  <c r="AH214" i="1"/>
  <c r="AG214" i="1"/>
  <c r="AF214" i="1"/>
  <c r="D215" i="10" s="1"/>
  <c r="AL213" i="1"/>
  <c r="E214" i="10" s="1"/>
  <c r="L214" i="10" s="1"/>
  <c r="AK213" i="1"/>
  <c r="AJ213" i="1"/>
  <c r="AI213" i="1"/>
  <c r="AH213" i="1"/>
  <c r="AG213" i="1"/>
  <c r="AF213" i="1"/>
  <c r="D214" i="10" s="1"/>
  <c r="AE213" i="1"/>
  <c r="AD213" i="1"/>
  <c r="AL212" i="1"/>
  <c r="E213" i="10" s="1"/>
  <c r="AK212" i="1"/>
  <c r="AJ212" i="1"/>
  <c r="AI212" i="1"/>
  <c r="AH212" i="1"/>
  <c r="AG212" i="1"/>
  <c r="AF212" i="1"/>
  <c r="D213" i="10" s="1"/>
  <c r="AK211" i="1"/>
  <c r="AL211" i="1" s="1"/>
  <c r="E212" i="10" s="1"/>
  <c r="AJ211" i="1"/>
  <c r="AI211" i="1"/>
  <c r="AH211" i="1"/>
  <c r="AG211" i="1"/>
  <c r="AF211" i="1"/>
  <c r="D212" i="10" s="1"/>
  <c r="AL210" i="1"/>
  <c r="E211" i="10" s="1"/>
  <c r="AK210" i="1"/>
  <c r="AJ210" i="1"/>
  <c r="AI210" i="1"/>
  <c r="AH210" i="1"/>
  <c r="AG210" i="1"/>
  <c r="AF210" i="1"/>
  <c r="D211" i="10" s="1"/>
  <c r="AL209" i="1"/>
  <c r="E210" i="10" s="1"/>
  <c r="AK209" i="1"/>
  <c r="AJ209" i="1"/>
  <c r="AI209" i="1"/>
  <c r="AH209" i="1"/>
  <c r="AG209" i="1"/>
  <c r="AF209" i="1"/>
  <c r="AK208" i="1"/>
  <c r="AL208" i="1" s="1"/>
  <c r="E209" i="10" s="1"/>
  <c r="L209" i="10" s="1"/>
  <c r="AJ208" i="1"/>
  <c r="AI208" i="1"/>
  <c r="AH208" i="1"/>
  <c r="AG208" i="1"/>
  <c r="AF208" i="1"/>
  <c r="D209" i="10" s="1"/>
  <c r="AK207" i="1"/>
  <c r="AO207" i="1" s="1"/>
  <c r="AJ207" i="1"/>
  <c r="AI207" i="1"/>
  <c r="AH207" i="1"/>
  <c r="AG207" i="1"/>
  <c r="AF207" i="1"/>
  <c r="D208" i="10" s="1"/>
  <c r="AK206" i="1"/>
  <c r="AL206" i="1" s="1"/>
  <c r="E207" i="10" s="1"/>
  <c r="L207" i="10" s="1"/>
  <c r="AJ206" i="1"/>
  <c r="AI206" i="1"/>
  <c r="AH206" i="1"/>
  <c r="AG206" i="1"/>
  <c r="AF206" i="1"/>
  <c r="AB206" i="1"/>
  <c r="AL205" i="1"/>
  <c r="E206" i="10" s="1"/>
  <c r="AK205" i="1"/>
  <c r="AJ205" i="1"/>
  <c r="AI205" i="1"/>
  <c r="AH205" i="1"/>
  <c r="AG205" i="1"/>
  <c r="AF205" i="1"/>
  <c r="D206" i="10" s="1"/>
  <c r="AK204" i="1"/>
  <c r="AL204" i="1" s="1"/>
  <c r="E205" i="10" s="1"/>
  <c r="L205" i="10" s="1"/>
  <c r="AJ204" i="1"/>
  <c r="AI204" i="1"/>
  <c r="AH204" i="1"/>
  <c r="AG204" i="1"/>
  <c r="AF204" i="1"/>
  <c r="AK203" i="1"/>
  <c r="AL203" i="1" s="1"/>
  <c r="E204" i="10" s="1"/>
  <c r="AJ203" i="1"/>
  <c r="AI203" i="1"/>
  <c r="AH203" i="1"/>
  <c r="AG203" i="1"/>
  <c r="AF203" i="1"/>
  <c r="AK202" i="1"/>
  <c r="AL202" i="1" s="1"/>
  <c r="E203" i="10" s="1"/>
  <c r="L203" i="10" s="1"/>
  <c r="AJ202" i="1"/>
  <c r="AI202" i="1"/>
  <c r="AH202" i="1"/>
  <c r="AG202" i="1"/>
  <c r="AF202" i="1"/>
  <c r="D203" i="10" s="1"/>
  <c r="AL201" i="1"/>
  <c r="E202" i="10" s="1"/>
  <c r="AK201" i="1"/>
  <c r="AJ201" i="1"/>
  <c r="AI201" i="1"/>
  <c r="AH201" i="1"/>
  <c r="AG201" i="1"/>
  <c r="AF201" i="1"/>
  <c r="D202" i="10" s="1"/>
  <c r="AK200" i="1"/>
  <c r="AL200" i="1" s="1"/>
  <c r="E201" i="10" s="1"/>
  <c r="L201" i="10" s="1"/>
  <c r="AJ200" i="1"/>
  <c r="AI200" i="1"/>
  <c r="AH200" i="1"/>
  <c r="AG200" i="1"/>
  <c r="AF200" i="1"/>
  <c r="AK199" i="1"/>
  <c r="AL199" i="1" s="1"/>
  <c r="E200" i="10" s="1"/>
  <c r="AJ199" i="1"/>
  <c r="AI199" i="1"/>
  <c r="AH199" i="1"/>
  <c r="AG199" i="1"/>
  <c r="AF199" i="1"/>
  <c r="D200" i="10" s="1"/>
  <c r="AK198" i="1"/>
  <c r="AL198" i="1" s="1"/>
  <c r="E199" i="10" s="1"/>
  <c r="L199" i="10" s="1"/>
  <c r="AJ198" i="1"/>
  <c r="AI198" i="1"/>
  <c r="AH198" i="1"/>
  <c r="AG198" i="1"/>
  <c r="AF198" i="1"/>
  <c r="D199" i="10" s="1"/>
  <c r="AL197" i="1"/>
  <c r="E198" i="10" s="1"/>
  <c r="AK197" i="1"/>
  <c r="AJ197" i="1"/>
  <c r="AI197" i="1"/>
  <c r="AH197" i="1"/>
  <c r="AG197" i="1"/>
  <c r="AF197" i="1"/>
  <c r="D198" i="10" s="1"/>
  <c r="AK196" i="1"/>
  <c r="AL196" i="1" s="1"/>
  <c r="E197" i="10" s="1"/>
  <c r="L197" i="10" s="1"/>
  <c r="AJ196" i="1"/>
  <c r="AI196" i="1"/>
  <c r="AH196" i="1"/>
  <c r="AG196" i="1"/>
  <c r="AF196" i="1"/>
  <c r="D197" i="10" s="1"/>
  <c r="AD196" i="1"/>
  <c r="AE196" i="1" s="1"/>
  <c r="AL195" i="1"/>
  <c r="E196" i="10" s="1"/>
  <c r="AK195" i="1"/>
  <c r="AJ195" i="1"/>
  <c r="AI195" i="1"/>
  <c r="AH195" i="1"/>
  <c r="AG195" i="1"/>
  <c r="AF195" i="1"/>
  <c r="D196" i="10" s="1"/>
  <c r="AD195" i="1"/>
  <c r="AE195" i="1" s="1"/>
  <c r="AK194" i="1"/>
  <c r="AL194" i="1" s="1"/>
  <c r="E195" i="10" s="1"/>
  <c r="L195" i="10" s="1"/>
  <c r="AJ194" i="1"/>
  <c r="AI194" i="1"/>
  <c r="AH194" i="1"/>
  <c r="AG194" i="1"/>
  <c r="AF194" i="1"/>
  <c r="D195" i="10" s="1"/>
  <c r="AK193" i="1"/>
  <c r="AL193" i="1" s="1"/>
  <c r="E194" i="10" s="1"/>
  <c r="AJ193" i="1"/>
  <c r="AI193" i="1"/>
  <c r="AH193" i="1"/>
  <c r="AG193" i="1"/>
  <c r="AF193" i="1"/>
  <c r="AK192" i="1"/>
  <c r="AL192" i="1" s="1"/>
  <c r="E193" i="10" s="1"/>
  <c r="L193" i="10" s="1"/>
  <c r="AJ192" i="1"/>
  <c r="AI192" i="1"/>
  <c r="AH192" i="1"/>
  <c r="AG192" i="1"/>
  <c r="AF192" i="1"/>
  <c r="D193" i="10" s="1"/>
  <c r="AD192" i="1"/>
  <c r="AE192" i="1" s="1"/>
  <c r="AL191" i="1"/>
  <c r="E192" i="10" s="1"/>
  <c r="L192" i="10" s="1"/>
  <c r="AK191" i="1"/>
  <c r="AJ191" i="1"/>
  <c r="AI191" i="1"/>
  <c r="AH191" i="1"/>
  <c r="AG191" i="1"/>
  <c r="AF191" i="1"/>
  <c r="D192" i="10" s="1"/>
  <c r="AD191" i="1"/>
  <c r="AE191" i="1" s="1"/>
  <c r="AK190" i="1"/>
  <c r="AL190" i="1" s="1"/>
  <c r="E191" i="10" s="1"/>
  <c r="L191" i="10" s="1"/>
  <c r="AJ190" i="1"/>
  <c r="AI190" i="1"/>
  <c r="AH190" i="1"/>
  <c r="AG190" i="1"/>
  <c r="AF190" i="1"/>
  <c r="D191" i="10" s="1"/>
  <c r="AK189" i="1"/>
  <c r="AL189" i="1" s="1"/>
  <c r="E190" i="10" s="1"/>
  <c r="AJ189" i="1"/>
  <c r="AI189" i="1"/>
  <c r="AH189" i="1"/>
  <c r="AG189" i="1"/>
  <c r="AF189" i="1"/>
  <c r="AK188" i="1"/>
  <c r="AL188" i="1" s="1"/>
  <c r="E189" i="10" s="1"/>
  <c r="L189" i="10" s="1"/>
  <c r="AJ188" i="1"/>
  <c r="AI188" i="1"/>
  <c r="AH188" i="1"/>
  <c r="AG188" i="1"/>
  <c r="AF188" i="1"/>
  <c r="AK187" i="1"/>
  <c r="AL187" i="1" s="1"/>
  <c r="E188" i="10" s="1"/>
  <c r="L188" i="10" s="1"/>
  <c r="AJ187" i="1"/>
  <c r="AI187" i="1"/>
  <c r="AH187" i="1"/>
  <c r="AG187" i="1"/>
  <c r="AF187" i="1"/>
  <c r="AL186" i="1"/>
  <c r="E187" i="10" s="1"/>
  <c r="L187" i="10" s="1"/>
  <c r="AK186" i="1"/>
  <c r="AJ186" i="1"/>
  <c r="AI186" i="1"/>
  <c r="AH186" i="1"/>
  <c r="AG186" i="1"/>
  <c r="AF186" i="1"/>
  <c r="D187" i="10" s="1"/>
  <c r="AL185" i="1"/>
  <c r="E186" i="10" s="1"/>
  <c r="AK185" i="1"/>
  <c r="AJ185" i="1"/>
  <c r="AI185" i="1"/>
  <c r="AH185" i="1"/>
  <c r="AG185" i="1"/>
  <c r="AF185" i="1"/>
  <c r="AL184" i="1"/>
  <c r="E185" i="10" s="1"/>
  <c r="L185" i="10" s="1"/>
  <c r="AK184" i="1"/>
  <c r="AJ184" i="1"/>
  <c r="AI184" i="1"/>
  <c r="AH184" i="1"/>
  <c r="AG184" i="1"/>
  <c r="AF184" i="1"/>
  <c r="D185" i="10" s="1"/>
  <c r="AE184" i="1"/>
  <c r="AD184" i="1"/>
  <c r="AL183" i="1"/>
  <c r="E184" i="10" s="1"/>
  <c r="L184" i="10" s="1"/>
  <c r="AK183" i="1"/>
  <c r="AJ183" i="1"/>
  <c r="AI183" i="1"/>
  <c r="AH183" i="1"/>
  <c r="AG183" i="1"/>
  <c r="AF183" i="1"/>
  <c r="D184" i="10" s="1"/>
  <c r="AK182" i="1"/>
  <c r="AL182" i="1" s="1"/>
  <c r="E183" i="10" s="1"/>
  <c r="L183" i="10" s="1"/>
  <c r="AJ182" i="1"/>
  <c r="AI182" i="1"/>
  <c r="AH182" i="1"/>
  <c r="AG182" i="1"/>
  <c r="AF182" i="1"/>
  <c r="D183" i="10" s="1"/>
  <c r="AL181" i="1"/>
  <c r="E182" i="10" s="1"/>
  <c r="AK181" i="1"/>
  <c r="AJ181" i="1"/>
  <c r="AI181" i="1"/>
  <c r="AH181" i="1"/>
  <c r="AG181" i="1"/>
  <c r="AF181" i="1"/>
  <c r="AL180" i="1"/>
  <c r="E181" i="10" s="1"/>
  <c r="L181" i="10" s="1"/>
  <c r="AK180" i="1"/>
  <c r="AJ180" i="1"/>
  <c r="AI180" i="1"/>
  <c r="AH180" i="1"/>
  <c r="AG180" i="1"/>
  <c r="AF180" i="1"/>
  <c r="AK179" i="1"/>
  <c r="AL179" i="1" s="1"/>
  <c r="E180" i="10" s="1"/>
  <c r="L180" i="10" s="1"/>
  <c r="AJ179" i="1"/>
  <c r="AI179" i="1"/>
  <c r="AH179" i="1"/>
  <c r="AG179" i="1"/>
  <c r="AF179" i="1"/>
  <c r="D180" i="10" s="1"/>
  <c r="AK178" i="1"/>
  <c r="AL178" i="1" s="1"/>
  <c r="E179" i="10" s="1"/>
  <c r="L179" i="10" s="1"/>
  <c r="AJ178" i="1"/>
  <c r="AI178" i="1"/>
  <c r="AH178" i="1"/>
  <c r="AG178" i="1"/>
  <c r="AF178" i="1"/>
  <c r="D179" i="10" s="1"/>
  <c r="AL177" i="1"/>
  <c r="E178" i="10" s="1"/>
  <c r="AK177" i="1"/>
  <c r="AJ177" i="1"/>
  <c r="AI177" i="1"/>
  <c r="AH177" i="1"/>
  <c r="AG177" i="1"/>
  <c r="AF177" i="1"/>
  <c r="AK176" i="1"/>
  <c r="AL176" i="1" s="1"/>
  <c r="E177" i="10" s="1"/>
  <c r="L177" i="10" s="1"/>
  <c r="AJ176" i="1"/>
  <c r="AI176" i="1"/>
  <c r="AH176" i="1"/>
  <c r="AG176" i="1"/>
  <c r="AF176" i="1"/>
  <c r="D177" i="10" s="1"/>
  <c r="AD176" i="1"/>
  <c r="AE176" i="1" s="1"/>
  <c r="AL175" i="1"/>
  <c r="E176" i="10" s="1"/>
  <c r="AK175" i="1"/>
  <c r="AJ175" i="1"/>
  <c r="AI175" i="1"/>
  <c r="AH175" i="1"/>
  <c r="AG175" i="1"/>
  <c r="AF175" i="1"/>
  <c r="D176" i="10" s="1"/>
  <c r="AD175" i="1"/>
  <c r="AE175" i="1" s="1"/>
  <c r="AK174" i="1"/>
  <c r="AL174" i="1" s="1"/>
  <c r="E175" i="10" s="1"/>
  <c r="AJ174" i="1"/>
  <c r="AI174" i="1"/>
  <c r="AH174" i="1"/>
  <c r="AG174" i="1"/>
  <c r="AF174" i="1"/>
  <c r="D175" i="10" s="1"/>
  <c r="AK173" i="1"/>
  <c r="AJ173" i="1"/>
  <c r="AI173" i="1"/>
  <c r="AH173" i="1"/>
  <c r="AG173" i="1"/>
  <c r="AF173" i="1"/>
  <c r="AK172" i="1"/>
  <c r="AL172" i="1" s="1"/>
  <c r="E173" i="10" s="1"/>
  <c r="L173" i="10" s="1"/>
  <c r="AJ172" i="1"/>
  <c r="AI172" i="1"/>
  <c r="AH172" i="1"/>
  <c r="AG172" i="1"/>
  <c r="AF172" i="1"/>
  <c r="AK171" i="1"/>
  <c r="AL171" i="1" s="1"/>
  <c r="E172" i="10" s="1"/>
  <c r="AJ171" i="1"/>
  <c r="AI171" i="1"/>
  <c r="AH171" i="1"/>
  <c r="AG171" i="1"/>
  <c r="AF171" i="1"/>
  <c r="D172" i="10" s="1"/>
  <c r="AL170" i="1"/>
  <c r="E171" i="10" s="1"/>
  <c r="AK170" i="1"/>
  <c r="AJ170" i="1"/>
  <c r="AI170" i="1"/>
  <c r="AH170" i="1"/>
  <c r="AG170" i="1"/>
  <c r="AF170" i="1"/>
  <c r="AL169" i="1"/>
  <c r="E170" i="10" s="1"/>
  <c r="L170" i="10" s="1"/>
  <c r="AK169" i="1"/>
  <c r="AJ169" i="1"/>
  <c r="AI169" i="1"/>
  <c r="AH169" i="1"/>
  <c r="AG169" i="1"/>
  <c r="AF169" i="1"/>
  <c r="D170" i="10" s="1"/>
  <c r="AD169" i="1"/>
  <c r="AE169" i="1" s="1"/>
  <c r="AL168" i="1"/>
  <c r="E169" i="10" s="1"/>
  <c r="AK168" i="1"/>
  <c r="AJ168" i="1"/>
  <c r="AI168" i="1"/>
  <c r="AH168" i="1"/>
  <c r="AG168" i="1"/>
  <c r="AF168" i="1"/>
  <c r="D169" i="10" s="1"/>
  <c r="AD168" i="1"/>
  <c r="AE168" i="1" s="1"/>
  <c r="AN167" i="1"/>
  <c r="AK167" i="1"/>
  <c r="AJ167" i="1"/>
  <c r="AI167" i="1"/>
  <c r="AH167" i="1"/>
  <c r="AG167" i="1"/>
  <c r="AF167" i="1"/>
  <c r="D168" i="10" s="1"/>
  <c r="AE167" i="1"/>
  <c r="AD167" i="1"/>
  <c r="AL166" i="1"/>
  <c r="E167" i="10" s="1"/>
  <c r="L167" i="10" s="1"/>
  <c r="AK166" i="1"/>
  <c r="AJ166" i="1"/>
  <c r="AI166" i="1"/>
  <c r="AH166" i="1"/>
  <c r="AG166" i="1"/>
  <c r="AF166" i="1"/>
  <c r="D167" i="10" s="1"/>
  <c r="AK165" i="1"/>
  <c r="AL165" i="1" s="1"/>
  <c r="E166" i="10" s="1"/>
  <c r="L166" i="10" s="1"/>
  <c r="AJ165" i="1"/>
  <c r="AI165" i="1"/>
  <c r="AH165" i="1"/>
  <c r="AG165" i="1"/>
  <c r="AF165" i="1"/>
  <c r="D166" i="10" s="1"/>
  <c r="AL164" i="1"/>
  <c r="E165" i="10" s="1"/>
  <c r="AK164" i="1"/>
  <c r="AJ164" i="1"/>
  <c r="AI164" i="1"/>
  <c r="AH164" i="1"/>
  <c r="AG164" i="1"/>
  <c r="AF164" i="1"/>
  <c r="AL163" i="1"/>
  <c r="E164" i="10" s="1"/>
  <c r="AK163" i="1"/>
  <c r="AJ163" i="1"/>
  <c r="AI163" i="1"/>
  <c r="AH163" i="1"/>
  <c r="AG163" i="1"/>
  <c r="AF163" i="1"/>
  <c r="AK162" i="1"/>
  <c r="AL162" i="1" s="1"/>
  <c r="E163" i="10" s="1"/>
  <c r="L163" i="10" s="1"/>
  <c r="AJ162" i="1"/>
  <c r="AI162" i="1"/>
  <c r="AH162" i="1"/>
  <c r="AG162" i="1"/>
  <c r="AF162" i="1"/>
  <c r="D163" i="10" s="1"/>
  <c r="AK161" i="1"/>
  <c r="AL161" i="1" s="1"/>
  <c r="E162" i="10" s="1"/>
  <c r="L162" i="10" s="1"/>
  <c r="AJ161" i="1"/>
  <c r="AI161" i="1"/>
  <c r="AH161" i="1"/>
  <c r="AG161" i="1"/>
  <c r="AF161" i="1"/>
  <c r="D162" i="10" s="1"/>
  <c r="AL160" i="1"/>
  <c r="E161" i="10" s="1"/>
  <c r="AK160" i="1"/>
  <c r="AJ160" i="1"/>
  <c r="AI160" i="1"/>
  <c r="AH160" i="1"/>
  <c r="AG160" i="1"/>
  <c r="AF160" i="1"/>
  <c r="AK159" i="1"/>
  <c r="AL159" i="1" s="1"/>
  <c r="E160" i="10" s="1"/>
  <c r="L160" i="10" s="1"/>
  <c r="AJ159" i="1"/>
  <c r="AI159" i="1"/>
  <c r="AH159" i="1"/>
  <c r="AG159" i="1"/>
  <c r="AF159" i="1"/>
  <c r="D160" i="10" s="1"/>
  <c r="AD159" i="1"/>
  <c r="AE159" i="1" s="1"/>
  <c r="AL158" i="1"/>
  <c r="E159" i="10" s="1"/>
  <c r="L159" i="10" s="1"/>
  <c r="AK158" i="1"/>
  <c r="AJ158" i="1"/>
  <c r="AI158" i="1"/>
  <c r="AH158" i="1"/>
  <c r="AG158" i="1"/>
  <c r="AF158" i="1"/>
  <c r="D159" i="10" s="1"/>
  <c r="AD158" i="1"/>
  <c r="AE158" i="1" s="1"/>
  <c r="AL157" i="1"/>
  <c r="E158" i="10" s="1"/>
  <c r="AK157" i="1"/>
  <c r="AJ157" i="1"/>
  <c r="AI157" i="1"/>
  <c r="AH157" i="1"/>
  <c r="AG157" i="1"/>
  <c r="AF157" i="1"/>
  <c r="D158" i="10" s="1"/>
  <c r="AL156" i="1"/>
  <c r="E157" i="10" s="1"/>
  <c r="AK156" i="1"/>
  <c r="AJ156" i="1"/>
  <c r="AI156" i="1"/>
  <c r="AH156" i="1"/>
  <c r="AG156" i="1"/>
  <c r="AF156" i="1"/>
  <c r="AL155" i="1"/>
  <c r="E156" i="10" s="1"/>
  <c r="AK155" i="1"/>
  <c r="AJ155" i="1"/>
  <c r="AI155" i="1"/>
  <c r="AH155" i="1"/>
  <c r="AG155" i="1"/>
  <c r="AF155" i="1"/>
  <c r="AK154" i="1"/>
  <c r="AL154" i="1" s="1"/>
  <c r="E155" i="10" s="1"/>
  <c r="L155" i="10" s="1"/>
  <c r="AJ154" i="1"/>
  <c r="AI154" i="1"/>
  <c r="AH154" i="1"/>
  <c r="AG154" i="1"/>
  <c r="AF154" i="1"/>
  <c r="D155" i="10" s="1"/>
  <c r="AK153" i="1"/>
  <c r="AL153" i="1" s="1"/>
  <c r="E154" i="10" s="1"/>
  <c r="L154" i="10" s="1"/>
  <c r="AJ153" i="1"/>
  <c r="AI153" i="1"/>
  <c r="AH153" i="1"/>
  <c r="AG153" i="1"/>
  <c r="AF153" i="1"/>
  <c r="D154" i="10" s="1"/>
  <c r="AL152" i="1"/>
  <c r="E153" i="10" s="1"/>
  <c r="AK152" i="1"/>
  <c r="AJ152" i="1"/>
  <c r="AI152" i="1"/>
  <c r="AH152" i="1"/>
  <c r="AG152" i="1"/>
  <c r="AF152" i="1"/>
  <c r="AK151" i="1"/>
  <c r="AL151" i="1" s="1"/>
  <c r="E152" i="10" s="1"/>
  <c r="L152" i="10" s="1"/>
  <c r="AJ151" i="1"/>
  <c r="AI151" i="1"/>
  <c r="AH151" i="1"/>
  <c r="AG151" i="1"/>
  <c r="AF151" i="1"/>
  <c r="D152" i="10" s="1"/>
  <c r="AD151" i="1"/>
  <c r="AE151" i="1" s="1"/>
  <c r="AL150" i="1"/>
  <c r="E151" i="10" s="1"/>
  <c r="L151" i="10" s="1"/>
  <c r="AK150" i="1"/>
  <c r="AJ150" i="1"/>
  <c r="AI150" i="1"/>
  <c r="AH150" i="1"/>
  <c r="AG150" i="1"/>
  <c r="AF150" i="1"/>
  <c r="D151" i="10" s="1"/>
  <c r="AD150" i="1"/>
  <c r="AE150" i="1" s="1"/>
  <c r="AK149" i="1"/>
  <c r="AL149" i="1" s="1"/>
  <c r="E150" i="10" s="1"/>
  <c r="L150" i="10" s="1"/>
  <c r="AJ149" i="1"/>
  <c r="AI149" i="1"/>
  <c r="AH149" i="1"/>
  <c r="AG149" i="1"/>
  <c r="AF149" i="1"/>
  <c r="D150" i="10" s="1"/>
  <c r="AK148" i="1"/>
  <c r="AL148" i="1" s="1"/>
  <c r="E149" i="10" s="1"/>
  <c r="AJ148" i="1"/>
  <c r="AI148" i="1"/>
  <c r="AH148" i="1"/>
  <c r="AG148" i="1"/>
  <c r="AF148" i="1"/>
  <c r="AK147" i="1"/>
  <c r="AL147" i="1" s="1"/>
  <c r="E148" i="10" s="1"/>
  <c r="L148" i="10" s="1"/>
  <c r="AJ147" i="1"/>
  <c r="AI147" i="1"/>
  <c r="AH147" i="1"/>
  <c r="AG147" i="1"/>
  <c r="AF147" i="1"/>
  <c r="D148" i="10" s="1"/>
  <c r="AD147" i="1"/>
  <c r="AE147" i="1" s="1"/>
  <c r="AL146" i="1"/>
  <c r="E147" i="10" s="1"/>
  <c r="L147" i="10" s="1"/>
  <c r="AK146" i="1"/>
  <c r="AJ146" i="1"/>
  <c r="AI146" i="1"/>
  <c r="AH146" i="1"/>
  <c r="AG146" i="1"/>
  <c r="AF146" i="1"/>
  <c r="D147" i="10" s="1"/>
  <c r="AD146" i="1"/>
  <c r="AE146" i="1" s="1"/>
  <c r="AK145" i="1"/>
  <c r="AL145" i="1" s="1"/>
  <c r="E146" i="10" s="1"/>
  <c r="L146" i="10" s="1"/>
  <c r="AJ145" i="1"/>
  <c r="AI145" i="1"/>
  <c r="AH145" i="1"/>
  <c r="AG145" i="1"/>
  <c r="AF145" i="1"/>
  <c r="D146" i="10" s="1"/>
  <c r="AK144" i="1"/>
  <c r="AL144" i="1" s="1"/>
  <c r="E145" i="10" s="1"/>
  <c r="AJ144" i="1"/>
  <c r="AI144" i="1"/>
  <c r="AH144" i="1"/>
  <c r="AG144" i="1"/>
  <c r="AF144" i="1"/>
  <c r="AK143" i="1"/>
  <c r="AL143" i="1" s="1"/>
  <c r="E144" i="10" s="1"/>
  <c r="L144" i="10" s="1"/>
  <c r="AJ143" i="1"/>
  <c r="AI143" i="1"/>
  <c r="AH143" i="1"/>
  <c r="AG143" i="1"/>
  <c r="AF143" i="1"/>
  <c r="D144" i="10" s="1"/>
  <c r="AL142" i="1"/>
  <c r="E143" i="10" s="1"/>
  <c r="L143" i="10" s="1"/>
  <c r="AK142" i="1"/>
  <c r="AJ142" i="1"/>
  <c r="AI142" i="1"/>
  <c r="AH142" i="1"/>
  <c r="AG142" i="1"/>
  <c r="AF142" i="1"/>
  <c r="D143" i="10" s="1"/>
  <c r="AL141" i="1"/>
  <c r="E142" i="10" s="1"/>
  <c r="AK141" i="1"/>
  <c r="AJ141" i="1"/>
  <c r="AI141" i="1"/>
  <c r="AH141" i="1"/>
  <c r="AG141" i="1"/>
  <c r="AF141" i="1"/>
  <c r="D142" i="10" s="1"/>
  <c r="AL140" i="1"/>
  <c r="E141" i="10" s="1"/>
  <c r="AK140" i="1"/>
  <c r="AJ140" i="1"/>
  <c r="AI140" i="1"/>
  <c r="AH140" i="1"/>
  <c r="AG140" i="1"/>
  <c r="AF140" i="1"/>
  <c r="AK139" i="1"/>
  <c r="AL139" i="1" s="1"/>
  <c r="E140" i="10" s="1"/>
  <c r="L140" i="10" s="1"/>
  <c r="AJ139" i="1"/>
  <c r="AI139" i="1"/>
  <c r="AH139" i="1"/>
  <c r="AG139" i="1"/>
  <c r="AF139" i="1"/>
  <c r="D140" i="10" s="1"/>
  <c r="AD139" i="1"/>
  <c r="AE139" i="1" s="1"/>
  <c r="AK138" i="1"/>
  <c r="AL138" i="1" s="1"/>
  <c r="E139" i="10" s="1"/>
  <c r="L139" i="10" s="1"/>
  <c r="AJ138" i="1"/>
  <c r="AI138" i="1"/>
  <c r="AH138" i="1"/>
  <c r="AG138" i="1"/>
  <c r="AF138" i="1"/>
  <c r="D139" i="10" s="1"/>
  <c r="AD138" i="1"/>
  <c r="AE138" i="1" s="1"/>
  <c r="AK137" i="1"/>
  <c r="AL137" i="1" s="1"/>
  <c r="E138" i="10" s="1"/>
  <c r="L138" i="10" s="1"/>
  <c r="AJ137" i="1"/>
  <c r="AI137" i="1"/>
  <c r="AH137" i="1"/>
  <c r="AG137" i="1"/>
  <c r="AF137" i="1"/>
  <c r="D138" i="10" s="1"/>
  <c r="AK136" i="1"/>
  <c r="AL136" i="1" s="1"/>
  <c r="E137" i="10" s="1"/>
  <c r="AJ136" i="1"/>
  <c r="AI136" i="1"/>
  <c r="AH136" i="1"/>
  <c r="AG136" i="1"/>
  <c r="AF136" i="1"/>
  <c r="AK135" i="1"/>
  <c r="AL135" i="1" s="1"/>
  <c r="E136" i="10" s="1"/>
  <c r="L136" i="10" s="1"/>
  <c r="AJ135" i="1"/>
  <c r="AI135" i="1"/>
  <c r="AH135" i="1"/>
  <c r="AG135" i="1"/>
  <c r="AF135" i="1"/>
  <c r="D136" i="10" s="1"/>
  <c r="AD135" i="1"/>
  <c r="AE135" i="1" s="1"/>
  <c r="AL134" i="1"/>
  <c r="E135" i="10" s="1"/>
  <c r="L135" i="10" s="1"/>
  <c r="AK134" i="1"/>
  <c r="AJ134" i="1"/>
  <c r="AI134" i="1"/>
  <c r="AH134" i="1"/>
  <c r="AG134" i="1"/>
  <c r="AF134" i="1"/>
  <c r="D135" i="10" s="1"/>
  <c r="AD134" i="1"/>
  <c r="AE134" i="1" s="1"/>
  <c r="AK133" i="1"/>
  <c r="AL133" i="1" s="1"/>
  <c r="E134" i="10" s="1"/>
  <c r="L134" i="10" s="1"/>
  <c r="AJ133" i="1"/>
  <c r="AI133" i="1"/>
  <c r="AH133" i="1"/>
  <c r="AG133" i="1"/>
  <c r="AF133" i="1"/>
  <c r="D134" i="10" s="1"/>
  <c r="AK132" i="1"/>
  <c r="AL132" i="1" s="1"/>
  <c r="E133" i="10" s="1"/>
  <c r="AJ132" i="1"/>
  <c r="AI132" i="1"/>
  <c r="AH132" i="1"/>
  <c r="AG132" i="1"/>
  <c r="AF132" i="1"/>
  <c r="AK131" i="1"/>
  <c r="AL131" i="1" s="1"/>
  <c r="E132" i="10" s="1"/>
  <c r="L132" i="10" s="1"/>
  <c r="AJ131" i="1"/>
  <c r="AI131" i="1"/>
  <c r="AH131" i="1"/>
  <c r="AG131" i="1"/>
  <c r="AF131" i="1"/>
  <c r="D132" i="10" s="1"/>
  <c r="AD131" i="1"/>
  <c r="AE131" i="1" s="1"/>
  <c r="AK130" i="1"/>
  <c r="AL130" i="1" s="1"/>
  <c r="E131" i="10" s="1"/>
  <c r="L131" i="10" s="1"/>
  <c r="AJ130" i="1"/>
  <c r="AI130" i="1"/>
  <c r="AH130" i="1"/>
  <c r="AG130" i="1"/>
  <c r="AF130" i="1"/>
  <c r="D131" i="10" s="1"/>
  <c r="AD130" i="1"/>
  <c r="AE130" i="1" s="1"/>
  <c r="AK129" i="1"/>
  <c r="AL129" i="1" s="1"/>
  <c r="E130" i="10" s="1"/>
  <c r="L130" i="10" s="1"/>
  <c r="AJ129" i="1"/>
  <c r="AI129" i="1"/>
  <c r="AH129" i="1"/>
  <c r="AG129" i="1"/>
  <c r="AF129" i="1"/>
  <c r="D130" i="10" s="1"/>
  <c r="AL128" i="1"/>
  <c r="E129" i="10" s="1"/>
  <c r="AK128" i="1"/>
  <c r="AJ128" i="1"/>
  <c r="AI128" i="1"/>
  <c r="AH128" i="1"/>
  <c r="AG128" i="1"/>
  <c r="AF128" i="1"/>
  <c r="AK127" i="1"/>
  <c r="AL127" i="1" s="1"/>
  <c r="E128" i="10" s="1"/>
  <c r="L128" i="10" s="1"/>
  <c r="AJ127" i="1"/>
  <c r="AI127" i="1"/>
  <c r="AH127" i="1"/>
  <c r="AG127" i="1"/>
  <c r="AF127" i="1"/>
  <c r="AK126" i="1"/>
  <c r="AL126" i="1" s="1"/>
  <c r="E127" i="10" s="1"/>
  <c r="L127" i="10" s="1"/>
  <c r="AJ126" i="1"/>
  <c r="AI126" i="1"/>
  <c r="AH126" i="1"/>
  <c r="AG126" i="1"/>
  <c r="AF126" i="1"/>
  <c r="AK125" i="1"/>
  <c r="AL125" i="1" s="1"/>
  <c r="E126" i="10" s="1"/>
  <c r="L126" i="10" s="1"/>
  <c r="AJ125" i="1"/>
  <c r="AI125" i="1"/>
  <c r="AH125" i="1"/>
  <c r="AG125" i="1"/>
  <c r="AF125" i="1"/>
  <c r="D126" i="10" s="1"/>
  <c r="AK124" i="1"/>
  <c r="AJ124" i="1"/>
  <c r="AI124" i="1"/>
  <c r="AH124" i="1"/>
  <c r="AG124" i="1"/>
  <c r="AF124" i="1"/>
  <c r="D125" i="10" s="1"/>
  <c r="AD124" i="1"/>
  <c r="AE124" i="1" s="1"/>
  <c r="AK123" i="1"/>
  <c r="AL123" i="1" s="1"/>
  <c r="E124" i="10" s="1"/>
  <c r="L124" i="10" s="1"/>
  <c r="AJ123" i="1"/>
  <c r="AI123" i="1"/>
  <c r="AH123" i="1"/>
  <c r="AG123" i="1"/>
  <c r="AF123" i="1"/>
  <c r="D124" i="10" s="1"/>
  <c r="AK122" i="1"/>
  <c r="AJ122" i="1"/>
  <c r="AI122" i="1"/>
  <c r="AH122" i="1"/>
  <c r="AG122" i="1"/>
  <c r="AF122" i="1"/>
  <c r="D123" i="10" s="1"/>
  <c r="AK121" i="1"/>
  <c r="AL121" i="1" s="1"/>
  <c r="E122" i="10" s="1"/>
  <c r="L122" i="10" s="1"/>
  <c r="AJ121" i="1"/>
  <c r="AI121" i="1"/>
  <c r="AH121" i="1"/>
  <c r="AG121" i="1"/>
  <c r="AF121" i="1"/>
  <c r="D122" i="10" s="1"/>
  <c r="AK120" i="1"/>
  <c r="AL120" i="1" s="1"/>
  <c r="AJ120" i="1"/>
  <c r="AI120" i="1"/>
  <c r="AH120" i="1"/>
  <c r="AG120" i="1"/>
  <c r="AF120" i="1"/>
  <c r="AK119" i="1"/>
  <c r="AL119" i="1" s="1"/>
  <c r="E120" i="10" s="1"/>
  <c r="L120" i="10" s="1"/>
  <c r="AJ119" i="1"/>
  <c r="AI119" i="1"/>
  <c r="AH119" i="1"/>
  <c r="AG119" i="1"/>
  <c r="AF119" i="1"/>
  <c r="D120" i="10" s="1"/>
  <c r="AD119" i="1"/>
  <c r="AE119" i="1" s="1"/>
  <c r="AK118" i="1"/>
  <c r="AL118" i="1" s="1"/>
  <c r="E119" i="10" s="1"/>
  <c r="L119" i="10" s="1"/>
  <c r="AJ118" i="1"/>
  <c r="AI118" i="1"/>
  <c r="AH118" i="1"/>
  <c r="AG118" i="1"/>
  <c r="AF118" i="1"/>
  <c r="D119" i="10" s="1"/>
  <c r="AD118" i="1"/>
  <c r="AE118" i="1" s="1"/>
  <c r="AK117" i="1"/>
  <c r="AL117" i="1" s="1"/>
  <c r="E118" i="10" s="1"/>
  <c r="L118" i="10" s="1"/>
  <c r="AJ117" i="1"/>
  <c r="AI117" i="1"/>
  <c r="AH117" i="1"/>
  <c r="AG117" i="1"/>
  <c r="AF117" i="1"/>
  <c r="D118" i="10" s="1"/>
  <c r="AK116" i="1"/>
  <c r="AL116" i="1" s="1"/>
  <c r="E117" i="10" s="1"/>
  <c r="L117" i="10" s="1"/>
  <c r="AJ116" i="1"/>
  <c r="AI116" i="1"/>
  <c r="AH116" i="1"/>
  <c r="AG116" i="1"/>
  <c r="AF116" i="1"/>
  <c r="AK115" i="1"/>
  <c r="AL115" i="1" s="1"/>
  <c r="E116" i="10" s="1"/>
  <c r="L116" i="10" s="1"/>
  <c r="AJ115" i="1"/>
  <c r="AI115" i="1"/>
  <c r="AH115" i="1"/>
  <c r="AG115" i="1"/>
  <c r="AF115" i="1"/>
  <c r="AK114" i="1"/>
  <c r="AL114" i="1" s="1"/>
  <c r="E115" i="10" s="1"/>
  <c r="L115" i="10" s="1"/>
  <c r="AJ114" i="1"/>
  <c r="AI114" i="1"/>
  <c r="AH114" i="1"/>
  <c r="AG114" i="1"/>
  <c r="AF114" i="1"/>
  <c r="AK113" i="1"/>
  <c r="AL113" i="1" s="1"/>
  <c r="E114" i="10" s="1"/>
  <c r="L114" i="10" s="1"/>
  <c r="AJ113" i="1"/>
  <c r="AI113" i="1"/>
  <c r="AH113" i="1"/>
  <c r="AG113" i="1"/>
  <c r="AF113" i="1"/>
  <c r="D114" i="10" s="1"/>
  <c r="AL112" i="1"/>
  <c r="E113" i="10" s="1"/>
  <c r="L113" i="10" s="1"/>
  <c r="AK112" i="1"/>
  <c r="AJ112" i="1"/>
  <c r="AI112" i="1"/>
  <c r="AH112" i="1"/>
  <c r="AG112" i="1"/>
  <c r="AF112" i="1"/>
  <c r="AK111" i="1"/>
  <c r="AL111" i="1" s="1"/>
  <c r="E112" i="10" s="1"/>
  <c r="L112" i="10" s="1"/>
  <c r="AJ111" i="1"/>
  <c r="AI111" i="1"/>
  <c r="AH111" i="1"/>
  <c r="AG111" i="1"/>
  <c r="AF111" i="1"/>
  <c r="D112" i="10" s="1"/>
  <c r="AK110" i="1"/>
  <c r="AL110" i="1" s="1"/>
  <c r="E111" i="10" s="1"/>
  <c r="L111" i="10" s="1"/>
  <c r="AJ110" i="1"/>
  <c r="AI110" i="1"/>
  <c r="AH110" i="1"/>
  <c r="AG110" i="1"/>
  <c r="AF110" i="1"/>
  <c r="D111" i="10" s="1"/>
  <c r="AD110" i="1"/>
  <c r="AE110" i="1" s="1"/>
  <c r="AK109" i="1"/>
  <c r="AL109" i="1" s="1"/>
  <c r="E110" i="10" s="1"/>
  <c r="L110" i="10" s="1"/>
  <c r="AJ109" i="1"/>
  <c r="AI109" i="1"/>
  <c r="AH109" i="1"/>
  <c r="AG109" i="1"/>
  <c r="AF109" i="1"/>
  <c r="D110" i="10" s="1"/>
  <c r="AK108" i="1"/>
  <c r="AL108" i="1" s="1"/>
  <c r="E109" i="10" s="1"/>
  <c r="L109" i="10" s="1"/>
  <c r="AJ108" i="1"/>
  <c r="AI108" i="1"/>
  <c r="AH108" i="1"/>
  <c r="AG108" i="1"/>
  <c r="AF108" i="1"/>
  <c r="AL107" i="1"/>
  <c r="E108" i="10" s="1"/>
  <c r="L108" i="10" s="1"/>
  <c r="AK107" i="1"/>
  <c r="AJ107" i="1"/>
  <c r="AI107" i="1"/>
  <c r="AH107" i="1"/>
  <c r="AG107" i="1"/>
  <c r="AF107" i="1"/>
  <c r="D108" i="10" s="1"/>
  <c r="AK106" i="1"/>
  <c r="AL106" i="1" s="1"/>
  <c r="E107" i="10" s="1"/>
  <c r="L107" i="10" s="1"/>
  <c r="AJ106" i="1"/>
  <c r="AI106" i="1"/>
  <c r="AH106" i="1"/>
  <c r="AG106" i="1"/>
  <c r="AF106" i="1"/>
  <c r="D107" i="10" s="1"/>
  <c r="AL105" i="1"/>
  <c r="E106" i="10" s="1"/>
  <c r="AK105" i="1"/>
  <c r="AJ105" i="1"/>
  <c r="AI105" i="1"/>
  <c r="AH105" i="1"/>
  <c r="AG105" i="1"/>
  <c r="AF105" i="1"/>
  <c r="AK104" i="1"/>
  <c r="AL104" i="1" s="1"/>
  <c r="E105" i="10" s="1"/>
  <c r="L105" i="10" s="1"/>
  <c r="AJ104" i="1"/>
  <c r="AI104" i="1"/>
  <c r="AH104" i="1"/>
  <c r="AG104" i="1"/>
  <c r="AF104" i="1"/>
  <c r="D105" i="10" s="1"/>
  <c r="AK103" i="1"/>
  <c r="AL103" i="1" s="1"/>
  <c r="E104" i="10" s="1"/>
  <c r="L104" i="10" s="1"/>
  <c r="AJ103" i="1"/>
  <c r="AI103" i="1"/>
  <c r="AH103" i="1"/>
  <c r="AG103" i="1"/>
  <c r="AF103" i="1"/>
  <c r="D104" i="10" s="1"/>
  <c r="AK102" i="1"/>
  <c r="AL102" i="1" s="1"/>
  <c r="E103" i="10" s="1"/>
  <c r="L103" i="10" s="1"/>
  <c r="AJ102" i="1"/>
  <c r="AI102" i="1"/>
  <c r="AH102" i="1"/>
  <c r="AG102" i="1"/>
  <c r="AF102" i="1"/>
  <c r="D103" i="10" s="1"/>
  <c r="AL101" i="1"/>
  <c r="E102" i="10" s="1"/>
  <c r="AK101" i="1"/>
  <c r="AJ101" i="1"/>
  <c r="AI101" i="1"/>
  <c r="AH101" i="1"/>
  <c r="AG101" i="1"/>
  <c r="AF101" i="1"/>
  <c r="AK100" i="1"/>
  <c r="AL100" i="1" s="1"/>
  <c r="E101" i="10" s="1"/>
  <c r="L101" i="10" s="1"/>
  <c r="AJ100" i="1"/>
  <c r="AI100" i="1"/>
  <c r="AH100" i="1"/>
  <c r="AG100" i="1"/>
  <c r="AF100" i="1"/>
  <c r="AK99" i="1"/>
  <c r="AL99" i="1" s="1"/>
  <c r="E100" i="10" s="1"/>
  <c r="L100" i="10" s="1"/>
  <c r="AJ99" i="1"/>
  <c r="AI99" i="1"/>
  <c r="AH99" i="1"/>
  <c r="AG99" i="1"/>
  <c r="AF99" i="1"/>
  <c r="D100" i="10" s="1"/>
  <c r="AK98" i="1"/>
  <c r="AL98" i="1" s="1"/>
  <c r="E99" i="10" s="1"/>
  <c r="L99" i="10" s="1"/>
  <c r="AJ98" i="1"/>
  <c r="AI98" i="1"/>
  <c r="AH98" i="1"/>
  <c r="AG98" i="1"/>
  <c r="AF98" i="1"/>
  <c r="D99" i="10" s="1"/>
  <c r="AL97" i="1"/>
  <c r="E98" i="10" s="1"/>
  <c r="AK97" i="1"/>
  <c r="AJ97" i="1"/>
  <c r="AI97" i="1"/>
  <c r="AH97" i="1"/>
  <c r="AG97" i="1"/>
  <c r="AF97" i="1"/>
  <c r="AK96" i="1"/>
  <c r="AL96" i="1" s="1"/>
  <c r="E97" i="10" s="1"/>
  <c r="L97" i="10" s="1"/>
  <c r="AJ96" i="1"/>
  <c r="AI96" i="1"/>
  <c r="AH96" i="1"/>
  <c r="AG96" i="1"/>
  <c r="AF96" i="1"/>
  <c r="D97" i="10" s="1"/>
  <c r="AK95" i="1"/>
  <c r="AL95" i="1" s="1"/>
  <c r="E96" i="10" s="1"/>
  <c r="L96" i="10" s="1"/>
  <c r="AJ95" i="1"/>
  <c r="AI95" i="1"/>
  <c r="AH95" i="1"/>
  <c r="AG95" i="1"/>
  <c r="AF95" i="1"/>
  <c r="D96" i="10" s="1"/>
  <c r="AD95" i="1"/>
  <c r="AE95" i="1" s="1"/>
  <c r="AK94" i="1"/>
  <c r="AO94" i="1" s="1"/>
  <c r="AJ94" i="1"/>
  <c r="AI94" i="1"/>
  <c r="AH94" i="1"/>
  <c r="AG94" i="1"/>
  <c r="AF94" i="1"/>
  <c r="AL93" i="1"/>
  <c r="E94" i="10" s="1"/>
  <c r="L94" i="10" s="1"/>
  <c r="AK93" i="1"/>
  <c r="AJ93" i="1"/>
  <c r="AI93" i="1"/>
  <c r="AH93" i="1"/>
  <c r="AG93" i="1"/>
  <c r="AF93" i="1"/>
  <c r="D94" i="10" s="1"/>
  <c r="AL92" i="1"/>
  <c r="E93" i="10" s="1"/>
  <c r="L93" i="10" s="1"/>
  <c r="AK92" i="1"/>
  <c r="AJ92" i="1"/>
  <c r="AI92" i="1"/>
  <c r="AH92" i="1"/>
  <c r="AG92" i="1"/>
  <c r="AF92" i="1"/>
  <c r="D93" i="10" s="1"/>
  <c r="AD92" i="1"/>
  <c r="AE92" i="1" s="1"/>
  <c r="AL91" i="1"/>
  <c r="E92" i="10" s="1"/>
  <c r="AK91" i="1"/>
  <c r="AJ91" i="1"/>
  <c r="AI91" i="1"/>
  <c r="AH91" i="1"/>
  <c r="AG91" i="1"/>
  <c r="AF91" i="1"/>
  <c r="D92" i="10" s="1"/>
  <c r="AK90" i="1"/>
  <c r="AL90" i="1" s="1"/>
  <c r="E91" i="10" s="1"/>
  <c r="AJ90" i="1"/>
  <c r="AI90" i="1"/>
  <c r="AH90" i="1"/>
  <c r="AG90" i="1"/>
  <c r="AF90" i="1"/>
  <c r="AL89" i="1"/>
  <c r="E90" i="10" s="1"/>
  <c r="L90" i="10" s="1"/>
  <c r="AK89" i="1"/>
  <c r="AJ89" i="1"/>
  <c r="AI89" i="1"/>
  <c r="AH89" i="1"/>
  <c r="AG89" i="1"/>
  <c r="AF89" i="1"/>
  <c r="D90" i="10" s="1"/>
  <c r="AK88" i="1"/>
  <c r="AL88" i="1" s="1"/>
  <c r="E89" i="10" s="1"/>
  <c r="L89" i="10" s="1"/>
  <c r="AJ88" i="1"/>
  <c r="AI88" i="1"/>
  <c r="AH88" i="1"/>
  <c r="AG88" i="1"/>
  <c r="AF88" i="1"/>
  <c r="D89" i="10" s="1"/>
  <c r="AN87" i="1"/>
  <c r="AK87" i="1"/>
  <c r="AJ87" i="1"/>
  <c r="AI87" i="1"/>
  <c r="AH87" i="1"/>
  <c r="AG87" i="1"/>
  <c r="AF87" i="1"/>
  <c r="D88" i="10" s="1"/>
  <c r="AK86" i="1"/>
  <c r="AL86" i="1" s="1"/>
  <c r="E87" i="10" s="1"/>
  <c r="L87" i="10" s="1"/>
  <c r="AJ86" i="1"/>
  <c r="AI86" i="1"/>
  <c r="AH86" i="1"/>
  <c r="AG86" i="1"/>
  <c r="AF86" i="1"/>
  <c r="D87" i="10" s="1"/>
  <c r="AD86" i="1"/>
  <c r="AE86" i="1" s="1"/>
  <c r="AK85" i="1"/>
  <c r="AL85" i="1" s="1"/>
  <c r="E86" i="10" s="1"/>
  <c r="L86" i="10" s="1"/>
  <c r="AJ85" i="1"/>
  <c r="AI85" i="1"/>
  <c r="AH85" i="1"/>
  <c r="AG85" i="1"/>
  <c r="AF85" i="1"/>
  <c r="D86" i="10" s="1"/>
  <c r="AK84" i="1"/>
  <c r="AL84" i="1" s="1"/>
  <c r="E85" i="10" s="1"/>
  <c r="AJ84" i="1"/>
  <c r="AI84" i="1"/>
  <c r="AH84" i="1"/>
  <c r="AG84" i="1"/>
  <c r="AF84" i="1"/>
  <c r="AK83" i="1"/>
  <c r="AL83" i="1" s="1"/>
  <c r="E84" i="10" s="1"/>
  <c r="L84" i="10" s="1"/>
  <c r="AJ83" i="1"/>
  <c r="AI83" i="1"/>
  <c r="AH83" i="1"/>
  <c r="AG83" i="1"/>
  <c r="AF83" i="1"/>
  <c r="D84" i="10" s="1"/>
  <c r="AD83" i="1"/>
  <c r="AE83" i="1" s="1"/>
  <c r="AL82" i="1"/>
  <c r="E83" i="10" s="1"/>
  <c r="L83" i="10" s="1"/>
  <c r="AK82" i="1"/>
  <c r="AJ82" i="1"/>
  <c r="AI82" i="1"/>
  <c r="AH82" i="1"/>
  <c r="AG82" i="1"/>
  <c r="AF82" i="1"/>
  <c r="D83" i="10" s="1"/>
  <c r="AD82" i="1"/>
  <c r="AE82" i="1" s="1"/>
  <c r="AK81" i="1"/>
  <c r="AL81" i="1" s="1"/>
  <c r="E82" i="10" s="1"/>
  <c r="L82" i="10" s="1"/>
  <c r="AJ81" i="1"/>
  <c r="AI81" i="1"/>
  <c r="AH81" i="1"/>
  <c r="AG81" i="1"/>
  <c r="AF81" i="1"/>
  <c r="D82" i="10" s="1"/>
  <c r="AL80" i="1"/>
  <c r="E81" i="10" s="1"/>
  <c r="AK80" i="1"/>
  <c r="AJ80" i="1"/>
  <c r="AI80" i="1"/>
  <c r="AH80" i="1"/>
  <c r="AG80" i="1"/>
  <c r="AF80" i="1"/>
  <c r="AL79" i="1"/>
  <c r="E80" i="10" s="1"/>
  <c r="L80" i="10" s="1"/>
  <c r="AK79" i="1"/>
  <c r="AJ79" i="1"/>
  <c r="AI79" i="1"/>
  <c r="AH79" i="1"/>
  <c r="AG79" i="1"/>
  <c r="AF79" i="1"/>
  <c r="D80" i="10" s="1"/>
  <c r="AL78" i="1"/>
  <c r="E79" i="10" s="1"/>
  <c r="L79" i="10" s="1"/>
  <c r="AK78" i="1"/>
  <c r="AJ78" i="1"/>
  <c r="AI78" i="1"/>
  <c r="AH78" i="1"/>
  <c r="AG78" i="1"/>
  <c r="AF78" i="1"/>
  <c r="D79" i="10" s="1"/>
  <c r="AL77" i="1"/>
  <c r="E78" i="10" s="1"/>
  <c r="AK77" i="1"/>
  <c r="AJ77" i="1"/>
  <c r="AI77" i="1"/>
  <c r="AH77" i="1"/>
  <c r="AG77" i="1"/>
  <c r="AF77" i="1"/>
  <c r="D78" i="10" s="1"/>
  <c r="AL76" i="1"/>
  <c r="E77" i="10" s="1"/>
  <c r="AK76" i="1"/>
  <c r="AJ76" i="1"/>
  <c r="AI76" i="1"/>
  <c r="AH76" i="1"/>
  <c r="AG76" i="1"/>
  <c r="AF76" i="1"/>
  <c r="AL75" i="1"/>
  <c r="E76" i="10" s="1"/>
  <c r="L76" i="10" s="1"/>
  <c r="AK75" i="1"/>
  <c r="AJ75" i="1"/>
  <c r="AI75" i="1"/>
  <c r="AH75" i="1"/>
  <c r="AG75" i="1"/>
  <c r="AF75" i="1"/>
  <c r="D76" i="10" s="1"/>
  <c r="AD75" i="1"/>
  <c r="AE75" i="1" s="1"/>
  <c r="AN74" i="1"/>
  <c r="AK74" i="1"/>
  <c r="AO74" i="1" s="1"/>
  <c r="AJ74" i="1"/>
  <c r="AI74" i="1"/>
  <c r="AH74" i="1"/>
  <c r="AG74" i="1"/>
  <c r="AF74" i="1"/>
  <c r="AK73" i="1"/>
  <c r="AL73" i="1" s="1"/>
  <c r="E74" i="10" s="1"/>
  <c r="L74" i="10" s="1"/>
  <c r="AJ73" i="1"/>
  <c r="AI73" i="1"/>
  <c r="AH73" i="1"/>
  <c r="AG73" i="1"/>
  <c r="AF73" i="1"/>
  <c r="D74" i="10" s="1"/>
  <c r="AK72" i="1"/>
  <c r="AL72" i="1" s="1"/>
  <c r="E73" i="10" s="1"/>
  <c r="L73" i="10" s="1"/>
  <c r="AJ72" i="1"/>
  <c r="AI72" i="1"/>
  <c r="AH72" i="1"/>
  <c r="AG72" i="1"/>
  <c r="AF72" i="1"/>
  <c r="D73" i="10" s="1"/>
  <c r="AK71" i="1"/>
  <c r="AL71" i="1" s="1"/>
  <c r="E72" i="10" s="1"/>
  <c r="L72" i="10" s="1"/>
  <c r="AJ71" i="1"/>
  <c r="AI71" i="1"/>
  <c r="AH71" i="1"/>
  <c r="AG71" i="1"/>
  <c r="AF71" i="1"/>
  <c r="D72" i="10" s="1"/>
  <c r="AL70" i="1"/>
  <c r="E71" i="10" s="1"/>
  <c r="AK70" i="1"/>
  <c r="AJ70" i="1"/>
  <c r="AI70" i="1"/>
  <c r="AH70" i="1"/>
  <c r="AG70" i="1"/>
  <c r="AF70" i="1"/>
  <c r="AK69" i="1"/>
  <c r="AL69" i="1" s="1"/>
  <c r="E70" i="10" s="1"/>
  <c r="L70" i="10" s="1"/>
  <c r="AJ69" i="1"/>
  <c r="AI69" i="1"/>
  <c r="AH69" i="1"/>
  <c r="AG69" i="1"/>
  <c r="AF69" i="1"/>
  <c r="D70" i="10" s="1"/>
  <c r="AK68" i="1"/>
  <c r="AL68" i="1" s="1"/>
  <c r="E69" i="10" s="1"/>
  <c r="L69" i="10" s="1"/>
  <c r="AJ68" i="1"/>
  <c r="AI68" i="1"/>
  <c r="AH68" i="1"/>
  <c r="AG68" i="1"/>
  <c r="AF68" i="1"/>
  <c r="D69" i="10" s="1"/>
  <c r="AD68" i="1"/>
  <c r="AE68" i="1" s="1"/>
  <c r="AK67" i="1"/>
  <c r="AL67" i="1" s="1"/>
  <c r="E68" i="10" s="1"/>
  <c r="L68" i="10" s="1"/>
  <c r="AJ67" i="1"/>
  <c r="AI67" i="1"/>
  <c r="AH67" i="1"/>
  <c r="AG67" i="1"/>
  <c r="AF67" i="1"/>
  <c r="D68" i="10" s="1"/>
  <c r="AK66" i="1"/>
  <c r="AJ66" i="1"/>
  <c r="AI66" i="1"/>
  <c r="AH66" i="1"/>
  <c r="AG66" i="1"/>
  <c r="AF66" i="1"/>
  <c r="D67" i="10" s="1"/>
  <c r="AD66" i="1"/>
  <c r="AE66" i="1" s="1"/>
  <c r="AK65" i="1"/>
  <c r="AL65" i="1" s="1"/>
  <c r="E66" i="10" s="1"/>
  <c r="L66" i="10" s="1"/>
  <c r="AJ65" i="1"/>
  <c r="AI65" i="1"/>
  <c r="AH65" i="1"/>
  <c r="AG65" i="1"/>
  <c r="AF65" i="1"/>
  <c r="D66" i="10" s="1"/>
  <c r="AD65" i="1"/>
  <c r="AE65" i="1" s="1"/>
  <c r="AK64" i="1"/>
  <c r="AL64" i="1" s="1"/>
  <c r="E65" i="10" s="1"/>
  <c r="L65" i="10" s="1"/>
  <c r="AJ64" i="1"/>
  <c r="AI64" i="1"/>
  <c r="AH64" i="1"/>
  <c r="AG64" i="1"/>
  <c r="AF64" i="1"/>
  <c r="D65" i="10" s="1"/>
  <c r="AK63" i="1"/>
  <c r="AL63" i="1" s="1"/>
  <c r="E64" i="10" s="1"/>
  <c r="AJ63" i="1"/>
  <c r="AI63" i="1"/>
  <c r="AH63" i="1"/>
  <c r="AG63" i="1"/>
  <c r="AF63" i="1"/>
  <c r="AK62" i="1"/>
  <c r="AL62" i="1" s="1"/>
  <c r="E63" i="10" s="1"/>
  <c r="L63" i="10" s="1"/>
  <c r="AJ62" i="1"/>
  <c r="AI62" i="1"/>
  <c r="AH62" i="1"/>
  <c r="AG62" i="1"/>
  <c r="AF62" i="1"/>
  <c r="D63" i="10" s="1"/>
  <c r="AK61" i="1"/>
  <c r="AL61" i="1" s="1"/>
  <c r="E62" i="10" s="1"/>
  <c r="L62" i="10" s="1"/>
  <c r="AJ61" i="1"/>
  <c r="AI61" i="1"/>
  <c r="AH61" i="1"/>
  <c r="AG61" i="1"/>
  <c r="AF61" i="1"/>
  <c r="D62" i="10" s="1"/>
  <c r="AK60" i="1"/>
  <c r="AL60" i="1" s="1"/>
  <c r="E61" i="10" s="1"/>
  <c r="L61" i="10" s="1"/>
  <c r="AJ60" i="1"/>
  <c r="AI60" i="1"/>
  <c r="AH60" i="1"/>
  <c r="AG60" i="1"/>
  <c r="AF60" i="1"/>
  <c r="D61" i="10" s="1"/>
  <c r="AL59" i="1"/>
  <c r="E60" i="10" s="1"/>
  <c r="AK59" i="1"/>
  <c r="AJ59" i="1"/>
  <c r="AI59" i="1"/>
  <c r="AH59" i="1"/>
  <c r="AG59" i="1"/>
  <c r="AF59" i="1"/>
  <c r="AK58" i="1"/>
  <c r="AL58" i="1" s="1"/>
  <c r="E59" i="10" s="1"/>
  <c r="L59" i="10" s="1"/>
  <c r="AJ58" i="1"/>
  <c r="AI58" i="1"/>
  <c r="AH58" i="1"/>
  <c r="AG58" i="1"/>
  <c r="AF58" i="1"/>
  <c r="D59" i="10" s="1"/>
  <c r="AK57" i="1"/>
  <c r="AL57" i="1" s="1"/>
  <c r="E58" i="10" s="1"/>
  <c r="L58" i="10" s="1"/>
  <c r="AJ57" i="1"/>
  <c r="AI57" i="1"/>
  <c r="AH57" i="1"/>
  <c r="AG57" i="1"/>
  <c r="AF57" i="1"/>
  <c r="D58" i="10" s="1"/>
  <c r="AD57" i="1"/>
  <c r="AE57" i="1" s="1"/>
  <c r="AK56" i="1"/>
  <c r="AL56" i="1" s="1"/>
  <c r="E57" i="10" s="1"/>
  <c r="L57" i="10" s="1"/>
  <c r="AJ56" i="1"/>
  <c r="AI56" i="1"/>
  <c r="AH56" i="1"/>
  <c r="AG56" i="1"/>
  <c r="AF56" i="1"/>
  <c r="D57" i="10" s="1"/>
  <c r="AK55" i="1"/>
  <c r="AL55" i="1" s="1"/>
  <c r="E56" i="10" s="1"/>
  <c r="AJ55" i="1"/>
  <c r="AI55" i="1"/>
  <c r="AH55" i="1"/>
  <c r="AG55" i="1"/>
  <c r="AF55" i="1"/>
  <c r="AK54" i="1"/>
  <c r="AL54" i="1" s="1"/>
  <c r="E55" i="10" s="1"/>
  <c r="L55" i="10" s="1"/>
  <c r="AJ54" i="1"/>
  <c r="AI54" i="1"/>
  <c r="AH54" i="1"/>
  <c r="AG54" i="1"/>
  <c r="AF54" i="1"/>
  <c r="D55" i="10" s="1"/>
  <c r="AD54" i="1"/>
  <c r="AE54" i="1" s="1"/>
  <c r="AL53" i="1"/>
  <c r="E54" i="10" s="1"/>
  <c r="L54" i="10" s="1"/>
  <c r="AK53" i="1"/>
  <c r="AJ53" i="1"/>
  <c r="AI53" i="1"/>
  <c r="AH53" i="1"/>
  <c r="AG53" i="1"/>
  <c r="AF53" i="1"/>
  <c r="D54" i="10" s="1"/>
  <c r="AD53" i="1"/>
  <c r="AE53" i="1" s="1"/>
  <c r="AK52" i="1"/>
  <c r="AL52" i="1" s="1"/>
  <c r="E53" i="10" s="1"/>
  <c r="L53" i="10" s="1"/>
  <c r="AJ52" i="1"/>
  <c r="AI52" i="1"/>
  <c r="AH52" i="1"/>
  <c r="AG52" i="1"/>
  <c r="AF52" i="1"/>
  <c r="D53" i="10" s="1"/>
  <c r="AK51" i="1"/>
  <c r="AL51" i="1" s="1"/>
  <c r="E52" i="10" s="1"/>
  <c r="AJ51" i="1"/>
  <c r="AI51" i="1"/>
  <c r="AH51" i="1"/>
  <c r="AG51" i="1"/>
  <c r="AF51" i="1"/>
  <c r="AL50" i="1"/>
  <c r="E51" i="10" s="1"/>
  <c r="AK50" i="1"/>
  <c r="AJ50" i="1"/>
  <c r="AI50" i="1"/>
  <c r="AH50" i="1"/>
  <c r="AG50" i="1"/>
  <c r="AF50" i="1"/>
  <c r="D51" i="10" s="1"/>
  <c r="AK49" i="1"/>
  <c r="AL49" i="1" s="1"/>
  <c r="E50" i="10" s="1"/>
  <c r="L50" i="10" s="1"/>
  <c r="AJ49" i="1"/>
  <c r="AI49" i="1"/>
  <c r="AH49" i="1"/>
  <c r="AG49" i="1"/>
  <c r="AF49" i="1"/>
  <c r="D50" i="10" s="1"/>
  <c r="AK48" i="1"/>
  <c r="AL48" i="1" s="1"/>
  <c r="E49" i="10" s="1"/>
  <c r="L49" i="10" s="1"/>
  <c r="AJ48" i="1"/>
  <c r="AI48" i="1"/>
  <c r="AH48" i="1"/>
  <c r="AG48" i="1"/>
  <c r="AF48" i="1"/>
  <c r="D49" i="10" s="1"/>
  <c r="AL47" i="1"/>
  <c r="E48" i="10" s="1"/>
  <c r="AK47" i="1"/>
  <c r="AJ47" i="1"/>
  <c r="AI47" i="1"/>
  <c r="AH47" i="1"/>
  <c r="AG47" i="1"/>
  <c r="AF47" i="1"/>
  <c r="AK46" i="1"/>
  <c r="AL46" i="1" s="1"/>
  <c r="E47" i="10" s="1"/>
  <c r="L47" i="10" s="1"/>
  <c r="AJ46" i="1"/>
  <c r="AI46" i="1"/>
  <c r="AH46" i="1"/>
  <c r="AG46" i="1"/>
  <c r="AF46" i="1"/>
  <c r="D47" i="10" s="1"/>
  <c r="AK45" i="1"/>
  <c r="AL45" i="1" s="1"/>
  <c r="E46" i="10" s="1"/>
  <c r="L46" i="10" s="1"/>
  <c r="AJ45" i="1"/>
  <c r="AI45" i="1"/>
  <c r="AH45" i="1"/>
  <c r="AG45" i="1"/>
  <c r="AF45" i="1"/>
  <c r="D46" i="10" s="1"/>
  <c r="AD45" i="1"/>
  <c r="AE45" i="1" s="1"/>
  <c r="AK44" i="1"/>
  <c r="AL44" i="1" s="1"/>
  <c r="E45" i="10" s="1"/>
  <c r="L45" i="10" s="1"/>
  <c r="AJ44" i="1"/>
  <c r="AI44" i="1"/>
  <c r="AH44" i="1"/>
  <c r="AG44" i="1"/>
  <c r="AF44" i="1"/>
  <c r="D45" i="10" s="1"/>
  <c r="AK43" i="1"/>
  <c r="AL43" i="1" s="1"/>
  <c r="E44" i="10" s="1"/>
  <c r="AJ43" i="1"/>
  <c r="AI43" i="1"/>
  <c r="AH43" i="1"/>
  <c r="AG43" i="1"/>
  <c r="AF43" i="1"/>
  <c r="AK42" i="1"/>
  <c r="AL42" i="1" s="1"/>
  <c r="E43" i="10" s="1"/>
  <c r="L43" i="10" s="1"/>
  <c r="AJ42" i="1"/>
  <c r="AI42" i="1"/>
  <c r="AH42" i="1"/>
  <c r="AG42" i="1"/>
  <c r="AF42" i="1"/>
  <c r="D43" i="10" s="1"/>
  <c r="AD42" i="1"/>
  <c r="AE42" i="1" s="1"/>
  <c r="AL41" i="1"/>
  <c r="E42" i="10" s="1"/>
  <c r="L42" i="10" s="1"/>
  <c r="AK41" i="1"/>
  <c r="AJ41" i="1"/>
  <c r="AI41" i="1"/>
  <c r="AH41" i="1"/>
  <c r="AG41" i="1"/>
  <c r="AF41" i="1"/>
  <c r="D42" i="10" s="1"/>
  <c r="AD41" i="1"/>
  <c r="AE41" i="1" s="1"/>
  <c r="AL40" i="1"/>
  <c r="E41" i="10" s="1"/>
  <c r="L41" i="10" s="1"/>
  <c r="AK40" i="1"/>
  <c r="AJ40" i="1"/>
  <c r="AI40" i="1"/>
  <c r="AH40" i="1"/>
  <c r="AG40" i="1"/>
  <c r="AF40" i="1"/>
  <c r="D41" i="10" s="1"/>
  <c r="AL39" i="1"/>
  <c r="E40" i="10" s="1"/>
  <c r="AK39" i="1"/>
  <c r="AJ39" i="1"/>
  <c r="AI39" i="1"/>
  <c r="AH39" i="1"/>
  <c r="AG39" i="1"/>
  <c r="AF39" i="1"/>
  <c r="AK38" i="1"/>
  <c r="AL38" i="1" s="1"/>
  <c r="E39" i="10" s="1"/>
  <c r="L39" i="10" s="1"/>
  <c r="AJ38" i="1"/>
  <c r="AI38" i="1"/>
  <c r="AH38" i="1"/>
  <c r="AG38" i="1"/>
  <c r="AF38" i="1"/>
  <c r="D39" i="10" s="1"/>
  <c r="AK37" i="1"/>
  <c r="AL37" i="1" s="1"/>
  <c r="E38" i="10" s="1"/>
  <c r="L38" i="10" s="1"/>
  <c r="AJ37" i="1"/>
  <c r="AI37" i="1"/>
  <c r="AH37" i="1"/>
  <c r="AG37" i="1"/>
  <c r="AF37" i="1"/>
  <c r="D38" i="10" s="1"/>
  <c r="AK36" i="1"/>
  <c r="AL36" i="1" s="1"/>
  <c r="E37" i="10" s="1"/>
  <c r="L37" i="10" s="1"/>
  <c r="AJ36" i="1"/>
  <c r="AI36" i="1"/>
  <c r="AH36" i="1"/>
  <c r="AG36" i="1"/>
  <c r="AF36" i="1"/>
  <c r="D37" i="10" s="1"/>
  <c r="AL35" i="1"/>
  <c r="E36" i="10" s="1"/>
  <c r="AK35" i="1"/>
  <c r="AJ35" i="1"/>
  <c r="AI35" i="1"/>
  <c r="AH35" i="1"/>
  <c r="AG35" i="1"/>
  <c r="AF35" i="1"/>
  <c r="AK34" i="1"/>
  <c r="AL34" i="1" s="1"/>
  <c r="E35" i="10" s="1"/>
  <c r="L35" i="10" s="1"/>
  <c r="AJ34" i="1"/>
  <c r="AI34" i="1"/>
  <c r="AH34" i="1"/>
  <c r="AG34" i="1"/>
  <c r="AF34" i="1"/>
  <c r="D35" i="10" s="1"/>
  <c r="AK33" i="1"/>
  <c r="AL33" i="1" s="1"/>
  <c r="E34" i="10" s="1"/>
  <c r="L34" i="10" s="1"/>
  <c r="AJ33" i="1"/>
  <c r="AI33" i="1"/>
  <c r="AH33" i="1"/>
  <c r="AG33" i="1"/>
  <c r="AF33" i="1"/>
  <c r="D34" i="10" s="1"/>
  <c r="AK32" i="1"/>
  <c r="AL32" i="1" s="1"/>
  <c r="E33" i="10" s="1"/>
  <c r="AJ32" i="1"/>
  <c r="AI32" i="1"/>
  <c r="AH32" i="1"/>
  <c r="AG32" i="1"/>
  <c r="AF32" i="1"/>
  <c r="AK31" i="1"/>
  <c r="AL31" i="1" s="1"/>
  <c r="E32" i="10" s="1"/>
  <c r="L32" i="10" s="1"/>
  <c r="AJ31" i="1"/>
  <c r="AI31" i="1"/>
  <c r="AH31" i="1"/>
  <c r="AG31" i="1"/>
  <c r="AF31" i="1"/>
  <c r="D32" i="10" s="1"/>
  <c r="AD31" i="1"/>
  <c r="AE31" i="1" s="1"/>
  <c r="AL30" i="1"/>
  <c r="E31" i="10" s="1"/>
  <c r="L31" i="10" s="1"/>
  <c r="AK30" i="1"/>
  <c r="AJ30" i="1"/>
  <c r="AI30" i="1"/>
  <c r="AH30" i="1"/>
  <c r="AG30" i="1"/>
  <c r="AF30" i="1"/>
  <c r="D31" i="10" s="1"/>
  <c r="AD30" i="1"/>
  <c r="AE30" i="1" s="1"/>
  <c r="AK29" i="1"/>
  <c r="AL29" i="1" s="1"/>
  <c r="E30" i="10" s="1"/>
  <c r="L30" i="10" s="1"/>
  <c r="AJ29" i="1"/>
  <c r="AI29" i="1"/>
  <c r="AH29" i="1"/>
  <c r="AG29" i="1"/>
  <c r="AF29" i="1"/>
  <c r="D30" i="10" s="1"/>
  <c r="AL28" i="1"/>
  <c r="E29" i="10" s="1"/>
  <c r="AK28" i="1"/>
  <c r="AJ28" i="1"/>
  <c r="AI28" i="1"/>
  <c r="AH28" i="1"/>
  <c r="AG28" i="1"/>
  <c r="AF28" i="1"/>
  <c r="AL27" i="1"/>
  <c r="E28" i="10" s="1"/>
  <c r="AK27" i="1"/>
  <c r="AJ27" i="1"/>
  <c r="AI27" i="1"/>
  <c r="AH27" i="1"/>
  <c r="AG27" i="1"/>
  <c r="AF27" i="1"/>
  <c r="D28" i="10" s="1"/>
  <c r="AM26" i="1"/>
  <c r="AO26" i="1" s="1"/>
  <c r="AK26" i="1"/>
  <c r="AL26" i="1" s="1"/>
  <c r="E27" i="10" s="1"/>
  <c r="AJ26" i="1"/>
  <c r="AI26" i="1"/>
  <c r="AH26" i="1"/>
  <c r="AG26" i="1"/>
  <c r="AF26" i="1"/>
  <c r="AM25" i="1"/>
  <c r="AK25" i="1"/>
  <c r="AJ25" i="1"/>
  <c r="AI25" i="1"/>
  <c r="AH25" i="1"/>
  <c r="AG25" i="1"/>
  <c r="AF25" i="1"/>
  <c r="D26" i="10" s="1"/>
  <c r="AK24" i="1"/>
  <c r="AL24" i="1" s="1"/>
  <c r="E25" i="10" s="1"/>
  <c r="AJ24" i="1"/>
  <c r="AI24" i="1"/>
  <c r="AH24" i="1"/>
  <c r="AG24" i="1"/>
  <c r="AF24" i="1"/>
  <c r="AK23" i="1"/>
  <c r="AL23" i="1" s="1"/>
  <c r="E24" i="10" s="1"/>
  <c r="L24" i="10" s="1"/>
  <c r="AJ23" i="1"/>
  <c r="AI23" i="1"/>
  <c r="AH23" i="1"/>
  <c r="AG23" i="1"/>
  <c r="AF23" i="1"/>
  <c r="D24" i="10" s="1"/>
  <c r="AK22" i="1"/>
  <c r="AL22" i="1" s="1"/>
  <c r="E23" i="10" s="1"/>
  <c r="L23" i="10" s="1"/>
  <c r="AJ22" i="1"/>
  <c r="AI22" i="1"/>
  <c r="AH22" i="1"/>
  <c r="AG22" i="1"/>
  <c r="AF22" i="1"/>
  <c r="D23" i="10" s="1"/>
  <c r="AK21" i="1"/>
  <c r="AL21" i="1" s="1"/>
  <c r="E22" i="10" s="1"/>
  <c r="L22" i="10" s="1"/>
  <c r="AJ21" i="1"/>
  <c r="AI21" i="1"/>
  <c r="AH21" i="1"/>
  <c r="AG21" i="1"/>
  <c r="AF21" i="1"/>
  <c r="D22" i="10" s="1"/>
  <c r="AL20" i="1"/>
  <c r="E21" i="10" s="1"/>
  <c r="AK20" i="1"/>
  <c r="AJ20" i="1"/>
  <c r="AI20" i="1"/>
  <c r="AH20" i="1"/>
  <c r="AG20" i="1"/>
  <c r="AF20" i="1"/>
  <c r="AK19" i="1"/>
  <c r="AL19" i="1" s="1"/>
  <c r="E20" i="10" s="1"/>
  <c r="L20" i="10" s="1"/>
  <c r="AJ19" i="1"/>
  <c r="AI19" i="1"/>
  <c r="AH19" i="1"/>
  <c r="AG19" i="1"/>
  <c r="AF19" i="1"/>
  <c r="D20" i="10" s="1"/>
  <c r="AK18" i="1"/>
  <c r="AL18" i="1" s="1"/>
  <c r="E19" i="10" s="1"/>
  <c r="L19" i="10" s="1"/>
  <c r="AJ18" i="1"/>
  <c r="AI18" i="1"/>
  <c r="AH18" i="1"/>
  <c r="AG18" i="1"/>
  <c r="AF18" i="1"/>
  <c r="D19" i="10" s="1"/>
  <c r="AK17" i="1"/>
  <c r="AL17" i="1" s="1"/>
  <c r="E18" i="10" s="1"/>
  <c r="L18" i="10" s="1"/>
  <c r="AJ17" i="1"/>
  <c r="AI17" i="1"/>
  <c r="AH17" i="1"/>
  <c r="AG17" i="1"/>
  <c r="AF17" i="1"/>
  <c r="D18" i="10" s="1"/>
  <c r="AK16" i="1"/>
  <c r="AL16" i="1" s="1"/>
  <c r="E17" i="10" s="1"/>
  <c r="L17" i="10" s="1"/>
  <c r="AJ16" i="1"/>
  <c r="AI16" i="1"/>
  <c r="AH16" i="1"/>
  <c r="AG16" i="1"/>
  <c r="AF16" i="1"/>
  <c r="AK15" i="1"/>
  <c r="AL15" i="1" s="1"/>
  <c r="E16" i="10" s="1"/>
  <c r="L16" i="10" s="1"/>
  <c r="AJ15" i="1"/>
  <c r="AI15" i="1"/>
  <c r="AH15" i="1"/>
  <c r="AG15" i="1"/>
  <c r="AF15" i="1"/>
  <c r="D16" i="10" s="1"/>
  <c r="AD15" i="1"/>
  <c r="AE15" i="1" s="1"/>
  <c r="AK14" i="1"/>
  <c r="AL14" i="1" s="1"/>
  <c r="E15" i="10" s="1"/>
  <c r="L15" i="10" s="1"/>
  <c r="AJ14" i="1"/>
  <c r="AI14" i="1"/>
  <c r="AH14" i="1"/>
  <c r="AG14" i="1"/>
  <c r="AF14" i="1"/>
  <c r="D15" i="10" s="1"/>
  <c r="AD14" i="1"/>
  <c r="AE14" i="1" s="1"/>
  <c r="AK13" i="1"/>
  <c r="AL13" i="1" s="1"/>
  <c r="E14" i="10" s="1"/>
  <c r="L14" i="10" s="1"/>
  <c r="AJ13" i="1"/>
  <c r="AI13" i="1"/>
  <c r="AH13" i="1"/>
  <c r="AG13" i="1"/>
  <c r="AF13" i="1"/>
  <c r="AK12" i="1"/>
  <c r="AL12" i="1" s="1"/>
  <c r="E13" i="10" s="1"/>
  <c r="L13" i="10" s="1"/>
  <c r="AJ12" i="1"/>
  <c r="AI12" i="1"/>
  <c r="AH12" i="1"/>
  <c r="AG12" i="1"/>
  <c r="AF12" i="1"/>
  <c r="AK11" i="1"/>
  <c r="AL11" i="1" s="1"/>
  <c r="E12" i="10" s="1"/>
  <c r="L12" i="10" s="1"/>
  <c r="AJ11" i="1"/>
  <c r="AI11" i="1"/>
  <c r="AH11" i="1"/>
  <c r="AG11" i="1"/>
  <c r="AF11" i="1"/>
  <c r="D12" i="10" s="1"/>
  <c r="AD11" i="1"/>
  <c r="AE11" i="1" s="1"/>
  <c r="AL10" i="1"/>
  <c r="E11" i="10" s="1"/>
  <c r="L11" i="10" s="1"/>
  <c r="AK10" i="1"/>
  <c r="AJ10" i="1"/>
  <c r="AI10" i="1"/>
  <c r="AH10" i="1"/>
  <c r="AG10" i="1"/>
  <c r="AF10" i="1"/>
  <c r="D11" i="10" s="1"/>
  <c r="AD10" i="1"/>
  <c r="AE10" i="1" s="1"/>
  <c r="AK9" i="1"/>
  <c r="AL9" i="1" s="1"/>
  <c r="E10" i="10" s="1"/>
  <c r="L10" i="10" s="1"/>
  <c r="AJ9" i="1"/>
  <c r="AI9" i="1"/>
  <c r="AH9" i="1"/>
  <c r="AG9" i="1"/>
  <c r="AF9" i="1"/>
  <c r="AK8" i="1"/>
  <c r="AL8" i="1" s="1"/>
  <c r="E9" i="10" s="1"/>
  <c r="L9" i="10" s="1"/>
  <c r="AJ8" i="1"/>
  <c r="AI8" i="1"/>
  <c r="AH8" i="1"/>
  <c r="AG8" i="1"/>
  <c r="AF8" i="1"/>
  <c r="D9" i="10" s="1"/>
  <c r="AK7" i="1"/>
  <c r="AL7" i="1" s="1"/>
  <c r="E8" i="10" s="1"/>
  <c r="L8" i="10" s="1"/>
  <c r="AJ7" i="1"/>
  <c r="AI7" i="1"/>
  <c r="AH7" i="1"/>
  <c r="AG7" i="1"/>
  <c r="AF7" i="1"/>
  <c r="D8" i="10" s="1"/>
  <c r="AD7" i="1"/>
  <c r="AE7" i="1" s="1"/>
  <c r="AK6" i="1"/>
  <c r="AL6" i="1" s="1"/>
  <c r="E7" i="10" s="1"/>
  <c r="L7" i="10" s="1"/>
  <c r="AJ6" i="1"/>
  <c r="AI6" i="1"/>
  <c r="AH6" i="1"/>
  <c r="AG6" i="1"/>
  <c r="AF6" i="1"/>
  <c r="D7" i="10" s="1"/>
  <c r="AD6" i="1"/>
  <c r="AE6" i="1" s="1"/>
  <c r="AK5" i="1"/>
  <c r="AL5" i="1" s="1"/>
  <c r="E6" i="10" s="1"/>
  <c r="L6" i="10" s="1"/>
  <c r="AJ5" i="1"/>
  <c r="AI5" i="1"/>
  <c r="AH5" i="1"/>
  <c r="AG5" i="1"/>
  <c r="AF5" i="1"/>
  <c r="AK4" i="1"/>
  <c r="AL4" i="1" s="1"/>
  <c r="E5" i="10" s="1"/>
  <c r="L5" i="10" s="1"/>
  <c r="AJ4" i="1"/>
  <c r="AI4" i="1"/>
  <c r="AH4" i="1"/>
  <c r="AG4" i="1"/>
  <c r="AF4" i="1"/>
  <c r="D5" i="10" s="1"/>
  <c r="AD4" i="1"/>
  <c r="AE4" i="1" s="1"/>
  <c r="AK3" i="1"/>
  <c r="AL3" i="1" s="1"/>
  <c r="E4" i="10" s="1"/>
  <c r="L4" i="10" s="1"/>
  <c r="AJ3" i="1"/>
  <c r="AI3" i="1"/>
  <c r="AH3" i="1"/>
  <c r="AG3" i="1"/>
  <c r="AF3" i="1"/>
  <c r="D4" i="10" s="1"/>
  <c r="AD3" i="1"/>
  <c r="AE3" i="1" s="1"/>
  <c r="AL2" i="1"/>
  <c r="E3" i="10" s="1"/>
  <c r="L3" i="10" s="1"/>
  <c r="AK2" i="1"/>
  <c r="AJ2" i="1"/>
  <c r="AI2" i="1"/>
  <c r="AH2" i="1"/>
  <c r="AG2" i="1"/>
  <c r="AF2" i="1"/>
  <c r="D3" i="10" s="1"/>
  <c r="E121" i="10" l="1"/>
  <c r="L121" i="10" s="1"/>
  <c r="AO123" i="1"/>
  <c r="D174" i="10"/>
  <c r="AD173" i="1"/>
  <c r="AE173" i="1" s="1"/>
  <c r="AL215" i="1"/>
  <c r="E216" i="10" s="1"/>
  <c r="L216" i="10" s="1"/>
  <c r="AO215" i="1"/>
  <c r="D299" i="10"/>
  <c r="AD287" i="1"/>
  <c r="AE287" i="1" s="1"/>
  <c r="D403" i="10"/>
  <c r="AD391" i="1"/>
  <c r="AE391" i="1" s="1"/>
  <c r="AL74" i="1"/>
  <c r="E75" i="10" s="1"/>
  <c r="AL94" i="1"/>
  <c r="E95" i="10" s="1"/>
  <c r="D173" i="10"/>
  <c r="AD172" i="1"/>
  <c r="AE172" i="1" s="1"/>
  <c r="D189" i="10"/>
  <c r="AD188" i="1"/>
  <c r="AE188" i="1" s="1"/>
  <c r="D205" i="10"/>
  <c r="AD204" i="1"/>
  <c r="AE204" i="1" s="1"/>
  <c r="D236" i="10"/>
  <c r="AD224" i="1"/>
  <c r="AE224" i="1" s="1"/>
  <c r="D252" i="10"/>
  <c r="AD240" i="1"/>
  <c r="AE240" i="1" s="1"/>
  <c r="D265" i="10"/>
  <c r="AD253" i="1"/>
  <c r="AE253" i="1" s="1"/>
  <c r="D267" i="10"/>
  <c r="AD255" i="1"/>
  <c r="AE255" i="1" s="1"/>
  <c r="D283" i="10"/>
  <c r="AD271" i="1"/>
  <c r="AE271" i="1" s="1"/>
  <c r="D298" i="10"/>
  <c r="AD286" i="1"/>
  <c r="AE286" i="1" s="1"/>
  <c r="D302" i="10"/>
  <c r="AD290" i="1"/>
  <c r="AE290" i="1" s="1"/>
  <c r="AO293" i="1"/>
  <c r="AL293" i="1"/>
  <c r="E305" i="10" s="1"/>
  <c r="L305" i="10" s="1"/>
  <c r="D328" i="10"/>
  <c r="AD316" i="1"/>
  <c r="AE316" i="1" s="1"/>
  <c r="D368" i="10"/>
  <c r="AD356" i="1"/>
  <c r="AE356" i="1" s="1"/>
  <c r="D101" i="10"/>
  <c r="AD100" i="1"/>
  <c r="AE100" i="1" s="1"/>
  <c r="D388" i="10"/>
  <c r="AD376" i="1"/>
  <c r="AE376" i="1" s="1"/>
  <c r="AO439" i="1"/>
  <c r="AL439" i="1"/>
  <c r="AO33" i="1"/>
  <c r="AD27" i="1"/>
  <c r="AE27" i="1" s="1"/>
  <c r="AD34" i="1"/>
  <c r="AE34" i="1" s="1"/>
  <c r="AD46" i="1"/>
  <c r="AE46" i="1" s="1"/>
  <c r="AD58" i="1"/>
  <c r="AE58" i="1" s="1"/>
  <c r="AD69" i="1"/>
  <c r="AE69" i="1" s="1"/>
  <c r="AD87" i="1"/>
  <c r="AE87" i="1" s="1"/>
  <c r="AD93" i="1"/>
  <c r="AE93" i="1" s="1"/>
  <c r="AD96" i="1"/>
  <c r="AE96" i="1" s="1"/>
  <c r="AD104" i="1"/>
  <c r="AE104" i="1" s="1"/>
  <c r="AO121" i="1"/>
  <c r="D188" i="10"/>
  <c r="AD187" i="1"/>
  <c r="AE187" i="1" s="1"/>
  <c r="D204" i="10"/>
  <c r="AD203" i="1"/>
  <c r="AE203" i="1" s="1"/>
  <c r="D217" i="10"/>
  <c r="AD216" i="1"/>
  <c r="AE216" i="1" s="1"/>
  <c r="D282" i="10"/>
  <c r="AD270" i="1"/>
  <c r="AE270" i="1" s="1"/>
  <c r="D295" i="10"/>
  <c r="AD283" i="1"/>
  <c r="AE283" i="1" s="1"/>
  <c r="D313" i="10"/>
  <c r="AD301" i="1"/>
  <c r="AE301" i="1" s="1"/>
  <c r="D327" i="10"/>
  <c r="AD315" i="1"/>
  <c r="AE315" i="1" s="1"/>
  <c r="D348" i="10"/>
  <c r="AD336" i="1"/>
  <c r="AE336" i="1" s="1"/>
  <c r="D360" i="10"/>
  <c r="AD348" i="1"/>
  <c r="AE348" i="1" s="1"/>
  <c r="D389" i="10"/>
  <c r="AD377" i="1"/>
  <c r="AE377" i="1" s="1"/>
  <c r="D396" i="10"/>
  <c r="AD384" i="1"/>
  <c r="AE384" i="1" s="1"/>
  <c r="D404" i="10"/>
  <c r="AD392" i="1"/>
  <c r="AE392" i="1" s="1"/>
  <c r="D416" i="10"/>
  <c r="AD404" i="1"/>
  <c r="AE404" i="1" s="1"/>
  <c r="D239" i="10"/>
  <c r="AD227" i="1"/>
  <c r="AE227" i="1" s="1"/>
  <c r="D305" i="10"/>
  <c r="AD293" i="1"/>
  <c r="AE293" i="1" s="1"/>
  <c r="D395" i="10"/>
  <c r="AD383" i="1"/>
  <c r="AE383" i="1" s="1"/>
  <c r="D415" i="10"/>
  <c r="AD403" i="1"/>
  <c r="AE403" i="1" s="1"/>
  <c r="AD18" i="1"/>
  <c r="AE18" i="1" s="1"/>
  <c r="AD19" i="1"/>
  <c r="AE19" i="1" s="1"/>
  <c r="AD22" i="1"/>
  <c r="AE22" i="1" s="1"/>
  <c r="AD23" i="1"/>
  <c r="AE23" i="1" s="1"/>
  <c r="AO25" i="1"/>
  <c r="AD37" i="1"/>
  <c r="AE37" i="1" s="1"/>
  <c r="AD38" i="1"/>
  <c r="AE38" i="1" s="1"/>
  <c r="AD49" i="1"/>
  <c r="AE49" i="1" s="1"/>
  <c r="AD50" i="1"/>
  <c r="AE50" i="1" s="1"/>
  <c r="AD61" i="1"/>
  <c r="AE61" i="1" s="1"/>
  <c r="AD62" i="1"/>
  <c r="AE62" i="1" s="1"/>
  <c r="AD72" i="1"/>
  <c r="AE72" i="1" s="1"/>
  <c r="AD73" i="1"/>
  <c r="AE73" i="1" s="1"/>
  <c r="AD78" i="1"/>
  <c r="AE78" i="1" s="1"/>
  <c r="AD79" i="1"/>
  <c r="AE79" i="1" s="1"/>
  <c r="AD88" i="1"/>
  <c r="AE88" i="1" s="1"/>
  <c r="AD89" i="1"/>
  <c r="AE89" i="1" s="1"/>
  <c r="AD99" i="1"/>
  <c r="AE99" i="1" s="1"/>
  <c r="AD103" i="1"/>
  <c r="AE103" i="1" s="1"/>
  <c r="AD107" i="1"/>
  <c r="AE107" i="1" s="1"/>
  <c r="AD111" i="1"/>
  <c r="AE111" i="1" s="1"/>
  <c r="D115" i="10"/>
  <c r="AD114" i="1"/>
  <c r="AE114" i="1" s="1"/>
  <c r="D116" i="10"/>
  <c r="AD115" i="1"/>
  <c r="AE115" i="1" s="1"/>
  <c r="AD122" i="1"/>
  <c r="AE122" i="1" s="1"/>
  <c r="D127" i="10"/>
  <c r="AD126" i="1"/>
  <c r="AE126" i="1" s="1"/>
  <c r="D128" i="10"/>
  <c r="AD127" i="1"/>
  <c r="AE127" i="1" s="1"/>
  <c r="AD142" i="1"/>
  <c r="AE142" i="1" s="1"/>
  <c r="AD143" i="1"/>
  <c r="AE143" i="1" s="1"/>
  <c r="D156" i="10"/>
  <c r="AD155" i="1"/>
  <c r="AE155" i="1" s="1"/>
  <c r="D164" i="10"/>
  <c r="AD163" i="1"/>
  <c r="AE163" i="1" s="1"/>
  <c r="AD166" i="1"/>
  <c r="AE166" i="1" s="1"/>
  <c r="D181" i="10"/>
  <c r="AD180" i="1"/>
  <c r="AE180" i="1" s="1"/>
  <c r="AD183" i="1"/>
  <c r="AE183" i="1" s="1"/>
  <c r="D201" i="10"/>
  <c r="AD200" i="1"/>
  <c r="AE200" i="1" s="1"/>
  <c r="D207" i="10"/>
  <c r="AD206" i="1"/>
  <c r="AE206" i="1" s="1"/>
  <c r="AL207" i="1"/>
  <c r="E208" i="10" s="1"/>
  <c r="D210" i="10"/>
  <c r="AD209" i="1"/>
  <c r="AE209" i="1" s="1"/>
  <c r="AD212" i="1"/>
  <c r="AE212" i="1" s="1"/>
  <c r="D240" i="10"/>
  <c r="AD228" i="1"/>
  <c r="AE228" i="1" s="1"/>
  <c r="D259" i="10"/>
  <c r="AD247" i="1"/>
  <c r="AE247" i="1" s="1"/>
  <c r="D260" i="10"/>
  <c r="AD248" i="1"/>
  <c r="AE248" i="1" s="1"/>
  <c r="D264" i="10"/>
  <c r="AD252" i="1"/>
  <c r="AE252" i="1" s="1"/>
  <c r="D266" i="10"/>
  <c r="AD254" i="1"/>
  <c r="AE254" i="1" s="1"/>
  <c r="D279" i="10"/>
  <c r="AD267" i="1"/>
  <c r="AE267" i="1" s="1"/>
  <c r="AO288" i="1"/>
  <c r="D312" i="10"/>
  <c r="AD300" i="1"/>
  <c r="AE300" i="1" s="1"/>
  <c r="D324" i="10"/>
  <c r="AD312" i="1"/>
  <c r="AE312" i="1" s="1"/>
  <c r="D346" i="10"/>
  <c r="AD334" i="1"/>
  <c r="AE334" i="1" s="1"/>
  <c r="AL339" i="1"/>
  <c r="E351" i="10" s="1"/>
  <c r="D357" i="10"/>
  <c r="AD345" i="1"/>
  <c r="AE345" i="1" s="1"/>
  <c r="D369" i="10"/>
  <c r="AD357" i="1"/>
  <c r="AE357" i="1" s="1"/>
  <c r="AD154" i="1"/>
  <c r="AE154" i="1" s="1"/>
  <c r="AD162" i="1"/>
  <c r="AE162" i="1" s="1"/>
  <c r="AD179" i="1"/>
  <c r="AE179" i="1" s="1"/>
  <c r="AD199" i="1"/>
  <c r="AE199" i="1" s="1"/>
  <c r="AD208" i="1"/>
  <c r="AE208" i="1" s="1"/>
  <c r="AD223" i="1"/>
  <c r="AE223" i="1" s="1"/>
  <c r="AD239" i="1"/>
  <c r="AE239" i="1" s="1"/>
  <c r="AD251" i="1"/>
  <c r="AE251" i="1" s="1"/>
  <c r="AD349" i="1"/>
  <c r="AE349" i="1" s="1"/>
  <c r="D149" i="10"/>
  <c r="AD148" i="1"/>
  <c r="AE148" i="1" s="1"/>
  <c r="AL167" i="1"/>
  <c r="E168" i="10" s="1"/>
  <c r="L168" i="10" s="1"/>
  <c r="AO167" i="1"/>
  <c r="D178" i="10"/>
  <c r="AD177" i="1"/>
  <c r="AE177" i="1" s="1"/>
  <c r="D106" i="10"/>
  <c r="AD105" i="1"/>
  <c r="AE105" i="1" s="1"/>
  <c r="D133" i="10"/>
  <c r="AD132" i="1"/>
  <c r="AE132" i="1" s="1"/>
  <c r="D14" i="10"/>
  <c r="AD13" i="1"/>
  <c r="AE13" i="1" s="1"/>
  <c r="D85" i="10"/>
  <c r="AD84" i="1"/>
  <c r="AE84" i="1" s="1"/>
  <c r="D161" i="10"/>
  <c r="AD160" i="1"/>
  <c r="AE160" i="1" s="1"/>
  <c r="AL173" i="1"/>
  <c r="E174" i="10" s="1"/>
  <c r="L174" i="10" s="1"/>
  <c r="AO173" i="1"/>
  <c r="D6" i="10"/>
  <c r="AD5" i="1"/>
  <c r="AE5" i="1" s="1"/>
  <c r="AD8" i="1"/>
  <c r="AE8" i="1" s="1"/>
  <c r="D13" i="10"/>
  <c r="AD12" i="1"/>
  <c r="AE12" i="1" s="1"/>
  <c r="D17" i="10"/>
  <c r="AD16" i="1"/>
  <c r="AE16" i="1" s="1"/>
  <c r="D21" i="10"/>
  <c r="AD20" i="1"/>
  <c r="AE20" i="1" s="1"/>
  <c r="D36" i="10"/>
  <c r="AD35" i="1"/>
  <c r="AE35" i="1" s="1"/>
  <c r="D56" i="10"/>
  <c r="AD55" i="1"/>
  <c r="AE55" i="1" s="1"/>
  <c r="D64" i="10"/>
  <c r="AD63" i="1"/>
  <c r="AE63" i="1" s="1"/>
  <c r="AL87" i="1"/>
  <c r="E88" i="10" s="1"/>
  <c r="L88" i="10" s="1"/>
  <c r="AO87" i="1"/>
  <c r="D102" i="10"/>
  <c r="AD101" i="1"/>
  <c r="AE101" i="1" s="1"/>
  <c r="D109" i="10"/>
  <c r="AD108" i="1"/>
  <c r="AE108" i="1" s="1"/>
  <c r="D117" i="10"/>
  <c r="AD116" i="1"/>
  <c r="AE116" i="1" s="1"/>
  <c r="AL122" i="1"/>
  <c r="E123" i="10" s="1"/>
  <c r="L123" i="10" s="1"/>
  <c r="AO122" i="1"/>
  <c r="AL124" i="1"/>
  <c r="E125" i="10" s="1"/>
  <c r="L125" i="10" s="1"/>
  <c r="AO124" i="1"/>
  <c r="D129" i="10"/>
  <c r="AD128" i="1"/>
  <c r="AE128" i="1" s="1"/>
  <c r="D137" i="10"/>
  <c r="AD136" i="1"/>
  <c r="AE136" i="1" s="1"/>
  <c r="D157" i="10"/>
  <c r="AD156" i="1"/>
  <c r="AE156" i="1" s="1"/>
  <c r="D190" i="10"/>
  <c r="AD189" i="1"/>
  <c r="AE189" i="1" s="1"/>
  <c r="D29" i="10"/>
  <c r="AD28" i="1"/>
  <c r="AE28" i="1" s="1"/>
  <c r="D48" i="10"/>
  <c r="AD47" i="1"/>
  <c r="AE47" i="1" s="1"/>
  <c r="D75" i="10"/>
  <c r="AD74" i="1"/>
  <c r="AE74" i="1" s="1"/>
  <c r="D91" i="10"/>
  <c r="AD90" i="1"/>
  <c r="AE90" i="1" s="1"/>
  <c r="D95" i="10"/>
  <c r="AD94" i="1"/>
  <c r="AE94" i="1" s="1"/>
  <c r="AD2" i="1"/>
  <c r="AE2" i="1" s="1"/>
  <c r="D10" i="10"/>
  <c r="AD9" i="1"/>
  <c r="AE9" i="1" s="1"/>
  <c r="D27" i="10"/>
  <c r="AD26" i="1"/>
  <c r="AE26" i="1" s="1"/>
  <c r="D33" i="10"/>
  <c r="AD32" i="1"/>
  <c r="AE32" i="1" s="1"/>
  <c r="D44" i="10"/>
  <c r="AD43" i="1"/>
  <c r="AE43" i="1" s="1"/>
  <c r="AL66" i="1"/>
  <c r="E67" i="10" s="1"/>
  <c r="L67" i="10" s="1"/>
  <c r="AO66" i="1"/>
  <c r="D71" i="10"/>
  <c r="AD70" i="1"/>
  <c r="AE70" i="1" s="1"/>
  <c r="D77" i="10"/>
  <c r="AD76" i="1"/>
  <c r="AE76" i="1" s="1"/>
  <c r="D81" i="10"/>
  <c r="AD80" i="1"/>
  <c r="AE80" i="1" s="1"/>
  <c r="D145" i="10"/>
  <c r="AD144" i="1"/>
  <c r="AE144" i="1" s="1"/>
  <c r="D153" i="10"/>
  <c r="AD152" i="1"/>
  <c r="AE152" i="1" s="1"/>
  <c r="D186" i="10"/>
  <c r="AD185" i="1"/>
  <c r="AE185" i="1" s="1"/>
  <c r="E297" i="10"/>
  <c r="L297" i="10" s="1"/>
  <c r="AO327" i="1"/>
  <c r="AG33" i="2"/>
  <c r="AG66" i="2"/>
  <c r="AG207" i="2"/>
  <c r="D25" i="10"/>
  <c r="AD24" i="1"/>
  <c r="AE24" i="1" s="1"/>
  <c r="D40" i="10"/>
  <c r="AD39" i="1"/>
  <c r="AE39" i="1" s="1"/>
  <c r="D52" i="10"/>
  <c r="AD51" i="1"/>
  <c r="AE51" i="1" s="1"/>
  <c r="D60" i="10"/>
  <c r="AD59" i="1"/>
  <c r="AE59" i="1" s="1"/>
  <c r="D98" i="10"/>
  <c r="AD97" i="1"/>
  <c r="AE97" i="1" s="1"/>
  <c r="D113" i="10"/>
  <c r="AD112" i="1"/>
  <c r="AE112" i="1" s="1"/>
  <c r="D121" i="10"/>
  <c r="AD120" i="1"/>
  <c r="AE120" i="1" s="1"/>
  <c r="D141" i="10"/>
  <c r="AD140" i="1"/>
  <c r="AE140" i="1" s="1"/>
  <c r="D165" i="10"/>
  <c r="AD164" i="1"/>
  <c r="AE164" i="1" s="1"/>
  <c r="D171" i="10"/>
  <c r="AD170" i="1"/>
  <c r="AE170" i="1" s="1"/>
  <c r="D182" i="10"/>
  <c r="AD181" i="1"/>
  <c r="AE181" i="1" s="1"/>
  <c r="D194" i="10"/>
  <c r="AD193" i="1"/>
  <c r="AE193" i="1" s="1"/>
  <c r="L242" i="10"/>
  <c r="L21" i="10"/>
  <c r="L25" i="10"/>
  <c r="L27" i="10"/>
  <c r="L33" i="10"/>
  <c r="L36" i="10"/>
  <c r="L40" i="10"/>
  <c r="L44" i="10"/>
  <c r="L52" i="10"/>
  <c r="L56" i="10"/>
  <c r="L64" i="10"/>
  <c r="L75" i="10"/>
  <c r="L81" i="10"/>
  <c r="L91" i="10"/>
  <c r="L102" i="10"/>
  <c r="L129" i="10"/>
  <c r="L137" i="10"/>
  <c r="L141" i="10"/>
  <c r="L157" i="10"/>
  <c r="L171" i="10"/>
  <c r="L178" i="10"/>
  <c r="L190" i="10"/>
  <c r="AD197" i="1"/>
  <c r="AE197" i="1" s="1"/>
  <c r="AD201" i="1"/>
  <c r="AE201" i="1" s="1"/>
  <c r="AD205" i="1"/>
  <c r="AE205" i="1" s="1"/>
  <c r="L206" i="10"/>
  <c r="AD207" i="1"/>
  <c r="AE207" i="1" s="1"/>
  <c r="L208" i="10"/>
  <c r="AD210" i="1"/>
  <c r="AE210" i="1" s="1"/>
  <c r="L211" i="10"/>
  <c r="AD214" i="1"/>
  <c r="AE214" i="1" s="1"/>
  <c r="L215" i="10"/>
  <c r="AD217" i="1"/>
  <c r="AE217" i="1" s="1"/>
  <c r="AD221" i="1"/>
  <c r="AE221" i="1" s="1"/>
  <c r="AD225" i="1"/>
  <c r="AE225" i="1" s="1"/>
  <c r="AD229" i="1"/>
  <c r="AE229" i="1" s="1"/>
  <c r="AD233" i="1"/>
  <c r="AE233" i="1" s="1"/>
  <c r="AD237" i="1"/>
  <c r="AE237" i="1" s="1"/>
  <c r="AD241" i="1"/>
  <c r="AE241" i="1" s="1"/>
  <c r="AD245" i="1"/>
  <c r="AE245" i="1" s="1"/>
  <c r="AD249" i="1"/>
  <c r="AE249" i="1" s="1"/>
  <c r="AD256" i="1"/>
  <c r="AE256" i="1" s="1"/>
  <c r="L268" i="10"/>
  <c r="AD260" i="1"/>
  <c r="AE260" i="1" s="1"/>
  <c r="L272" i="10"/>
  <c r="AD264" i="1"/>
  <c r="AE264" i="1" s="1"/>
  <c r="L276" i="10"/>
  <c r="AD268" i="1"/>
  <c r="AE268" i="1" s="1"/>
  <c r="L280" i="10"/>
  <c r="AD272" i="1"/>
  <c r="AE272" i="1" s="1"/>
  <c r="L284" i="10"/>
  <c r="AD276" i="1"/>
  <c r="AE276" i="1" s="1"/>
  <c r="L288" i="10"/>
  <c r="AD280" i="1"/>
  <c r="AE280" i="1" s="1"/>
  <c r="L292" i="10"/>
  <c r="AD284" i="1"/>
  <c r="AE284" i="1" s="1"/>
  <c r="L296" i="10"/>
  <c r="AD288" i="1"/>
  <c r="AE288" i="1" s="1"/>
  <c r="L300" i="10"/>
  <c r="AD291" i="1"/>
  <c r="AE291" i="1" s="1"/>
  <c r="AD294" i="1"/>
  <c r="AE294" i="1" s="1"/>
  <c r="L306" i="10"/>
  <c r="AD298" i="1"/>
  <c r="AE298" i="1" s="1"/>
  <c r="L310" i="10"/>
  <c r="AD302" i="1"/>
  <c r="AE302" i="1" s="1"/>
  <c r="L314" i="10"/>
  <c r="AD305" i="1"/>
  <c r="AE305" i="1" s="1"/>
  <c r="AD309" i="1"/>
  <c r="AE309" i="1" s="1"/>
  <c r="L321" i="10"/>
  <c r="AD313" i="1"/>
  <c r="AE313" i="1" s="1"/>
  <c r="L325" i="10"/>
  <c r="AD317" i="1"/>
  <c r="AE317" i="1" s="1"/>
  <c r="L329" i="10"/>
  <c r="AD321" i="1"/>
  <c r="AE321" i="1" s="1"/>
  <c r="L333" i="10"/>
  <c r="AD325" i="1"/>
  <c r="AE325" i="1" s="1"/>
  <c r="L337" i="10"/>
  <c r="AD328" i="1"/>
  <c r="AE328" i="1" s="1"/>
  <c r="L340" i="10"/>
  <c r="AD331" i="1"/>
  <c r="AE331" i="1" s="1"/>
  <c r="L343" i="10"/>
  <c r="AD335" i="1"/>
  <c r="AE335" i="1" s="1"/>
  <c r="L347" i="10"/>
  <c r="AD337" i="1"/>
  <c r="AE337" i="1" s="1"/>
  <c r="L349" i="10"/>
  <c r="AD339" i="1"/>
  <c r="AE339" i="1" s="1"/>
  <c r="L351" i="10"/>
  <c r="AD342" i="1"/>
  <c r="AE342" i="1" s="1"/>
  <c r="L354" i="10"/>
  <c r="AD346" i="1"/>
  <c r="AE346" i="1" s="1"/>
  <c r="L358" i="10"/>
  <c r="AD350" i="1"/>
  <c r="AE350" i="1" s="1"/>
  <c r="L362" i="10"/>
  <c r="AD354" i="1"/>
  <c r="AE354" i="1" s="1"/>
  <c r="AD358" i="1"/>
  <c r="AE358" i="1" s="1"/>
  <c r="AD362" i="1"/>
  <c r="AE362" i="1" s="1"/>
  <c r="AD366" i="1"/>
  <c r="AE366" i="1" s="1"/>
  <c r="AD370" i="1"/>
  <c r="AE370" i="1" s="1"/>
  <c r="AD374" i="1"/>
  <c r="AE374" i="1" s="1"/>
  <c r="AD378" i="1"/>
  <c r="AE378" i="1" s="1"/>
  <c r="AD382" i="1"/>
  <c r="AE382" i="1" s="1"/>
  <c r="AD385" i="1"/>
  <c r="AE385" i="1" s="1"/>
  <c r="L397" i="10"/>
  <c r="AD389" i="1"/>
  <c r="AE389" i="1" s="1"/>
  <c r="AD393" i="1"/>
  <c r="AE393" i="1" s="1"/>
  <c r="AD397" i="1"/>
  <c r="AE397" i="1" s="1"/>
  <c r="AD401" i="1"/>
  <c r="AE401" i="1" s="1"/>
  <c r="AD405" i="1"/>
  <c r="AE405" i="1" s="1"/>
  <c r="AD409" i="1"/>
  <c r="AE409" i="1" s="1"/>
  <c r="AD413" i="1"/>
  <c r="AE413" i="1" s="1"/>
  <c r="AL440" i="1"/>
  <c r="AD33" i="2"/>
  <c r="AG94" i="2"/>
  <c r="AD121" i="2"/>
  <c r="AD123" i="2"/>
  <c r="AD215" i="2"/>
  <c r="V218" i="2"/>
  <c r="W218" i="2" s="1"/>
  <c r="V222" i="2"/>
  <c r="W222" i="2" s="1"/>
  <c r="V226" i="2"/>
  <c r="W226" i="2" s="1"/>
  <c r="AC123" i="3"/>
  <c r="AC214" i="3"/>
  <c r="AC301" i="3"/>
  <c r="AC332" i="3"/>
  <c r="T74" i="4"/>
  <c r="T95" i="4"/>
  <c r="P217" i="4"/>
  <c r="L217" i="4" s="1"/>
  <c r="M217" i="4" s="1"/>
  <c r="T217" i="4"/>
  <c r="Q225" i="4"/>
  <c r="G226" i="10" s="1"/>
  <c r="L226" i="10" s="1"/>
  <c r="P225" i="4"/>
  <c r="Q253" i="4"/>
  <c r="G254" i="10" s="1"/>
  <c r="P253" i="4"/>
  <c r="L253" i="4" s="1"/>
  <c r="M253" i="4" s="1"/>
  <c r="Q261" i="4"/>
  <c r="G262" i="10" s="1"/>
  <c r="L262" i="10" s="1"/>
  <c r="P261" i="4"/>
  <c r="L48" i="10"/>
  <c r="L60" i="10"/>
  <c r="L71" i="10"/>
  <c r="L77" i="10"/>
  <c r="L85" i="10"/>
  <c r="L95" i="10"/>
  <c r="L98" i="10"/>
  <c r="L106" i="10"/>
  <c r="L133" i="10"/>
  <c r="L145" i="10"/>
  <c r="L149" i="10"/>
  <c r="L153" i="10"/>
  <c r="L186" i="10"/>
  <c r="AD17" i="1"/>
  <c r="AE17" i="1" s="1"/>
  <c r="AD21" i="1"/>
  <c r="AE21" i="1" s="1"/>
  <c r="AD25" i="1"/>
  <c r="AE25" i="1" s="1"/>
  <c r="AL25" i="1"/>
  <c r="E26" i="10" s="1"/>
  <c r="L26" i="10" s="1"/>
  <c r="AD29" i="1"/>
  <c r="AE29" i="1" s="1"/>
  <c r="AD33" i="1"/>
  <c r="AE33" i="1" s="1"/>
  <c r="AD36" i="1"/>
  <c r="AE36" i="1" s="1"/>
  <c r="AD40" i="1"/>
  <c r="AE40" i="1" s="1"/>
  <c r="AD44" i="1"/>
  <c r="AE44" i="1" s="1"/>
  <c r="AD48" i="1"/>
  <c r="AE48" i="1" s="1"/>
  <c r="AD52" i="1"/>
  <c r="AE52" i="1" s="1"/>
  <c r="AD56" i="1"/>
  <c r="AE56" i="1" s="1"/>
  <c r="AD60" i="1"/>
  <c r="AE60" i="1" s="1"/>
  <c r="AD64" i="1"/>
  <c r="AE64" i="1" s="1"/>
  <c r="AD67" i="1"/>
  <c r="AE67" i="1" s="1"/>
  <c r="AD71" i="1"/>
  <c r="AE71" i="1" s="1"/>
  <c r="AD77" i="1"/>
  <c r="AE77" i="1" s="1"/>
  <c r="L78" i="10"/>
  <c r="AD81" i="1"/>
  <c r="AE81" i="1" s="1"/>
  <c r="AD85" i="1"/>
  <c r="AE85" i="1" s="1"/>
  <c r="AD91" i="1"/>
  <c r="AE91" i="1" s="1"/>
  <c r="L92" i="10"/>
  <c r="AD98" i="1"/>
  <c r="AE98" i="1" s="1"/>
  <c r="AD102" i="1"/>
  <c r="AE102" i="1" s="1"/>
  <c r="AD106" i="1"/>
  <c r="AE106" i="1" s="1"/>
  <c r="AD109" i="1"/>
  <c r="AE109" i="1" s="1"/>
  <c r="AD113" i="1"/>
  <c r="AE113" i="1" s="1"/>
  <c r="AD117" i="1"/>
  <c r="AE117" i="1" s="1"/>
  <c r="AD121" i="1"/>
  <c r="AE121" i="1" s="1"/>
  <c r="AD123" i="1"/>
  <c r="AE123" i="1" s="1"/>
  <c r="AD125" i="1"/>
  <c r="AE125" i="1" s="1"/>
  <c r="AD129" i="1"/>
  <c r="AE129" i="1" s="1"/>
  <c r="AD133" i="1"/>
  <c r="AE133" i="1" s="1"/>
  <c r="AD137" i="1"/>
  <c r="AE137" i="1" s="1"/>
  <c r="AD141" i="1"/>
  <c r="AE141" i="1" s="1"/>
  <c r="L142" i="10"/>
  <c r="AD145" i="1"/>
  <c r="AE145" i="1" s="1"/>
  <c r="AD149" i="1"/>
  <c r="AE149" i="1" s="1"/>
  <c r="AD153" i="1"/>
  <c r="AE153" i="1" s="1"/>
  <c r="AD157" i="1"/>
  <c r="AE157" i="1" s="1"/>
  <c r="L158" i="10"/>
  <c r="AD161" i="1"/>
  <c r="AE161" i="1" s="1"/>
  <c r="AD165" i="1"/>
  <c r="AE165" i="1" s="1"/>
  <c r="AD171" i="1"/>
  <c r="AE171" i="1" s="1"/>
  <c r="AD174" i="1"/>
  <c r="AE174" i="1" s="1"/>
  <c r="AD178" i="1"/>
  <c r="AE178" i="1" s="1"/>
  <c r="AD182" i="1"/>
  <c r="AE182" i="1" s="1"/>
  <c r="AD186" i="1"/>
  <c r="AE186" i="1" s="1"/>
  <c r="AD190" i="1"/>
  <c r="AE190" i="1" s="1"/>
  <c r="AD194" i="1"/>
  <c r="AE194" i="1" s="1"/>
  <c r="AD198" i="1"/>
  <c r="AE198" i="1" s="1"/>
  <c r="AD202" i="1"/>
  <c r="AE202" i="1" s="1"/>
  <c r="AD211" i="1"/>
  <c r="AE211" i="1" s="1"/>
  <c r="AD215" i="1"/>
  <c r="AE215" i="1" s="1"/>
  <c r="AD218" i="1"/>
  <c r="AE218" i="1" s="1"/>
  <c r="AD222" i="1"/>
  <c r="AE222" i="1" s="1"/>
  <c r="AD226" i="1"/>
  <c r="AE226" i="1" s="1"/>
  <c r="AD230" i="1"/>
  <c r="AE230" i="1" s="1"/>
  <c r="AD234" i="1"/>
  <c r="AE234" i="1" s="1"/>
  <c r="AD238" i="1"/>
  <c r="AE238" i="1" s="1"/>
  <c r="AD242" i="1"/>
  <c r="AE242" i="1" s="1"/>
  <c r="L254" i="10"/>
  <c r="AD246" i="1"/>
  <c r="AE246" i="1" s="1"/>
  <c r="AD250" i="1"/>
  <c r="AE250" i="1" s="1"/>
  <c r="AD257" i="1"/>
  <c r="AE257" i="1" s="1"/>
  <c r="AD261" i="1"/>
  <c r="AE261" i="1" s="1"/>
  <c r="AD265" i="1"/>
  <c r="AE265" i="1" s="1"/>
  <c r="AD269" i="1"/>
  <c r="AE269" i="1" s="1"/>
  <c r="AD273" i="1"/>
  <c r="AE273" i="1" s="1"/>
  <c r="AD277" i="1"/>
  <c r="AE277" i="1" s="1"/>
  <c r="AD281" i="1"/>
  <c r="AE281" i="1" s="1"/>
  <c r="AD285" i="1"/>
  <c r="AE285" i="1" s="1"/>
  <c r="AD292" i="1"/>
  <c r="AE292" i="1" s="1"/>
  <c r="AD295" i="1"/>
  <c r="AE295" i="1" s="1"/>
  <c r="AD299" i="1"/>
  <c r="AE299" i="1" s="1"/>
  <c r="AD303" i="1"/>
  <c r="AE303" i="1" s="1"/>
  <c r="AD306" i="1"/>
  <c r="AE306" i="1" s="1"/>
  <c r="AD310" i="1"/>
  <c r="AE310" i="1" s="1"/>
  <c r="AD314" i="1"/>
  <c r="AE314" i="1" s="1"/>
  <c r="AD318" i="1"/>
  <c r="AE318" i="1" s="1"/>
  <c r="AD322" i="1"/>
  <c r="AE322" i="1" s="1"/>
  <c r="AD326" i="1"/>
  <c r="AE326" i="1" s="1"/>
  <c r="AD332" i="1"/>
  <c r="AE332" i="1" s="1"/>
  <c r="AD343" i="1"/>
  <c r="AE343" i="1" s="1"/>
  <c r="AD347" i="1"/>
  <c r="AE347" i="1" s="1"/>
  <c r="AD351" i="1"/>
  <c r="AE351" i="1" s="1"/>
  <c r="AD355" i="1"/>
  <c r="AE355" i="1" s="1"/>
  <c r="AD359" i="1"/>
  <c r="AE359" i="1" s="1"/>
  <c r="AD363" i="1"/>
  <c r="AE363" i="1" s="1"/>
  <c r="AD367" i="1"/>
  <c r="AE367" i="1" s="1"/>
  <c r="AD371" i="1"/>
  <c r="AE371" i="1" s="1"/>
  <c r="AD375" i="1"/>
  <c r="AE375" i="1" s="1"/>
  <c r="AD379" i="1"/>
  <c r="AE379" i="1" s="1"/>
  <c r="AO382" i="1"/>
  <c r="AD386" i="1"/>
  <c r="AE386" i="1" s="1"/>
  <c r="AD390" i="1"/>
  <c r="AE390" i="1" s="1"/>
  <c r="AD394" i="1"/>
  <c r="AE394" i="1" s="1"/>
  <c r="AD398" i="1"/>
  <c r="AE398" i="1" s="1"/>
  <c r="AD402" i="1"/>
  <c r="AE402" i="1" s="1"/>
  <c r="AD406" i="1"/>
  <c r="AE406" i="1" s="1"/>
  <c r="AD410" i="1"/>
  <c r="AE410" i="1" s="1"/>
  <c r="AG26" i="2"/>
  <c r="AG74" i="2"/>
  <c r="V219" i="2"/>
  <c r="W219" i="2" s="1"/>
  <c r="L220" i="10"/>
  <c r="V223" i="2"/>
  <c r="W223" i="2" s="1"/>
  <c r="L224" i="10"/>
  <c r="L228" i="10"/>
  <c r="P4" i="4"/>
  <c r="L4" i="4" s="1"/>
  <c r="M4" i="4" s="1"/>
  <c r="P8" i="4"/>
  <c r="L8" i="4" s="1"/>
  <c r="M8" i="4" s="1"/>
  <c r="P12" i="4"/>
  <c r="L12" i="4" s="1"/>
  <c r="M12" i="4" s="1"/>
  <c r="P16" i="4"/>
  <c r="L16" i="4" s="1"/>
  <c r="M16" i="4" s="1"/>
  <c r="P20" i="4"/>
  <c r="L20" i="4" s="1"/>
  <c r="M20" i="4" s="1"/>
  <c r="P24" i="4"/>
  <c r="L24" i="4" s="1"/>
  <c r="M24" i="4" s="1"/>
  <c r="P28" i="4"/>
  <c r="L28" i="4" s="1"/>
  <c r="M28" i="4" s="1"/>
  <c r="P30" i="4"/>
  <c r="L30" i="4" s="1"/>
  <c r="M30" i="4" s="1"/>
  <c r="P34" i="4"/>
  <c r="L34" i="4" s="1"/>
  <c r="M34" i="4" s="1"/>
  <c r="P38" i="4"/>
  <c r="L38" i="4" s="1"/>
  <c r="M38" i="4" s="1"/>
  <c r="P42" i="4"/>
  <c r="L42" i="4" s="1"/>
  <c r="M42" i="4" s="1"/>
  <c r="P46" i="4"/>
  <c r="L46" i="4" s="1"/>
  <c r="M46" i="4" s="1"/>
  <c r="P50" i="4"/>
  <c r="Q233" i="4"/>
  <c r="G234" i="10" s="1"/>
  <c r="L234" i="10" s="1"/>
  <c r="P233" i="4"/>
  <c r="Q241" i="4"/>
  <c r="G242" i="10" s="1"/>
  <c r="P241" i="4"/>
  <c r="Q249" i="4"/>
  <c r="G250" i="10" s="1"/>
  <c r="L250" i="10" s="1"/>
  <c r="P249" i="4"/>
  <c r="L196" i="10"/>
  <c r="L200" i="10"/>
  <c r="L204" i="10"/>
  <c r="L213" i="10"/>
  <c r="L270" i="10"/>
  <c r="L274" i="10"/>
  <c r="L278" i="10"/>
  <c r="L282" i="10"/>
  <c r="L286" i="10"/>
  <c r="L290" i="10"/>
  <c r="L294" i="10"/>
  <c r="L298" i="10"/>
  <c r="L308" i="10"/>
  <c r="L312" i="10"/>
  <c r="L316" i="10"/>
  <c r="L319" i="10"/>
  <c r="L323" i="10"/>
  <c r="L327" i="10"/>
  <c r="L331" i="10"/>
  <c r="L335" i="10"/>
  <c r="L339" i="10"/>
  <c r="L341" i="10"/>
  <c r="L345" i="10"/>
  <c r="L348" i="10"/>
  <c r="L350" i="10"/>
  <c r="L352" i="10"/>
  <c r="L356" i="10"/>
  <c r="L360" i="10"/>
  <c r="L364" i="10"/>
  <c r="L368" i="10"/>
  <c r="L372" i="10"/>
  <c r="L376" i="10"/>
  <c r="L380" i="10"/>
  <c r="L384" i="10"/>
  <c r="L388" i="10"/>
  <c r="L392" i="10"/>
  <c r="L395" i="10"/>
  <c r="AC34" i="3"/>
  <c r="P3" i="4"/>
  <c r="L3" i="4" s="1"/>
  <c r="M3" i="4" s="1"/>
  <c r="P7" i="4"/>
  <c r="L7" i="4" s="1"/>
  <c r="M7" i="4" s="1"/>
  <c r="P11" i="4"/>
  <c r="L11" i="4" s="1"/>
  <c r="M11" i="4" s="1"/>
  <c r="P15" i="4"/>
  <c r="L15" i="4" s="1"/>
  <c r="M15" i="4" s="1"/>
  <c r="P19" i="4"/>
  <c r="L19" i="4" s="1"/>
  <c r="M19" i="4" s="1"/>
  <c r="P23" i="4"/>
  <c r="L23" i="4" s="1"/>
  <c r="M23" i="4" s="1"/>
  <c r="P27" i="4"/>
  <c r="L27" i="4" s="1"/>
  <c r="M27" i="4" s="1"/>
  <c r="Q28" i="4"/>
  <c r="G29" i="10" s="1"/>
  <c r="L29" i="10" s="1"/>
  <c r="P29" i="4"/>
  <c r="L29" i="4" s="1"/>
  <c r="M29" i="4" s="1"/>
  <c r="P33" i="4"/>
  <c r="L33" i="4" s="1"/>
  <c r="M33" i="4" s="1"/>
  <c r="P37" i="4"/>
  <c r="L37" i="4" s="1"/>
  <c r="M37" i="4" s="1"/>
  <c r="P41" i="4"/>
  <c r="L41" i="4" s="1"/>
  <c r="M41" i="4" s="1"/>
  <c r="P45" i="4"/>
  <c r="L45" i="4" s="1"/>
  <c r="M45" i="4" s="1"/>
  <c r="P49" i="4"/>
  <c r="L49" i="4" s="1"/>
  <c r="M49" i="4" s="1"/>
  <c r="P53" i="4"/>
  <c r="L53" i="4" s="1"/>
  <c r="M53" i="4" s="1"/>
  <c r="P57" i="4"/>
  <c r="L57" i="4" s="1"/>
  <c r="M57" i="4" s="1"/>
  <c r="P61" i="4"/>
  <c r="L61" i="4" s="1"/>
  <c r="M61" i="4" s="1"/>
  <c r="P65" i="4"/>
  <c r="L65" i="4" s="1"/>
  <c r="M65" i="4" s="1"/>
  <c r="P69" i="4"/>
  <c r="L69" i="4" s="1"/>
  <c r="M69" i="4" s="1"/>
  <c r="P73" i="4"/>
  <c r="L73" i="4" s="1"/>
  <c r="M73" i="4" s="1"/>
  <c r="P76" i="4"/>
  <c r="L76" i="4" s="1"/>
  <c r="M76" i="4" s="1"/>
  <c r="P80" i="4"/>
  <c r="L80" i="4" s="1"/>
  <c r="M80" i="4" s="1"/>
  <c r="P86" i="4"/>
  <c r="L86" i="4" s="1"/>
  <c r="M86" i="4" s="1"/>
  <c r="P90" i="4"/>
  <c r="L90" i="4" s="1"/>
  <c r="M90" i="4" s="1"/>
  <c r="P94" i="4"/>
  <c r="L94" i="4" s="1"/>
  <c r="M94" i="4" s="1"/>
  <c r="P97" i="4"/>
  <c r="L97" i="4" s="1"/>
  <c r="M97" i="4" s="1"/>
  <c r="P101" i="4"/>
  <c r="L101" i="4" s="1"/>
  <c r="M101" i="4" s="1"/>
  <c r="P105" i="4"/>
  <c r="L105" i="4" s="1"/>
  <c r="M105" i="4" s="1"/>
  <c r="P109" i="4"/>
  <c r="L109" i="4" s="1"/>
  <c r="M109" i="4" s="1"/>
  <c r="P113" i="4"/>
  <c r="L113" i="4" s="1"/>
  <c r="M113" i="4" s="1"/>
  <c r="P117" i="4"/>
  <c r="L117" i="4" s="1"/>
  <c r="M117" i="4" s="1"/>
  <c r="P121" i="4"/>
  <c r="L121" i="4" s="1"/>
  <c r="M121" i="4" s="1"/>
  <c r="P128" i="4"/>
  <c r="P132" i="4"/>
  <c r="P136" i="4"/>
  <c r="L136" i="4" s="1"/>
  <c r="M136" i="4" s="1"/>
  <c r="P140" i="4"/>
  <c r="L140" i="4" s="1"/>
  <c r="M140" i="4" s="1"/>
  <c r="P144" i="4"/>
  <c r="L144" i="4" s="1"/>
  <c r="M144" i="4" s="1"/>
  <c r="P148" i="4"/>
  <c r="L148" i="4" s="1"/>
  <c r="M148" i="4" s="1"/>
  <c r="P152" i="4"/>
  <c r="L152" i="4" s="1"/>
  <c r="M152" i="4" s="1"/>
  <c r="P156" i="4"/>
  <c r="L156" i="4" s="1"/>
  <c r="M156" i="4" s="1"/>
  <c r="Q160" i="4"/>
  <c r="G161" i="10" s="1"/>
  <c r="L161" i="10" s="1"/>
  <c r="Q164" i="4"/>
  <c r="G165" i="10" s="1"/>
  <c r="L165" i="10" s="1"/>
  <c r="Q168" i="4"/>
  <c r="G169" i="10" s="1"/>
  <c r="L169" i="10" s="1"/>
  <c r="Q171" i="4"/>
  <c r="G172" i="10" s="1"/>
  <c r="L172" i="10" s="1"/>
  <c r="Q175" i="4"/>
  <c r="G176" i="10" s="1"/>
  <c r="L176" i="10" s="1"/>
  <c r="P181" i="4"/>
  <c r="L181" i="4" s="1"/>
  <c r="M181" i="4" s="1"/>
  <c r="P186" i="4"/>
  <c r="L186" i="4" s="1"/>
  <c r="M186" i="4" s="1"/>
  <c r="P190" i="4"/>
  <c r="Q193" i="4"/>
  <c r="G194" i="10" s="1"/>
  <c r="L194" i="10" s="1"/>
  <c r="Q197" i="4"/>
  <c r="G198" i="10" s="1"/>
  <c r="L198" i="10" s="1"/>
  <c r="Q201" i="4"/>
  <c r="G202" i="10" s="1"/>
  <c r="L202" i="10" s="1"/>
  <c r="Q209" i="4"/>
  <c r="G210" i="10" s="1"/>
  <c r="Q211" i="4"/>
  <c r="G212" i="10" s="1"/>
  <c r="L212" i="10" s="1"/>
  <c r="Q257" i="4"/>
  <c r="G258" i="10" s="1"/>
  <c r="L258" i="10" s="1"/>
  <c r="P257" i="4"/>
  <c r="Q265" i="4"/>
  <c r="G266" i="10" s="1"/>
  <c r="L266" i="10" s="1"/>
  <c r="P265" i="4"/>
  <c r="L28" i="10"/>
  <c r="L51" i="10"/>
  <c r="AO107" i="1"/>
  <c r="L156" i="10"/>
  <c r="L164" i="10"/>
  <c r="AO206" i="1"/>
  <c r="L210" i="10"/>
  <c r="L217" i="10"/>
  <c r="L252" i="10"/>
  <c r="L256" i="10"/>
  <c r="L260" i="10"/>
  <c r="AO304" i="1"/>
  <c r="L346" i="10"/>
  <c r="L381" i="10"/>
  <c r="L396" i="10"/>
  <c r="AG122" i="2"/>
  <c r="L222" i="10"/>
  <c r="Q181" i="4"/>
  <c r="G182" i="10" s="1"/>
  <c r="L182" i="10" s="1"/>
  <c r="Q229" i="4"/>
  <c r="G230" i="10" s="1"/>
  <c r="P229" i="4"/>
  <c r="L229" i="4" s="1"/>
  <c r="M229" i="4" s="1"/>
  <c r="Q237" i="4"/>
  <c r="G238" i="10" s="1"/>
  <c r="L238" i="10" s="1"/>
  <c r="P237" i="4"/>
  <c r="Q245" i="4"/>
  <c r="G246" i="10" s="1"/>
  <c r="L246" i="10" s="1"/>
  <c r="P245" i="4"/>
  <c r="U431" i="4"/>
  <c r="U439" i="4"/>
  <c r="P269" i="4"/>
  <c r="P273" i="4"/>
  <c r="L273" i="4" s="1"/>
  <c r="M273" i="4" s="1"/>
  <c r="P277" i="4"/>
  <c r="P281" i="4"/>
  <c r="P285" i="4"/>
  <c r="P289" i="4"/>
  <c r="P293" i="4"/>
  <c r="P297" i="4"/>
  <c r="P301" i="4"/>
  <c r="T303" i="4"/>
  <c r="P305" i="4"/>
  <c r="P309" i="4"/>
  <c r="P313" i="4"/>
  <c r="P317" i="4"/>
  <c r="T319" i="4"/>
  <c r="P323" i="4"/>
  <c r="P327" i="4"/>
  <c r="P331" i="4"/>
  <c r="P335" i="4"/>
  <c r="P339" i="4"/>
  <c r="P343" i="4"/>
  <c r="L343" i="4" s="1"/>
  <c r="M343" i="4" s="1"/>
  <c r="P347" i="4"/>
  <c r="P351" i="4"/>
  <c r="P355" i="4"/>
  <c r="P359" i="4"/>
  <c r="P363" i="4"/>
  <c r="P369" i="4"/>
  <c r="P373" i="4"/>
  <c r="P377" i="4"/>
  <c r="P381" i="4"/>
  <c r="L381" i="4" s="1"/>
  <c r="M381" i="4" s="1"/>
  <c r="P385" i="4"/>
  <c r="P389" i="4"/>
  <c r="P393" i="4"/>
  <c r="P397" i="4"/>
  <c r="P409" i="4"/>
  <c r="P413" i="4"/>
  <c r="P417" i="4"/>
  <c r="P421" i="4"/>
  <c r="P425" i="4"/>
  <c r="P431" i="4"/>
  <c r="L431" i="4" s="1"/>
  <c r="M431" i="4" s="1"/>
  <c r="U432" i="4"/>
  <c r="P435" i="4"/>
  <c r="P439" i="4"/>
  <c r="L439" i="4" s="1"/>
  <c r="M439" i="4" s="1"/>
  <c r="P441" i="4"/>
  <c r="P445" i="4"/>
  <c r="L445" i="4" s="1"/>
  <c r="M445" i="4" s="1"/>
  <c r="P449" i="4"/>
  <c r="P453" i="4"/>
  <c r="P457" i="4"/>
  <c r="P461" i="4"/>
  <c r="P465" i="4"/>
  <c r="U427" i="4"/>
  <c r="U433" i="4"/>
  <c r="P174" i="6"/>
  <c r="I175" i="10" s="1"/>
  <c r="L175" i="10" s="1"/>
  <c r="T67" i="7"/>
  <c r="I168" i="8"/>
  <c r="J168" i="8" s="1"/>
  <c r="J169" i="10"/>
  <c r="L265" i="10"/>
</calcChain>
</file>

<file path=xl/sharedStrings.xml><?xml version="1.0" encoding="utf-8"?>
<sst xmlns="http://schemas.openxmlformats.org/spreadsheetml/2006/main" count="5546" uniqueCount="650">
  <si>
    <t>Proben-ID</t>
  </si>
  <si>
    <t>55_dodecadien</t>
  </si>
  <si>
    <t>81_dodecadien</t>
  </si>
  <si>
    <t>55_tridecadiene</t>
  </si>
  <si>
    <t>81_tridecadiene</t>
  </si>
  <si>
    <t>55_-tetradecad...</t>
  </si>
  <si>
    <t>81_tetradecad...</t>
  </si>
  <si>
    <t>55_pentadecad...</t>
  </si>
  <si>
    <t>81_pentadecad...</t>
  </si>
  <si>
    <t>55_hexadecadiene</t>
  </si>
  <si>
    <t>81_hexadecadiene</t>
  </si>
  <si>
    <t>55_eicosendiene</t>
  </si>
  <si>
    <t>81_eicosendiene</t>
  </si>
  <si>
    <t>TGA Faktor</t>
  </si>
  <si>
    <t>Standardabweichung [%]</t>
  </si>
  <si>
    <t>Gewicht</t>
  </si>
  <si>
    <t>Bewertung_1</t>
  </si>
  <si>
    <t>Bewertung_2</t>
  </si>
  <si>
    <t xml:space="preserve">Gesamt- bewertung </t>
  </si>
  <si>
    <t>V_k neu</t>
  </si>
  <si>
    <t>V_k alt</t>
  </si>
  <si>
    <t>G kleinste</t>
  </si>
  <si>
    <t>G größte</t>
  </si>
  <si>
    <t>Grubbswert</t>
  </si>
  <si>
    <t>Durchschnitt [µg]</t>
  </si>
  <si>
    <t>Verhältnis [µg/mg]</t>
  </si>
  <si>
    <t>Probengewicht + Spike</t>
  </si>
  <si>
    <t xml:space="preserve">Spike </t>
  </si>
  <si>
    <t xml:space="preserve">Wieder-findung </t>
  </si>
  <si>
    <t>Experiment-ID</t>
  </si>
  <si>
    <t>Bemerkungen</t>
  </si>
  <si>
    <t>Grubbs</t>
  </si>
  <si>
    <t>210419_KWS_Zul_SF_gr1mm_20102829_1</t>
  </si>
  <si>
    <t>Massenbilanz KWS</t>
  </si>
  <si>
    <t>Anzahl</t>
  </si>
  <si>
    <t>Grubbs-Wert</t>
  </si>
  <si>
    <t>210419_KWS_Zul_SF_gr1mm_20102829_2</t>
  </si>
  <si>
    <t>210419_KWS_Zul_SF_gr1mm_20102829_3</t>
  </si>
  <si>
    <t>210419_KWS_Zul_SF_II_20102829_1</t>
  </si>
  <si>
    <t>210419_KWS_Zul_SF_II_20102829_2</t>
  </si>
  <si>
    <t>210419_KWS_Zul_SF_II_20102829_3</t>
  </si>
  <si>
    <t>210419_Luebeck_Zul_SF_190608_1</t>
  </si>
  <si>
    <t>Kläranlage</t>
  </si>
  <si>
    <t>210419_Luebeck_Zul_SF_190608_2</t>
  </si>
  <si>
    <t>210419_Luebeck_Zul_SF_190608_3</t>
  </si>
  <si>
    <t>210419_VKA_ZFA_200822_2</t>
  </si>
  <si>
    <t>Referenzmessung BS</t>
  </si>
  <si>
    <t>210419_VKA_ZFA_200822_3</t>
  </si>
  <si>
    <t>210429_E-FS_20102728_StAdd_PA_1</t>
  </si>
  <si>
    <t>KWS, Methode</t>
  </si>
  <si>
    <t>210429_E-FS_20102728_StAdd_PA_2</t>
  </si>
  <si>
    <t>210429_E-FS_20102728_StAdd_PA_3</t>
  </si>
  <si>
    <t>210429_VKA_ZFA_20092-4_1</t>
  </si>
  <si>
    <t>210429_VKA_ZFA_20092-4_2</t>
  </si>
  <si>
    <t>210429_VKA_ZFA_20092-4_3</t>
  </si>
  <si>
    <t>210429_KWS_Abl_NK_20102829_1</t>
  </si>
  <si>
    <t>210429_KWS_Abl_NK_20102829_2</t>
  </si>
  <si>
    <t>210429_KWS_Abl_NK_20102829_3</t>
  </si>
  <si>
    <t>210429_KWS_Abl_NK_gr1mm_20102829_1</t>
  </si>
  <si>
    <t>210429_KWS_Abl_NK_gr1mm_20102829_2</t>
  </si>
  <si>
    <t>210429_KWS_Abl_NK_gr1mm_20102829_3</t>
  </si>
  <si>
    <t>210429_MP_Dosiertank_200902_1</t>
  </si>
  <si>
    <t>210429_MP_Dosiertank_200902_2</t>
  </si>
  <si>
    <t>210429_Standard_PET</t>
  </si>
  <si>
    <t>Methode</t>
  </si>
  <si>
    <t>210429_Standard_PS</t>
  </si>
  <si>
    <t>210512_P1_1</t>
  </si>
  <si>
    <t>Methodenvergleich</t>
  </si>
  <si>
    <t>210512_P1_extra_1</t>
  </si>
  <si>
    <t>210517_gefUESS_neueS_201030_1</t>
  </si>
  <si>
    <t>KWS, neue Schlammbehandlung</t>
  </si>
  <si>
    <t>210517_gefUESS_neueS_201030_spike_PA</t>
  </si>
  <si>
    <t>210517_gefUESS_neueS_201030_spike_PE</t>
  </si>
  <si>
    <t>210517_gefUESS_neueS_201030_spike_PP</t>
  </si>
  <si>
    <t>210517_GWI_Algen+Sand</t>
  </si>
  <si>
    <t>GWI Algen</t>
  </si>
  <si>
    <t>210517_KWS_Hydrolysat_1</t>
  </si>
  <si>
    <t>210517_KWS_Hydrolysat_2</t>
  </si>
  <si>
    <t>210517_KWS_Hydrolysat_3</t>
  </si>
  <si>
    <t>210517_MAP-Produkt_201028_1</t>
  </si>
  <si>
    <t>210517_MAP-Produkt_201028_2</t>
  </si>
  <si>
    <t>210517_MAP-Produkt_201028_3</t>
  </si>
  <si>
    <t>210517_P1_2</t>
  </si>
  <si>
    <t>210517_P1_extra_2</t>
  </si>
  <si>
    <t>210517_P2_1</t>
  </si>
  <si>
    <t>210517_P2_2</t>
  </si>
  <si>
    <t>210517_P3_1</t>
  </si>
  <si>
    <t>210517_P3_2</t>
  </si>
  <si>
    <t>210517_P4_1</t>
  </si>
  <si>
    <t>210517_P4_2</t>
  </si>
  <si>
    <t>210520_Standard_PMMA</t>
  </si>
  <si>
    <t>210520_VKA_ASF_0831-0902_1</t>
  </si>
  <si>
    <t>210520_VKA_ASF_0831-0902_2</t>
  </si>
  <si>
    <t>210520_VKA_ASF_0831-0902_3</t>
  </si>
  <si>
    <t>210520_VKA_ATF_0831-0902_1</t>
  </si>
  <si>
    <t>210520_VKA_ATF_0831-0902_2</t>
  </si>
  <si>
    <t>210520_VKA_ATF_0831-0902_3</t>
  </si>
  <si>
    <t>210520_VKA_ATF_0902-04_1</t>
  </si>
  <si>
    <t>210520_VKA_ATF_0902-04_2</t>
  </si>
  <si>
    <t>210520_VKA_ATF_0902-04_3</t>
  </si>
  <si>
    <t>210520_VKA_ATF_200827_1</t>
  </si>
  <si>
    <t>210520_VKA_ATF_200827_2</t>
  </si>
  <si>
    <t>210520_VKA_ATF_200827_3</t>
  </si>
  <si>
    <t>210520_VKA_ZFA_0831-0902_1</t>
  </si>
  <si>
    <t>210520_VKA_ZFA_0831-0902_2</t>
  </si>
  <si>
    <t>210520_VKA_ZFA_0831-0902_3</t>
  </si>
  <si>
    <t>210520_VKA_ZFA_0831-0902_spike_PE</t>
  </si>
  <si>
    <t>Massenbilanz KWS, Methode</t>
  </si>
  <si>
    <t>210520_VKA_ZFA_0831-0902_spike_PET</t>
  </si>
  <si>
    <t>210531_RÜB_Bellermannstraße_10-500µm_1</t>
  </si>
  <si>
    <t>Mischwasserüberlauf</t>
  </si>
  <si>
    <t>210531_RÜB_Bellermannstraße_10-500µm_2</t>
  </si>
  <si>
    <t>210531_RÜB_Bellermannstraße_10-500µm_3</t>
  </si>
  <si>
    <t>210531_RÜB_Bellermannstraße_10-500µm_H2O2_1</t>
  </si>
  <si>
    <t>210531_RÜB_Bellermannstraße_10-500µm_H2O2_2</t>
  </si>
  <si>
    <t>210531_RÜB_Bellermannstraße_10-500µm_H2O2_3</t>
  </si>
  <si>
    <t>210531_Standard_PS_PMMA_PP_PE_RM</t>
  </si>
  <si>
    <t>210602_KWS_gefaulUESS_RS</t>
  </si>
  <si>
    <t>210602_KWS_MAP_Produkt_201030_1</t>
  </si>
  <si>
    <t>210602_KWS_MAP_Produkt_201030_2</t>
  </si>
  <si>
    <t>210602_KWS_MAP_Produkt_201030_3</t>
  </si>
  <si>
    <t>210602_KWS_neueS_a+c_RS</t>
  </si>
  <si>
    <t>210602_Lippe_hinter_KA_2_210518_1</t>
  </si>
  <si>
    <t>Flussproben</t>
  </si>
  <si>
    <t>210602_Lippe_hinter_KA_2_210518_2</t>
  </si>
  <si>
    <t>210602_Lippe_hinter_KA_2_210518_3</t>
  </si>
  <si>
    <t>210602_Lippe_hinter_KA_2_210518_spike_PS</t>
  </si>
  <si>
    <t>Flussproben, Methode</t>
  </si>
  <si>
    <t>210602_Lippe_Vor_KA_1_210518_1</t>
  </si>
  <si>
    <t>210602_Lippe_Vor_KA_1_210518_2</t>
  </si>
  <si>
    <t>210602_Lippe_Vor_KA_1_210518_3</t>
  </si>
  <si>
    <t>210602_Lippe_Vor_KA_1_210518_spike_PE</t>
  </si>
  <si>
    <t>210602_MW2_15Uhr_autom_PN_210518_1</t>
  </si>
  <si>
    <t>210602_MW2_15Uhr_autom_PN_210518_2</t>
  </si>
  <si>
    <t>210602_MW2_15Uhr_autom_PN_210518_3</t>
  </si>
  <si>
    <t>210602_PW_neueS_SchaleC_1</t>
  </si>
  <si>
    <t>210602_PW_neueS_SchaleC_2</t>
  </si>
  <si>
    <t>210602_PW_neueS_SchaleC_3</t>
  </si>
  <si>
    <t>210602_Standard_PE_RM</t>
  </si>
  <si>
    <t>210607_E-FS_20102728_PS_PET</t>
  </si>
  <si>
    <t>210607_GWI_Algen_kl630µm_1</t>
  </si>
  <si>
    <t>Algen</t>
  </si>
  <si>
    <t>210607_GWI_Algen_kl630µm_2</t>
  </si>
  <si>
    <t>210607_GWI_Algen_Sand_kl630µm_1</t>
  </si>
  <si>
    <t>210607_GWI_Algen_Sand_kl630µm_2</t>
  </si>
  <si>
    <t>210607_KWS_E-FS_20102728_1</t>
  </si>
  <si>
    <t>KWS</t>
  </si>
  <si>
    <t>210607_KWS_E-UESS_200618_1</t>
  </si>
  <si>
    <t>210607_KWS_E-UESS_200618_2</t>
  </si>
  <si>
    <t>210607_Muenchehofe_Zul_Mec_191023-24_1</t>
  </si>
  <si>
    <t>Münchehofe</t>
  </si>
  <si>
    <t>210607_Muenchehofe_Zul_Mec_191023-24_2</t>
  </si>
  <si>
    <t>210607_Spree_Gotzkowsky_A1_20063-6_1</t>
  </si>
  <si>
    <t>Flussproben Spree</t>
  </si>
  <si>
    <t>210607_Spree_Gotzkowsky_A1_20063-6_2</t>
  </si>
  <si>
    <t>210607_Spree_Gotzkowsky_A1_20063-6_spike_PE_PP</t>
  </si>
  <si>
    <t>210607_Spree_Gotzkowsky_A2_20063-6_1</t>
  </si>
  <si>
    <t>210607_Spree_Gotzkowsky_A2_20063-6_2</t>
  </si>
  <si>
    <t>210616_Hamm_Abl_SF_21051819_1</t>
  </si>
  <si>
    <t>210616_Hamm_Abl_SF_21051819_2</t>
  </si>
  <si>
    <t>210616_Hamm_Abl_SF_21051819_3</t>
  </si>
  <si>
    <t>210616_Hamm_Abl_SF_21051920_1</t>
  </si>
  <si>
    <t>210616_Hamm_Abl_SF_21051920_2</t>
  </si>
  <si>
    <t>210616_Hamm_Abl_SF_21051920_3</t>
  </si>
  <si>
    <t>210616_Hamm_Abl_SF_21052021_1</t>
  </si>
  <si>
    <t>210616_Hamm_Abl_SF_21052021_2</t>
  </si>
  <si>
    <t>210616_Hamm_Abl_SF_21052021_3</t>
  </si>
  <si>
    <t>210616_Lippe_hinter_KA_6_210520_2</t>
  </si>
  <si>
    <t>210616_Lippe_hinter_KA_6_210520_3</t>
  </si>
  <si>
    <t>210616_Lippe_hinter_KA_6_210520_spike_PE_PA</t>
  </si>
  <si>
    <t>210616_Lippe_hinter_KA_6_210520_spike_PE_PMMA</t>
  </si>
  <si>
    <t>210616_Lippe_hinter_KA_6_210520_spike_PE_PP</t>
  </si>
  <si>
    <t>210616_Lippe_hinter_KA_6_210520_spike_PE_PS</t>
  </si>
  <si>
    <t>210616_Lippe_nach_KA_4_210519_1</t>
  </si>
  <si>
    <t>210616_Lippe_nach_KA_4_210519_2</t>
  </si>
  <si>
    <t>210616_Lippe_nach_KA_4_210519_3</t>
  </si>
  <si>
    <t>210616_MW_14Uhr_210518_1</t>
  </si>
  <si>
    <t>210616_MW_14Uhr_210518_2</t>
  </si>
  <si>
    <t>210616_MW_14Uhr_210518_3</t>
  </si>
  <si>
    <t>210616_MW_15Uhr_210518_1</t>
  </si>
  <si>
    <t>210616_MW_15Uhr_210518_2</t>
  </si>
  <si>
    <t>210616_MW_15Uhr_210518_3</t>
  </si>
  <si>
    <t>210616_MW_18Uhr_210518_1</t>
  </si>
  <si>
    <t>210616_MW_18Uhr_210518_2</t>
  </si>
  <si>
    <t>210616_MW_18Uhr_210518_3</t>
  </si>
  <si>
    <t>210616_Sickerwasser_120cm_Nov2020</t>
  </si>
  <si>
    <t>Sickerwasser</t>
  </si>
  <si>
    <t>210616_Sickerwasser_40cm_Nov2020</t>
  </si>
  <si>
    <t>210616_Sickerwasser_80cm_Nov2020</t>
  </si>
  <si>
    <t>210616_Sickerwasser_80cm_Nov2021</t>
  </si>
  <si>
    <t>210616_s_Bodenretentionsfilter_210519_Probe1</t>
  </si>
  <si>
    <t>Bodenretentionsfilter</t>
  </si>
  <si>
    <t>210616_s_Bodenretentionsfilter_210519_Probe2_1</t>
  </si>
  <si>
    <t>210624_Hamm_Abl_NK_21051819_1</t>
  </si>
  <si>
    <t>210624_Hamm_Abl_NK_21051819_2</t>
  </si>
  <si>
    <t>210624_Hamm_Abl_NK_21051819_3</t>
  </si>
  <si>
    <t>210624_KWS_Abl_Bio_20102829_1</t>
  </si>
  <si>
    <t>210624_KWS_Abl_Bio_20102829_2</t>
  </si>
  <si>
    <t>210624_KWS_Abl_Bio_20102829_3</t>
  </si>
  <si>
    <t>210624_KWS_Hydrolysat_201030_1</t>
  </si>
  <si>
    <t>210624_KWS_Hydrolysat_201030_2</t>
  </si>
  <si>
    <t>210624_KWS_Hydrolysat_201030_3</t>
  </si>
  <si>
    <t>210624_KWS_UESS_201030_1</t>
  </si>
  <si>
    <t>KWS, Schlamm</t>
  </si>
  <si>
    <t>210624_KWS_UESS_201030_2</t>
  </si>
  <si>
    <t>210624_KWS_UESS_201030_3</t>
  </si>
  <si>
    <t>210624_Lippe_Ruderklub_Sediment_210518_1</t>
  </si>
  <si>
    <t>Flussproben, Lippe</t>
  </si>
  <si>
    <t>210624_Lippe_Ruderklub_Sediment_210518_2</t>
  </si>
  <si>
    <t>210624_Lippe_Ruderklub_Sediment_210518_3</t>
  </si>
  <si>
    <t>210624_Lippe_vor_KA_3_210519_1</t>
  </si>
  <si>
    <t>210624_Lippe_vor_KA_3_210519_2</t>
  </si>
  <si>
    <t>210624_Lippe_vor_KA_3_210519_3</t>
  </si>
  <si>
    <t>210624_Lippe_vor_KA_5_210520_1</t>
  </si>
  <si>
    <t>210624_Lippe_vor_KA_5_210520_2</t>
  </si>
  <si>
    <t>210624_Lippe_vor_KA_5_210520_3</t>
  </si>
  <si>
    <t>210624_Luebeck_Abl_SF_21060910_1</t>
  </si>
  <si>
    <t>210624_Luebeck_Abl_SF_21060910_2</t>
  </si>
  <si>
    <t>210624_Luebeck_Abl_SF_21060910_3</t>
  </si>
  <si>
    <t>210624_Standard_PMMA_PE</t>
  </si>
  <si>
    <t>210624_Standard_PP_PA</t>
  </si>
  <si>
    <t>210624_Standard_PS_PET</t>
  </si>
  <si>
    <t>210705_Hamm_Abl_NK_21051920_1</t>
  </si>
  <si>
    <t>210705_Hamm_Abl_NK_21051920_2</t>
  </si>
  <si>
    <t>210705_Hamm_Abl_NK_21051920_3</t>
  </si>
  <si>
    <t>210705_Hamm_Abl_NK_21051920_spike_PE</t>
  </si>
  <si>
    <t>Kläranlage, Methode</t>
  </si>
  <si>
    <t>210705_Hamm_Abl_NK_21051920_spike_PET</t>
  </si>
  <si>
    <t>210705_Hamm_Abl_NK_21051920_spike_PP</t>
  </si>
  <si>
    <t>210705_Hamm_Abl_NK_21052021_1</t>
  </si>
  <si>
    <t>210705_Hamm_Abl_NK_21052021_3</t>
  </si>
  <si>
    <t>210705_Luebeck_Abl_Filt_21060809_1</t>
  </si>
  <si>
    <t>210705_Luebeck_Abl_Filt_21060809_2</t>
  </si>
  <si>
    <t>210705_Luebeck_Abl_Filt_21060809_3</t>
  </si>
  <si>
    <t>210705_Luebeck_Abl_Filt_21060809_spike_PS</t>
  </si>
  <si>
    <t>210705_Luebeck_Zul_Filt_21060809_2</t>
  </si>
  <si>
    <t>210705_Luebeck_Zul_Filt_21060809_3</t>
  </si>
  <si>
    <t>210705_Luebeck_Zul_Filt_21060910_1</t>
  </si>
  <si>
    <t>210705_Luebeck_Zul_Filt_21060910_2</t>
  </si>
  <si>
    <t>210705_Standard_PP</t>
  </si>
  <si>
    <t>210714_KWS_Abl_VK_A_20102728_1</t>
  </si>
  <si>
    <t>210714_KWS_Abl_VK_A_20102728_2</t>
  </si>
  <si>
    <t>210714_KWS_Abl_VK_A_20102728_3</t>
  </si>
  <si>
    <t>210714_Luebeck_Abl_Filt_21060910_1</t>
  </si>
  <si>
    <t>Kläranlagen</t>
  </si>
  <si>
    <t>210714_Luebeck_Abl_Filt_21060910_2</t>
  </si>
  <si>
    <t>210714_Luebeck_Abl_Filt_21060910_3</t>
  </si>
  <si>
    <t>210714_Luebeck_Zul_Filt_21060809_1</t>
  </si>
  <si>
    <t>210714_Luebeck_Zul_Filt_21060809_2</t>
  </si>
  <si>
    <t>210714_Luebeck_Zul_Filt_21060910_1</t>
  </si>
  <si>
    <t>210714_Luebeck_Zul_Filt_21060910_2</t>
  </si>
  <si>
    <t>210714_Rostock_Abl_Filt_21060204_22Uhr_1</t>
  </si>
  <si>
    <t>210714_Rostock_Abl_Filt_21060204_22Uhr_2</t>
  </si>
  <si>
    <t>210714_Rostock_PS_UESS_210621_1</t>
  </si>
  <si>
    <t>210714_Rostock_PS_UESS_210621_2</t>
  </si>
  <si>
    <t>210714_Rostock_PS_UESS_210621_3</t>
  </si>
  <si>
    <t>210730_KWS_Zul_SF_20061819_1</t>
  </si>
  <si>
    <t>210730_KWS_Zul_SF_20061819_2</t>
  </si>
  <si>
    <t>210730_KWS_Zul_SF_20102829_1</t>
  </si>
  <si>
    <t>210730_KWS_Zul_SF_20102829_2</t>
  </si>
  <si>
    <t>210730_Standard_PE</t>
  </si>
  <si>
    <t>210802_KWS_Zul_SF_20102829_spike_PE_PET_PA</t>
  </si>
  <si>
    <t>210802_KWS_Zul_SF_20102829_spike_PP_PS_PMMA_1</t>
  </si>
  <si>
    <t>210802_KWS_Zul_SF_20102829_spike_PP_PS_PMMA_2</t>
  </si>
  <si>
    <t>210802_Luebeck_Zul_SF_21060809_1</t>
  </si>
  <si>
    <t>210802_Luebeck_Zul_SF_21060809_2</t>
  </si>
  <si>
    <t>210802_Luebeck_Zul_SF_21060809_Schlamm_1</t>
  </si>
  <si>
    <t>210802_Luebeck_Zul_SF_21060809_Schlamm_2</t>
  </si>
  <si>
    <t>210802_Rostock_PS_UESS_210621_spike_PP</t>
  </si>
  <si>
    <t>Kläranlagen, Methode</t>
  </si>
  <si>
    <t>210802_Standard_PET_PE_PA_1</t>
  </si>
  <si>
    <t>210802_Standard_PET_PE_PA_2</t>
  </si>
  <si>
    <t>210802_Standard_PS_PP_PMMA</t>
  </si>
  <si>
    <t>210827_E-FS_201030_10µL_1</t>
  </si>
  <si>
    <t>210827_Lippe_vor_KA_210520_10µL_1</t>
  </si>
  <si>
    <t>210827_Malchow_Abl_Filt_21062223_1</t>
  </si>
  <si>
    <t>210827_Malchow_Abl_Filt_21062223_2</t>
  </si>
  <si>
    <t>210827_Malchow_Abl_Filt_21062223_3</t>
  </si>
  <si>
    <t>210827_Malchow_Abl_SF_21062223_1</t>
  </si>
  <si>
    <t>210827_Malchow_Abl_SF_21062223_2</t>
  </si>
  <si>
    <t>210827_Malchow_Abl_SF_21062223_3</t>
  </si>
  <si>
    <t>210827_Malchow_Zul_Filt_21062223_1</t>
  </si>
  <si>
    <t>210827_Malchow_Zul_Filt_21062223_2</t>
  </si>
  <si>
    <t>210827_Malchow_Zul_Filt_21062223_3</t>
  </si>
  <si>
    <t>210827_Rostock_Abl_SF_21060203_1</t>
  </si>
  <si>
    <t>210827_Rostock_Abl_SF_21060203_2</t>
  </si>
  <si>
    <t>210901_Malchow_Abl_Filt_21062122_1</t>
  </si>
  <si>
    <t>210901_Malchow_Abl_Filt_21062122_2</t>
  </si>
  <si>
    <t>210901_Malchow_Abl_Filt_21062122_3</t>
  </si>
  <si>
    <t>210901_Malchow_Abl_SF_21062122_1</t>
  </si>
  <si>
    <t>210901_Malchow_Abl_SF_21062122_2</t>
  </si>
  <si>
    <t>210901_Malchow_Abl_SF_21062122_3</t>
  </si>
  <si>
    <t>210901_Rostock_Zul_Filt_21060203_1</t>
  </si>
  <si>
    <t>210901_Rostock_Zul_Filt_21060203_2</t>
  </si>
  <si>
    <t>210901_Rostock_Zul_Filt_21060203_3</t>
  </si>
  <si>
    <t>210901_Standard_PA_SBR</t>
  </si>
  <si>
    <t>210901_Standard_PE_PP</t>
  </si>
  <si>
    <t>210901_Waren_Abl_Filt_21061617_1</t>
  </si>
  <si>
    <t>210901_Waren_Abl_Filt_21061617_2</t>
  </si>
  <si>
    <t>210901_Waren_Abl_Filt_21061617_3</t>
  </si>
  <si>
    <t>210901_Waren_Abl_Filt_21061617_spike_PS_PET</t>
  </si>
  <si>
    <t>210901_Waren_Abl_SF_21061617_1</t>
  </si>
  <si>
    <t>210901_Waren_Abl_SF_21061617_2</t>
  </si>
  <si>
    <t>210901_Waren_Abl_SF_21061617_3</t>
  </si>
  <si>
    <t>210901_Rostock_Zul_Filt_21060102_1</t>
  </si>
  <si>
    <t>210901_Rostock_Zul_Filt_21060102_2</t>
  </si>
  <si>
    <t>210901_Rostock_Zul_Filt_21060102_3</t>
  </si>
  <si>
    <t>210901_Waren_Abl_FIlt_21061617_1</t>
  </si>
  <si>
    <t>210901_Waren_Abl_FIlt_21061617_2</t>
  </si>
  <si>
    <t>210901_Waren_Abl_FIlt_21061617_3</t>
  </si>
  <si>
    <t>210914_Sickerwasser_40_cm_19</t>
  </si>
  <si>
    <t>210914_Sickerwasser_40_cm_20</t>
  </si>
  <si>
    <t>210914_Sickerwasser_Blindprobe_17</t>
  </si>
  <si>
    <t>210914_Sickerwasser_Blindprobe_18</t>
  </si>
  <si>
    <t>210924_Waren_Abl_Filt_21061415_1</t>
  </si>
  <si>
    <t>210924_Waren_Abl_Filt_21061415_2</t>
  </si>
  <si>
    <t>210924_Waren_Abl_Filt_21061415_3</t>
  </si>
  <si>
    <t>210924_Waren_Zul_Filt_21061415_1</t>
  </si>
  <si>
    <t>210924_Waren_Zul_Filt_21061415_2</t>
  </si>
  <si>
    <t>210924_Waren_Zul_Filt_21061415_3</t>
  </si>
  <si>
    <t>210924_Waren_Zul_Filt_21061617_1</t>
  </si>
  <si>
    <t>210924_Waren_Zul_Filt_21061617_2</t>
  </si>
  <si>
    <t>211011_c_1E_KWB_1</t>
  </si>
  <si>
    <t>KWB</t>
  </si>
  <si>
    <t>211011_c_1E_KWB_2</t>
  </si>
  <si>
    <t>211011_c_1R_KWB_1</t>
  </si>
  <si>
    <t>211011_c_2E_KWB_1</t>
  </si>
  <si>
    <t>211011_c_2E_KWB_2</t>
  </si>
  <si>
    <t>211011_Malchow_Abl_Filt_21062122_1</t>
  </si>
  <si>
    <t>211011_Malchow_Abl_Filt_21062122_2</t>
  </si>
  <si>
    <t>211011_Malchow_Zul_Filt_21062122_1</t>
  </si>
  <si>
    <t>211011_Malchow_Zul_Filt_21062122_2</t>
  </si>
  <si>
    <t>211011_Malchow_Zul_Filt_21062122_3</t>
  </si>
  <si>
    <t>211011_PW_neueS_Schale_c_1</t>
  </si>
  <si>
    <t>211011_PW_neueS_Schale_c_2</t>
  </si>
  <si>
    <t>211011_PW_neueS_Schale_c_3</t>
  </si>
  <si>
    <t>211011_Rostock_Zul_Filt_21060102_1</t>
  </si>
  <si>
    <t>211011_Rostock_Zul_Filt_21060102_2</t>
  </si>
  <si>
    <t>211011_Rostock_Zul_Filt_21060102_3</t>
  </si>
  <si>
    <t>211011_Waren_Zul_Filt_21061617_1</t>
  </si>
  <si>
    <t>211011_Waren_Zul_Filt_21061617_2</t>
  </si>
  <si>
    <t>211015_Ringversuch_Vergleichsprobe_6_1 (Julia)</t>
  </si>
  <si>
    <t>Ringversuch</t>
  </si>
  <si>
    <t>211015_Ringversuch_Vergleichsprobe_6_2 (Julia)</t>
  </si>
  <si>
    <t>211015_Ringversuch_Vergleichsprobe_6_3 (Julia)</t>
  </si>
  <si>
    <t>211015_Ringversuch_Vergleichsprobe_6_spike_PE (Julia)</t>
  </si>
  <si>
    <t>211015_Ringversuch_Vergleichsprobe_6_spike_PET (Julia)</t>
  </si>
  <si>
    <t>211015_Ringversuch_Vergleichsprobe_6_spike_PP_PA (Julia)</t>
  </si>
  <si>
    <t>211015_Ringversuch_Vergleichsprobe_6_spike_SBR (Julia)</t>
  </si>
  <si>
    <t>211015_Ringversuch_VP_6_spike_15µL_PS_PMMA (Julia)</t>
  </si>
  <si>
    <t>211015_Waren_Abl_Filt_21061617_spike_PE_PS_PMMA</t>
  </si>
  <si>
    <t>211015_c_2R_KWB_1</t>
  </si>
  <si>
    <t>211015_c_2R_KWB_2</t>
  </si>
  <si>
    <t>211015_H_1-1_1</t>
  </si>
  <si>
    <t>Bodenproben</t>
  </si>
  <si>
    <t>211015_H_1-1_2</t>
  </si>
  <si>
    <t>211015_Rostock_Abl_SF_21060203_1</t>
  </si>
  <si>
    <t>211015_Rostock_Abl_SF_21060203_2</t>
  </si>
  <si>
    <t>211015_Rostock_Abl_SF_21060203_3</t>
  </si>
  <si>
    <t>211015_Waren_Zul_Filt_21061617_1</t>
  </si>
  <si>
    <t>211015_Ringversuch_Vergleichsprobe_6_2 (Luisa)</t>
  </si>
  <si>
    <t>211015_Ringversuch_Vergleichsprobe_6_3 (Luisa)</t>
  </si>
  <si>
    <t>211015_Ringversuch_Vergleichsprobe_6_spike_PE (Luisa)</t>
  </si>
  <si>
    <t>211015_Ringversuch_Vergleichsprobe_6_spike_PET (Luisa)</t>
  </si>
  <si>
    <t>211015_Ringversuch_Vergleichsprobe_6_spike_PP_PA (Luisa)</t>
  </si>
  <si>
    <t>211015_Ringversuch_Vergleichsprobe_6_spike_SBR (Luisa)</t>
  </si>
  <si>
    <t>211015_Ringversuch_VP_6_spike_15µL_PS_PMMA (Luisa)</t>
  </si>
  <si>
    <t>211026_Lippe_nach_KA_4_210915_1</t>
  </si>
  <si>
    <t>211026_Lippe_nach_KA_4_210915_2</t>
  </si>
  <si>
    <t>211026_Lippe_nach_KA_4_210915_3</t>
  </si>
  <si>
    <t>211026_Lippe_vor_KA_1_210914_1</t>
  </si>
  <si>
    <t>211026_Lippe_vor_KA_1_210914_2</t>
  </si>
  <si>
    <t>211026_Lippe_vor_KA_1_210914_3</t>
  </si>
  <si>
    <t>211026_Lippe_vor_KA_3_210915_1</t>
  </si>
  <si>
    <t>211026_Lippe_vor_KA_3_210915_2</t>
  </si>
  <si>
    <t>211026_Lippe_vor_KA_3_210915_3</t>
  </si>
  <si>
    <t>211026_Lippe_vor_KA_5_210916_1</t>
  </si>
  <si>
    <t>211026_Lippe_vor_KA_5_210916_2</t>
  </si>
  <si>
    <t>211026_Lippe_vor_KA_5_210916_3</t>
  </si>
  <si>
    <t>211026_Standard_PP</t>
  </si>
  <si>
    <t>211026_Urban-Filters_TGA-Probe_1</t>
  </si>
  <si>
    <t>Straßenabfluss</t>
  </si>
  <si>
    <t>211026_Urban-Filters_TGA-Probe_2</t>
  </si>
  <si>
    <t>211026_Waren_Abl_SF_21061415_1</t>
  </si>
  <si>
    <t>211026_Waren_Abl_SF_21061415_2</t>
  </si>
  <si>
    <t>211026_Waren_Abl_SF_21061415_3</t>
  </si>
  <si>
    <t>211101_Ringversuch_Vergleichsprobe_6_spike_PE</t>
  </si>
  <si>
    <t>211101_Waren_Abl_Filt_21061617_spike_PE</t>
  </si>
  <si>
    <t>211101_Waren_Zul_Filt_21061617_1</t>
  </si>
  <si>
    <t>211101_Waren_Zul_Filt_21061617_2</t>
  </si>
  <si>
    <t>210906_E-FS_201030_1</t>
  </si>
  <si>
    <t>210906_E-FS_201030_2</t>
  </si>
  <si>
    <t>210906_E-FS_201030_3</t>
  </si>
  <si>
    <t>211104_Blindprobe_Lab_VE-Wasser_210819</t>
  </si>
  <si>
    <t>211104_Boden_Retentionsfilter_Probe_2_210519</t>
  </si>
  <si>
    <t>211104_November2020_TUBS_Sickerwasser_120cm</t>
  </si>
  <si>
    <t>211104_RBF_Waltrop_Probe_1a_210916</t>
  </si>
  <si>
    <t>211104_RBF_Waltrop_Probe_1b_210916</t>
  </si>
  <si>
    <t>211104_RBF_Waltrop_Probe_1c_210916</t>
  </si>
  <si>
    <t>211104_RBF_Waltrop_Probe_1d_210916</t>
  </si>
  <si>
    <t>211108_KWS_E-FS_201030_1</t>
  </si>
  <si>
    <t>211108_KWS_E-FS_201030_2</t>
  </si>
  <si>
    <t>211108_KWS_E-FS_201030_3</t>
  </si>
  <si>
    <t>211108_Lippe_nach_KA_2_210914_1</t>
  </si>
  <si>
    <t>211108_Lippe_nach_KA_2_210914_2</t>
  </si>
  <si>
    <t>211108_Lippe_nach_KA_6_210914_1</t>
  </si>
  <si>
    <t>211108_Lippe_nach_KA_6_210914_2</t>
  </si>
  <si>
    <t>211108_Lippe_nach_KA_6_210914_3</t>
  </si>
  <si>
    <t>211108_RUEB_210915_1</t>
  </si>
  <si>
    <t>RÜB</t>
  </si>
  <si>
    <t>211108_RUEB_210915_2</t>
  </si>
  <si>
    <t>211108_RUEB_210915_3</t>
  </si>
  <si>
    <t>211118_KWS_E-FS_201030_1</t>
  </si>
  <si>
    <t>211118_KWS_E-FS_201030_2</t>
  </si>
  <si>
    <t>211118_KWS_E-FS_201030_3</t>
  </si>
  <si>
    <t>211118_KWS_Zul_SF_20102728_gr1mm_spike_PS</t>
  </si>
  <si>
    <t>211118_Lippe_nach_KA_4_210519_1</t>
  </si>
  <si>
    <t>211118_Lippe_nach_KA_4_210519_2</t>
  </si>
  <si>
    <t>211118_Lippe_nach_KA_4_210519_3</t>
  </si>
  <si>
    <t>211118_Malchow_Zul_Filt_19081314_gr1mm_1</t>
  </si>
  <si>
    <t>211118_Malchow_Zul_Filt_19081314_gr1mm_2</t>
  </si>
  <si>
    <t>211118_Malchow_Zul_Filt_19081314_gr1mm_3</t>
  </si>
  <si>
    <t>211118_Münchehofe_Abl_SF_19102324_gr1mm_1</t>
  </si>
  <si>
    <t>211118_Münchehofe_Abl_SF_19102324_gr1mm_2</t>
  </si>
  <si>
    <t>211118_Münchehofe_Abl_SF_19102324_gr1mm_3</t>
  </si>
  <si>
    <t>211118_Münchehofe_KA_Zul_19102930_gr1mm_1</t>
  </si>
  <si>
    <t>211118_Münchehofe_KA_Zul_19102930_gr1mm_2</t>
  </si>
  <si>
    <t>211118_Münchehofe_KA_Zul_19102930_gr1mm_3</t>
  </si>
  <si>
    <t>211118_RBF_Waltrop_Probe_2</t>
  </si>
  <si>
    <t>RBF</t>
  </si>
  <si>
    <t>211118_Standard_SBR</t>
  </si>
  <si>
    <t>211118_Urban-Filters_TGA-Probe_1</t>
  </si>
  <si>
    <t>211118_Urban-Filters_TGA-Probe_2</t>
  </si>
  <si>
    <t>211118_Waren_Zul_Filt_21061617_1</t>
  </si>
  <si>
    <t>211118_Waren_Zul_Filt_21061617_2</t>
  </si>
  <si>
    <t>211122_KWS_Abl_NK_20102728_gr1mm_1</t>
  </si>
  <si>
    <t>211122_KWS_Abl_NK_20102728_gr1mm_2</t>
  </si>
  <si>
    <t>211122_KWS_Abl_NK_20102728_gr1mm_3</t>
  </si>
  <si>
    <t>211122_KWS_Zul_SF_20102728_gr1mm_1</t>
  </si>
  <si>
    <t>211122_KWS_Zul_SF_20102728_gr1mm_2</t>
  </si>
  <si>
    <t>211122_KWS_Zul_SF_20102728_gr1mm_3</t>
  </si>
  <si>
    <t>211122_Lippe_nach_KA_4_210519_1</t>
  </si>
  <si>
    <t>211122_Lippe_nach_KA_4_210519_2</t>
  </si>
  <si>
    <t>211122_Lippe_nach_KA_4_210519_3</t>
  </si>
  <si>
    <t>211122_Lippe_nach_KA_4_210519_spike_PE</t>
  </si>
  <si>
    <t>211122_Standard_PET</t>
  </si>
  <si>
    <t>211122_Standard_PP</t>
  </si>
  <si>
    <t>211122_Urban-Filters_TGA-Probe_1</t>
  </si>
  <si>
    <t>211122_Urban-Filters_TGA-Probe_2</t>
  </si>
  <si>
    <t>211124_KWS_Abl_Bio_20102728_spike_B2_1</t>
  </si>
  <si>
    <t>211124_KWS_Abl_Bio_20102728_spike_B2_2</t>
  </si>
  <si>
    <t>211124_KWS_FS_201028_spike_B2_1</t>
  </si>
  <si>
    <t>211124_KWS_FS_201028_spike_B2_2</t>
  </si>
  <si>
    <t>211124_KWS_FS_201028_spike_B2_3</t>
  </si>
  <si>
    <t>211124_KWS_UESS_201028_spike_B2_1</t>
  </si>
  <si>
    <t>211124_KWS_UESS_201028_spike_B2_2</t>
  </si>
  <si>
    <t>211124_KWS_UESS_201028_spike_B2_3</t>
  </si>
  <si>
    <t>211124_Malchow_Zul_KA_19081314_gr1mm_1</t>
  </si>
  <si>
    <t>211124_Malchow_Zul_KA_19081314_gr1mm_2</t>
  </si>
  <si>
    <t>211124_Malchow_Zul_KA_19081314_gr1mm_3</t>
  </si>
  <si>
    <t>211124_WEB_4A_211014_1</t>
  </si>
  <si>
    <t>211124_WEB_4A_211014_2</t>
  </si>
  <si>
    <t>211124_WEB_4A_211014_3</t>
  </si>
  <si>
    <t>211101_BP2_1-1_1</t>
  </si>
  <si>
    <t>211101_BP2_1-1_2</t>
  </si>
  <si>
    <t>211101_BP2_1-2_1</t>
  </si>
  <si>
    <t>211101_BP2_1-2_2</t>
  </si>
  <si>
    <t>211101_BP2_1-3_1</t>
  </si>
  <si>
    <t>211101_BP2_1-3_2</t>
  </si>
  <si>
    <t>211101_BP2_2-1_1</t>
  </si>
  <si>
    <t>211101_BP2_2-2_2</t>
  </si>
  <si>
    <t>211101_BP2_2-3_1</t>
  </si>
  <si>
    <t>211101_BP2_2-3_2</t>
  </si>
  <si>
    <t>211101_BP2_2-1_2</t>
  </si>
  <si>
    <t>211101_BP2_2-2_1</t>
  </si>
  <si>
    <t>211209_BP_2-1</t>
  </si>
  <si>
    <t>211209_BP_2-2</t>
  </si>
  <si>
    <t>211209_KWS_E-FS_201030_20_PS_PMMA_PA_PET</t>
  </si>
  <si>
    <t>211209_KWS_PS_201028_spike_B2_1</t>
  </si>
  <si>
    <t>211209_KWS_PS_201028_spike_B2_2</t>
  </si>
  <si>
    <t>211209_KWS_PS_201028_spike_B2_3</t>
  </si>
  <si>
    <t>211209_Lippe_nach_KA_4_210519_10_PS_PMMA_PA</t>
  </si>
  <si>
    <t>211209_Standard_20_PS_PMMA_SBR_1</t>
  </si>
  <si>
    <t>211209_Standard_20_PS_PMMA_SBR_2</t>
  </si>
  <si>
    <t>211209_WEB_4A_141021_spike_10_PS_PMMA_SBR</t>
  </si>
  <si>
    <t>Straßenabfluss, Methode</t>
  </si>
  <si>
    <t>211209_WEB_4A_210927_a_1</t>
  </si>
  <si>
    <t>211209_WEB_4A_210927_a_2</t>
  </si>
  <si>
    <t>211209_WEB_4A_210927_b_1</t>
  </si>
  <si>
    <t>211209_WEB_4A_210927_b_2</t>
  </si>
  <si>
    <t>211209_WEB_4A_b_210927_spike_10_PS_PMMA_SBR</t>
  </si>
  <si>
    <t>211209_WEB_4B_211014_1</t>
  </si>
  <si>
    <t>211209_WEB_4B_211014_2</t>
  </si>
  <si>
    <t>211209_WEB_4C_210927_1</t>
  </si>
  <si>
    <t>211209_WEB_4C_210927_2</t>
  </si>
  <si>
    <t>211209_WEB_4C_211014_1</t>
  </si>
  <si>
    <t>211209_WEB_4C_211014_2</t>
  </si>
  <si>
    <t>211209_WEB_4D_210927_1</t>
  </si>
  <si>
    <t>211209_WEB_4D_210927_2</t>
  </si>
  <si>
    <t>211209_WEB_4D_211014_1</t>
  </si>
  <si>
    <t>211209_WEB_4D_211014_2</t>
  </si>
  <si>
    <t>211214_KWS_Abl_Bio_20102728_spike_PE</t>
  </si>
  <si>
    <t>211214_Standard_PE</t>
  </si>
  <si>
    <t>211214_WEB_2A_210920_1</t>
  </si>
  <si>
    <t>211214_WEB_2A_210920_2</t>
  </si>
  <si>
    <t>211214_WEB_2B_210920_2</t>
  </si>
  <si>
    <t>211214_WEB_2C_210920_1</t>
  </si>
  <si>
    <t>211214_WEB_2C_210920_2</t>
  </si>
  <si>
    <t>211214_WEB_2D_210920_1</t>
  </si>
  <si>
    <t>211214_WEB_2D_210920_2</t>
  </si>
  <si>
    <t>211214_WEB_3A_210920_1</t>
  </si>
  <si>
    <t>211214_WEB_3A_210920_2</t>
  </si>
  <si>
    <t>211214_WEB_3B_210920_1</t>
  </si>
  <si>
    <t>211214_WEB_3B_210920_2</t>
  </si>
  <si>
    <t>211214_WEB_3C_210920_1</t>
  </si>
  <si>
    <t>211214_WEB_3C_210920_2</t>
  </si>
  <si>
    <t>211214_WEB_3D_210920_1</t>
  </si>
  <si>
    <t>211214_WEB_3D_210920_2</t>
  </si>
  <si>
    <t>211227_VTA_Hydroprompt_Forte_1_1</t>
  </si>
  <si>
    <t>211227_VTA_Hydroprompt_Forte_1_2</t>
  </si>
  <si>
    <t>211227_VTA_Hydroprompt_Forte_1_3</t>
  </si>
  <si>
    <t>211227_VTA_Hydroprompt_Forte_2_1</t>
  </si>
  <si>
    <t>211227_VTA_Hydroprompt_Forte_2_2</t>
  </si>
  <si>
    <t>211227_VTA_Hydroprompt_Forte_2_3</t>
  </si>
  <si>
    <t>211227_VTA_Microfloc_WA_1_1</t>
  </si>
  <si>
    <t>211227_VTA_Microfloc_WA_1_2</t>
  </si>
  <si>
    <t>211227_VTA_Microfloc_WA_1_3</t>
  </si>
  <si>
    <t>211227_VTA_Microfloc_WA_2_1</t>
  </si>
  <si>
    <t>211227_VTA_Microfloc_WA_2_2</t>
  </si>
  <si>
    <t>211227_VTA_Microfloc_WA_2_3</t>
  </si>
  <si>
    <t>211227_VTA_Referenz_1_1</t>
  </si>
  <si>
    <t>211227_VTA_Referenz_1_2</t>
  </si>
  <si>
    <t>211227_VTA_Referenz_1_3</t>
  </si>
  <si>
    <t>211227_VTA_Referenz_2_1</t>
  </si>
  <si>
    <t>210820_FK3_1</t>
  </si>
  <si>
    <t>210820_FK3_2</t>
  </si>
  <si>
    <t>210820_FK3_3</t>
  </si>
  <si>
    <t>210820_gefaul_UESS_NeueS_R-Metallkugeln_PM_210209</t>
  </si>
  <si>
    <t>210820_Luebeck_Zul_Filt_190806_1</t>
  </si>
  <si>
    <t>210820_Luebeck_Zul_Filt_190806_2</t>
  </si>
  <si>
    <t>210820_Luebeck_Zul_Filt_190806_3</t>
  </si>
  <si>
    <t>210820_Rostock_Abl_Filt_21060102_1</t>
  </si>
  <si>
    <t>210820_Rostock_Abl_Filt_21060102_2</t>
  </si>
  <si>
    <t>210820_Rostock_Abl_Filt_21060102_3</t>
  </si>
  <si>
    <t>210820_gefaul_UESS_neueS_R-Metallkugeln_PM_210209</t>
  </si>
  <si>
    <t>PP1_2_4_dimethylhept_1_ene</t>
  </si>
  <si>
    <t>PP2_2_4_6_trimethylnon_1_ene</t>
  </si>
  <si>
    <t>PP3_2_4_6_trimethylnon_1_ene</t>
  </si>
  <si>
    <t>PP4_2_4_6_8_tetramethylundec_1_ene</t>
  </si>
  <si>
    <t>PP5_2_4_6_8_tetramethylundec_1_ene</t>
  </si>
  <si>
    <t>PP6_2_4_6_8_tetramethylundec_1_ene</t>
  </si>
  <si>
    <t xml:space="preserve">Gesamt-bewertung </t>
  </si>
  <si>
    <t>V k neu</t>
  </si>
  <si>
    <t>Vk alt</t>
  </si>
  <si>
    <t>210429_C_VKA_ZFA_20092-4_1</t>
  </si>
  <si>
    <t>210429_C_VKA_ZFA_20092-4_2</t>
  </si>
  <si>
    <t>210429_C_VKA_ZFA_20092-4_3</t>
  </si>
  <si>
    <t>210602_MW2_15Uhr_autom_PN210518_1</t>
  </si>
  <si>
    <t>210602_MW2_15Uhr_autom_PN210518_2</t>
  </si>
  <si>
    <t>210602_MW2_15Uhr_autom_PN210518_3</t>
  </si>
  <si>
    <t>211015_Ringversuch_Vergleichsprobe_6_1</t>
  </si>
  <si>
    <t>211015_Ringversuch_Vergleichsprobe_6_2</t>
  </si>
  <si>
    <t>211015_Ringversuch_Vergleichsprobe_6_3</t>
  </si>
  <si>
    <t>211015_Ringversuch_Vergleichsprobe_6_spike_PE</t>
  </si>
  <si>
    <t>211015_Ringversuch_Vergleichsprobe_6_spike_PET</t>
  </si>
  <si>
    <t>211015_Ringversuch_Vergleichsprobe_6_spike_PP_PA</t>
  </si>
  <si>
    <t>211015_Ringversuch_Vergleichsprobe_6_spike_SBR</t>
  </si>
  <si>
    <t>211015_Ringversuch_VP_6_spike_15µL_PS_PMMA</t>
  </si>
  <si>
    <t>211209_WEB_4A_B_210927_spike_10_PS_PMMA_SBR</t>
  </si>
  <si>
    <t>PS1_Styrene</t>
  </si>
  <si>
    <t>PS2_2_4_Diphenyl_1_butene</t>
  </si>
  <si>
    <t>PS3_2_4_6_Triphenyl_1_hexen</t>
  </si>
  <si>
    <t>Mittelwert amit PS1</t>
  </si>
  <si>
    <t>Mittelwert ohne PS1</t>
  </si>
  <si>
    <t>Spannweite</t>
  </si>
  <si>
    <t>Spike</t>
  </si>
  <si>
    <t>Wiederfindung mit PS2/3</t>
  </si>
  <si>
    <t>Wiederfindung mit PS1</t>
  </si>
  <si>
    <t>211209_Lippe_nach_KA_4_210519_20_PS_PMMA_PA</t>
  </si>
  <si>
    <t>PMMA1_Methyl_Methacrylate</t>
  </si>
  <si>
    <t>Aufstockung</t>
  </si>
  <si>
    <t xml:space="preserve">Bemerkung </t>
  </si>
  <si>
    <t>PET2_Methylbenzoat</t>
  </si>
  <si>
    <t>PET3_Vinylbenzoat</t>
  </si>
  <si>
    <t>PET4_Ethylbenzoat</t>
  </si>
  <si>
    <t>PET5_Benzoic_acid</t>
  </si>
  <si>
    <t>PET7_Diethyl_phthalate</t>
  </si>
  <si>
    <t>Mittelwert neu</t>
  </si>
  <si>
    <t>Mittelwert</t>
  </si>
  <si>
    <t>211108_Lippe_nach_KA_2_210914_3</t>
  </si>
  <si>
    <t>21122_KWS_Abl_NK_20102728_gr1mm_1</t>
  </si>
  <si>
    <t>21122_KWS_Abl_NK_20102728_gr1mm_2</t>
  </si>
  <si>
    <t>21122_KWS_Abl_NK_20102728_gr1mm_3</t>
  </si>
  <si>
    <t>21122_KWS_Zul_SF_20102728_gr1mm_1</t>
  </si>
  <si>
    <t>21122_KWS_Zul_SF_20102728_gr1mm_2</t>
  </si>
  <si>
    <t>21122_KWS_Zul_SF_20102728_gr1mm_3</t>
  </si>
  <si>
    <t>211214_KW_Abl_Bio_20102728_spike_PE</t>
  </si>
  <si>
    <t>PET8_Divinyl_phthalat</t>
  </si>
  <si>
    <t>PA1_caprolactam</t>
  </si>
  <si>
    <t>SBR2_4_phenylcyclohexene</t>
  </si>
  <si>
    <t>Experiment</t>
  </si>
  <si>
    <t>Probenart</t>
  </si>
  <si>
    <t>PE-Güte</t>
  </si>
  <si>
    <t>PE</t>
  </si>
  <si>
    <t>PP</t>
  </si>
  <si>
    <t>PS</t>
  </si>
  <si>
    <t>PMMA</t>
  </si>
  <si>
    <t>PET</t>
  </si>
  <si>
    <t>PA</t>
  </si>
  <si>
    <t>SBR</t>
  </si>
  <si>
    <t>Summe MP ohne PVC</t>
  </si>
  <si>
    <t xml:space="preserve">Probenvolumen </t>
  </si>
  <si>
    <t xml:space="preserve">TS &gt; 10 µm </t>
  </si>
  <si>
    <t xml:space="preserve">TS-Gehalt </t>
  </si>
  <si>
    <t>Summe MP</t>
  </si>
  <si>
    <t>Summe PE, PP, PS</t>
  </si>
  <si>
    <t>Einheit</t>
  </si>
  <si>
    <t>Vk [-]</t>
  </si>
  <si>
    <t>[µg/mg]</t>
  </si>
  <si>
    <t>[L]</t>
  </si>
  <si>
    <t>[g]</t>
  </si>
  <si>
    <t>[mg/L]</t>
  </si>
  <si>
    <t>[µg/L]</t>
  </si>
  <si>
    <t>Zulauf Sandfang</t>
  </si>
  <si>
    <t>entwässerter Faulschlamm</t>
  </si>
  <si>
    <t>Ablauf Nachklärung</t>
  </si>
  <si>
    <t xml:space="preserve">Dosiertank </t>
  </si>
  <si>
    <t>Synthetisch</t>
  </si>
  <si>
    <t>gefaulter ÜSS</t>
  </si>
  <si>
    <t>gefaulter ÜSS, Synthetisch</t>
  </si>
  <si>
    <t>Hydrolysat</t>
  </si>
  <si>
    <t>MAP</t>
  </si>
  <si>
    <t>RT</t>
  </si>
  <si>
    <t>Qualifier_1</t>
  </si>
  <si>
    <t>Qualifier_2</t>
  </si>
  <si>
    <t>Qualifier_3</t>
  </si>
  <si>
    <t>Ratio_55/81</t>
  </si>
  <si>
    <t>Parameter_Anzahl</t>
  </si>
  <si>
    <t>Gesamt</t>
  </si>
  <si>
    <t>Gesamt ohne Qualis</t>
  </si>
  <si>
    <t>211015_Ringerversuch_Vergleichsprobe_6_2</t>
  </si>
  <si>
    <t>211015_Ringerversuch_Vergleichsprobe_6_3</t>
  </si>
  <si>
    <t>211015_Ringerversuch_Vergleichsprobe_6_spike_PE</t>
  </si>
  <si>
    <t>211015_Ringerversuch_Vergleichsprobe_6_spike_PET</t>
  </si>
  <si>
    <t>211015_Ringerversuch_Vergleichsprobe_6_spike_PP_PA</t>
  </si>
  <si>
    <t>211015_Ringerversuch_Vergleichsprobe_6_spike_SBR</t>
  </si>
  <si>
    <t>211118_Malchow_Zul_Filt_19081314_1</t>
  </si>
  <si>
    <t>211118_Malchow_Zul_Filt_19081314_2</t>
  </si>
  <si>
    <t>211118_Malchow_Zul_Filt_19081314_3</t>
  </si>
  <si>
    <t>VTA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</si>
</sst>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Docs-Calibri"/>
    </font>
    <font>
      <b/>
      <sz val="11"/>
      <name val="Calibri"/>
      <family val="2"/>
    </font>
    <font>
      <sz val="11"/>
      <color rgb="FF000000"/>
      <name val="Docs-Calibri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4">
    <xf numFmtId="0" fontId="0" fillId="0" borderId="0" xfId="0"/>
    <xf numFmtId="1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0" xfId="0" applyFont="1"/>
    <xf numFmtId="0" fontId="6" fillId="0" borderId="8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2" fillId="4" borderId="7" xfId="0" applyFont="1" applyFill="1" applyBorder="1"/>
    <xf numFmtId="0" fontId="1" fillId="5" borderId="6" xfId="0" applyFont="1" applyFill="1" applyBorder="1"/>
    <xf numFmtId="0" fontId="0" fillId="4" borderId="0" xfId="0" applyFill="1"/>
    <xf numFmtId="0" fontId="2" fillId="4" borderId="0" xfId="0" applyFont="1" applyFill="1"/>
    <xf numFmtId="0" fontId="0" fillId="0" borderId="8" xfId="0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2" xfId="0" applyBorder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6" borderId="10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13" xfId="0" applyBorder="1"/>
    <xf numFmtId="164" fontId="0" fillId="0" borderId="8" xfId="0" applyNumberFormat="1" applyBorder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/>
    <xf numFmtId="0" fontId="0" fillId="0" borderId="14" xfId="0" applyBorder="1"/>
    <xf numFmtId="1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7" xfId="0" applyFont="1" applyBorder="1" applyAlignment="1">
      <alignment horizontal="left" vertical="top"/>
    </xf>
    <xf numFmtId="0" fontId="0" fillId="0" borderId="5" xfId="0" applyBorder="1"/>
    <xf numFmtId="0" fontId="9" fillId="0" borderId="18" xfId="0" applyFont="1" applyBorder="1" applyAlignment="1">
      <alignment horizontal="left" vertical="top"/>
    </xf>
    <xf numFmtId="165" fontId="2" fillId="0" borderId="8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0" fillId="0" borderId="19" xfId="0" applyFont="1" applyBorder="1" applyAlignment="1">
      <alignment horizontal="left" vertical="top"/>
    </xf>
    <xf numFmtId="0" fontId="0" fillId="0" borderId="9" xfId="0" applyBorder="1"/>
    <xf numFmtId="165" fontId="2" fillId="0" borderId="9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164" fontId="0" fillId="0" borderId="1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center" vertical="top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166" fontId="0" fillId="0" borderId="0" xfId="0" applyNumberFormat="1"/>
    <xf numFmtId="0" fontId="12" fillId="0" borderId="22" xfId="0" applyFont="1" applyBorder="1" applyAlignment="1">
      <alignment horizontal="left" vertical="top"/>
    </xf>
    <xf numFmtId="166" fontId="0" fillId="0" borderId="12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0" fillId="0" borderId="5" xfId="0" applyBorder="1" applyAlignment="1">
      <alignment horizontal="center"/>
    </xf>
    <xf numFmtId="0" fontId="14" fillId="0" borderId="0" xfId="0" applyFont="1" applyAlignment="1">
      <alignment horizontal="center"/>
    </xf>
    <xf numFmtId="165" fontId="14" fillId="0" borderId="6" xfId="0" applyNumberFormat="1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5" fillId="0" borderId="0" xfId="0" applyFont="1"/>
    <xf numFmtId="0" fontId="13" fillId="0" borderId="23" xfId="0" applyFont="1" applyBorder="1" applyAlignment="1">
      <alignment horizontal="left" vertical="top"/>
    </xf>
    <xf numFmtId="166" fontId="0" fillId="0" borderId="14" xfId="0" applyNumberFormat="1" applyBorder="1"/>
    <xf numFmtId="166" fontId="0" fillId="0" borderId="9" xfId="0" applyNumberFormat="1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0" borderId="24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 wrapText="1"/>
    </xf>
    <xf numFmtId="165" fontId="0" fillId="0" borderId="8" xfId="0" applyNumberFormat="1" applyBorder="1"/>
    <xf numFmtId="0" fontId="18" fillId="0" borderId="25" xfId="0" applyFont="1" applyBorder="1" applyAlignment="1">
      <alignment horizontal="left" vertical="top"/>
    </xf>
    <xf numFmtId="0" fontId="19" fillId="0" borderId="26" xfId="0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0" fillId="0" borderId="27" xfId="0" applyFont="1" applyBorder="1" applyAlignment="1">
      <alignment horizontal="center" vertical="top"/>
    </xf>
    <xf numFmtId="167" fontId="0" fillId="0" borderId="0" xfId="0" applyNumberFormat="1"/>
    <xf numFmtId="0" fontId="21" fillId="0" borderId="28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2" fontId="15" fillId="0" borderId="0" xfId="0" applyNumberFormat="1" applyFont="1"/>
    <xf numFmtId="0" fontId="1" fillId="0" borderId="10" xfId="0" applyFont="1" applyBorder="1" applyAlignment="1">
      <alignment vertical="center" wrapText="1"/>
    </xf>
    <xf numFmtId="0" fontId="8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11" fillId="0" borderId="20" xfId="0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3" fillId="0" borderId="23" xfId="0" applyFont="1" applyBorder="1" applyAlignment="1">
      <alignment vertical="top"/>
    </xf>
    <xf numFmtId="0" fontId="16" fillId="0" borderId="24" xfId="0" applyFont="1" applyBorder="1" applyAlignment="1">
      <alignment vertical="top"/>
    </xf>
    <xf numFmtId="0" fontId="18" fillId="0" borderId="25" xfId="0" applyFont="1" applyBorder="1" applyAlignment="1">
      <alignment vertical="top"/>
    </xf>
    <xf numFmtId="0" fontId="19" fillId="0" borderId="26" xfId="0" applyFont="1" applyBorder="1" applyAlignment="1">
      <alignment vertical="top"/>
    </xf>
    <xf numFmtId="0" fontId="20" fillId="0" borderId="27" xfId="0" applyFont="1" applyBorder="1" applyAlignment="1">
      <alignment vertical="top"/>
    </xf>
    <xf numFmtId="0" fontId="21" fillId="0" borderId="28" xfId="0" applyFont="1" applyBorder="1" applyAlignment="1">
      <alignment vertical="top"/>
    </xf>
    <xf numFmtId="164" fontId="15" fillId="0" borderId="0" xfId="0" applyNumberFormat="1" applyFont="1"/>
    <xf numFmtId="0" fontId="1" fillId="0" borderId="1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top"/>
    </xf>
    <xf numFmtId="164" fontId="0" fillId="0" borderId="0" xfId="0" applyNumberFormat="1"/>
    <xf numFmtId="164" fontId="14" fillId="0" borderId="0" xfId="0" applyNumberFormat="1" applyFont="1" applyAlignment="1">
      <alignment horizontal="center"/>
    </xf>
    <xf numFmtId="0" fontId="23" fillId="0" borderId="0" xfId="0" applyFont="1"/>
    <xf numFmtId="0" fontId="5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20" fillId="0" borderId="27" xfId="0" applyFont="1" applyBorder="1" applyAlignment="1">
      <alignment horizontal="left" vertical="top"/>
    </xf>
    <xf numFmtId="0" fontId="21" fillId="0" borderId="2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12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12" xfId="0" applyFont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5" fillId="0" borderId="29" xfId="0" applyFont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7" fillId="0" borderId="9" xfId="0" applyFont="1" applyBorder="1" applyAlignment="1">
      <alignment vertical="center" wrapText="1"/>
    </xf>
    <xf numFmtId="0" fontId="24" fillId="0" borderId="30" xfId="0" applyFont="1" applyBorder="1" applyAlignment="1">
      <alignment horizontal="center" vertical="top"/>
    </xf>
    <xf numFmtId="0" fontId="25" fillId="0" borderId="31" xfId="0" applyFont="1" applyBorder="1" applyAlignment="1">
      <alignment horizontal="center" vertical="top"/>
    </xf>
    <xf numFmtId="0" fontId="26" fillId="0" borderId="32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22" fillId="0" borderId="29" xfId="0" applyFont="1" applyBorder="1" applyAlignment="1">
      <alignment vertical="top"/>
    </xf>
    <xf numFmtId="0" fontId="25" fillId="0" borderId="31" xfId="0" applyFont="1" applyBorder="1" applyAlignment="1">
      <alignment vertical="top"/>
    </xf>
    <xf numFmtId="0" fontId="26" fillId="0" borderId="32" xfId="0" applyFont="1" applyBorder="1" applyAlignment="1">
      <alignment vertical="top"/>
    </xf>
    <xf numFmtId="0" fontId="24" fillId="0" borderId="30" xfId="0" applyFont="1" applyBorder="1" applyAlignment="1">
      <alignment vertical="top"/>
    </xf>
    <xf numFmtId="0" fontId="24" fillId="0" borderId="30" xfId="0" applyFont="1" applyBorder="1" applyAlignment="1">
      <alignment horizontal="left" vertical="top"/>
    </xf>
    <xf numFmtId="0" fontId="25" fillId="0" borderId="31" xfId="0" applyFont="1" applyBorder="1" applyAlignment="1">
      <alignment horizontal="left" vertical="top"/>
    </xf>
    <xf numFmtId="0" fontId="26" fillId="0" borderId="3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center" wrapText="1"/>
    </xf>
    <xf numFmtId="0" fontId="27" fillId="0" borderId="33" xfId="0" applyFont="1" applyBorder="1" applyAlignment="1">
      <alignment horizontal="center" vertical="top"/>
    </xf>
    <xf numFmtId="0" fontId="28" fillId="0" borderId="34" xfId="0" applyFont="1" applyBorder="1" applyAlignment="1">
      <alignment horizontal="center" vertical="top"/>
    </xf>
    <xf numFmtId="0" fontId="0" fillId="0" borderId="5" xfId="0" applyBorder="1" applyAlignment="1">
      <alignment horizontal="left"/>
    </xf>
    <xf numFmtId="0" fontId="27" fillId="0" borderId="33" xfId="0" applyFont="1" applyBorder="1" applyAlignment="1">
      <alignment horizontal="left" vertical="top"/>
    </xf>
    <xf numFmtId="0" fontId="28" fillId="0" borderId="34" xfId="0" applyFont="1" applyBorder="1" applyAlignment="1">
      <alignment horizontal="left" vertical="top"/>
    </xf>
    <xf numFmtId="164" fontId="0" fillId="0" borderId="0" xfId="0" applyNumberFormat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27" fillId="0" borderId="33" xfId="0" applyFont="1" applyBorder="1" applyAlignment="1">
      <alignment vertical="top"/>
    </xf>
    <xf numFmtId="0" fontId="28" fillId="0" borderId="34" xfId="0" applyFont="1" applyBorder="1" applyAlignment="1">
      <alignment vertical="top"/>
    </xf>
    <xf numFmtId="0" fontId="29" fillId="0" borderId="35" xfId="0" applyFont="1" applyBorder="1" applyAlignment="1">
      <alignment horizontal="center" vertical="top"/>
    </xf>
    <xf numFmtId="0" fontId="5" fillId="0" borderId="35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30" fillId="0" borderId="36" xfId="0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5" fillId="0" borderId="29" xfId="0" applyFont="1" applyBorder="1" applyAlignment="1">
      <alignment horizontal="left" vertical="top"/>
    </xf>
    <xf numFmtId="0" fontId="30" fillId="0" borderId="36" xfId="0" applyFont="1" applyBorder="1" applyAlignment="1">
      <alignment horizontal="left" vertical="top"/>
    </xf>
    <xf numFmtId="168" fontId="0" fillId="0" borderId="0" xfId="0" applyNumberFormat="1"/>
    <xf numFmtId="0" fontId="30" fillId="0" borderId="36" xfId="0" applyFont="1" applyBorder="1" applyAlignment="1">
      <alignment vertical="top"/>
    </xf>
    <xf numFmtId="0" fontId="31" fillId="0" borderId="37" xfId="0" applyFont="1" applyBorder="1" applyAlignment="1">
      <alignment horizontal="center" vertical="top"/>
    </xf>
    <xf numFmtId="0" fontId="31" fillId="0" borderId="37" xfId="0" applyFont="1" applyBorder="1" applyAlignment="1">
      <alignment horizontal="left" vertical="top"/>
    </xf>
    <xf numFmtId="0" fontId="32" fillId="0" borderId="38" xfId="0" applyFont="1" applyBorder="1" applyAlignment="1">
      <alignment horizontal="center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8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6" xfId="0" applyNumberFormat="1" applyBorder="1" applyAlignment="1">
      <alignment horizontal="left"/>
    </xf>
    <xf numFmtId="0" fontId="32" fillId="0" borderId="38" xfId="0" applyFont="1" applyBorder="1" applyAlignment="1">
      <alignment horizontal="left" vertical="top"/>
    </xf>
    <xf numFmtId="0" fontId="31" fillId="0" borderId="37" xfId="0" applyFont="1" applyBorder="1" applyAlignment="1">
      <alignment vertical="top"/>
    </xf>
    <xf numFmtId="0" fontId="32" fillId="0" borderId="38" xfId="0" applyFont="1" applyBorder="1" applyAlignment="1">
      <alignment vertical="top"/>
    </xf>
    <xf numFmtId="0" fontId="33" fillId="0" borderId="39" xfId="0" applyFont="1" applyBorder="1" applyAlignment="1">
      <alignment horizontal="center" vertical="top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3" fillId="0" borderId="39" xfId="0" applyFont="1" applyBorder="1" applyAlignment="1">
      <alignment vertical="top"/>
    </xf>
    <xf numFmtId="0" fontId="33" fillId="0" borderId="39" xfId="0" applyFont="1" applyBorder="1" applyAlignment="1">
      <alignment horizontal="left" vertical="top"/>
    </xf>
    <xf numFmtId="0" fontId="34" fillId="0" borderId="40" xfId="0" applyFont="1" applyBorder="1" applyAlignment="1">
      <alignment horizontal="center" vertical="top"/>
    </xf>
    <xf numFmtId="0" fontId="34" fillId="0" borderId="4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4" fillId="0" borderId="40" xfId="0" applyFont="1" applyBorder="1" applyAlignment="1">
      <alignment vertical="top"/>
    </xf>
    <xf numFmtId="0" fontId="5" fillId="0" borderId="13" xfId="0" applyFont="1" applyBorder="1" applyAlignment="1">
      <alignment horizontal="left" vertical="center"/>
    </xf>
    <xf numFmtId="0" fontId="35" fillId="0" borderId="41" xfId="0" applyFont="1" applyBorder="1" applyAlignment="1">
      <alignment horizontal="center" vertical="top"/>
    </xf>
    <xf numFmtId="0" fontId="35" fillId="0" borderId="41" xfId="0" applyFont="1" applyBorder="1" applyAlignment="1">
      <alignment vertical="top"/>
    </xf>
    <xf numFmtId="0" fontId="35" fillId="0" borderId="41" xfId="0" applyFont="1" applyBorder="1" applyAlignment="1">
      <alignment horizontal="left" vertical="top"/>
    </xf>
    <xf numFmtId="0" fontId="36" fillId="0" borderId="42" xfId="0" applyFont="1" applyBorder="1" applyAlignment="1">
      <alignment horizontal="center" vertical="top"/>
    </xf>
    <xf numFmtId="0" fontId="36" fillId="0" borderId="42" xfId="0" applyFont="1" applyBorder="1" applyAlignment="1">
      <alignment horizontal="left" vertical="top"/>
    </xf>
    <xf numFmtId="0" fontId="36" fillId="0" borderId="42" xfId="0" applyFont="1" applyBorder="1" applyAlignment="1">
      <alignment vertical="top"/>
    </xf>
    <xf numFmtId="0" fontId="37" fillId="0" borderId="43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37" fillId="0" borderId="43" xfId="0" applyFont="1" applyBorder="1" applyAlignment="1">
      <alignment vertical="top"/>
    </xf>
    <xf numFmtId="0" fontId="37" fillId="0" borderId="43" xfId="0" applyFont="1" applyBorder="1" applyAlignment="1">
      <alignment horizontal="left" vertical="top"/>
    </xf>
    <xf numFmtId="0" fontId="38" fillId="0" borderId="44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8" fillId="0" borderId="44" xfId="0" applyFont="1" applyBorder="1" applyAlignment="1">
      <alignment horizontal="left" vertical="top"/>
    </xf>
    <xf numFmtId="0" fontId="38" fillId="0" borderId="44" xfId="0" applyFont="1" applyBorder="1" applyAlignment="1">
      <alignment vertical="top"/>
    </xf>
    <xf numFmtId="0" fontId="39" fillId="0" borderId="45" xfId="0" applyFont="1" applyBorder="1" applyAlignment="1">
      <alignment horizontal="center" vertical="top"/>
    </xf>
    <xf numFmtId="0" fontId="38" fillId="0" borderId="15" xfId="0" applyFont="1" applyBorder="1" applyAlignment="1">
      <alignment horizontal="left" vertical="top"/>
    </xf>
    <xf numFmtId="0" fontId="38" fillId="0" borderId="15" xfId="0" applyFont="1" applyBorder="1" applyAlignment="1">
      <alignment vertical="top"/>
    </xf>
    <xf numFmtId="165" fontId="2" fillId="0" borderId="12" xfId="0" applyNumberFormat="1" applyFon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165" fontId="0" fillId="0" borderId="15" xfId="0" applyNumberFormat="1" applyBorder="1" applyAlignment="1">
      <alignment horizontal="left"/>
    </xf>
    <xf numFmtId="0" fontId="39" fillId="0" borderId="45" xfId="0" applyFon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39" fillId="0" borderId="4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45" xfId="0" applyFont="1" applyBorder="1" applyAlignment="1">
      <alignment horizontal="left" vertical="top"/>
    </xf>
    <xf numFmtId="0" fontId="40" fillId="0" borderId="0" xfId="0" applyFont="1"/>
    <xf numFmtId="0" fontId="41" fillId="0" borderId="46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41" fillId="0" borderId="46" xfId="0" applyFont="1" applyBorder="1" applyAlignment="1">
      <alignment horizontal="left" vertical="top"/>
    </xf>
    <xf numFmtId="0" fontId="5" fillId="0" borderId="31" xfId="0" applyFont="1" applyBorder="1" applyAlignment="1">
      <alignment vertical="top"/>
    </xf>
    <xf numFmtId="0" fontId="41" fillId="0" borderId="46" xfId="0" applyFont="1" applyBorder="1" applyAlignment="1">
      <alignment vertical="top"/>
    </xf>
    <xf numFmtId="0" fontId="0" fillId="0" borderId="0" xfId="0"/>
    <xf numFmtId="0" fontId="39" fillId="0" borderId="1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5" fillId="0" borderId="13" xfId="0" applyFont="1" applyBorder="1" applyAlignment="1">
      <alignment vertical="center"/>
    </xf>
    <xf numFmtId="0" fontId="42" fillId="0" borderId="47" xfId="0" applyFont="1" applyBorder="1" applyAlignment="1">
      <alignment horizontal="center" vertical="top"/>
    </xf>
    <xf numFmtId="0" fontId="0" fillId="0" borderId="6" xfId="0" applyFill="1" applyBorder="1" applyAlignment="1">
      <alignment horizontal="center"/>
    </xf>
    <xf numFmtId="0" fontId="0" fillId="0" borderId="0" xfId="0" applyBorder="1"/>
    <xf numFmtId="0" fontId="8" fillId="0" borderId="10" xfId="0" applyFont="1" applyBorder="1" applyAlignment="1">
      <alignment vertical="top"/>
    </xf>
    <xf numFmtId="0" fontId="9" fillId="0" borderId="15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13" fillId="0" borderId="15" xfId="0" applyFont="1" applyBorder="1" applyAlignment="1">
      <alignment vertical="top"/>
    </xf>
    <xf numFmtId="0" fontId="16" fillId="0" borderId="25" xfId="0" applyFont="1" applyBorder="1" applyAlignment="1">
      <alignment vertical="top"/>
    </xf>
    <xf numFmtId="0" fontId="18" fillId="0" borderId="10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26" fillId="0" borderId="34" xfId="0" applyFont="1" applyBorder="1" applyAlignment="1">
      <alignment vertical="top"/>
    </xf>
    <xf numFmtId="0" fontId="27" fillId="0" borderId="10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30" fillId="0" borderId="15" xfId="0" applyFont="1" applyBorder="1" applyAlignment="1">
      <alignment vertical="top"/>
    </xf>
    <xf numFmtId="0" fontId="34" fillId="0" borderId="15" xfId="0" applyFont="1" applyBorder="1" applyAlignment="1">
      <alignment vertical="top"/>
    </xf>
    <xf numFmtId="0" fontId="35" fillId="0" borderId="15" xfId="0" applyFont="1" applyBorder="1" applyAlignment="1">
      <alignment vertical="top"/>
    </xf>
    <xf numFmtId="0" fontId="36" fillId="0" borderId="15" xfId="0" applyFont="1" applyBorder="1" applyAlignment="1">
      <alignment vertical="top"/>
    </xf>
    <xf numFmtId="0" fontId="37" fillId="0" borderId="15" xfId="0" applyFont="1" applyBorder="1" applyAlignment="1">
      <alignment vertical="top"/>
    </xf>
    <xf numFmtId="0" fontId="42" fillId="0" borderId="47" xfId="0" applyFont="1" applyBorder="1" applyAlignment="1">
      <alignment vertical="top"/>
    </xf>
    <xf numFmtId="0" fontId="0" fillId="0" borderId="0" xfId="0" applyAlignment="1"/>
  </cellXfs>
  <cellStyles count="1">
    <cellStyle name="Standard" xfId="0" builtinId="0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9"/>
  <sheetViews>
    <sheetView tabSelected="1" topLeftCell="A440" zoomScale="74" zoomScaleNormal="74" workbookViewId="0">
      <pane xSplit="1" topLeftCell="P1" activePane="topRight" state="frozen"/>
      <selection pane="topRight" activeCell="P453" sqref="P453"/>
    </sheetView>
  </sheetViews>
  <sheetFormatPr baseColWidth="10" defaultRowHeight="15"/>
  <cols>
    <col min="1" max="1" width="57.28515625" style="353" bestFit="1" customWidth="1"/>
    <col min="2" max="2" width="11.7109375" style="275" customWidth="1"/>
    <col min="4" max="4" width="11.42578125" style="323" customWidth="1"/>
    <col min="11" max="13" width="11.5703125" style="323" customWidth="1"/>
    <col min="14" max="14" width="11.5703125" style="306" customWidth="1"/>
    <col min="15" max="24" width="11.42578125" style="323" customWidth="1"/>
    <col min="25" max="25" width="11.42578125" style="307" customWidth="1"/>
    <col min="26" max="26" width="11.42578125" style="323" customWidth="1"/>
    <col min="27" max="27" width="11.42578125" style="307" customWidth="1"/>
    <col min="28" max="28" width="11.42578125" style="319" customWidth="1"/>
    <col min="29" max="29" width="11.42578125" style="312" customWidth="1"/>
    <col min="41" max="41" width="11.42578125" style="307" customWidth="1"/>
    <col min="42" max="42" width="33" style="323" bestFit="1" customWidth="1"/>
  </cols>
  <sheetData>
    <row r="1" spans="1:47" s="85" customFormat="1" ht="57" customHeight="1">
      <c r="A1" s="150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8" t="s">
        <v>6</v>
      </c>
      <c r="H1" s="39" t="s">
        <v>7</v>
      </c>
      <c r="I1" s="38" t="s">
        <v>8</v>
      </c>
      <c r="J1" s="39" t="s">
        <v>9</v>
      </c>
      <c r="K1" s="38" t="s">
        <v>10</v>
      </c>
      <c r="L1" s="54" t="s">
        <v>11</v>
      </c>
      <c r="M1" s="54" t="s">
        <v>12</v>
      </c>
      <c r="N1" s="292" t="s">
        <v>1</v>
      </c>
      <c r="O1" s="38" t="s">
        <v>2</v>
      </c>
      <c r="P1" s="38" t="s">
        <v>3</v>
      </c>
      <c r="Q1" s="38" t="s">
        <v>4</v>
      </c>
      <c r="R1" s="39" t="s">
        <v>5</v>
      </c>
      <c r="S1" s="38" t="s">
        <v>6</v>
      </c>
      <c r="T1" s="39" t="s">
        <v>7</v>
      </c>
      <c r="U1" s="38" t="s">
        <v>8</v>
      </c>
      <c r="V1" s="39" t="s">
        <v>9</v>
      </c>
      <c r="W1" s="38" t="s">
        <v>10</v>
      </c>
      <c r="X1" s="54" t="s">
        <v>11</v>
      </c>
      <c r="Y1" s="204" t="s">
        <v>12</v>
      </c>
      <c r="Z1" s="101" t="s">
        <v>13</v>
      </c>
      <c r="AA1" s="101" t="s">
        <v>14</v>
      </c>
      <c r="AB1" s="43" t="s">
        <v>15</v>
      </c>
      <c r="AC1" s="40" t="s">
        <v>16</v>
      </c>
      <c r="AD1" s="41" t="s">
        <v>17</v>
      </c>
      <c r="AE1" s="42" t="s">
        <v>18</v>
      </c>
      <c r="AF1" s="43" t="s">
        <v>19</v>
      </c>
      <c r="AG1" s="43" t="s">
        <v>20</v>
      </c>
      <c r="AH1" s="43" t="s">
        <v>21</v>
      </c>
      <c r="AI1" s="43" t="s">
        <v>22</v>
      </c>
      <c r="AJ1" s="43" t="s">
        <v>23</v>
      </c>
      <c r="AK1" s="37" t="s">
        <v>24</v>
      </c>
      <c r="AL1" s="37" t="s">
        <v>25</v>
      </c>
      <c r="AM1" s="42" t="s">
        <v>26</v>
      </c>
      <c r="AN1" s="37" t="s">
        <v>27</v>
      </c>
      <c r="AO1" s="44" t="s">
        <v>28</v>
      </c>
      <c r="AP1" s="41" t="s">
        <v>29</v>
      </c>
      <c r="AQ1" s="46" t="s">
        <v>30</v>
      </c>
      <c r="AR1" s="10" t="s">
        <v>31</v>
      </c>
      <c r="AT1" s="47"/>
      <c r="AU1" s="48"/>
    </row>
    <row r="2" spans="1:47">
      <c r="A2" s="330" t="s">
        <v>32</v>
      </c>
      <c r="B2" s="175"/>
      <c r="J2">
        <v>267.60000000000002</v>
      </c>
      <c r="AB2" s="124">
        <v>8.8879999999999999</v>
      </c>
      <c r="AC2" s="312">
        <v>0.25</v>
      </c>
      <c r="AD2" s="87" t="e">
        <f t="shared" ref="AD2:AD65" si="0">(COUNT(O2:W2)*(1/(COUNT(O2:W2)+COUNTBLANK(O2:W2)))+(IF(AF2&lt;35,1,IF(AF2&lt;70,0.5,IF(AF2&gt;70,0)))))/2</f>
        <v>#DIV/0!</v>
      </c>
      <c r="AE2" s="203" t="e">
        <f t="shared" ref="AE2:AE65" si="1">AVERAGE(AC2:AD2)</f>
        <v>#DIV/0!</v>
      </c>
      <c r="AF2" s="49" t="e">
        <f t="shared" ref="AF2:AF65" si="2">((_xlfn.STDEV.P(O2:W2))/(AVERAGE(O2:W2)))*100</f>
        <v>#DIV/0!</v>
      </c>
      <c r="AG2" s="49">
        <f t="shared" ref="AG2:AG65" si="3">((_xlfn.STDEV.P(C2:K2))/(AVERAGE(C2:K2)))*100</f>
        <v>0</v>
      </c>
      <c r="AH2" s="50" t="e">
        <f t="shared" ref="AH2:AH65" si="4">(ABS((LARGE(O2:W2,2) -MAX(O2:W2))))/(ABS(MIN(O2:W2)-MAX(O2:W2)))</f>
        <v>#NUM!</v>
      </c>
      <c r="AI2" s="105" t="e">
        <f t="shared" ref="AI2:AI65" si="5">(ABS(MAX(O2:W2)-AVERAGE(O2:W2))/_xlfn.STDEV.P(O2:W2))</f>
        <v>#DIV/0!</v>
      </c>
      <c r="AJ2" s="311" t="e">
        <f>INDEX($AR$3:AS12,MATCH(COUNTA(O2:W2),$AR$3:$AR$12,0),2)</f>
        <v>#N/A</v>
      </c>
      <c r="AK2" s="108" t="e">
        <f t="shared" ref="AK2:AK65" si="6">AVERAGE(O2:W2)</f>
        <v>#DIV/0!</v>
      </c>
      <c r="AL2" s="310" t="str">
        <f t="shared" ref="AL2:AL65" si="7">IF(AND(O2="",Q2="",S2="",U2="",W2=""),"n.d.", AK2/AB2)</f>
        <v>n.d.</v>
      </c>
      <c r="AP2" s="147" t="s">
        <v>33</v>
      </c>
      <c r="AR2" s="102" t="s">
        <v>34</v>
      </c>
      <c r="AS2" s="103" t="s">
        <v>35</v>
      </c>
    </row>
    <row r="3" spans="1:47">
      <c r="A3" s="151" t="s">
        <v>36</v>
      </c>
      <c r="B3" s="175"/>
      <c r="C3">
        <v>191.85</v>
      </c>
      <c r="E3">
        <v>137.66999999999999</v>
      </c>
      <c r="J3">
        <v>231.28</v>
      </c>
      <c r="O3">
        <v>191.85</v>
      </c>
      <c r="Q3">
        <v>137.66999999999999</v>
      </c>
      <c r="V3">
        <v>231.28</v>
      </c>
      <c r="AB3" s="124">
        <v>8.9664000000000001</v>
      </c>
      <c r="AC3" s="312">
        <v>0.3</v>
      </c>
      <c r="AD3" s="87">
        <f t="shared" si="0"/>
        <v>0.66666666666666663</v>
      </c>
      <c r="AE3" s="203">
        <f t="shared" si="1"/>
        <v>0.48333333333333328</v>
      </c>
      <c r="AF3" s="49">
        <f t="shared" si="2"/>
        <v>20.528138811141332</v>
      </c>
      <c r="AG3" s="49">
        <f t="shared" si="3"/>
        <v>20.528138811141332</v>
      </c>
      <c r="AH3" s="50">
        <f t="shared" si="4"/>
        <v>0.42121568208524729</v>
      </c>
      <c r="AI3" s="105">
        <f t="shared" si="5"/>
        <v>1.1556455611825001</v>
      </c>
      <c r="AJ3" s="311">
        <f>INDEX($AR$3:AS13,MATCH(COUNTA(O3:W3),$AR$3:$AR$12,0),2)</f>
        <v>1.1499999999999999</v>
      </c>
      <c r="AK3" s="108">
        <f t="shared" si="6"/>
        <v>186.93333333333331</v>
      </c>
      <c r="AL3" s="310">
        <f t="shared" si="7"/>
        <v>20.848203664049485</v>
      </c>
      <c r="AP3" s="147" t="s">
        <v>33</v>
      </c>
      <c r="AR3" s="306">
        <v>3</v>
      </c>
      <c r="AS3">
        <v>1.1499999999999999</v>
      </c>
    </row>
    <row r="4" spans="1:47">
      <c r="A4" s="151" t="s">
        <v>37</v>
      </c>
      <c r="B4" s="175"/>
      <c r="C4">
        <v>89.79</v>
      </c>
      <c r="E4">
        <v>85.4</v>
      </c>
      <c r="F4">
        <v>12.96</v>
      </c>
      <c r="H4">
        <v>462.62</v>
      </c>
      <c r="I4">
        <v>31.84</v>
      </c>
      <c r="J4">
        <v>143.97999999999999</v>
      </c>
      <c r="K4">
        <v>116.79</v>
      </c>
      <c r="O4">
        <v>89.79</v>
      </c>
      <c r="Q4">
        <v>85.4</v>
      </c>
      <c r="R4">
        <v>12.96</v>
      </c>
      <c r="U4">
        <v>31.84</v>
      </c>
      <c r="AB4" s="124">
        <v>4.3002000000000002</v>
      </c>
      <c r="AC4" s="312">
        <v>0.5</v>
      </c>
      <c r="AD4" s="87">
        <f t="shared" si="0"/>
        <v>0.47222222222222221</v>
      </c>
      <c r="AE4" s="203">
        <f t="shared" si="1"/>
        <v>0.4861111111111111</v>
      </c>
      <c r="AF4" s="49">
        <f t="shared" si="2"/>
        <v>60.566572756386414</v>
      </c>
      <c r="AG4" s="49">
        <f t="shared" si="3"/>
        <v>104.10361816413418</v>
      </c>
      <c r="AH4" s="50">
        <f t="shared" si="4"/>
        <v>5.7139138357412467E-2</v>
      </c>
      <c r="AI4" s="105">
        <f t="shared" si="5"/>
        <v>1.0445029918974567</v>
      </c>
      <c r="AJ4" s="311">
        <f>INDEX($AR$3:AS14,MATCH(COUNTA(O4:W4),$AR$3:$AR$12,0),2)</f>
        <v>1.49</v>
      </c>
      <c r="AK4" s="108">
        <f t="shared" si="6"/>
        <v>54.997500000000002</v>
      </c>
      <c r="AL4" s="310">
        <f t="shared" si="7"/>
        <v>12.789521417608483</v>
      </c>
      <c r="AP4" s="147" t="s">
        <v>33</v>
      </c>
      <c r="AR4" s="306">
        <v>4</v>
      </c>
      <c r="AS4">
        <v>1.49</v>
      </c>
    </row>
    <row r="5" spans="1:47">
      <c r="A5" s="151" t="s">
        <v>38</v>
      </c>
      <c r="B5" s="175"/>
      <c r="C5">
        <v>85.08</v>
      </c>
      <c r="E5">
        <v>38.46</v>
      </c>
      <c r="H5">
        <v>113.81</v>
      </c>
      <c r="J5">
        <v>11.93</v>
      </c>
      <c r="O5">
        <v>85.08</v>
      </c>
      <c r="Q5">
        <v>38.46</v>
      </c>
      <c r="V5">
        <v>11.93</v>
      </c>
      <c r="AB5" s="124">
        <v>7.8087999999999997</v>
      </c>
      <c r="AC5" s="312">
        <v>0.77</v>
      </c>
      <c r="AD5" s="87">
        <f t="shared" si="0"/>
        <v>0.41666666666666663</v>
      </c>
      <c r="AE5" s="203">
        <f t="shared" si="1"/>
        <v>0.59333333333333327</v>
      </c>
      <c r="AF5" s="49">
        <f t="shared" si="2"/>
        <v>66.959001213424941</v>
      </c>
      <c r="AG5" s="49">
        <f t="shared" si="3"/>
        <v>63.568574384288276</v>
      </c>
      <c r="AH5" s="50">
        <f t="shared" si="4"/>
        <v>0.63732057416267929</v>
      </c>
      <c r="AI5" s="105">
        <f t="shared" si="5"/>
        <v>1.3203709230727725</v>
      </c>
      <c r="AJ5" s="311">
        <f>INDEX($AR$3:AS15,MATCH(COUNTA(O5:W5),$AR$3:$AR$12,0),2)</f>
        <v>1.1499999999999999</v>
      </c>
      <c r="AK5" s="108">
        <f t="shared" si="6"/>
        <v>45.156666666666666</v>
      </c>
      <c r="AL5" s="310">
        <f t="shared" si="7"/>
        <v>5.7827920636546803</v>
      </c>
      <c r="AP5" s="147" t="s">
        <v>33</v>
      </c>
      <c r="AR5" s="306">
        <v>5</v>
      </c>
      <c r="AS5">
        <v>1.75</v>
      </c>
    </row>
    <row r="6" spans="1:47">
      <c r="A6" s="151" t="s">
        <v>39</v>
      </c>
      <c r="B6" s="175"/>
      <c r="C6">
        <v>74.19</v>
      </c>
      <c r="E6">
        <v>30.34</v>
      </c>
      <c r="H6">
        <v>104.79</v>
      </c>
      <c r="J6">
        <v>19.829999999999998</v>
      </c>
      <c r="O6">
        <v>74.19</v>
      </c>
      <c r="Q6">
        <v>30.34</v>
      </c>
      <c r="V6">
        <v>19.829999999999998</v>
      </c>
      <c r="AB6" s="124">
        <v>6.5256999999999996</v>
      </c>
      <c r="AC6" s="312">
        <v>0.57999999999999996</v>
      </c>
      <c r="AD6" s="87">
        <f t="shared" si="0"/>
        <v>0.41666666666666663</v>
      </c>
      <c r="AE6" s="203">
        <f t="shared" si="1"/>
        <v>0.49833333333333329</v>
      </c>
      <c r="AF6" s="49">
        <f t="shared" si="2"/>
        <v>56.793054801889021</v>
      </c>
      <c r="AG6" s="49">
        <f t="shared" si="3"/>
        <v>59.653278415679289</v>
      </c>
      <c r="AH6" s="50">
        <f t="shared" si="4"/>
        <v>0.80665930831493737</v>
      </c>
      <c r="AI6" s="105">
        <f t="shared" si="5"/>
        <v>1.3905280962248978</v>
      </c>
      <c r="AJ6" s="311">
        <f>INDEX($AR$3:AS16,MATCH(COUNTA(O6:W6),$AR$3:$AR$12,0),2)</f>
        <v>1.1499999999999999</v>
      </c>
      <c r="AK6" s="108">
        <f t="shared" si="6"/>
        <v>41.453333333333333</v>
      </c>
      <c r="AL6" s="310">
        <f t="shared" si="7"/>
        <v>6.3523198022178979</v>
      </c>
      <c r="AP6" s="147" t="s">
        <v>33</v>
      </c>
      <c r="AR6" s="306">
        <v>6</v>
      </c>
      <c r="AS6">
        <v>1.94</v>
      </c>
    </row>
    <row r="7" spans="1:47">
      <c r="A7" s="151" t="s">
        <v>40</v>
      </c>
      <c r="B7" s="175"/>
      <c r="C7">
        <v>81.38</v>
      </c>
      <c r="E7">
        <v>47.16</v>
      </c>
      <c r="F7">
        <v>5.39</v>
      </c>
      <c r="H7">
        <v>34.4</v>
      </c>
      <c r="J7">
        <v>36.9</v>
      </c>
      <c r="O7">
        <v>81.38</v>
      </c>
      <c r="Q7">
        <v>47.16</v>
      </c>
      <c r="R7">
        <v>5.39</v>
      </c>
      <c r="T7">
        <v>34.4</v>
      </c>
      <c r="V7">
        <v>36.9</v>
      </c>
      <c r="AB7" s="124">
        <v>8.0249000000000006</v>
      </c>
      <c r="AC7" s="312">
        <v>0.59</v>
      </c>
      <c r="AD7" s="87">
        <f t="shared" si="0"/>
        <v>0.52777777777777779</v>
      </c>
      <c r="AE7" s="203">
        <f t="shared" si="1"/>
        <v>0.55888888888888888</v>
      </c>
      <c r="AF7" s="49">
        <f t="shared" si="2"/>
        <v>59.646071139818822</v>
      </c>
      <c r="AG7" s="49">
        <f t="shared" si="3"/>
        <v>59.646071139818822</v>
      </c>
      <c r="AH7" s="50">
        <f t="shared" si="4"/>
        <v>0.45032241084353208</v>
      </c>
      <c r="AI7" s="105">
        <f t="shared" si="5"/>
        <v>1.6474741577588203</v>
      </c>
      <c r="AJ7" s="311">
        <f>INDEX($AR$3:AS17,MATCH(COUNTA(O7:W7),$AR$3:$AR$12,0),2)</f>
        <v>1.75</v>
      </c>
      <c r="AK7" s="108">
        <f t="shared" si="6"/>
        <v>41.045999999999999</v>
      </c>
      <c r="AL7" s="310">
        <f t="shared" si="7"/>
        <v>5.1148300913407017</v>
      </c>
      <c r="AP7" s="147" t="s">
        <v>33</v>
      </c>
      <c r="AR7" s="306">
        <v>7</v>
      </c>
      <c r="AS7">
        <v>2.1</v>
      </c>
    </row>
    <row r="8" spans="1:47">
      <c r="A8" s="151" t="s">
        <v>41</v>
      </c>
      <c r="B8" s="175"/>
      <c r="C8">
        <v>149.99</v>
      </c>
      <c r="E8">
        <v>78.680000000000007</v>
      </c>
      <c r="F8">
        <v>29.08</v>
      </c>
      <c r="G8">
        <v>16.77</v>
      </c>
      <c r="H8">
        <v>80.27</v>
      </c>
      <c r="J8">
        <v>80.98</v>
      </c>
      <c r="K8">
        <v>88.5</v>
      </c>
      <c r="Q8">
        <v>78.680000000000007</v>
      </c>
      <c r="R8">
        <v>29.08</v>
      </c>
      <c r="S8">
        <v>16.77</v>
      </c>
      <c r="T8">
        <v>80.27</v>
      </c>
      <c r="V8">
        <v>80.98</v>
      </c>
      <c r="W8">
        <v>88.5</v>
      </c>
      <c r="AB8" s="124">
        <v>7.6868999999999996</v>
      </c>
      <c r="AC8" s="312">
        <v>0.75</v>
      </c>
      <c r="AD8" s="87">
        <f t="shared" si="0"/>
        <v>0.58333333333333326</v>
      </c>
      <c r="AE8" s="203">
        <f t="shared" si="1"/>
        <v>0.66666666666666663</v>
      </c>
      <c r="AF8" s="49">
        <f t="shared" si="2"/>
        <v>45.356617535892212</v>
      </c>
      <c r="AG8" s="49">
        <f t="shared" si="3"/>
        <v>53.840088379719987</v>
      </c>
      <c r="AH8" s="50">
        <f t="shared" si="4"/>
        <v>0.1048375853896556</v>
      </c>
      <c r="AI8" s="105">
        <f t="shared" si="5"/>
        <v>0.92318160553444895</v>
      </c>
      <c r="AJ8" s="311">
        <f>INDEX($AR$3:AS18,MATCH(COUNTA(O8:W8),$AR$3:$AR$12,0),2)</f>
        <v>1.94</v>
      </c>
      <c r="AK8" s="108">
        <f t="shared" si="6"/>
        <v>62.38</v>
      </c>
      <c r="AL8" s="310">
        <f t="shared" si="7"/>
        <v>8.1151049187578881</v>
      </c>
      <c r="AP8" s="147" t="s">
        <v>42</v>
      </c>
      <c r="AR8" s="306">
        <v>8</v>
      </c>
      <c r="AS8">
        <v>2.2200000000000002</v>
      </c>
    </row>
    <row r="9" spans="1:47">
      <c r="A9" s="151" t="s">
        <v>43</v>
      </c>
      <c r="B9" s="175"/>
      <c r="C9">
        <v>273.29000000000002</v>
      </c>
      <c r="E9">
        <v>118.63</v>
      </c>
      <c r="G9">
        <v>55.64</v>
      </c>
      <c r="H9">
        <v>208.02</v>
      </c>
      <c r="J9">
        <v>109.33</v>
      </c>
      <c r="K9">
        <v>193.77</v>
      </c>
      <c r="O9">
        <v>273.29000000000002</v>
      </c>
      <c r="Q9">
        <v>118.63</v>
      </c>
      <c r="T9">
        <v>208.02</v>
      </c>
      <c r="V9">
        <v>109.33</v>
      </c>
      <c r="W9">
        <v>193.77</v>
      </c>
      <c r="AB9" s="124">
        <v>7.1997</v>
      </c>
      <c r="AC9" s="312">
        <v>0.62</v>
      </c>
      <c r="AD9" s="87">
        <f t="shared" si="0"/>
        <v>0.77777777777777779</v>
      </c>
      <c r="AE9" s="203">
        <f t="shared" si="1"/>
        <v>0.69888888888888889</v>
      </c>
      <c r="AF9" s="49">
        <f t="shared" si="2"/>
        <v>33.621453629000257</v>
      </c>
      <c r="AG9" s="49">
        <f t="shared" si="3"/>
        <v>45.312334962404641</v>
      </c>
      <c r="AH9" s="50">
        <f t="shared" si="4"/>
        <v>0.39808489875579406</v>
      </c>
      <c r="AI9" s="105">
        <f t="shared" si="5"/>
        <v>1.5263071097382579</v>
      </c>
      <c r="AJ9" s="311">
        <f>INDEX($AR$3:AS19,MATCH(COUNTA(O9:W9),$AR$3:$AR$12,0),2)</f>
        <v>1.75</v>
      </c>
      <c r="AK9" s="108">
        <f t="shared" si="6"/>
        <v>180.608</v>
      </c>
      <c r="AL9" s="310">
        <f t="shared" si="7"/>
        <v>25.085489673180827</v>
      </c>
      <c r="AP9" s="147" t="s">
        <v>42</v>
      </c>
      <c r="AR9" s="306">
        <v>9</v>
      </c>
      <c r="AS9">
        <v>2.3199999999999998</v>
      </c>
    </row>
    <row r="10" spans="1:47">
      <c r="A10" s="151" t="s">
        <v>44</v>
      </c>
      <c r="B10" s="175"/>
      <c r="C10">
        <v>90.47</v>
      </c>
      <c r="E10">
        <v>37.18</v>
      </c>
      <c r="G10">
        <v>18.52</v>
      </c>
      <c r="H10">
        <v>7.05</v>
      </c>
      <c r="J10">
        <v>37.32</v>
      </c>
      <c r="K10">
        <v>65.02</v>
      </c>
      <c r="O10">
        <v>90.47</v>
      </c>
      <c r="Q10">
        <v>37.18</v>
      </c>
      <c r="S10">
        <v>18.52</v>
      </c>
      <c r="V10">
        <v>37.32</v>
      </c>
      <c r="W10">
        <v>65.02</v>
      </c>
      <c r="AB10" s="124">
        <v>5.3699000000000003</v>
      </c>
      <c r="AC10" s="312">
        <v>0.67</v>
      </c>
      <c r="AD10" s="87">
        <f t="shared" si="0"/>
        <v>0.52777777777777779</v>
      </c>
      <c r="AE10" s="203">
        <f t="shared" si="1"/>
        <v>0.59888888888888892</v>
      </c>
      <c r="AF10" s="49">
        <f t="shared" si="2"/>
        <v>50.733333218764841</v>
      </c>
      <c r="AG10" s="49">
        <f t="shared" si="3"/>
        <v>65.675746515606065</v>
      </c>
      <c r="AH10" s="50">
        <f t="shared" si="4"/>
        <v>0.35371785962473945</v>
      </c>
      <c r="AI10" s="105">
        <f t="shared" si="5"/>
        <v>1.6167845282481865</v>
      </c>
      <c r="AJ10" s="311">
        <f>INDEX($AR$3:AS20,MATCH(COUNTA(O10:W10),$AR$3:$AR$12,0),2)</f>
        <v>1.75</v>
      </c>
      <c r="AK10" s="108">
        <f t="shared" si="6"/>
        <v>49.701999999999998</v>
      </c>
      <c r="AL10" s="310">
        <f t="shared" si="7"/>
        <v>9.2556658410771142</v>
      </c>
      <c r="AP10" s="147" t="s">
        <v>42</v>
      </c>
      <c r="AR10" s="306">
        <v>10</v>
      </c>
      <c r="AS10">
        <v>2.41</v>
      </c>
    </row>
    <row r="11" spans="1:47">
      <c r="A11" s="151" t="s">
        <v>45</v>
      </c>
      <c r="B11" s="175"/>
      <c r="C11">
        <v>388.83</v>
      </c>
      <c r="E11">
        <v>411.79</v>
      </c>
      <c r="F11">
        <v>145.01</v>
      </c>
      <c r="G11">
        <v>224.58</v>
      </c>
      <c r="H11">
        <v>700.79</v>
      </c>
      <c r="I11">
        <v>535.51</v>
      </c>
      <c r="J11">
        <v>317.27</v>
      </c>
      <c r="K11">
        <v>411.45</v>
      </c>
      <c r="O11">
        <v>388.83</v>
      </c>
      <c r="Q11">
        <v>411.79</v>
      </c>
      <c r="R11">
        <v>145.01</v>
      </c>
      <c r="S11">
        <v>224.58</v>
      </c>
      <c r="U11">
        <v>535.51</v>
      </c>
      <c r="V11">
        <v>317.27</v>
      </c>
      <c r="W11">
        <v>411.45</v>
      </c>
      <c r="AB11" s="124">
        <v>5.4539999999999997</v>
      </c>
      <c r="AC11" s="312">
        <v>0.82</v>
      </c>
      <c r="AD11" s="87">
        <f t="shared" si="0"/>
        <v>0.88888888888888884</v>
      </c>
      <c r="AE11" s="203">
        <f t="shared" si="1"/>
        <v>0.85444444444444434</v>
      </c>
      <c r="AF11" s="49">
        <f t="shared" si="2"/>
        <v>34.761247584881495</v>
      </c>
      <c r="AG11" s="49">
        <f t="shared" si="3"/>
        <v>41.473525504568485</v>
      </c>
      <c r="AH11" s="50">
        <f t="shared" si="4"/>
        <v>0.31682458386683732</v>
      </c>
      <c r="AI11" s="105">
        <f t="shared" si="5"/>
        <v>1.5529014649255388</v>
      </c>
      <c r="AJ11" s="311">
        <f>INDEX($AR$3:AS21,MATCH(COUNTA(O11:W11),$AR$3:$AR$12,0),2)</f>
        <v>2.1</v>
      </c>
      <c r="AK11" s="108">
        <f t="shared" si="6"/>
        <v>347.77714285714285</v>
      </c>
      <c r="AL11" s="310">
        <f t="shared" si="7"/>
        <v>63.765519409083765</v>
      </c>
      <c r="AP11" s="147" t="s">
        <v>46</v>
      </c>
      <c r="AR11" s="306">
        <v>11</v>
      </c>
      <c r="AS11">
        <v>2.48</v>
      </c>
    </row>
    <row r="12" spans="1:47">
      <c r="A12" s="285" t="s">
        <v>47</v>
      </c>
      <c r="B12" s="175"/>
      <c r="C12">
        <v>746.4</v>
      </c>
      <c r="E12">
        <v>535.51</v>
      </c>
      <c r="F12">
        <v>319.5</v>
      </c>
      <c r="G12">
        <v>247.84</v>
      </c>
      <c r="H12">
        <v>1356.49</v>
      </c>
      <c r="I12">
        <v>583.87</v>
      </c>
      <c r="J12">
        <v>300.89</v>
      </c>
      <c r="K12">
        <v>484.88</v>
      </c>
      <c r="O12">
        <v>746.4</v>
      </c>
      <c r="Q12">
        <v>535.51</v>
      </c>
      <c r="R12">
        <v>319.5</v>
      </c>
      <c r="S12">
        <v>247.84</v>
      </c>
      <c r="U12">
        <v>583.87</v>
      </c>
      <c r="V12">
        <v>300.89</v>
      </c>
      <c r="W12">
        <v>484.88</v>
      </c>
      <c r="AB12" s="124">
        <v>10.198399999999999</v>
      </c>
      <c r="AC12" s="312">
        <v>0.82</v>
      </c>
      <c r="AD12" s="87">
        <f t="shared" si="0"/>
        <v>0.63888888888888884</v>
      </c>
      <c r="AE12" s="203">
        <f t="shared" si="1"/>
        <v>0.72944444444444434</v>
      </c>
      <c r="AF12" s="49">
        <f t="shared" si="2"/>
        <v>36.180293172749707</v>
      </c>
      <c r="AG12" s="49">
        <f t="shared" si="3"/>
        <v>58.556059038839436</v>
      </c>
      <c r="AH12" s="50">
        <f t="shared" si="4"/>
        <v>0.32599887676508343</v>
      </c>
      <c r="AI12" s="105">
        <f t="shared" si="5"/>
        <v>1.7223968640531886</v>
      </c>
      <c r="AJ12" s="311">
        <f>INDEX($AR$3:AS22,MATCH(COUNTA(O12:W12),$AR$3:$AR$12,0),2)</f>
        <v>2.1</v>
      </c>
      <c r="AK12" s="108">
        <f t="shared" si="6"/>
        <v>459.84142857142854</v>
      </c>
      <c r="AL12" s="310">
        <f t="shared" si="7"/>
        <v>45.089565870276566</v>
      </c>
      <c r="AP12" s="147" t="s">
        <v>46</v>
      </c>
      <c r="AR12" s="306">
        <v>12</v>
      </c>
      <c r="AS12">
        <v>2.5499999999999998</v>
      </c>
    </row>
    <row r="13" spans="1:47" s="51" customFormat="1">
      <c r="A13" s="152" t="s">
        <v>48</v>
      </c>
      <c r="B13" s="176"/>
      <c r="C13" s="51">
        <v>137.53</v>
      </c>
      <c r="E13" s="51">
        <v>145.34</v>
      </c>
      <c r="F13" s="51">
        <v>31.05</v>
      </c>
      <c r="G13" s="51">
        <v>23.46</v>
      </c>
      <c r="H13" s="51">
        <v>267.91000000000003</v>
      </c>
      <c r="J13" s="51">
        <v>80.209999999999994</v>
      </c>
      <c r="K13" s="51">
        <v>75.31</v>
      </c>
      <c r="N13" s="306"/>
      <c r="R13" s="51">
        <v>31.05</v>
      </c>
      <c r="S13" s="51">
        <v>23.46</v>
      </c>
      <c r="V13" s="51">
        <v>80.209999999999994</v>
      </c>
      <c r="W13" s="51">
        <v>75.31</v>
      </c>
      <c r="Y13" s="78"/>
      <c r="AA13" s="78"/>
      <c r="AB13" s="123">
        <v>8.5540000000000003</v>
      </c>
      <c r="AC13" s="83">
        <v>0.52</v>
      </c>
      <c r="AD13" s="89">
        <f t="shared" si="0"/>
        <v>0.47222222222222221</v>
      </c>
      <c r="AE13" s="68">
        <f t="shared" si="1"/>
        <v>0.49611111111111111</v>
      </c>
      <c r="AF13" s="69">
        <f t="shared" si="2"/>
        <v>48.47631945682533</v>
      </c>
      <c r="AG13" s="69">
        <f t="shared" si="3"/>
        <v>71.896460704623934</v>
      </c>
      <c r="AH13" s="70">
        <f t="shared" si="4"/>
        <v>8.6343612334801617E-2</v>
      </c>
      <c r="AI13" s="104">
        <f t="shared" si="5"/>
        <v>1.0883485016871914</v>
      </c>
      <c r="AJ13" s="311">
        <f>INDEX($AR$3:AS23,MATCH(COUNTA(O13:W13),$AR$3:$AR$12,0),2)</f>
        <v>1.49</v>
      </c>
      <c r="AK13" s="107">
        <f t="shared" si="6"/>
        <v>52.5075</v>
      </c>
      <c r="AL13" s="310">
        <f t="shared" si="7"/>
        <v>6.1383563245265371</v>
      </c>
      <c r="AO13" s="78"/>
      <c r="AP13" s="148" t="s">
        <v>49</v>
      </c>
    </row>
    <row r="14" spans="1:47">
      <c r="A14" s="152" t="s">
        <v>50</v>
      </c>
      <c r="B14" s="177"/>
      <c r="C14">
        <v>117.52</v>
      </c>
      <c r="E14">
        <v>84.03</v>
      </c>
      <c r="G14">
        <v>7.86</v>
      </c>
      <c r="H14">
        <v>161.32</v>
      </c>
      <c r="J14">
        <v>104.54</v>
      </c>
      <c r="O14">
        <v>117.52</v>
      </c>
      <c r="Q14">
        <v>84.03</v>
      </c>
      <c r="T14">
        <v>161.32</v>
      </c>
      <c r="V14">
        <v>104.54</v>
      </c>
      <c r="AB14" s="124">
        <v>7.1116999999999999</v>
      </c>
      <c r="AC14" s="312">
        <v>0.42</v>
      </c>
      <c r="AD14" s="87">
        <f t="shared" si="0"/>
        <v>0.72222222222222221</v>
      </c>
      <c r="AE14" s="203">
        <f t="shared" si="1"/>
        <v>0.57111111111111112</v>
      </c>
      <c r="AF14" s="49">
        <f t="shared" si="2"/>
        <v>24.23050130841284</v>
      </c>
      <c r="AG14" s="49">
        <f t="shared" si="3"/>
        <v>53.042131643725362</v>
      </c>
      <c r="AH14" s="50">
        <f t="shared" si="4"/>
        <v>0.56669685599689479</v>
      </c>
      <c r="AI14" s="105">
        <f t="shared" si="5"/>
        <v>1.5705157857439631</v>
      </c>
      <c r="AJ14" s="311">
        <f>INDEX($AR$3:AS24,MATCH(COUNTA(O14:W14),$AR$3:$AR$12,0),2)</f>
        <v>1.49</v>
      </c>
      <c r="AK14" s="108">
        <f t="shared" si="6"/>
        <v>116.85250000000001</v>
      </c>
      <c r="AL14" s="310">
        <f t="shared" si="7"/>
        <v>16.431022118480815</v>
      </c>
      <c r="AP14" s="147" t="s">
        <v>49</v>
      </c>
    </row>
    <row r="15" spans="1:47">
      <c r="A15" s="331" t="s">
        <v>51</v>
      </c>
      <c r="B15" s="177"/>
      <c r="C15">
        <v>114.27</v>
      </c>
      <c r="E15">
        <v>99.88</v>
      </c>
      <c r="F15">
        <v>19.45</v>
      </c>
      <c r="H15">
        <v>214.37</v>
      </c>
      <c r="J15">
        <v>56.85</v>
      </c>
      <c r="O15">
        <v>114.27</v>
      </c>
      <c r="Q15">
        <v>99.88</v>
      </c>
      <c r="R15">
        <v>19.45</v>
      </c>
      <c r="V15">
        <v>56.85</v>
      </c>
      <c r="AB15" s="124">
        <v>7.8148999999999997</v>
      </c>
      <c r="AC15" s="312">
        <v>0.52</v>
      </c>
      <c r="AD15" s="87">
        <f t="shared" si="0"/>
        <v>0.47222222222222221</v>
      </c>
      <c r="AE15" s="203">
        <f t="shared" si="1"/>
        <v>0.49611111111111111</v>
      </c>
      <c r="AF15" s="49">
        <f t="shared" si="2"/>
        <v>51.315055800547512</v>
      </c>
      <c r="AG15" s="49">
        <f t="shared" si="3"/>
        <v>65.143925590154964</v>
      </c>
      <c r="AH15" s="50">
        <f t="shared" si="4"/>
        <v>0.15176123180763554</v>
      </c>
      <c r="AI15" s="105">
        <f t="shared" si="5"/>
        <v>1.1179876549534844</v>
      </c>
      <c r="AJ15" s="311">
        <f>INDEX($AR$3:AS25,MATCH(COUNTA(O15:W15),$AR$3:$AR$12,0),2)</f>
        <v>1.49</v>
      </c>
      <c r="AK15" s="108">
        <f t="shared" si="6"/>
        <v>72.612499999999997</v>
      </c>
      <c r="AL15" s="310">
        <f t="shared" si="7"/>
        <v>9.2915456371802581</v>
      </c>
      <c r="AP15" s="131" t="s">
        <v>49</v>
      </c>
    </row>
    <row r="16" spans="1:47" s="51" customFormat="1">
      <c r="A16" s="332" t="s">
        <v>52</v>
      </c>
      <c r="B16" s="178"/>
      <c r="C16" s="51">
        <v>113.86</v>
      </c>
      <c r="E16" s="51">
        <v>38.71</v>
      </c>
      <c r="F16" s="51">
        <v>47.06</v>
      </c>
      <c r="G16" s="51">
        <v>68.67</v>
      </c>
      <c r="J16" s="51">
        <v>31.55</v>
      </c>
      <c r="K16" s="51">
        <v>83.3</v>
      </c>
      <c r="N16" s="306"/>
      <c r="Q16" s="51">
        <v>38.71</v>
      </c>
      <c r="R16" s="51">
        <v>47.06</v>
      </c>
      <c r="S16" s="51">
        <v>68.67</v>
      </c>
      <c r="V16" s="51">
        <v>31.55</v>
      </c>
      <c r="W16" s="51">
        <v>83.3</v>
      </c>
      <c r="Y16" s="78"/>
      <c r="AA16" s="78"/>
      <c r="AB16" s="123">
        <v>5.2794999999999996</v>
      </c>
      <c r="AC16" s="83">
        <v>0.63</v>
      </c>
      <c r="AD16" s="87">
        <f t="shared" si="0"/>
        <v>0.52777777777777779</v>
      </c>
      <c r="AE16" s="203">
        <f t="shared" si="1"/>
        <v>0.5788888888888889</v>
      </c>
      <c r="AF16" s="49">
        <f t="shared" si="2"/>
        <v>35.807046902359282</v>
      </c>
      <c r="AG16" s="49">
        <f t="shared" si="3"/>
        <v>44.567028939257582</v>
      </c>
      <c r="AH16" s="50">
        <f t="shared" si="4"/>
        <v>0.28270531400966176</v>
      </c>
      <c r="AI16" s="105">
        <f t="shared" si="5"/>
        <v>1.5266819862274437</v>
      </c>
      <c r="AJ16" s="311">
        <f>INDEX($AR$3:AS26,MATCH(COUNTA(O16:W16),$AR$3:$AR$12,0),2)</f>
        <v>1.75</v>
      </c>
      <c r="AK16" s="108">
        <f t="shared" si="6"/>
        <v>53.858000000000004</v>
      </c>
      <c r="AL16" s="310">
        <f t="shared" si="7"/>
        <v>10.201344824320486</v>
      </c>
      <c r="AO16" s="78"/>
      <c r="AP16" s="147" t="s">
        <v>46</v>
      </c>
    </row>
    <row r="17" spans="1:42">
      <c r="A17" s="332" t="s">
        <v>53</v>
      </c>
      <c r="B17" s="179"/>
      <c r="C17">
        <v>89.33</v>
      </c>
      <c r="E17">
        <v>24.27</v>
      </c>
      <c r="F17">
        <v>76.5</v>
      </c>
      <c r="G17">
        <v>48.5</v>
      </c>
      <c r="J17">
        <v>52.15</v>
      </c>
      <c r="K17">
        <v>63.5</v>
      </c>
      <c r="O17">
        <v>89.33</v>
      </c>
      <c r="Q17">
        <v>24.27</v>
      </c>
      <c r="R17">
        <v>76.5</v>
      </c>
      <c r="S17">
        <v>48.5</v>
      </c>
      <c r="V17">
        <v>52.15</v>
      </c>
      <c r="W17">
        <v>63.5</v>
      </c>
      <c r="AB17" s="124">
        <v>4.8700999999999999</v>
      </c>
      <c r="AC17" s="312">
        <v>0.75</v>
      </c>
      <c r="AD17" s="87">
        <f t="shared" si="0"/>
        <v>0.58333333333333326</v>
      </c>
      <c r="AE17" s="203">
        <f t="shared" si="1"/>
        <v>0.66666666666666663</v>
      </c>
      <c r="AF17" s="49">
        <f t="shared" si="2"/>
        <v>35.323579847543655</v>
      </c>
      <c r="AG17" s="49">
        <f t="shared" si="3"/>
        <v>35.323579847543655</v>
      </c>
      <c r="AH17" s="50">
        <f t="shared" si="4"/>
        <v>0.19720258223178602</v>
      </c>
      <c r="AI17" s="105">
        <f t="shared" si="5"/>
        <v>1.4522856870617293</v>
      </c>
      <c r="AJ17" s="311">
        <f>INDEX($AR$3:AS27,MATCH(COUNTA(O17:W17),$AR$3:$AR$12,0),2)</f>
        <v>1.94</v>
      </c>
      <c r="AK17" s="108">
        <f t="shared" si="6"/>
        <v>59.041666666666664</v>
      </c>
      <c r="AL17" s="310">
        <f t="shared" si="7"/>
        <v>12.123296578441236</v>
      </c>
      <c r="AP17" s="147" t="s">
        <v>46</v>
      </c>
    </row>
    <row r="18" spans="1:42" s="85" customFormat="1">
      <c r="A18" s="332" t="s">
        <v>54</v>
      </c>
      <c r="B18" s="180"/>
      <c r="C18" s="85">
        <v>210.16</v>
      </c>
      <c r="E18" s="85">
        <v>82.13</v>
      </c>
      <c r="F18" s="85">
        <v>102.04</v>
      </c>
      <c r="G18" s="85">
        <v>155.71</v>
      </c>
      <c r="H18" s="85">
        <v>83.46</v>
      </c>
      <c r="I18" s="85">
        <v>66.87</v>
      </c>
      <c r="J18" s="85">
        <v>74.709999999999994</v>
      </c>
      <c r="K18" s="85">
        <v>130.6</v>
      </c>
      <c r="N18" s="306"/>
      <c r="Q18" s="85">
        <v>82.13</v>
      </c>
      <c r="R18" s="85">
        <v>102.04</v>
      </c>
      <c r="S18" s="85">
        <v>155.71</v>
      </c>
      <c r="T18" s="85">
        <v>83.46</v>
      </c>
      <c r="U18" s="85">
        <v>66.87</v>
      </c>
      <c r="V18" s="85">
        <v>74.709999999999994</v>
      </c>
      <c r="W18" s="85">
        <v>130.6</v>
      </c>
      <c r="Y18" s="96"/>
      <c r="AA18" s="96"/>
      <c r="AB18" s="125">
        <v>9.1433999999999997</v>
      </c>
      <c r="AC18" s="120">
        <v>0.65</v>
      </c>
      <c r="AD18" s="97">
        <f t="shared" si="0"/>
        <v>0.88888888888888884</v>
      </c>
      <c r="AE18" s="98">
        <f t="shared" si="1"/>
        <v>0.76944444444444438</v>
      </c>
      <c r="AF18" s="99">
        <f t="shared" si="2"/>
        <v>30.363725774457436</v>
      </c>
      <c r="AG18" s="99">
        <f t="shared" si="3"/>
        <v>40.854365348247256</v>
      </c>
      <c r="AH18" s="100">
        <f t="shared" si="4"/>
        <v>0.2826429536244936</v>
      </c>
      <c r="AI18" s="106">
        <f t="shared" si="5"/>
        <v>1.8677866933797378</v>
      </c>
      <c r="AJ18" s="311">
        <f>INDEX($AR$3:AS28,MATCH(COUNTA(O18:W18),$AR$3:$AR$12,0),2)</f>
        <v>2.1</v>
      </c>
      <c r="AK18" s="109">
        <f t="shared" si="6"/>
        <v>99.36</v>
      </c>
      <c r="AL18" s="310">
        <f t="shared" si="7"/>
        <v>10.866854780497409</v>
      </c>
      <c r="AO18" s="96"/>
      <c r="AP18" s="147" t="s">
        <v>46</v>
      </c>
    </row>
    <row r="19" spans="1:42" s="51" customFormat="1">
      <c r="A19" s="153" t="s">
        <v>55</v>
      </c>
      <c r="B19" s="181"/>
      <c r="C19" s="51">
        <v>51.9</v>
      </c>
      <c r="E19" s="51">
        <v>33.17</v>
      </c>
      <c r="F19" s="51">
        <v>3.73</v>
      </c>
      <c r="H19" s="51">
        <v>104.15</v>
      </c>
      <c r="J19" s="51">
        <v>60.13</v>
      </c>
      <c r="N19" s="306"/>
      <c r="O19" s="51">
        <v>51.9</v>
      </c>
      <c r="Q19" s="51">
        <v>33.17</v>
      </c>
      <c r="T19" s="51">
        <v>104.15</v>
      </c>
      <c r="V19" s="51">
        <v>60.13</v>
      </c>
      <c r="Y19" s="78"/>
      <c r="AA19" s="78"/>
      <c r="AB19" s="123">
        <v>8.1303000000000001</v>
      </c>
      <c r="AC19" s="83">
        <v>0.38</v>
      </c>
      <c r="AD19" s="89">
        <f t="shared" si="0"/>
        <v>0.47222222222222221</v>
      </c>
      <c r="AE19" s="68">
        <f t="shared" si="1"/>
        <v>0.42611111111111111</v>
      </c>
      <c r="AF19" s="69">
        <f t="shared" si="2"/>
        <v>41.77658417596102</v>
      </c>
      <c r="AG19" s="69">
        <f t="shared" si="3"/>
        <v>65.290784797891277</v>
      </c>
      <c r="AH19" s="70">
        <f t="shared" si="4"/>
        <v>0.62017469709777406</v>
      </c>
      <c r="AI19" s="104">
        <f t="shared" si="5"/>
        <v>1.6055499688625892</v>
      </c>
      <c r="AJ19" s="311">
        <f>INDEX($AR$3:AS29,MATCH(COUNTA(O19:W19),$AR$3:$AR$12,0),2)</f>
        <v>1.49</v>
      </c>
      <c r="AK19" s="107">
        <f t="shared" si="6"/>
        <v>62.337499999999999</v>
      </c>
      <c r="AL19" s="310">
        <f t="shared" si="7"/>
        <v>7.6673062494618893</v>
      </c>
      <c r="AO19" s="78"/>
      <c r="AP19" s="147" t="s">
        <v>33</v>
      </c>
    </row>
    <row r="20" spans="1:42">
      <c r="A20" s="153" t="s">
        <v>56</v>
      </c>
      <c r="B20" s="182"/>
      <c r="C20">
        <v>86.51</v>
      </c>
      <c r="F20">
        <v>5.56</v>
      </c>
      <c r="H20">
        <v>100.03</v>
      </c>
      <c r="J20">
        <v>41.61</v>
      </c>
      <c r="O20">
        <v>86.51</v>
      </c>
      <c r="V20">
        <v>41.61</v>
      </c>
      <c r="AB20" s="124">
        <v>7.2693000000000003</v>
      </c>
      <c r="AC20" s="312">
        <v>0.57999999999999996</v>
      </c>
      <c r="AD20" s="87">
        <f t="shared" si="0"/>
        <v>0.3611111111111111</v>
      </c>
      <c r="AE20" s="203">
        <f t="shared" si="1"/>
        <v>0.4705555555555555</v>
      </c>
      <c r="AF20" s="49">
        <f t="shared" si="2"/>
        <v>35.0452700593194</v>
      </c>
      <c r="AG20" s="49">
        <f t="shared" si="3"/>
        <v>64.023283731607336</v>
      </c>
      <c r="AH20" s="50">
        <f t="shared" si="4"/>
        <v>1</v>
      </c>
      <c r="AI20" s="105">
        <f t="shared" si="5"/>
        <v>0.99999999999999967</v>
      </c>
      <c r="AJ20" s="311" t="e">
        <f>INDEX($AR$3:AS30,MATCH(COUNTA(O20:W20),$AR$3:$AR$12,0),2)</f>
        <v>#N/A</v>
      </c>
      <c r="AK20" s="108">
        <f t="shared" si="6"/>
        <v>64.06</v>
      </c>
      <c r="AL20" s="310">
        <f t="shared" si="7"/>
        <v>8.8124028448406317</v>
      </c>
      <c r="AP20" s="147" t="s">
        <v>33</v>
      </c>
    </row>
    <row r="21" spans="1:42" s="85" customFormat="1">
      <c r="A21" s="153" t="s">
        <v>57</v>
      </c>
      <c r="B21" s="183"/>
      <c r="C21" s="85">
        <v>96.6</v>
      </c>
      <c r="E21" s="85">
        <v>104.5</v>
      </c>
      <c r="F21" s="85">
        <v>3.83</v>
      </c>
      <c r="H21" s="85">
        <v>152.47</v>
      </c>
      <c r="J21" s="85">
        <v>48.82</v>
      </c>
      <c r="N21" s="306"/>
      <c r="O21" s="85">
        <v>96.6</v>
      </c>
      <c r="Q21" s="85">
        <v>104.5</v>
      </c>
      <c r="V21" s="85">
        <v>48.82</v>
      </c>
      <c r="Y21" s="96"/>
      <c r="AA21" s="96"/>
      <c r="AB21" s="125">
        <v>9.1760999999999999</v>
      </c>
      <c r="AC21" s="120">
        <v>0.38</v>
      </c>
      <c r="AD21" s="97">
        <f t="shared" si="0"/>
        <v>0.66666666666666663</v>
      </c>
      <c r="AE21" s="98">
        <f t="shared" si="1"/>
        <v>0.52333333333333332</v>
      </c>
      <c r="AF21" s="99">
        <f t="shared" si="2"/>
        <v>29.52717435343823</v>
      </c>
      <c r="AG21" s="99">
        <f t="shared" si="3"/>
        <v>62.50548288048433</v>
      </c>
      <c r="AH21" s="100">
        <f t="shared" si="4"/>
        <v>0.14188218390804608</v>
      </c>
      <c r="AI21" s="106">
        <f t="shared" si="5"/>
        <v>0.86158399515489414</v>
      </c>
      <c r="AJ21" s="311">
        <f>INDEX($AR$3:AS31,MATCH(COUNTA(O21:W21),$AR$3:$AR$12,0),2)</f>
        <v>1.1499999999999999</v>
      </c>
      <c r="AK21" s="109">
        <f t="shared" si="6"/>
        <v>83.306666666666658</v>
      </c>
      <c r="AL21" s="310">
        <f t="shared" si="7"/>
        <v>9.0786572363712974</v>
      </c>
      <c r="AO21" s="96"/>
      <c r="AP21" s="147" t="s">
        <v>33</v>
      </c>
    </row>
    <row r="22" spans="1:42" s="51" customFormat="1">
      <c r="A22" s="153" t="s">
        <v>58</v>
      </c>
      <c r="B22" s="181"/>
      <c r="C22" s="51">
        <v>415.34</v>
      </c>
      <c r="E22" s="51">
        <v>177.04</v>
      </c>
      <c r="J22" s="51">
        <v>457.97</v>
      </c>
      <c r="K22" s="51">
        <v>463.29</v>
      </c>
      <c r="N22" s="306"/>
      <c r="O22" s="51">
        <v>415.34</v>
      </c>
      <c r="Q22" s="51">
        <v>177.04</v>
      </c>
      <c r="V22" s="51">
        <v>457.97</v>
      </c>
      <c r="W22" s="51">
        <v>463.29</v>
      </c>
      <c r="Y22" s="78"/>
      <c r="AA22" s="78"/>
      <c r="AB22" s="123">
        <v>2.7290999999999999</v>
      </c>
      <c r="AC22" s="83">
        <v>0.57999999999999996</v>
      </c>
      <c r="AD22" s="89">
        <f t="shared" si="0"/>
        <v>0.72222222222222221</v>
      </c>
      <c r="AE22" s="68">
        <f t="shared" si="1"/>
        <v>0.65111111111111108</v>
      </c>
      <c r="AF22" s="69">
        <f t="shared" si="2"/>
        <v>31.113636428443272</v>
      </c>
      <c r="AG22" s="69">
        <f t="shared" si="3"/>
        <v>31.113636428443272</v>
      </c>
      <c r="AH22" s="70">
        <f t="shared" si="4"/>
        <v>1.8585152838427925E-2</v>
      </c>
      <c r="AI22" s="104">
        <f t="shared" si="5"/>
        <v>0.72092816648989255</v>
      </c>
      <c r="AJ22" s="311">
        <f>INDEX($AR$3:AS32,MATCH(COUNTA(O22:W22),$AR$3:$AR$12,0),2)</f>
        <v>1.49</v>
      </c>
      <c r="AK22" s="107">
        <f t="shared" si="6"/>
        <v>378.40999999999997</v>
      </c>
      <c r="AL22" s="310">
        <f t="shared" si="7"/>
        <v>138.65743285332161</v>
      </c>
      <c r="AO22" s="78"/>
      <c r="AP22" s="147" t="s">
        <v>33</v>
      </c>
    </row>
    <row r="23" spans="1:42">
      <c r="A23" s="153" t="s">
        <v>59</v>
      </c>
      <c r="B23" s="182"/>
      <c r="C23">
        <v>306.89</v>
      </c>
      <c r="E23">
        <v>55.14</v>
      </c>
      <c r="J23">
        <v>896.25</v>
      </c>
      <c r="K23">
        <v>715.99</v>
      </c>
      <c r="O23">
        <v>306.89</v>
      </c>
      <c r="Q23">
        <v>55.14</v>
      </c>
      <c r="V23">
        <v>896.25</v>
      </c>
      <c r="W23">
        <v>715.99</v>
      </c>
      <c r="AB23" s="124">
        <v>3.5952000000000002</v>
      </c>
      <c r="AC23" s="312">
        <v>0.55000000000000004</v>
      </c>
      <c r="AD23" s="87">
        <f t="shared" si="0"/>
        <v>0.47222222222222221</v>
      </c>
      <c r="AE23" s="203">
        <f t="shared" si="1"/>
        <v>0.51111111111111107</v>
      </c>
      <c r="AF23" s="49">
        <f t="shared" si="2"/>
        <v>67.097041166922679</v>
      </c>
      <c r="AG23" s="49">
        <f t="shared" si="3"/>
        <v>67.097041166922679</v>
      </c>
      <c r="AH23" s="50">
        <f t="shared" si="4"/>
        <v>0.21431204004232501</v>
      </c>
      <c r="AI23" s="105">
        <f t="shared" si="5"/>
        <v>1.2159419226996213</v>
      </c>
      <c r="AJ23" s="311">
        <f>INDEX($AR$3:AS33,MATCH(COUNTA(O23:W23),$AR$3:$AR$12,0),2)</f>
        <v>1.49</v>
      </c>
      <c r="AK23" s="108">
        <f t="shared" si="6"/>
        <v>493.5675</v>
      </c>
      <c r="AL23" s="310">
        <f t="shared" si="7"/>
        <v>137.28513017356474</v>
      </c>
      <c r="AP23" s="147" t="s">
        <v>33</v>
      </c>
    </row>
    <row r="24" spans="1:42" s="85" customFormat="1">
      <c r="A24" s="153" t="s">
        <v>60</v>
      </c>
      <c r="B24" s="183"/>
      <c r="C24" s="85">
        <v>630.57000000000005</v>
      </c>
      <c r="F24" s="85">
        <v>556.30999999999995</v>
      </c>
      <c r="G24" s="85">
        <v>645.51</v>
      </c>
      <c r="J24" s="85">
        <v>1702.95</v>
      </c>
      <c r="K24" s="85">
        <v>1157.71</v>
      </c>
      <c r="N24" s="306"/>
      <c r="O24" s="85">
        <v>630.57000000000005</v>
      </c>
      <c r="R24" s="85">
        <v>556.30999999999995</v>
      </c>
      <c r="S24" s="85">
        <v>645.51</v>
      </c>
      <c r="V24" s="85">
        <v>1702.95</v>
      </c>
      <c r="W24" s="85">
        <v>1157.71</v>
      </c>
      <c r="Y24" s="96"/>
      <c r="AA24" s="96"/>
      <c r="AB24" s="125">
        <v>9.2985000000000007</v>
      </c>
      <c r="AC24" s="120">
        <v>0.57999999999999996</v>
      </c>
      <c r="AD24" s="97">
        <f t="shared" si="0"/>
        <v>0.52777777777777779</v>
      </c>
      <c r="AE24" s="98">
        <f t="shared" si="1"/>
        <v>0.55388888888888888</v>
      </c>
      <c r="AF24" s="99">
        <f t="shared" si="2"/>
        <v>46.66353239403702</v>
      </c>
      <c r="AG24" s="99">
        <f t="shared" si="3"/>
        <v>46.66353239403702</v>
      </c>
      <c r="AH24" s="100">
        <f t="shared" si="4"/>
        <v>0.47551105839670688</v>
      </c>
      <c r="AI24" s="106">
        <f t="shared" si="5"/>
        <v>1.7451139880186701</v>
      </c>
      <c r="AJ24" s="311">
        <f>INDEX($AR$3:AS34,MATCH(COUNTA(O24:W24),$AR$3:$AR$12,0),2)</f>
        <v>1.75</v>
      </c>
      <c r="AK24" s="109">
        <f t="shared" si="6"/>
        <v>938.61</v>
      </c>
      <c r="AL24" s="310">
        <f t="shared" si="7"/>
        <v>100.942087433457</v>
      </c>
      <c r="AO24" s="96"/>
      <c r="AP24" s="147" t="s">
        <v>33</v>
      </c>
    </row>
    <row r="25" spans="1:42">
      <c r="A25" s="333" t="s">
        <v>61</v>
      </c>
      <c r="B25" s="182"/>
      <c r="C25">
        <v>2708.51</v>
      </c>
      <c r="E25">
        <v>2267.66</v>
      </c>
      <c r="F25">
        <v>2090.6999999999998</v>
      </c>
      <c r="G25">
        <v>1418.12</v>
      </c>
      <c r="H25">
        <v>3587.55</v>
      </c>
      <c r="I25">
        <v>3138.35</v>
      </c>
      <c r="J25">
        <v>1150.56</v>
      </c>
      <c r="K25">
        <v>1889.45</v>
      </c>
      <c r="O25">
        <v>2708.51</v>
      </c>
      <c r="Q25">
        <v>2267.66</v>
      </c>
      <c r="R25">
        <v>2090.6999999999998</v>
      </c>
      <c r="S25">
        <v>1418.12</v>
      </c>
      <c r="W25">
        <v>1889.45</v>
      </c>
      <c r="AB25" s="124">
        <v>2.0716999999999999</v>
      </c>
      <c r="AC25" s="312">
        <v>0.8</v>
      </c>
      <c r="AD25" s="87">
        <f t="shared" si="0"/>
        <v>0.77777777777777779</v>
      </c>
      <c r="AE25" s="203">
        <f t="shared" si="1"/>
        <v>0.78888888888888897</v>
      </c>
      <c r="AF25" s="49">
        <f t="shared" si="2"/>
        <v>20.499972468859045</v>
      </c>
      <c r="AG25" s="49">
        <f t="shared" si="3"/>
        <v>34.084019038423577</v>
      </c>
      <c r="AH25" s="50">
        <f t="shared" si="4"/>
        <v>0.34164089926301372</v>
      </c>
      <c r="AI25" s="105">
        <f t="shared" si="5"/>
        <v>1.489643380914293</v>
      </c>
      <c r="AJ25" s="311">
        <f>INDEX($AR$3:AS35,MATCH(COUNTA(O25:W25),$AR$3:$AR$12,0),2)</f>
        <v>1.75</v>
      </c>
      <c r="AK25" s="108">
        <f t="shared" si="6"/>
        <v>2074.8879999999999</v>
      </c>
      <c r="AL25" s="310">
        <f t="shared" si="7"/>
        <v>1001.538832842593</v>
      </c>
      <c r="AM25">
        <f>AB25*1000</f>
        <v>2071.6999999999998</v>
      </c>
      <c r="AN25" s="309"/>
      <c r="AO25" s="91">
        <f>AK25/AM25</f>
        <v>1.0015388328425932</v>
      </c>
      <c r="AP25" s="147" t="s">
        <v>46</v>
      </c>
    </row>
    <row r="26" spans="1:42">
      <c r="A26" s="153" t="s">
        <v>62</v>
      </c>
      <c r="B26" s="182"/>
      <c r="C26">
        <v>727.6</v>
      </c>
      <c r="E26">
        <v>656.24</v>
      </c>
      <c r="F26">
        <v>443.33</v>
      </c>
      <c r="G26">
        <v>387.38</v>
      </c>
      <c r="H26">
        <v>1152.42</v>
      </c>
      <c r="I26">
        <v>942.65</v>
      </c>
      <c r="J26">
        <v>402.7</v>
      </c>
      <c r="K26">
        <v>631.17999999999995</v>
      </c>
      <c r="O26">
        <v>727.6</v>
      </c>
      <c r="Q26">
        <v>656.24</v>
      </c>
      <c r="R26">
        <v>443.33</v>
      </c>
      <c r="S26">
        <v>387.38</v>
      </c>
      <c r="T26">
        <v>1152.42</v>
      </c>
      <c r="U26">
        <v>942.65</v>
      </c>
      <c r="V26">
        <v>402.7</v>
      </c>
      <c r="W26">
        <v>631.17999999999995</v>
      </c>
      <c r="AB26" s="124">
        <v>0.66539999999999999</v>
      </c>
      <c r="AC26" s="312">
        <v>0.82</v>
      </c>
      <c r="AD26" s="87">
        <f t="shared" si="0"/>
        <v>0.69444444444444442</v>
      </c>
      <c r="AE26" s="203">
        <f t="shared" si="1"/>
        <v>0.75722222222222224</v>
      </c>
      <c r="AF26" s="49">
        <f t="shared" si="2"/>
        <v>37.976703598724292</v>
      </c>
      <c r="AG26" s="49">
        <f t="shared" si="3"/>
        <v>37.976703598724292</v>
      </c>
      <c r="AH26" s="50">
        <f t="shared" si="4"/>
        <v>0.27419481334309326</v>
      </c>
      <c r="AI26" s="105">
        <f t="shared" si="5"/>
        <v>1.9099632139014029</v>
      </c>
      <c r="AJ26" s="311">
        <f>INDEX($AR$3:AS36,MATCH(COUNTA(O26:W26),$AR$3:$AR$12,0),2)</f>
        <v>2.2200000000000002</v>
      </c>
      <c r="AK26" s="108">
        <f t="shared" si="6"/>
        <v>667.9375</v>
      </c>
      <c r="AL26" s="310">
        <f t="shared" si="7"/>
        <v>1003.8134956417193</v>
      </c>
      <c r="AM26">
        <f>AB26*1000</f>
        <v>665.4</v>
      </c>
      <c r="AN26" s="309"/>
      <c r="AO26" s="91">
        <f>AK26/AM26</f>
        <v>1.0038134956417193</v>
      </c>
      <c r="AP26" s="147" t="s">
        <v>46</v>
      </c>
    </row>
    <row r="27" spans="1:42">
      <c r="A27" s="153" t="s">
        <v>63</v>
      </c>
      <c r="B27" s="182"/>
      <c r="AB27" s="124">
        <v>211.9</v>
      </c>
      <c r="AC27" s="312">
        <v>0.42</v>
      </c>
      <c r="AD27" s="87" t="e">
        <f t="shared" si="0"/>
        <v>#DIV/0!</v>
      </c>
      <c r="AE27" s="203" t="e">
        <f t="shared" si="1"/>
        <v>#DIV/0!</v>
      </c>
      <c r="AF27" s="49" t="e">
        <f t="shared" si="2"/>
        <v>#DIV/0!</v>
      </c>
      <c r="AG27" s="49" t="e">
        <f t="shared" si="3"/>
        <v>#DIV/0!</v>
      </c>
      <c r="AH27" s="50" t="e">
        <f t="shared" si="4"/>
        <v>#NUM!</v>
      </c>
      <c r="AI27" s="105" t="e">
        <f t="shared" si="5"/>
        <v>#DIV/0!</v>
      </c>
      <c r="AJ27" s="311" t="e">
        <f>INDEX($AR$3:AS37,MATCH(COUNTA(O27:W27),$AR$3:$AR$12,0),2)</f>
        <v>#N/A</v>
      </c>
      <c r="AK27" s="108" t="e">
        <f t="shared" si="6"/>
        <v>#DIV/0!</v>
      </c>
      <c r="AL27" s="310" t="str">
        <f t="shared" si="7"/>
        <v>n.d.</v>
      </c>
      <c r="AP27" s="147" t="s">
        <v>64</v>
      </c>
    </row>
    <row r="28" spans="1:42">
      <c r="A28" s="154" t="s">
        <v>65</v>
      </c>
      <c r="B28" s="182"/>
      <c r="AB28" s="124">
        <v>47.3</v>
      </c>
      <c r="AD28" s="87" t="e">
        <f t="shared" si="0"/>
        <v>#DIV/0!</v>
      </c>
      <c r="AE28" s="203" t="e">
        <f t="shared" si="1"/>
        <v>#DIV/0!</v>
      </c>
      <c r="AF28" s="49" t="e">
        <f t="shared" si="2"/>
        <v>#DIV/0!</v>
      </c>
      <c r="AG28" s="49" t="e">
        <f t="shared" si="3"/>
        <v>#DIV/0!</v>
      </c>
      <c r="AH28" s="50" t="e">
        <f t="shared" si="4"/>
        <v>#NUM!</v>
      </c>
      <c r="AI28" s="105" t="e">
        <f t="shared" si="5"/>
        <v>#DIV/0!</v>
      </c>
      <c r="AJ28" s="311" t="e">
        <f>INDEX($AR$3:AS38,MATCH(COUNTA(O28:W28),$AR$3:$AR$12,0),2)</f>
        <v>#N/A</v>
      </c>
      <c r="AK28" s="108" t="e">
        <f t="shared" si="6"/>
        <v>#DIV/0!</v>
      </c>
      <c r="AL28" s="310" t="str">
        <f t="shared" si="7"/>
        <v>n.d.</v>
      </c>
      <c r="AP28" s="147" t="s">
        <v>64</v>
      </c>
    </row>
    <row r="29" spans="1:42" s="51" customFormat="1">
      <c r="A29" s="155" t="s">
        <v>66</v>
      </c>
      <c r="B29" s="184"/>
      <c r="C29" s="51">
        <v>214.65</v>
      </c>
      <c r="E29" s="51">
        <v>137.15</v>
      </c>
      <c r="F29" s="51">
        <v>133.37</v>
      </c>
      <c r="G29" s="51">
        <v>79.45</v>
      </c>
      <c r="I29" s="51">
        <v>33.28</v>
      </c>
      <c r="J29" s="51">
        <v>96.89</v>
      </c>
      <c r="K29" s="51">
        <v>157.11000000000001</v>
      </c>
      <c r="N29" s="306"/>
      <c r="O29" s="51">
        <v>214.65</v>
      </c>
      <c r="Q29" s="51">
        <v>137.15</v>
      </c>
      <c r="R29" s="51">
        <v>133.37</v>
      </c>
      <c r="S29" s="51">
        <v>79.45</v>
      </c>
      <c r="U29" s="51">
        <v>33.28</v>
      </c>
      <c r="V29" s="51">
        <v>96.89</v>
      </c>
      <c r="W29" s="51">
        <v>157.11000000000001</v>
      </c>
      <c r="Y29" s="78"/>
      <c r="AA29" s="78"/>
      <c r="AB29" s="123">
        <v>2.4357000000000002</v>
      </c>
      <c r="AC29" s="83">
        <v>0.8</v>
      </c>
      <c r="AD29" s="89">
        <f t="shared" si="0"/>
        <v>0.63888888888888884</v>
      </c>
      <c r="AE29" s="68">
        <f t="shared" si="1"/>
        <v>0.71944444444444444</v>
      </c>
      <c r="AF29" s="69">
        <f t="shared" si="2"/>
        <v>44.453017813165538</v>
      </c>
      <c r="AG29" s="69">
        <f t="shared" si="3"/>
        <v>44.453017813165538</v>
      </c>
      <c r="AH29" s="70">
        <f t="shared" si="4"/>
        <v>0.31725202624469312</v>
      </c>
      <c r="AI29" s="104">
        <f t="shared" si="5"/>
        <v>1.7181361133145854</v>
      </c>
      <c r="AJ29" s="71">
        <f>INDEX($AR$3:AS39,MATCH(COUNTA(O29:W29),$AR$3:$AR$12,0),2)</f>
        <v>2.1</v>
      </c>
      <c r="AK29" s="107">
        <f t="shared" si="6"/>
        <v>121.7</v>
      </c>
      <c r="AL29" s="310">
        <f t="shared" si="7"/>
        <v>49.96510243461838</v>
      </c>
      <c r="AM29" s="63"/>
      <c r="AO29" s="78"/>
      <c r="AP29" s="147" t="s">
        <v>67</v>
      </c>
    </row>
    <row r="30" spans="1:42">
      <c r="A30" s="155" t="s">
        <v>68</v>
      </c>
      <c r="B30" s="185"/>
      <c r="AB30" s="124">
        <v>4.8849</v>
      </c>
      <c r="AC30" s="312">
        <v>0.68</v>
      </c>
      <c r="AD30" s="87" t="e">
        <f t="shared" si="0"/>
        <v>#DIV/0!</v>
      </c>
      <c r="AE30" s="203" t="e">
        <f t="shared" si="1"/>
        <v>#DIV/0!</v>
      </c>
      <c r="AF30" s="49" t="e">
        <f t="shared" si="2"/>
        <v>#DIV/0!</v>
      </c>
      <c r="AG30" s="49" t="e">
        <f t="shared" si="3"/>
        <v>#DIV/0!</v>
      </c>
      <c r="AH30" s="50" t="e">
        <f t="shared" si="4"/>
        <v>#NUM!</v>
      </c>
      <c r="AI30" s="105" t="e">
        <f t="shared" si="5"/>
        <v>#DIV/0!</v>
      </c>
      <c r="AJ30" s="311" t="e">
        <f>INDEX($AR$3:AS40,MATCH(COUNTA(O30:W30),$AR$3:$AR$12,0),2)</f>
        <v>#N/A</v>
      </c>
      <c r="AK30" s="108" t="e">
        <f t="shared" si="6"/>
        <v>#DIV/0!</v>
      </c>
      <c r="AL30" s="310" t="str">
        <f t="shared" si="7"/>
        <v>n.d.</v>
      </c>
      <c r="AM30" s="306"/>
      <c r="AP30" s="147" t="s">
        <v>64</v>
      </c>
    </row>
    <row r="31" spans="1:42">
      <c r="A31" s="155" t="s">
        <v>69</v>
      </c>
      <c r="B31" s="185"/>
      <c r="E31">
        <v>71.17</v>
      </c>
      <c r="F31">
        <v>40.01</v>
      </c>
      <c r="H31">
        <v>125.12</v>
      </c>
      <c r="J31">
        <v>65.2</v>
      </c>
      <c r="K31">
        <v>44.94</v>
      </c>
      <c r="Q31">
        <v>71.17</v>
      </c>
      <c r="R31">
        <v>40.01</v>
      </c>
      <c r="V31">
        <v>65.2</v>
      </c>
      <c r="W31">
        <v>44.94</v>
      </c>
      <c r="AB31" s="124"/>
      <c r="AC31" s="312">
        <v>0.42</v>
      </c>
      <c r="AD31" s="87">
        <f t="shared" si="0"/>
        <v>0.72222222222222221</v>
      </c>
      <c r="AE31" s="203">
        <f t="shared" si="1"/>
        <v>0.57111111111111112</v>
      </c>
      <c r="AF31" s="49">
        <f t="shared" si="2"/>
        <v>23.754239446892917</v>
      </c>
      <c r="AG31" s="49">
        <f t="shared" si="3"/>
        <v>43.716425607569356</v>
      </c>
      <c r="AH31" s="50">
        <f t="shared" si="4"/>
        <v>0.19159178433889595</v>
      </c>
      <c r="AI31" s="105">
        <f t="shared" si="5"/>
        <v>1.2051840548423367</v>
      </c>
      <c r="AJ31" s="311">
        <f>INDEX($AR$3:AS41,MATCH(COUNTA(O31:W31),$AR$3:$AR$12,0),2)</f>
        <v>1.49</v>
      </c>
      <c r="AK31" s="108">
        <f t="shared" si="6"/>
        <v>55.33</v>
      </c>
      <c r="AL31" s="310" t="e">
        <f t="shared" si="7"/>
        <v>#DIV/0!</v>
      </c>
      <c r="AM31" s="306"/>
      <c r="AP31" s="147" t="s">
        <v>70</v>
      </c>
    </row>
    <row r="32" spans="1:42">
      <c r="A32" s="155" t="s">
        <v>71</v>
      </c>
      <c r="B32" s="185"/>
      <c r="F32">
        <v>20.309999999999999</v>
      </c>
      <c r="J32">
        <v>24.85</v>
      </c>
      <c r="K32">
        <v>35.119999999999997</v>
      </c>
      <c r="R32">
        <v>20.309999999999999</v>
      </c>
      <c r="V32">
        <v>24.85</v>
      </c>
      <c r="W32">
        <v>35.119999999999997</v>
      </c>
      <c r="AB32" s="124">
        <v>8.4742072000000004</v>
      </c>
      <c r="AC32" s="312">
        <v>0.65</v>
      </c>
      <c r="AD32" s="87">
        <f t="shared" si="0"/>
        <v>0.66666666666666663</v>
      </c>
      <c r="AE32" s="203">
        <f t="shared" si="1"/>
        <v>0.65833333333333333</v>
      </c>
      <c r="AF32" s="49">
        <f t="shared" si="2"/>
        <v>23.150839989671063</v>
      </c>
      <c r="AG32" s="49">
        <f t="shared" si="3"/>
        <v>23.150839989671063</v>
      </c>
      <c r="AH32" s="50">
        <f t="shared" si="4"/>
        <v>0.69345037137069532</v>
      </c>
      <c r="AI32" s="105">
        <f t="shared" si="5"/>
        <v>1.3494394895388271</v>
      </c>
      <c r="AJ32" s="311">
        <f>INDEX($AR$3:AS42,MATCH(COUNTA(O32:W32),$AR$3:$AR$12,0),2)</f>
        <v>1.1499999999999999</v>
      </c>
      <c r="AK32" s="108">
        <f t="shared" si="6"/>
        <v>26.76</v>
      </c>
      <c r="AL32" s="310">
        <f t="shared" si="7"/>
        <v>3.1578175242163065</v>
      </c>
      <c r="AM32" s="306">
        <v>8.5637000000000008</v>
      </c>
      <c r="AN32" s="115">
        <v>8.9492799999999997E-2</v>
      </c>
      <c r="AP32" s="147" t="s">
        <v>64</v>
      </c>
    </row>
    <row r="33" spans="1:42">
      <c r="A33" s="155" t="s">
        <v>72</v>
      </c>
      <c r="B33" s="185"/>
      <c r="C33">
        <v>929.64</v>
      </c>
      <c r="E33">
        <v>791.65</v>
      </c>
      <c r="F33">
        <v>465.24</v>
      </c>
      <c r="G33">
        <v>491.13</v>
      </c>
      <c r="H33">
        <v>1416.67</v>
      </c>
      <c r="I33">
        <v>1113.69</v>
      </c>
      <c r="J33">
        <v>414.07</v>
      </c>
      <c r="K33">
        <v>692.02</v>
      </c>
      <c r="R33">
        <v>465.24</v>
      </c>
      <c r="S33">
        <v>491.13</v>
      </c>
      <c r="V33">
        <v>414.07</v>
      </c>
      <c r="AB33" s="124">
        <v>9.5027999999999988</v>
      </c>
      <c r="AC33" s="312">
        <v>0.85</v>
      </c>
      <c r="AD33" s="87">
        <f t="shared" si="0"/>
        <v>0.66666666666666663</v>
      </c>
      <c r="AE33" s="203">
        <f t="shared" si="1"/>
        <v>0.7583333333333333</v>
      </c>
      <c r="AF33" s="49">
        <f t="shared" si="2"/>
        <v>7.0091925222079539</v>
      </c>
      <c r="AG33" s="49">
        <f t="shared" si="3"/>
        <v>41.606746404912812</v>
      </c>
      <c r="AH33" s="50">
        <f t="shared" si="4"/>
        <v>0.33597196989358924</v>
      </c>
      <c r="AI33" s="105">
        <f t="shared" si="5"/>
        <v>1.0717619531081573</v>
      </c>
      <c r="AJ33" s="311">
        <f>INDEX($AR$3:AS43,MATCH(COUNTA(O33:W33),$AR$3:$AR$12,0),2)</f>
        <v>1.1499999999999999</v>
      </c>
      <c r="AK33" s="108">
        <f t="shared" si="6"/>
        <v>456.81333333333333</v>
      </c>
      <c r="AL33" s="310">
        <f t="shared" si="7"/>
        <v>48.071445609013487</v>
      </c>
      <c r="AM33" s="306">
        <v>9.9270999999999994</v>
      </c>
      <c r="AN33">
        <v>0.42430000000000001</v>
      </c>
      <c r="AO33" s="91">
        <f>((AK33-(AVERAGE(AL32,AL34)*AB33))*100)/(AN33*1000)</f>
        <v>96.364966116142682</v>
      </c>
      <c r="AP33" s="147" t="s">
        <v>64</v>
      </c>
    </row>
    <row r="34" spans="1:42">
      <c r="A34" s="155" t="s">
        <v>73</v>
      </c>
      <c r="B34" s="185"/>
      <c r="E34">
        <v>42.61</v>
      </c>
      <c r="F34">
        <v>5.96</v>
      </c>
      <c r="G34">
        <v>40.96</v>
      </c>
      <c r="J34">
        <v>46.69</v>
      </c>
      <c r="K34">
        <v>45.14</v>
      </c>
      <c r="Q34">
        <v>42.61</v>
      </c>
      <c r="S34">
        <v>40.96</v>
      </c>
      <c r="V34">
        <v>46.69</v>
      </c>
      <c r="W34">
        <v>45.14</v>
      </c>
      <c r="AB34" s="124">
        <v>6.3264996</v>
      </c>
      <c r="AC34" s="312">
        <v>0.57999999999999996</v>
      </c>
      <c r="AD34" s="87">
        <f t="shared" si="0"/>
        <v>0.72222222222222221</v>
      </c>
      <c r="AE34" s="203">
        <f t="shared" si="1"/>
        <v>0.65111111111111108</v>
      </c>
      <c r="AF34" s="49">
        <f t="shared" si="2"/>
        <v>5.050603408216717</v>
      </c>
      <c r="AG34" s="49">
        <f t="shared" si="3"/>
        <v>42.13967128873481</v>
      </c>
      <c r="AH34" s="50">
        <f t="shared" si="4"/>
        <v>0.27050610820244292</v>
      </c>
      <c r="AI34" s="105">
        <f t="shared" si="5"/>
        <v>1.2823467482978312</v>
      </c>
      <c r="AJ34" s="311">
        <f>INDEX($AR$3:AS44,MATCH(COUNTA(O34:W34),$AR$3:$AR$12,0),2)</f>
        <v>1.49</v>
      </c>
      <c r="AK34" s="108">
        <f t="shared" si="6"/>
        <v>43.849999999999994</v>
      </c>
      <c r="AL34" s="310">
        <f t="shared" si="7"/>
        <v>6.9311630083719589</v>
      </c>
      <c r="AM34" s="306">
        <v>6.4188000000000001</v>
      </c>
      <c r="AN34" s="115">
        <v>9.2300400000000005E-2</v>
      </c>
      <c r="AP34" s="147" t="s">
        <v>64</v>
      </c>
    </row>
    <row r="35" spans="1:42">
      <c r="A35" s="155" t="s">
        <v>74</v>
      </c>
      <c r="B35" s="185"/>
      <c r="AB35" s="124">
        <v>20.927900000000001</v>
      </c>
      <c r="AC35" s="312">
        <v>0.52</v>
      </c>
      <c r="AD35" s="87" t="e">
        <f t="shared" si="0"/>
        <v>#DIV/0!</v>
      </c>
      <c r="AE35" s="203" t="e">
        <f t="shared" si="1"/>
        <v>#DIV/0!</v>
      </c>
      <c r="AF35" s="49" t="e">
        <f t="shared" si="2"/>
        <v>#DIV/0!</v>
      </c>
      <c r="AG35" s="49" t="e">
        <f t="shared" si="3"/>
        <v>#DIV/0!</v>
      </c>
      <c r="AH35" s="50" t="e">
        <f t="shared" si="4"/>
        <v>#NUM!</v>
      </c>
      <c r="AI35" s="105" t="e">
        <f t="shared" si="5"/>
        <v>#DIV/0!</v>
      </c>
      <c r="AJ35" s="311" t="e">
        <f>INDEX($AR$3:AS45,MATCH(COUNTA(O35:W35),$AR$3:$AR$12,0),2)</f>
        <v>#N/A</v>
      </c>
      <c r="AK35" s="108" t="e">
        <f t="shared" si="6"/>
        <v>#DIV/0!</v>
      </c>
      <c r="AL35" s="310" t="str">
        <f t="shared" si="7"/>
        <v>n.d.</v>
      </c>
      <c r="AM35" s="306"/>
      <c r="AP35" s="147" t="s">
        <v>75</v>
      </c>
    </row>
    <row r="36" spans="1:42">
      <c r="A36" s="155" t="s">
        <v>76</v>
      </c>
      <c r="B36" s="185"/>
      <c r="C36">
        <v>103.07</v>
      </c>
      <c r="E36">
        <v>58.92</v>
      </c>
      <c r="F36">
        <v>18.23</v>
      </c>
      <c r="J36">
        <v>77.09</v>
      </c>
      <c r="Q36">
        <v>58.92</v>
      </c>
      <c r="R36">
        <v>18.23</v>
      </c>
      <c r="V36">
        <v>77.09</v>
      </c>
      <c r="AB36" s="124">
        <v>5.5827999999999998</v>
      </c>
      <c r="AC36" s="312">
        <v>0.51</v>
      </c>
      <c r="AD36" s="87">
        <f t="shared" si="0"/>
        <v>0.41666666666666663</v>
      </c>
      <c r="AE36" s="203">
        <f t="shared" si="1"/>
        <v>0.46333333333333332</v>
      </c>
      <c r="AF36" s="49">
        <f t="shared" si="2"/>
        <v>47.864570628268247</v>
      </c>
      <c r="AG36" s="49">
        <f t="shared" si="3"/>
        <v>48.028168881723822</v>
      </c>
      <c r="AH36" s="50">
        <f t="shared" si="4"/>
        <v>0.30869860686374451</v>
      </c>
      <c r="AI36" s="105">
        <f t="shared" si="5"/>
        <v>1.0433949103075923</v>
      </c>
      <c r="AJ36" s="311">
        <f>INDEX($AR$3:AS46,MATCH(COUNTA(O36:W36),$AR$3:$AR$12,0),2)</f>
        <v>1.1499999999999999</v>
      </c>
      <c r="AK36" s="108">
        <f t="shared" si="6"/>
        <v>51.413333333333334</v>
      </c>
      <c r="AL36" s="310">
        <f t="shared" si="7"/>
        <v>9.2092378973513895</v>
      </c>
      <c r="AM36" s="306"/>
      <c r="AP36" s="147" t="s">
        <v>70</v>
      </c>
    </row>
    <row r="37" spans="1:42">
      <c r="A37" s="155" t="s">
        <v>77</v>
      </c>
      <c r="B37" s="185"/>
      <c r="C37">
        <v>63.84</v>
      </c>
      <c r="E37">
        <v>57.31</v>
      </c>
      <c r="F37">
        <v>17.53</v>
      </c>
      <c r="H37">
        <v>30.03</v>
      </c>
      <c r="J37">
        <v>37.090000000000003</v>
      </c>
      <c r="Q37">
        <v>57.31</v>
      </c>
      <c r="R37">
        <v>17.53</v>
      </c>
      <c r="T37">
        <v>30.03</v>
      </c>
      <c r="V37">
        <v>37.090000000000003</v>
      </c>
      <c r="AB37" s="124">
        <v>9.077</v>
      </c>
      <c r="AC37" s="312">
        <v>0.57999999999999996</v>
      </c>
      <c r="AD37" s="87">
        <f t="shared" si="0"/>
        <v>0.47222222222222221</v>
      </c>
      <c r="AE37" s="203">
        <f t="shared" si="1"/>
        <v>0.52611111111111108</v>
      </c>
      <c r="AF37" s="49">
        <f t="shared" si="2"/>
        <v>40.614062444612848</v>
      </c>
      <c r="AG37" s="49">
        <f t="shared" si="3"/>
        <v>41.714961796966534</v>
      </c>
      <c r="AH37" s="50">
        <f t="shared" si="4"/>
        <v>0.50829562594268474</v>
      </c>
      <c r="AI37" s="105">
        <f t="shared" si="5"/>
        <v>1.5138132936048836</v>
      </c>
      <c r="AJ37" s="311">
        <f>INDEX($AR$3:AS47,MATCH(COUNTA(O37:W37),$AR$3:$AR$12,0),2)</f>
        <v>1.49</v>
      </c>
      <c r="AK37" s="108">
        <f t="shared" si="6"/>
        <v>35.49</v>
      </c>
      <c r="AL37" s="310">
        <f t="shared" si="7"/>
        <v>3.9098821196430542</v>
      </c>
      <c r="AM37" s="306"/>
      <c r="AP37" s="147" t="s">
        <v>70</v>
      </c>
    </row>
    <row r="38" spans="1:42">
      <c r="A38" s="155" t="s">
        <v>78</v>
      </c>
      <c r="B38" s="185"/>
      <c r="C38">
        <v>53.09</v>
      </c>
      <c r="F38">
        <v>21.83</v>
      </c>
      <c r="J38">
        <v>25.68</v>
      </c>
      <c r="O38">
        <v>53.09</v>
      </c>
      <c r="R38">
        <v>21.83</v>
      </c>
      <c r="V38">
        <v>25.68</v>
      </c>
      <c r="AB38" s="124">
        <v>4.5395000000000003</v>
      </c>
      <c r="AC38" s="312">
        <v>0.42</v>
      </c>
      <c r="AD38" s="87">
        <f t="shared" si="0"/>
        <v>0.41666666666666663</v>
      </c>
      <c r="AE38" s="203">
        <f t="shared" si="1"/>
        <v>0.41833333333333333</v>
      </c>
      <c r="AF38" s="49">
        <f t="shared" si="2"/>
        <v>41.504037935538371</v>
      </c>
      <c r="AG38" s="49">
        <f t="shared" si="3"/>
        <v>41.504037935538371</v>
      </c>
      <c r="AH38" s="50">
        <f t="shared" si="4"/>
        <v>0.87683941138835575</v>
      </c>
      <c r="AI38" s="105">
        <f t="shared" si="5"/>
        <v>1.4051663988318959</v>
      </c>
      <c r="AJ38" s="311">
        <f>INDEX($AR$3:AS48,MATCH(COUNTA(O38:W38),$AR$3:$AR$12,0),2)</f>
        <v>1.1499999999999999</v>
      </c>
      <c r="AK38" s="108">
        <f t="shared" si="6"/>
        <v>33.533333333333331</v>
      </c>
      <c r="AL38" s="310">
        <f t="shared" si="7"/>
        <v>7.3870103168484036</v>
      </c>
      <c r="AM38" s="306"/>
      <c r="AP38" s="147" t="s">
        <v>70</v>
      </c>
    </row>
    <row r="39" spans="1:42">
      <c r="A39" s="155" t="s">
        <v>79</v>
      </c>
      <c r="B39" s="185"/>
      <c r="AB39" s="124">
        <v>11.981299999999999</v>
      </c>
      <c r="AD39" s="87" t="e">
        <f t="shared" si="0"/>
        <v>#DIV/0!</v>
      </c>
      <c r="AE39" s="203" t="e">
        <f t="shared" si="1"/>
        <v>#DIV/0!</v>
      </c>
      <c r="AF39" s="49" t="e">
        <f t="shared" si="2"/>
        <v>#DIV/0!</v>
      </c>
      <c r="AG39" s="49" t="e">
        <f t="shared" si="3"/>
        <v>#DIV/0!</v>
      </c>
      <c r="AH39" s="50" t="e">
        <f t="shared" si="4"/>
        <v>#NUM!</v>
      </c>
      <c r="AI39" s="105" t="e">
        <f t="shared" si="5"/>
        <v>#DIV/0!</v>
      </c>
      <c r="AJ39" s="311" t="e">
        <f>INDEX($AR$3:AS49,MATCH(COUNTA(O39:W39),$AR$3:$AR$12,0),2)</f>
        <v>#N/A</v>
      </c>
      <c r="AK39" s="108" t="e">
        <f t="shared" si="6"/>
        <v>#DIV/0!</v>
      </c>
      <c r="AL39" s="310" t="str">
        <f t="shared" si="7"/>
        <v>n.d.</v>
      </c>
      <c r="AM39" s="306"/>
      <c r="AP39" s="147" t="s">
        <v>70</v>
      </c>
    </row>
    <row r="40" spans="1:42">
      <c r="A40" s="155" t="s">
        <v>80</v>
      </c>
      <c r="B40" s="185"/>
      <c r="AB40" s="124">
        <v>22.0534</v>
      </c>
      <c r="AD40" s="87" t="e">
        <f t="shared" si="0"/>
        <v>#DIV/0!</v>
      </c>
      <c r="AE40" s="203" t="e">
        <f t="shared" si="1"/>
        <v>#DIV/0!</v>
      </c>
      <c r="AF40" s="49" t="e">
        <f t="shared" si="2"/>
        <v>#DIV/0!</v>
      </c>
      <c r="AG40" s="49" t="e">
        <f t="shared" si="3"/>
        <v>#DIV/0!</v>
      </c>
      <c r="AH40" s="50" t="e">
        <f t="shared" si="4"/>
        <v>#NUM!</v>
      </c>
      <c r="AI40" s="105" t="e">
        <f t="shared" si="5"/>
        <v>#DIV/0!</v>
      </c>
      <c r="AJ40" s="311" t="e">
        <f>INDEX($AR$3:AS50,MATCH(COUNTA(O40:W40),$AR$3:$AR$12,0),2)</f>
        <v>#N/A</v>
      </c>
      <c r="AK40" s="108" t="e">
        <f t="shared" si="6"/>
        <v>#DIV/0!</v>
      </c>
      <c r="AL40" s="310" t="str">
        <f t="shared" si="7"/>
        <v>n.d.</v>
      </c>
      <c r="AM40" s="306"/>
      <c r="AP40" s="147" t="s">
        <v>70</v>
      </c>
    </row>
    <row r="41" spans="1:42">
      <c r="A41" s="155" t="s">
        <v>81</v>
      </c>
      <c r="B41" s="185"/>
      <c r="AB41" s="124">
        <v>14.983700000000001</v>
      </c>
      <c r="AD41" s="87" t="e">
        <f t="shared" si="0"/>
        <v>#DIV/0!</v>
      </c>
      <c r="AE41" s="203" t="e">
        <f t="shared" si="1"/>
        <v>#DIV/0!</v>
      </c>
      <c r="AF41" s="49" t="e">
        <f t="shared" si="2"/>
        <v>#DIV/0!</v>
      </c>
      <c r="AG41" s="49" t="e">
        <f t="shared" si="3"/>
        <v>#DIV/0!</v>
      </c>
      <c r="AH41" s="50" t="e">
        <f t="shared" si="4"/>
        <v>#NUM!</v>
      </c>
      <c r="AI41" s="105" t="e">
        <f t="shared" si="5"/>
        <v>#DIV/0!</v>
      </c>
      <c r="AJ41" s="311" t="e">
        <f>INDEX($AR$3:AS51,MATCH(COUNTA(O41:W41),$AR$3:$AR$12,0),2)</f>
        <v>#N/A</v>
      </c>
      <c r="AK41" s="108" t="e">
        <f t="shared" si="6"/>
        <v>#DIV/0!</v>
      </c>
      <c r="AL41" s="310" t="str">
        <f t="shared" si="7"/>
        <v>n.d.</v>
      </c>
      <c r="AM41" s="306"/>
      <c r="AP41" s="147" t="s">
        <v>70</v>
      </c>
    </row>
    <row r="42" spans="1:42">
      <c r="A42" s="155" t="s">
        <v>82</v>
      </c>
      <c r="B42" s="185"/>
      <c r="C42">
        <v>243.26</v>
      </c>
      <c r="E42">
        <v>180.51</v>
      </c>
      <c r="F42">
        <v>202.1</v>
      </c>
      <c r="G42">
        <v>115.45</v>
      </c>
      <c r="H42">
        <v>170.3</v>
      </c>
      <c r="I42">
        <v>222.77</v>
      </c>
      <c r="J42">
        <v>156.88999999999999</v>
      </c>
      <c r="K42">
        <v>253.54</v>
      </c>
      <c r="O42">
        <v>243.26</v>
      </c>
      <c r="Q42">
        <v>180.51</v>
      </c>
      <c r="R42">
        <v>202.1</v>
      </c>
      <c r="S42">
        <v>115.45</v>
      </c>
      <c r="T42">
        <v>170.3</v>
      </c>
      <c r="U42">
        <v>222.77</v>
      </c>
      <c r="V42">
        <v>156.88999999999999</v>
      </c>
      <c r="W42">
        <v>253.54</v>
      </c>
      <c r="Z42" s="166">
        <v>2.4987762971510028</v>
      </c>
      <c r="AA42" s="130">
        <v>4.4017774998636154</v>
      </c>
      <c r="AB42" s="124">
        <v>2.3340000000000001</v>
      </c>
      <c r="AC42" s="312">
        <v>0.82</v>
      </c>
      <c r="AD42" s="87">
        <f t="shared" si="0"/>
        <v>0.94444444444444442</v>
      </c>
      <c r="AE42" s="203">
        <f t="shared" si="1"/>
        <v>0.88222222222222224</v>
      </c>
      <c r="AF42" s="49">
        <f t="shared" si="2"/>
        <v>22.535349220128882</v>
      </c>
      <c r="AG42" s="49">
        <f t="shared" si="3"/>
        <v>22.535349220128882</v>
      </c>
      <c r="AH42" s="50">
        <f t="shared" si="4"/>
        <v>7.4444203055978E-2</v>
      </c>
      <c r="AI42" s="105">
        <f t="shared" si="5"/>
        <v>1.3888466720417736</v>
      </c>
      <c r="AJ42" s="311">
        <f>INDEX($AR$3:AS52,MATCH(COUNTA(O42:W42),$AR$3:$AR$12,0),2)</f>
        <v>2.2200000000000002</v>
      </c>
      <c r="AK42" s="108">
        <f t="shared" si="6"/>
        <v>193.10250000000002</v>
      </c>
      <c r="AL42" s="310">
        <f t="shared" si="7"/>
        <v>82.734575835475582</v>
      </c>
      <c r="AM42" s="306"/>
      <c r="AP42" s="147" t="s">
        <v>67</v>
      </c>
    </row>
    <row r="43" spans="1:42">
      <c r="A43" s="155" t="s">
        <v>83</v>
      </c>
      <c r="B43" s="185"/>
      <c r="E43">
        <v>75.92</v>
      </c>
      <c r="F43">
        <v>62.33</v>
      </c>
      <c r="G43">
        <v>22.61</v>
      </c>
      <c r="J43">
        <v>22.88</v>
      </c>
      <c r="K43">
        <v>10.46</v>
      </c>
      <c r="Q43">
        <v>75.92</v>
      </c>
      <c r="R43">
        <v>62.33</v>
      </c>
      <c r="S43">
        <v>22.61</v>
      </c>
      <c r="V43">
        <v>22.88</v>
      </c>
      <c r="W43">
        <v>10.46</v>
      </c>
      <c r="Z43" s="166">
        <v>6.6883709910154826E-2</v>
      </c>
      <c r="AA43" s="130">
        <v>9.4587849656768697E-2</v>
      </c>
      <c r="AB43" s="124">
        <v>5.1288999999999998</v>
      </c>
      <c r="AC43" s="312">
        <v>0.5</v>
      </c>
      <c r="AD43" s="87">
        <f t="shared" si="0"/>
        <v>0.52777777777777779</v>
      </c>
      <c r="AE43" s="203">
        <f t="shared" si="1"/>
        <v>0.51388888888888884</v>
      </c>
      <c r="AF43" s="49">
        <f t="shared" si="2"/>
        <v>65.644022994742528</v>
      </c>
      <c r="AG43" s="49">
        <f t="shared" si="3"/>
        <v>65.644022994742528</v>
      </c>
      <c r="AH43" s="50">
        <f t="shared" si="4"/>
        <v>0.20760769935838683</v>
      </c>
      <c r="AI43" s="105">
        <f t="shared" si="5"/>
        <v>1.4543378776627582</v>
      </c>
      <c r="AJ43" s="311">
        <f>INDEX($AR$3:AS53,MATCH(COUNTA(O43:W43),$AR$3:$AR$12,0),2)</f>
        <v>1.75</v>
      </c>
      <c r="AK43" s="108">
        <f t="shared" si="6"/>
        <v>38.840000000000003</v>
      </c>
      <c r="AL43" s="310">
        <f t="shared" si="7"/>
        <v>7.5727738891380225</v>
      </c>
      <c r="AM43" s="306"/>
      <c r="AP43" s="147" t="s">
        <v>67</v>
      </c>
    </row>
    <row r="44" spans="1:42">
      <c r="A44" s="155" t="s">
        <v>84</v>
      </c>
      <c r="B44" s="185"/>
      <c r="C44">
        <v>82.02</v>
      </c>
      <c r="E44">
        <v>89.63</v>
      </c>
      <c r="F44">
        <v>69.61</v>
      </c>
      <c r="G44">
        <v>29.31</v>
      </c>
      <c r="J44">
        <v>38.409999999999997</v>
      </c>
      <c r="K44">
        <v>54.19</v>
      </c>
      <c r="O44">
        <v>82.02</v>
      </c>
      <c r="Q44">
        <v>89.63</v>
      </c>
      <c r="R44">
        <v>69.61</v>
      </c>
      <c r="S44">
        <v>29.31</v>
      </c>
      <c r="V44">
        <v>38.409999999999997</v>
      </c>
      <c r="W44">
        <v>54.19</v>
      </c>
      <c r="Z44" s="166">
        <v>3.5278698200069868E-2</v>
      </c>
      <c r="AA44" s="130">
        <v>4.9891613457406177E-2</v>
      </c>
      <c r="AB44" s="124">
        <v>2.7223000000000002</v>
      </c>
      <c r="AC44" s="312">
        <v>0.7</v>
      </c>
      <c r="AD44" s="87">
        <f t="shared" si="0"/>
        <v>0.58333333333333326</v>
      </c>
      <c r="AE44" s="203">
        <f t="shared" si="1"/>
        <v>0.64166666666666661</v>
      </c>
      <c r="AF44" s="49">
        <f t="shared" si="2"/>
        <v>36.291846102826987</v>
      </c>
      <c r="AG44" s="49">
        <f t="shared" si="3"/>
        <v>36.291846102826987</v>
      </c>
      <c r="AH44" s="50">
        <f t="shared" si="4"/>
        <v>0.12616047745358092</v>
      </c>
      <c r="AI44" s="105">
        <f t="shared" si="5"/>
        <v>1.3247992871309708</v>
      </c>
      <c r="AJ44" s="311">
        <f>INDEX($AR$3:AS54,MATCH(COUNTA(O44:W44),$AR$3:$AR$12,0),2)</f>
        <v>1.94</v>
      </c>
      <c r="AK44" s="108">
        <f t="shared" si="6"/>
        <v>60.528333333333336</v>
      </c>
      <c r="AL44" s="310">
        <f t="shared" si="7"/>
        <v>22.234262694535257</v>
      </c>
      <c r="AM44" s="306"/>
      <c r="AP44" s="147" t="s">
        <v>67</v>
      </c>
    </row>
    <row r="45" spans="1:42">
      <c r="A45" s="155" t="s">
        <v>85</v>
      </c>
      <c r="B45" s="185"/>
      <c r="C45">
        <v>90.48</v>
      </c>
      <c r="E45">
        <v>93.14</v>
      </c>
      <c r="F45">
        <v>75.64</v>
      </c>
      <c r="G45">
        <v>31.73</v>
      </c>
      <c r="J45">
        <v>34.96</v>
      </c>
      <c r="K45">
        <v>55.68</v>
      </c>
      <c r="O45">
        <v>90.48</v>
      </c>
      <c r="Q45">
        <v>93.14</v>
      </c>
      <c r="R45">
        <v>75.64</v>
      </c>
      <c r="S45">
        <v>31.73</v>
      </c>
      <c r="V45">
        <v>34.96</v>
      </c>
      <c r="W45">
        <v>55.68</v>
      </c>
      <c r="Z45" s="166">
        <v>3.5278698200069979E-2</v>
      </c>
      <c r="AA45" s="130">
        <v>4.9891613457406177E-2</v>
      </c>
      <c r="AB45" s="124">
        <v>2.6141000000000001</v>
      </c>
      <c r="AC45" s="312">
        <v>0.77</v>
      </c>
      <c r="AD45" s="87">
        <f t="shared" si="0"/>
        <v>0.58333333333333326</v>
      </c>
      <c r="AE45" s="203">
        <f t="shared" si="1"/>
        <v>0.67666666666666664</v>
      </c>
      <c r="AF45" s="49">
        <f t="shared" si="2"/>
        <v>38.717832641219736</v>
      </c>
      <c r="AG45" s="49">
        <f t="shared" si="3"/>
        <v>38.717832641219736</v>
      </c>
      <c r="AH45" s="50">
        <f t="shared" si="4"/>
        <v>4.3315420941214731E-2</v>
      </c>
      <c r="AI45" s="105">
        <f t="shared" si="5"/>
        <v>1.1993189061744443</v>
      </c>
      <c r="AJ45" s="311">
        <f>INDEX($AR$3:AS55,MATCH(COUNTA(O45:W45),$AR$3:$AR$12,0),2)</f>
        <v>1.94</v>
      </c>
      <c r="AK45" s="108">
        <f t="shared" si="6"/>
        <v>63.604999999999997</v>
      </c>
      <c r="AL45" s="310">
        <f t="shared" si="7"/>
        <v>24.331509888680614</v>
      </c>
      <c r="AM45" s="306"/>
      <c r="AP45" s="147" t="s">
        <v>67</v>
      </c>
    </row>
    <row r="46" spans="1:42">
      <c r="A46" s="155" t="s">
        <v>86</v>
      </c>
      <c r="B46" s="185"/>
      <c r="C46">
        <v>326.19</v>
      </c>
      <c r="E46">
        <v>425.64</v>
      </c>
      <c r="F46">
        <v>404.89</v>
      </c>
      <c r="G46">
        <v>187.21</v>
      </c>
      <c r="H46">
        <v>321.45999999999998</v>
      </c>
      <c r="I46">
        <v>267.43</v>
      </c>
      <c r="J46">
        <v>187.8</v>
      </c>
      <c r="K46">
        <v>289.02</v>
      </c>
      <c r="O46">
        <v>326.19</v>
      </c>
      <c r="Q46">
        <v>425.64</v>
      </c>
      <c r="R46">
        <v>404.89</v>
      </c>
      <c r="S46">
        <v>187.21</v>
      </c>
      <c r="T46">
        <v>321.45999999999998</v>
      </c>
      <c r="U46">
        <v>267.43</v>
      </c>
      <c r="V46">
        <v>187.8</v>
      </c>
      <c r="W46">
        <v>289.02</v>
      </c>
      <c r="Z46" s="166">
        <v>0.17137020002342329</v>
      </c>
      <c r="AA46" s="130">
        <v>0.24235406105971541</v>
      </c>
      <c r="AB46" s="124">
        <v>3.3165</v>
      </c>
      <c r="AC46" s="312">
        <v>0.82</v>
      </c>
      <c r="AD46" s="87">
        <f t="shared" si="0"/>
        <v>0.94444444444444442</v>
      </c>
      <c r="AE46" s="203">
        <f t="shared" si="1"/>
        <v>0.88222222222222224</v>
      </c>
      <c r="AF46" s="49">
        <f t="shared" si="2"/>
        <v>27.380913087135127</v>
      </c>
      <c r="AG46" s="49">
        <f t="shared" si="3"/>
        <v>27.380913087135127</v>
      </c>
      <c r="AH46" s="50">
        <f t="shared" si="4"/>
        <v>8.7027639139370047E-2</v>
      </c>
      <c r="AI46" s="105">
        <f t="shared" si="5"/>
        <v>1.508802686057005</v>
      </c>
      <c r="AJ46" s="311">
        <f>INDEX($AR$3:AS56,MATCH(COUNTA(O46:W46),$AR$3:$AR$12,0),2)</f>
        <v>2.2200000000000002</v>
      </c>
      <c r="AK46" s="108">
        <f t="shared" si="6"/>
        <v>301.20499999999998</v>
      </c>
      <c r="AL46" s="310">
        <f t="shared" si="7"/>
        <v>90.820141715664093</v>
      </c>
      <c r="AM46" s="306"/>
      <c r="AP46" s="147" t="s">
        <v>67</v>
      </c>
    </row>
    <row r="47" spans="1:42">
      <c r="A47" s="155" t="s">
        <v>87</v>
      </c>
      <c r="B47" s="185"/>
      <c r="C47">
        <v>263.20999999999998</v>
      </c>
      <c r="E47">
        <v>296.33</v>
      </c>
      <c r="F47">
        <v>270.58</v>
      </c>
      <c r="G47">
        <v>120.69</v>
      </c>
      <c r="H47">
        <v>153.33000000000001</v>
      </c>
      <c r="I47">
        <v>146.16</v>
      </c>
      <c r="J47">
        <v>126.97</v>
      </c>
      <c r="K47">
        <v>194.05</v>
      </c>
      <c r="O47">
        <v>263.20999999999998</v>
      </c>
      <c r="Q47">
        <v>296.33</v>
      </c>
      <c r="R47">
        <v>270.58</v>
      </c>
      <c r="S47">
        <v>120.69</v>
      </c>
      <c r="T47">
        <v>153.33000000000001</v>
      </c>
      <c r="U47">
        <v>146.16</v>
      </c>
      <c r="V47">
        <v>126.97</v>
      </c>
      <c r="W47">
        <v>194.05</v>
      </c>
      <c r="Z47" s="166">
        <v>0.1713702000234234</v>
      </c>
      <c r="AA47" s="130">
        <v>0.24235406105971541</v>
      </c>
      <c r="AB47" s="124">
        <v>2.6827000000000001</v>
      </c>
      <c r="AC47" s="312">
        <v>0.78</v>
      </c>
      <c r="AD47" s="87">
        <f t="shared" si="0"/>
        <v>0.94444444444444442</v>
      </c>
      <c r="AE47" s="203">
        <f t="shared" si="1"/>
        <v>0.86222222222222222</v>
      </c>
      <c r="AF47" s="49">
        <f t="shared" si="2"/>
        <v>33.622268808483028</v>
      </c>
      <c r="AG47" s="49">
        <f t="shared" si="3"/>
        <v>33.622268808483028</v>
      </c>
      <c r="AH47" s="50">
        <f t="shared" si="4"/>
        <v>0.14660669551355046</v>
      </c>
      <c r="AI47" s="105">
        <f t="shared" si="5"/>
        <v>1.5129655015259105</v>
      </c>
      <c r="AJ47" s="311">
        <f>INDEX($AR$3:AS57,MATCH(COUNTA(O47:W47),$AR$3:$AR$12,0),2)</f>
        <v>2.2200000000000002</v>
      </c>
      <c r="AK47" s="108">
        <f t="shared" si="6"/>
        <v>196.41499999999999</v>
      </c>
      <c r="AL47" s="310">
        <f t="shared" si="7"/>
        <v>73.215417303462928</v>
      </c>
      <c r="AM47" s="306"/>
      <c r="AP47" s="147" t="s">
        <v>67</v>
      </c>
    </row>
    <row r="48" spans="1:42">
      <c r="A48" s="155" t="s">
        <v>88</v>
      </c>
      <c r="B48" s="185"/>
      <c r="C48">
        <v>248.95</v>
      </c>
      <c r="E48">
        <v>281.48</v>
      </c>
      <c r="F48">
        <v>284.35000000000002</v>
      </c>
      <c r="G48">
        <v>104.05</v>
      </c>
      <c r="H48">
        <v>68.05</v>
      </c>
      <c r="I48">
        <v>73.56</v>
      </c>
      <c r="J48">
        <v>93.75</v>
      </c>
      <c r="K48">
        <v>136.34</v>
      </c>
      <c r="O48">
        <v>248.95</v>
      </c>
      <c r="Q48">
        <v>281.48</v>
      </c>
      <c r="R48">
        <v>284.35000000000002</v>
      </c>
      <c r="S48">
        <v>104.05</v>
      </c>
      <c r="T48">
        <v>68.05</v>
      </c>
      <c r="U48">
        <v>73.56</v>
      </c>
      <c r="V48">
        <v>93.75</v>
      </c>
      <c r="W48">
        <v>136.34</v>
      </c>
      <c r="AB48" s="124">
        <v>4.9345999999999997</v>
      </c>
      <c r="AC48" s="312">
        <v>0.73</v>
      </c>
      <c r="AD48" s="87">
        <f t="shared" si="0"/>
        <v>0.69444444444444442</v>
      </c>
      <c r="AE48" s="203">
        <f t="shared" si="1"/>
        <v>0.7122222222222222</v>
      </c>
      <c r="AF48" s="49">
        <f t="shared" si="2"/>
        <v>54.627121172058914</v>
      </c>
      <c r="AG48" s="49">
        <f t="shared" si="3"/>
        <v>54.627121172058914</v>
      </c>
      <c r="AH48" s="50">
        <f t="shared" si="4"/>
        <v>1.3268608414239503E-2</v>
      </c>
      <c r="AI48" s="105">
        <f t="shared" si="5"/>
        <v>1.396168481438153</v>
      </c>
      <c r="AJ48" s="311">
        <f>INDEX($AR$3:AS58,MATCH(COUNTA(O48:W48),$AR$3:$AR$12,0),2)</f>
        <v>2.2200000000000002</v>
      </c>
      <c r="AK48" s="108">
        <f t="shared" si="6"/>
        <v>161.31625</v>
      </c>
      <c r="AL48" s="310">
        <f t="shared" si="7"/>
        <v>32.690846269201153</v>
      </c>
      <c r="AM48" s="306"/>
      <c r="AP48" s="147" t="s">
        <v>67</v>
      </c>
    </row>
    <row r="49" spans="1:42">
      <c r="A49" s="334" t="s">
        <v>89</v>
      </c>
      <c r="B49" s="185"/>
      <c r="C49">
        <v>210.37</v>
      </c>
      <c r="E49">
        <v>275.24</v>
      </c>
      <c r="F49">
        <v>290.92</v>
      </c>
      <c r="G49">
        <v>118.71</v>
      </c>
      <c r="H49">
        <v>62.95</v>
      </c>
      <c r="I49">
        <v>58.18</v>
      </c>
      <c r="J49">
        <v>94.82</v>
      </c>
      <c r="K49">
        <v>142.87</v>
      </c>
      <c r="O49">
        <v>210.37</v>
      </c>
      <c r="Q49">
        <v>275.24</v>
      </c>
      <c r="R49">
        <v>290.92</v>
      </c>
      <c r="S49">
        <v>118.71</v>
      </c>
      <c r="T49">
        <v>62.95</v>
      </c>
      <c r="U49">
        <v>58.18</v>
      </c>
      <c r="V49">
        <v>94.82</v>
      </c>
      <c r="W49">
        <v>142.87</v>
      </c>
      <c r="AB49" s="124">
        <v>5.2786</v>
      </c>
      <c r="AC49" s="312">
        <v>0.77</v>
      </c>
      <c r="AD49" s="87">
        <f t="shared" si="0"/>
        <v>0.69444444444444442</v>
      </c>
      <c r="AE49" s="203">
        <f t="shared" si="1"/>
        <v>0.73222222222222222</v>
      </c>
      <c r="AF49" s="49">
        <f t="shared" si="2"/>
        <v>54.740244728117339</v>
      </c>
      <c r="AG49" s="49">
        <f t="shared" si="3"/>
        <v>54.740244728117339</v>
      </c>
      <c r="AH49" s="50">
        <f t="shared" si="4"/>
        <v>6.7371315631176446E-2</v>
      </c>
      <c r="AI49" s="105">
        <f t="shared" si="5"/>
        <v>1.5634934962953024</v>
      </c>
      <c r="AJ49" s="311">
        <f>INDEX($AR$3:AS59,MATCH(COUNTA(O49:W49),$AR$3:$AR$12,0),2)</f>
        <v>2.2200000000000002</v>
      </c>
      <c r="AK49" s="108">
        <f t="shared" si="6"/>
        <v>156.75749999999999</v>
      </c>
      <c r="AL49" s="310">
        <f t="shared" si="7"/>
        <v>29.696794604630014</v>
      </c>
      <c r="AM49" s="306"/>
      <c r="AP49" s="147" t="s">
        <v>67</v>
      </c>
    </row>
    <row r="50" spans="1:42" s="51" customFormat="1">
      <c r="A50" s="156" t="s">
        <v>90</v>
      </c>
      <c r="B50" s="186"/>
      <c r="N50" s="306"/>
      <c r="Y50" s="78"/>
      <c r="AA50" s="78"/>
      <c r="AB50" s="123">
        <v>6.4586099999999994E-2</v>
      </c>
      <c r="AC50" s="83"/>
      <c r="AD50" s="89" t="e">
        <f t="shared" si="0"/>
        <v>#DIV/0!</v>
      </c>
      <c r="AE50" s="68" t="e">
        <f t="shared" si="1"/>
        <v>#DIV/0!</v>
      </c>
      <c r="AF50" s="69" t="e">
        <f t="shared" si="2"/>
        <v>#DIV/0!</v>
      </c>
      <c r="AG50" s="69" t="e">
        <f t="shared" si="3"/>
        <v>#DIV/0!</v>
      </c>
      <c r="AH50" s="70" t="e">
        <f t="shared" si="4"/>
        <v>#NUM!</v>
      </c>
      <c r="AI50" s="104" t="e">
        <f t="shared" si="5"/>
        <v>#DIV/0!</v>
      </c>
      <c r="AJ50" s="71" t="e">
        <f>INDEX($AR$3:AS60,MATCH(COUNTA(O50:W50),$AR$3:$AR$12,0),2)</f>
        <v>#N/A</v>
      </c>
      <c r="AK50" s="107" t="e">
        <f t="shared" si="6"/>
        <v>#DIV/0!</v>
      </c>
      <c r="AL50" s="310" t="str">
        <f t="shared" si="7"/>
        <v>n.d.</v>
      </c>
      <c r="AO50" s="78"/>
      <c r="AP50" s="148" t="s">
        <v>64</v>
      </c>
    </row>
    <row r="51" spans="1:42">
      <c r="A51" s="156" t="s">
        <v>91</v>
      </c>
      <c r="B51" s="187"/>
      <c r="C51">
        <v>352.38</v>
      </c>
      <c r="E51">
        <v>187.54</v>
      </c>
      <c r="F51">
        <v>163.75</v>
      </c>
      <c r="G51">
        <v>107.8</v>
      </c>
      <c r="H51">
        <v>364.6</v>
      </c>
      <c r="I51">
        <v>266.68</v>
      </c>
      <c r="J51">
        <v>249.02</v>
      </c>
      <c r="K51">
        <v>276.89</v>
      </c>
      <c r="O51">
        <v>352.38</v>
      </c>
      <c r="Q51">
        <v>187.54</v>
      </c>
      <c r="R51">
        <v>163.75</v>
      </c>
      <c r="S51">
        <v>107.8</v>
      </c>
      <c r="T51">
        <v>364.6</v>
      </c>
      <c r="U51">
        <v>266.68</v>
      </c>
      <c r="V51">
        <v>249.02</v>
      </c>
      <c r="W51">
        <v>276.89</v>
      </c>
      <c r="Z51" s="227">
        <v>0.1039049432908889</v>
      </c>
      <c r="AA51" s="64">
        <v>9.2799683636893199E-2</v>
      </c>
      <c r="AB51" s="124">
        <v>9.7091999999999992</v>
      </c>
      <c r="AC51" s="312">
        <v>0.87</v>
      </c>
      <c r="AD51" s="87">
        <f t="shared" si="0"/>
        <v>0.94444444444444442</v>
      </c>
      <c r="AE51" s="203">
        <f t="shared" si="1"/>
        <v>0.90722222222222215</v>
      </c>
      <c r="AF51" s="49">
        <f t="shared" si="2"/>
        <v>34.015999198905313</v>
      </c>
      <c r="AG51" s="49">
        <f t="shared" si="3"/>
        <v>34.015999198905313</v>
      </c>
      <c r="AH51" s="50">
        <f t="shared" si="4"/>
        <v>4.7585669781931565E-2</v>
      </c>
      <c r="AI51" s="105">
        <f t="shared" si="5"/>
        <v>1.4158541531971274</v>
      </c>
      <c r="AJ51" s="311">
        <f>INDEX($AR$3:AS61,MATCH(COUNTA(O51:W51),$AR$3:$AR$12,0),2)</f>
        <v>2.2200000000000002</v>
      </c>
      <c r="AK51" s="108">
        <f t="shared" si="6"/>
        <v>246.08249999999998</v>
      </c>
      <c r="AL51" s="310">
        <f t="shared" si="7"/>
        <v>25.345291064145346</v>
      </c>
      <c r="AP51" s="147" t="s">
        <v>46</v>
      </c>
    </row>
    <row r="52" spans="1:42">
      <c r="A52" s="156" t="s">
        <v>92</v>
      </c>
      <c r="B52" s="187"/>
      <c r="C52">
        <v>353.16</v>
      </c>
      <c r="E52">
        <v>196.01</v>
      </c>
      <c r="F52">
        <v>143.82</v>
      </c>
      <c r="G52">
        <v>138.79</v>
      </c>
      <c r="H52">
        <v>280.13</v>
      </c>
      <c r="I52">
        <v>228.52</v>
      </c>
      <c r="J52">
        <v>204.41</v>
      </c>
      <c r="K52">
        <v>228.46</v>
      </c>
      <c r="O52">
        <v>353.16</v>
      </c>
      <c r="Q52">
        <v>196.01</v>
      </c>
      <c r="R52">
        <v>143.82</v>
      </c>
      <c r="S52">
        <v>138.79</v>
      </c>
      <c r="T52">
        <v>280.13</v>
      </c>
      <c r="U52">
        <v>228.52</v>
      </c>
      <c r="V52">
        <v>204.41</v>
      </c>
      <c r="W52">
        <v>228.46</v>
      </c>
      <c r="Z52" s="227">
        <v>7.0451798636187529E-2</v>
      </c>
      <c r="AA52" s="64">
        <v>9.2799683636893199E-2</v>
      </c>
      <c r="AB52" s="124">
        <v>13.1975</v>
      </c>
      <c r="AC52" s="312">
        <v>0.9</v>
      </c>
      <c r="AD52" s="87">
        <f t="shared" si="0"/>
        <v>0.94444444444444442</v>
      </c>
      <c r="AE52" s="203">
        <f t="shared" si="1"/>
        <v>0.92222222222222228</v>
      </c>
      <c r="AF52" s="49">
        <f t="shared" si="2"/>
        <v>29.705825760597616</v>
      </c>
      <c r="AG52" s="49">
        <f t="shared" si="3"/>
        <v>29.705825760597616</v>
      </c>
      <c r="AH52" s="50">
        <f t="shared" si="4"/>
        <v>0.34067266875029162</v>
      </c>
      <c r="AI52" s="105">
        <f t="shared" si="5"/>
        <v>1.9970256349296922</v>
      </c>
      <c r="AJ52" s="311">
        <f>INDEX($AR$3:AS62,MATCH(COUNTA(O52:W52),$AR$3:$AR$12,0),2)</f>
        <v>2.2200000000000002</v>
      </c>
      <c r="AK52" s="108">
        <f t="shared" si="6"/>
        <v>221.66249999999999</v>
      </c>
      <c r="AL52" s="310">
        <f t="shared" si="7"/>
        <v>16.795794658079181</v>
      </c>
      <c r="AP52" s="147" t="s">
        <v>46</v>
      </c>
    </row>
    <row r="53" spans="1:42">
      <c r="A53" s="156" t="s">
        <v>93</v>
      </c>
      <c r="B53" s="187"/>
      <c r="C53">
        <v>640.86</v>
      </c>
      <c r="E53">
        <v>313.69</v>
      </c>
      <c r="F53">
        <v>289.14</v>
      </c>
      <c r="G53">
        <v>265.18</v>
      </c>
      <c r="H53">
        <v>784.29</v>
      </c>
      <c r="I53">
        <v>621.17999999999995</v>
      </c>
      <c r="J53">
        <v>377.51</v>
      </c>
      <c r="K53">
        <v>382.22</v>
      </c>
      <c r="Q53">
        <v>313.69</v>
      </c>
      <c r="R53">
        <v>289.14</v>
      </c>
      <c r="S53">
        <v>265.18</v>
      </c>
      <c r="V53">
        <v>377.51</v>
      </c>
      <c r="W53">
        <v>382.22</v>
      </c>
      <c r="Z53" s="227">
        <v>3.35279207911321E-2</v>
      </c>
      <c r="AA53" s="64">
        <v>9.2799683636893199E-2</v>
      </c>
      <c r="AB53" s="124">
        <v>13.651300000000001</v>
      </c>
      <c r="AC53" s="312">
        <v>0.85</v>
      </c>
      <c r="AD53" s="87">
        <f t="shared" si="0"/>
        <v>0.77777777777777779</v>
      </c>
      <c r="AE53" s="203">
        <f t="shared" si="1"/>
        <v>0.81388888888888888</v>
      </c>
      <c r="AF53" s="49">
        <f t="shared" si="2"/>
        <v>14.422296072830148</v>
      </c>
      <c r="AG53" s="49">
        <f t="shared" si="3"/>
        <v>39.648950442305186</v>
      </c>
      <c r="AH53" s="50">
        <f t="shared" si="4"/>
        <v>4.0242652084757649E-2</v>
      </c>
      <c r="AI53" s="105">
        <f t="shared" si="5"/>
        <v>1.2070328812108457</v>
      </c>
      <c r="AJ53" s="311">
        <f>INDEX($AR$3:AS63,MATCH(COUNTA(O53:W53),$AR$3:$AR$12,0),2)</f>
        <v>1.75</v>
      </c>
      <c r="AK53" s="108">
        <f t="shared" si="6"/>
        <v>325.548</v>
      </c>
      <c r="AL53" s="310">
        <f t="shared" si="7"/>
        <v>23.847399148799013</v>
      </c>
      <c r="AP53" s="147" t="s">
        <v>46</v>
      </c>
    </row>
    <row r="54" spans="1:42">
      <c r="A54" s="156" t="s">
        <v>94</v>
      </c>
      <c r="B54" s="187"/>
      <c r="F54">
        <v>40.659999999999997</v>
      </c>
      <c r="G54">
        <v>102.24</v>
      </c>
      <c r="J54">
        <v>19.079999999999998</v>
      </c>
      <c r="K54">
        <v>32.83</v>
      </c>
      <c r="R54">
        <v>40.659999999999997</v>
      </c>
      <c r="V54">
        <v>19.079999999999998</v>
      </c>
      <c r="W54">
        <v>32.83</v>
      </c>
      <c r="Z54" s="227">
        <v>9.1534575853032138E-2</v>
      </c>
      <c r="AA54" s="64">
        <v>8.9312648926833715E-2</v>
      </c>
      <c r="AB54" s="124">
        <v>12.703900000000001</v>
      </c>
      <c r="AC54" s="312">
        <v>0.53</v>
      </c>
      <c r="AD54" s="87">
        <f t="shared" si="0"/>
        <v>0.66666666666666663</v>
      </c>
      <c r="AE54" s="203">
        <f t="shared" si="1"/>
        <v>0.59833333333333338</v>
      </c>
      <c r="AF54" s="49">
        <f t="shared" si="2"/>
        <v>28.907252017944618</v>
      </c>
      <c r="AG54" s="49">
        <f t="shared" si="3"/>
        <v>65.41868256088496</v>
      </c>
      <c r="AH54" s="50">
        <f t="shared" si="4"/>
        <v>0.36283595922150136</v>
      </c>
      <c r="AI54" s="105">
        <f t="shared" si="5"/>
        <v>1.0990512690369019</v>
      </c>
      <c r="AJ54" s="311">
        <f>INDEX($AR$3:AS64,MATCH(COUNTA(O54:W54),$AR$3:$AR$12,0),2)</f>
        <v>1.1499999999999999</v>
      </c>
      <c r="AK54" s="108">
        <f t="shared" si="6"/>
        <v>30.856666666666666</v>
      </c>
      <c r="AL54" s="310">
        <f t="shared" si="7"/>
        <v>2.4289129060104901</v>
      </c>
      <c r="AP54" s="147" t="s">
        <v>46</v>
      </c>
    </row>
    <row r="55" spans="1:42">
      <c r="A55" s="156" t="s">
        <v>95</v>
      </c>
      <c r="B55" s="187"/>
      <c r="C55">
        <v>49.87</v>
      </c>
      <c r="E55">
        <v>14.12</v>
      </c>
      <c r="G55">
        <v>21.61</v>
      </c>
      <c r="O55">
        <v>49.87</v>
      </c>
      <c r="Q55">
        <v>14.12</v>
      </c>
      <c r="S55">
        <v>21.61</v>
      </c>
      <c r="Z55" s="227">
        <v>8.5900121276484234E-2</v>
      </c>
      <c r="AA55" s="64">
        <v>8.9312648926833715E-2</v>
      </c>
      <c r="AB55" s="124">
        <v>7.2664999999999997</v>
      </c>
      <c r="AC55" s="312">
        <v>0.5</v>
      </c>
      <c r="AD55" s="87">
        <f t="shared" si="0"/>
        <v>0.41666666666666663</v>
      </c>
      <c r="AE55" s="203">
        <f t="shared" si="1"/>
        <v>0.45833333333333331</v>
      </c>
      <c r="AF55" s="49">
        <f t="shared" si="2"/>
        <v>53.951099965060521</v>
      </c>
      <c r="AG55" s="49">
        <f t="shared" si="3"/>
        <v>53.951099965060521</v>
      </c>
      <c r="AH55" s="50">
        <f t="shared" si="4"/>
        <v>0.79048951048951044</v>
      </c>
      <c r="AI55" s="105">
        <f t="shared" si="5"/>
        <v>1.3860336013835652</v>
      </c>
      <c r="AJ55" s="311">
        <f>INDEX($AR$3:AS65,MATCH(COUNTA(O55:W55),$AR$3:$AR$12,0),2)</f>
        <v>1.1499999999999999</v>
      </c>
      <c r="AK55" s="108">
        <f t="shared" si="6"/>
        <v>28.533333333333331</v>
      </c>
      <c r="AL55" s="310">
        <f t="shared" si="7"/>
        <v>3.9266955664120737</v>
      </c>
      <c r="AP55" s="147" t="s">
        <v>46</v>
      </c>
    </row>
    <row r="56" spans="1:42">
      <c r="A56" s="156" t="s">
        <v>96</v>
      </c>
      <c r="B56" s="187"/>
      <c r="C56">
        <v>53.35</v>
      </c>
      <c r="E56">
        <v>17.2</v>
      </c>
      <c r="G56">
        <v>32.14</v>
      </c>
      <c r="O56">
        <v>53.35</v>
      </c>
      <c r="Q56">
        <v>17.2</v>
      </c>
      <c r="S56">
        <v>32.14</v>
      </c>
      <c r="Z56" s="227">
        <v>7.0966477937998481E-3</v>
      </c>
      <c r="AA56" s="64">
        <v>8.9312648926833715E-2</v>
      </c>
      <c r="AB56" s="124">
        <v>10.364800000000001</v>
      </c>
      <c r="AC56" s="312">
        <v>0.59</v>
      </c>
      <c r="AD56" s="87">
        <f t="shared" si="0"/>
        <v>0.41666666666666663</v>
      </c>
      <c r="AE56" s="203">
        <f t="shared" si="1"/>
        <v>0.5033333333333333</v>
      </c>
      <c r="AF56" s="49">
        <f t="shared" si="2"/>
        <v>43.330370162353162</v>
      </c>
      <c r="AG56" s="49">
        <f t="shared" si="3"/>
        <v>43.330370162353162</v>
      </c>
      <c r="AH56" s="50">
        <f t="shared" si="4"/>
        <v>0.58672199170124473</v>
      </c>
      <c r="AI56" s="105">
        <f t="shared" si="5"/>
        <v>1.2891058809156002</v>
      </c>
      <c r="AJ56" s="311">
        <f>INDEX($AR$3:AS66,MATCH(COUNTA(O56:W56),$AR$3:$AR$12,0),2)</f>
        <v>1.1499999999999999</v>
      </c>
      <c r="AK56" s="108">
        <f t="shared" si="6"/>
        <v>34.229999999999997</v>
      </c>
      <c r="AL56" s="310">
        <f t="shared" si="7"/>
        <v>3.3025239271380049</v>
      </c>
      <c r="AP56" s="147" t="s">
        <v>46</v>
      </c>
    </row>
    <row r="57" spans="1:42">
      <c r="A57" s="156" t="s">
        <v>97</v>
      </c>
      <c r="B57" s="187"/>
      <c r="C57">
        <v>79.069999999999993</v>
      </c>
      <c r="E57">
        <v>58.46</v>
      </c>
      <c r="F57">
        <v>117.7</v>
      </c>
      <c r="G57">
        <v>151.11000000000001</v>
      </c>
      <c r="O57">
        <v>79.069999999999993</v>
      </c>
      <c r="Q57">
        <v>58.46</v>
      </c>
      <c r="R57">
        <v>117.7</v>
      </c>
      <c r="S57">
        <v>151.11000000000001</v>
      </c>
      <c r="Z57" s="227">
        <v>2.6098821331507972E-2</v>
      </c>
      <c r="AA57" s="64">
        <v>3.3555566741617443E-2</v>
      </c>
      <c r="AB57" s="124">
        <v>10.887700000000001</v>
      </c>
      <c r="AC57" s="312">
        <v>0.77</v>
      </c>
      <c r="AD57" s="87">
        <f t="shared" si="0"/>
        <v>0.47222222222222221</v>
      </c>
      <c r="AE57" s="203">
        <f t="shared" si="1"/>
        <v>0.62111111111111117</v>
      </c>
      <c r="AF57" s="49">
        <f t="shared" si="2"/>
        <v>35.077950901237749</v>
      </c>
      <c r="AG57" s="49">
        <f t="shared" si="3"/>
        <v>35.077950901237749</v>
      </c>
      <c r="AH57" s="50">
        <f t="shared" si="4"/>
        <v>0.36060442525634118</v>
      </c>
      <c r="AI57" s="105">
        <f t="shared" si="5"/>
        <v>1.3898268047647664</v>
      </c>
      <c r="AJ57" s="311">
        <f>INDEX($AR$3:AS67,MATCH(COUNTA(O57:W57),$AR$3:$AR$12,0),2)</f>
        <v>1.49</v>
      </c>
      <c r="AK57" s="108">
        <f t="shared" si="6"/>
        <v>101.58500000000001</v>
      </c>
      <c r="AL57" s="310">
        <f t="shared" si="7"/>
        <v>9.330253405218734</v>
      </c>
      <c r="AP57" s="147" t="s">
        <v>46</v>
      </c>
    </row>
    <row r="58" spans="1:42">
      <c r="A58" s="156" t="s">
        <v>98</v>
      </c>
      <c r="B58" s="187"/>
      <c r="C58">
        <v>78.209999999999994</v>
      </c>
      <c r="E58">
        <v>211.55</v>
      </c>
      <c r="F58">
        <v>134.15</v>
      </c>
      <c r="G58">
        <v>157.47</v>
      </c>
      <c r="J58">
        <v>33.659999999999997</v>
      </c>
      <c r="K58">
        <v>16.72</v>
      </c>
      <c r="O58">
        <v>78.209999999999994</v>
      </c>
      <c r="Q58">
        <v>211.55</v>
      </c>
      <c r="R58">
        <v>134.15</v>
      </c>
      <c r="S58">
        <v>157.47</v>
      </c>
      <c r="Z58" s="227">
        <v>2.9680864629647249E-2</v>
      </c>
      <c r="AA58" s="64">
        <v>3.3555566741617443E-2</v>
      </c>
      <c r="AB58" s="124">
        <v>8.7660999999999998</v>
      </c>
      <c r="AC58" s="312">
        <v>0.75</v>
      </c>
      <c r="AD58" s="87">
        <f t="shared" si="0"/>
        <v>0.72222222222222221</v>
      </c>
      <c r="AE58" s="203">
        <f t="shared" si="1"/>
        <v>0.73611111111111116</v>
      </c>
      <c r="AF58" s="49">
        <f t="shared" si="2"/>
        <v>32.928972493905633</v>
      </c>
      <c r="AG58" s="49">
        <f t="shared" si="3"/>
        <v>65.519362056947585</v>
      </c>
      <c r="AH58" s="50">
        <f t="shared" si="4"/>
        <v>0.40557972101394929</v>
      </c>
      <c r="AI58" s="105">
        <f t="shared" si="5"/>
        <v>1.3832876970222188</v>
      </c>
      <c r="AJ58" s="311">
        <f>INDEX($AR$3:AS68,MATCH(COUNTA(O58:W58),$AR$3:$AR$12,0),2)</f>
        <v>1.49</v>
      </c>
      <c r="AK58" s="108">
        <f t="shared" si="6"/>
        <v>145.345</v>
      </c>
      <c r="AL58" s="310">
        <f t="shared" si="7"/>
        <v>16.580349300144878</v>
      </c>
      <c r="AP58" s="147" t="s">
        <v>46</v>
      </c>
    </row>
    <row r="59" spans="1:42">
      <c r="A59" s="156" t="s">
        <v>99</v>
      </c>
      <c r="B59" s="187"/>
      <c r="C59">
        <v>135.41</v>
      </c>
      <c r="E59">
        <v>161.85</v>
      </c>
      <c r="F59">
        <v>203.92</v>
      </c>
      <c r="G59">
        <v>228.72</v>
      </c>
      <c r="J59">
        <v>33.64</v>
      </c>
      <c r="K59">
        <v>40.11</v>
      </c>
      <c r="O59">
        <v>135.41</v>
      </c>
      <c r="Q59">
        <v>161.85</v>
      </c>
      <c r="R59">
        <v>203.92</v>
      </c>
      <c r="S59">
        <v>228.72</v>
      </c>
      <c r="Z59" s="227">
        <v>1.8197130325338789E-2</v>
      </c>
      <c r="AA59" s="64">
        <v>3.3555566741617443E-2</v>
      </c>
      <c r="AB59" s="124">
        <v>11.4666</v>
      </c>
      <c r="AC59" s="312">
        <v>0.88</v>
      </c>
      <c r="AD59" s="87">
        <f t="shared" si="0"/>
        <v>0.72222222222222221</v>
      </c>
      <c r="AE59" s="203">
        <f t="shared" si="1"/>
        <v>0.80111111111111111</v>
      </c>
      <c r="AF59" s="49">
        <f t="shared" si="2"/>
        <v>19.833097046365342</v>
      </c>
      <c r="AG59" s="49">
        <f t="shared" si="3"/>
        <v>55.808177599699569</v>
      </c>
      <c r="AH59" s="50">
        <f t="shared" si="4"/>
        <v>0.2657807308970101</v>
      </c>
      <c r="AI59" s="105">
        <f t="shared" si="5"/>
        <v>1.2778235108247653</v>
      </c>
      <c r="AJ59" s="311">
        <f>INDEX($AR$3:AS69,MATCH(COUNTA(O59:W59),$AR$3:$AR$12,0),2)</f>
        <v>1.49</v>
      </c>
      <c r="AK59" s="108">
        <f t="shared" si="6"/>
        <v>182.47499999999999</v>
      </c>
      <c r="AL59" s="310">
        <f t="shared" si="7"/>
        <v>15.913609962848621</v>
      </c>
      <c r="AP59" s="147" t="s">
        <v>46</v>
      </c>
    </row>
    <row r="60" spans="1:42">
      <c r="A60" s="156" t="s">
        <v>100</v>
      </c>
      <c r="B60" s="187"/>
      <c r="F60">
        <v>71.38</v>
      </c>
      <c r="G60">
        <v>84.13</v>
      </c>
      <c r="R60">
        <v>71.38</v>
      </c>
      <c r="S60">
        <v>84.13</v>
      </c>
      <c r="Z60" s="227">
        <v>1.301572770747539E-2</v>
      </c>
      <c r="AA60" s="64">
        <v>6.5333653970478398E-2</v>
      </c>
      <c r="AB60" s="124">
        <v>8.7931000000000008</v>
      </c>
      <c r="AC60" s="312">
        <v>0.78</v>
      </c>
      <c r="AD60" s="87">
        <f t="shared" si="0"/>
        <v>0.61111111111111116</v>
      </c>
      <c r="AE60" s="203">
        <f t="shared" si="1"/>
        <v>0.69555555555555559</v>
      </c>
      <c r="AF60" s="49">
        <f t="shared" si="2"/>
        <v>8.1988296572567698</v>
      </c>
      <c r="AG60" s="49">
        <f t="shared" si="3"/>
        <v>8.1988296572567698</v>
      </c>
      <c r="AH60" s="50">
        <f t="shared" si="4"/>
        <v>1</v>
      </c>
      <c r="AI60" s="105">
        <f t="shared" si="5"/>
        <v>1</v>
      </c>
      <c r="AJ60" s="311" t="e">
        <f>INDEX($AR$3:AS70,MATCH(COUNTA(O60:W60),$AR$3:$AR$12,0),2)</f>
        <v>#N/A</v>
      </c>
      <c r="AK60" s="108">
        <f t="shared" si="6"/>
        <v>77.754999999999995</v>
      </c>
      <c r="AL60" s="310">
        <f t="shared" si="7"/>
        <v>8.8427289579329234</v>
      </c>
      <c r="AP60" s="147" t="s">
        <v>46</v>
      </c>
    </row>
    <row r="61" spans="1:42">
      <c r="A61" s="156" t="s">
        <v>101</v>
      </c>
      <c r="B61" s="187"/>
      <c r="F61">
        <v>46.09</v>
      </c>
      <c r="G61">
        <v>78.3</v>
      </c>
      <c r="R61">
        <v>46.09</v>
      </c>
      <c r="S61">
        <v>78.3</v>
      </c>
      <c r="Z61" s="227">
        <v>6.8165011276619919E-2</v>
      </c>
      <c r="AA61" s="64">
        <v>6.5333653970478398E-2</v>
      </c>
      <c r="AB61" s="124">
        <v>7.7481</v>
      </c>
      <c r="AC61" s="312">
        <v>0.85</v>
      </c>
      <c r="AD61" s="87">
        <f t="shared" si="0"/>
        <v>0.61111111111111116</v>
      </c>
      <c r="AE61" s="203">
        <f t="shared" si="1"/>
        <v>0.73055555555555562</v>
      </c>
      <c r="AF61" s="49">
        <f t="shared" si="2"/>
        <v>25.894364498753891</v>
      </c>
      <c r="AG61" s="49">
        <f t="shared" si="3"/>
        <v>25.894364498753891</v>
      </c>
      <c r="AH61" s="50">
        <f t="shared" si="4"/>
        <v>1</v>
      </c>
      <c r="AI61" s="105">
        <f t="shared" si="5"/>
        <v>1.0000000000000009</v>
      </c>
      <c r="AJ61" s="311" t="e">
        <f>INDEX($AR$3:AS71,MATCH(COUNTA(O61:W61),$AR$3:$AR$12,0),2)</f>
        <v>#N/A</v>
      </c>
      <c r="AK61" s="108">
        <f t="shared" si="6"/>
        <v>62.195</v>
      </c>
      <c r="AL61" s="310">
        <f t="shared" si="7"/>
        <v>8.0271292316826059</v>
      </c>
      <c r="AP61" s="147" t="s">
        <v>46</v>
      </c>
    </row>
    <row r="62" spans="1:42">
      <c r="A62" s="156" t="s">
        <v>102</v>
      </c>
      <c r="B62" s="187"/>
      <c r="F62">
        <v>39.42</v>
      </c>
      <c r="G62">
        <v>81.96</v>
      </c>
      <c r="R62">
        <v>39.42</v>
      </c>
      <c r="S62">
        <v>81.96</v>
      </c>
      <c r="Z62" s="227">
        <v>5.9778202321714061E-2</v>
      </c>
      <c r="AA62" s="64">
        <v>6.5333653970478398E-2</v>
      </c>
      <c r="AB62" s="124">
        <v>9.3953000000000007</v>
      </c>
      <c r="AC62" s="312">
        <v>0.53</v>
      </c>
      <c r="AD62" s="87">
        <f t="shared" si="0"/>
        <v>0.3611111111111111</v>
      </c>
      <c r="AE62" s="203">
        <f t="shared" si="1"/>
        <v>0.44555555555555559</v>
      </c>
      <c r="AF62" s="49">
        <f t="shared" si="2"/>
        <v>35.046959960454764</v>
      </c>
      <c r="AG62" s="49">
        <f t="shared" si="3"/>
        <v>35.046959960454764</v>
      </c>
      <c r="AH62" s="50">
        <f t="shared" si="4"/>
        <v>1</v>
      </c>
      <c r="AI62" s="105">
        <f t="shared" si="5"/>
        <v>1</v>
      </c>
      <c r="AJ62" s="311" t="e">
        <f>INDEX($AR$3:AS72,MATCH(COUNTA(O62:W62),$AR$3:$AR$12,0),2)</f>
        <v>#N/A</v>
      </c>
      <c r="AK62" s="108">
        <f t="shared" si="6"/>
        <v>60.69</v>
      </c>
      <c r="AL62" s="310">
        <f t="shared" si="7"/>
        <v>6.4596127851159615</v>
      </c>
      <c r="AP62" s="147" t="s">
        <v>46</v>
      </c>
    </row>
    <row r="63" spans="1:42">
      <c r="A63" s="156" t="s">
        <v>103</v>
      </c>
      <c r="B63" s="187"/>
      <c r="C63">
        <v>830.28</v>
      </c>
      <c r="E63">
        <v>751.47</v>
      </c>
      <c r="F63">
        <v>385.39</v>
      </c>
      <c r="G63">
        <v>362.79</v>
      </c>
      <c r="H63">
        <v>770.19</v>
      </c>
      <c r="I63">
        <v>686.91</v>
      </c>
      <c r="J63">
        <v>360.34</v>
      </c>
      <c r="K63">
        <v>448.45</v>
      </c>
      <c r="O63">
        <v>830.28</v>
      </c>
      <c r="Q63">
        <v>751.47</v>
      </c>
      <c r="R63">
        <v>385.39</v>
      </c>
      <c r="S63">
        <v>362.79</v>
      </c>
      <c r="T63">
        <v>770.19</v>
      </c>
      <c r="U63">
        <v>686.91</v>
      </c>
      <c r="V63">
        <v>360.34</v>
      </c>
      <c r="W63">
        <v>448.45</v>
      </c>
      <c r="Z63" s="227">
        <v>0.43946604521574117</v>
      </c>
      <c r="AA63" s="64">
        <v>0.76921192920654291</v>
      </c>
      <c r="AB63" s="124">
        <v>10.911199999999999</v>
      </c>
      <c r="AC63" s="312">
        <v>0.87</v>
      </c>
      <c r="AD63" s="87">
        <f t="shared" si="0"/>
        <v>0.94444444444444442</v>
      </c>
      <c r="AE63" s="203">
        <f t="shared" si="1"/>
        <v>0.90722222222222215</v>
      </c>
      <c r="AF63" s="49">
        <f t="shared" si="2"/>
        <v>33.142698472781149</v>
      </c>
      <c r="AG63" s="49">
        <f t="shared" si="3"/>
        <v>33.142698472781149</v>
      </c>
      <c r="AH63" s="50">
        <f t="shared" si="4"/>
        <v>0.12786738732604144</v>
      </c>
      <c r="AI63" s="105">
        <f t="shared" si="5"/>
        <v>1.3435192553152469</v>
      </c>
      <c r="AJ63" s="311">
        <f>INDEX($AR$3:AS73,MATCH(COUNTA(O63:W63),$AR$3:$AR$12,0),2)</f>
        <v>2.2200000000000002</v>
      </c>
      <c r="AK63" s="108">
        <f t="shared" si="6"/>
        <v>574.47749999999996</v>
      </c>
      <c r="AL63" s="310">
        <f t="shared" si="7"/>
        <v>52.650258450032993</v>
      </c>
      <c r="AP63" s="147" t="s">
        <v>46</v>
      </c>
    </row>
    <row r="64" spans="1:42">
      <c r="A64" s="156" t="s">
        <v>104</v>
      </c>
      <c r="B64" s="187"/>
      <c r="C64">
        <v>1017.94</v>
      </c>
      <c r="E64">
        <v>836.02</v>
      </c>
      <c r="F64">
        <v>505.84</v>
      </c>
      <c r="G64">
        <v>470.05</v>
      </c>
      <c r="H64">
        <v>1622.41</v>
      </c>
      <c r="I64">
        <v>1039.3900000000001</v>
      </c>
      <c r="J64">
        <v>584.79999999999995</v>
      </c>
      <c r="K64">
        <v>777.22</v>
      </c>
      <c r="Q64">
        <v>836.02</v>
      </c>
      <c r="R64">
        <v>505.84</v>
      </c>
      <c r="S64">
        <v>470.05</v>
      </c>
      <c r="V64">
        <v>584.79999999999995</v>
      </c>
      <c r="W64">
        <v>777.22</v>
      </c>
      <c r="Z64" s="227">
        <v>0.41234992125661329</v>
      </c>
      <c r="AA64" s="64">
        <v>0.76921192920654291</v>
      </c>
      <c r="AB64" s="124">
        <v>9.3252000000000006</v>
      </c>
      <c r="AC64" s="312">
        <v>0.87</v>
      </c>
      <c r="AD64" s="87">
        <f t="shared" si="0"/>
        <v>0.77777777777777779</v>
      </c>
      <c r="AE64" s="203">
        <f t="shared" si="1"/>
        <v>0.82388888888888889</v>
      </c>
      <c r="AF64" s="49">
        <f t="shared" si="2"/>
        <v>23.050123724980786</v>
      </c>
      <c r="AG64" s="49">
        <f t="shared" si="3"/>
        <v>41.247353478322971</v>
      </c>
      <c r="AH64" s="50">
        <f t="shared" si="4"/>
        <v>0.16066890728748248</v>
      </c>
      <c r="AI64" s="105">
        <f t="shared" si="5"/>
        <v>1.3753105012215945</v>
      </c>
      <c r="AJ64" s="311">
        <f>INDEX($AR$3:AS74,MATCH(COUNTA(O64:W64),$AR$3:$AR$12,0),2)</f>
        <v>1.75</v>
      </c>
      <c r="AK64" s="108">
        <f t="shared" si="6"/>
        <v>634.78600000000006</v>
      </c>
      <c r="AL64" s="310">
        <f t="shared" si="7"/>
        <v>68.072105692103122</v>
      </c>
      <c r="AP64" s="147" t="s">
        <v>46</v>
      </c>
    </row>
    <row r="65" spans="1:42">
      <c r="A65" s="156" t="s">
        <v>105</v>
      </c>
      <c r="B65" s="187"/>
      <c r="C65">
        <v>719.94</v>
      </c>
      <c r="E65">
        <v>615.64</v>
      </c>
      <c r="F65">
        <v>369.94</v>
      </c>
      <c r="G65">
        <v>308.58999999999997</v>
      </c>
      <c r="H65">
        <v>703.94</v>
      </c>
      <c r="I65">
        <v>585.13</v>
      </c>
      <c r="J65">
        <v>342.01</v>
      </c>
      <c r="K65">
        <v>439.12</v>
      </c>
      <c r="O65">
        <v>719.94</v>
      </c>
      <c r="Q65">
        <v>615.64</v>
      </c>
      <c r="R65">
        <v>369.94</v>
      </c>
      <c r="S65">
        <v>308.58999999999997</v>
      </c>
      <c r="T65">
        <v>703.94</v>
      </c>
      <c r="U65">
        <v>585.13</v>
      </c>
      <c r="V65">
        <v>342.01</v>
      </c>
      <c r="W65">
        <v>439.12</v>
      </c>
      <c r="Z65" s="227">
        <v>0.4194158712147899</v>
      </c>
      <c r="AA65" s="64">
        <v>0.76921192920654291</v>
      </c>
      <c r="AB65" s="124">
        <v>10.133599999999999</v>
      </c>
      <c r="AC65" s="312">
        <v>0.87</v>
      </c>
      <c r="AD65" s="87">
        <f t="shared" si="0"/>
        <v>0.94444444444444442</v>
      </c>
      <c r="AE65" s="203">
        <f t="shared" si="1"/>
        <v>0.90722222222222215</v>
      </c>
      <c r="AF65" s="49">
        <f t="shared" si="2"/>
        <v>30.337720691394388</v>
      </c>
      <c r="AG65" s="49">
        <f t="shared" si="3"/>
        <v>30.337720691394388</v>
      </c>
      <c r="AH65" s="50">
        <f t="shared" si="4"/>
        <v>3.8896317004983583E-2</v>
      </c>
      <c r="AI65" s="105">
        <f t="shared" si="5"/>
        <v>1.3519717299166139</v>
      </c>
      <c r="AJ65" s="311">
        <f>INDEX($AR$3:AS75,MATCH(COUNTA(O65:W65),$AR$3:$AR$12,0),2)</f>
        <v>2.2200000000000002</v>
      </c>
      <c r="AK65" s="108">
        <f t="shared" si="6"/>
        <v>510.53875000000005</v>
      </c>
      <c r="AL65" s="310">
        <f t="shared" si="7"/>
        <v>50.380787676640097</v>
      </c>
      <c r="AP65" s="147" t="s">
        <v>46</v>
      </c>
    </row>
    <row r="66" spans="1:42">
      <c r="A66" s="156" t="s">
        <v>106</v>
      </c>
      <c r="B66" s="187"/>
      <c r="C66">
        <v>2020.95</v>
      </c>
      <c r="E66">
        <v>1620.87</v>
      </c>
      <c r="F66">
        <v>1552.65</v>
      </c>
      <c r="G66">
        <v>1060.27</v>
      </c>
      <c r="H66">
        <v>2982.83</v>
      </c>
      <c r="I66">
        <v>2533.41</v>
      </c>
      <c r="J66">
        <v>929.95</v>
      </c>
      <c r="K66">
        <v>1592.58</v>
      </c>
      <c r="O66">
        <v>2020.95</v>
      </c>
      <c r="Q66">
        <v>1620.87</v>
      </c>
      <c r="R66">
        <v>1552.65</v>
      </c>
      <c r="S66">
        <v>1060.27</v>
      </c>
      <c r="T66">
        <v>2982.83</v>
      </c>
      <c r="U66">
        <v>2533.41</v>
      </c>
      <c r="W66">
        <v>1592.58</v>
      </c>
      <c r="Z66" s="227">
        <v>1.3002502205534241</v>
      </c>
      <c r="AA66" s="64">
        <v>0.76921192920654291</v>
      </c>
      <c r="AB66" s="124">
        <v>5.3752000000000004</v>
      </c>
      <c r="AC66" s="312">
        <v>0.8</v>
      </c>
      <c r="AD66" s="87">
        <f t="shared" ref="AD66:AD129" si="8">(COUNT(O66:W66)*(1/(COUNT(O66:W66)+COUNTBLANK(O66:W66)))+(IF(AF66&lt;35,1,IF(AF66&lt;70,0.5,IF(AF66&gt;70,0)))))/2</f>
        <v>0.88888888888888884</v>
      </c>
      <c r="AE66" s="203">
        <f t="shared" ref="AE66:AE129" si="9">AVERAGE(AC66:AD66)</f>
        <v>0.84444444444444444</v>
      </c>
      <c r="AF66" s="49">
        <f t="shared" ref="AF66:AF129" si="10">((_xlfn.STDEV.P(O66:W66))/(AVERAGE(O66:W66)))*100</f>
        <v>31.837657465358483</v>
      </c>
      <c r="AG66" s="49">
        <f t="shared" ref="AG66:AG129" si="11">((_xlfn.STDEV.P(C66:K66))/(AVERAGE(C66:K66)))*100</f>
        <v>36.620765849212802</v>
      </c>
      <c r="AH66" s="50">
        <f t="shared" ref="AH66:AH129" si="12">(ABS((LARGE(O66:W66,2) -MAX(O66:W66))))/(ABS(MIN(O66:W66)-MAX(O66:W66)))</f>
        <v>0.23376123501997342</v>
      </c>
      <c r="AI66" s="105">
        <f t="shared" ref="AI66:AI129" si="13">(ABS(MAX(O66:W66)-AVERAGE(O66:W66))/_xlfn.STDEV.P(O66:W66))</f>
        <v>1.7665988484435344</v>
      </c>
      <c r="AJ66" s="311">
        <f>INDEX($AR$3:AS76,MATCH(COUNTA(O66:W66),$AR$3:$AR$12,0),2)</f>
        <v>2.1</v>
      </c>
      <c r="AK66" s="108">
        <f t="shared" ref="AK66:AK129" si="14">AVERAGE(O66:W66)</f>
        <v>1909.08</v>
      </c>
      <c r="AL66" s="310">
        <f t="shared" ref="AL66:AL129" si="15">IF(AND(O66="",Q66="",S66="",U66="",W66=""),"n.d.", AK66/AB66)</f>
        <v>355.16445899687449</v>
      </c>
      <c r="AM66">
        <v>5.7563000000000004</v>
      </c>
      <c r="AN66">
        <v>0.38109999999999999</v>
      </c>
      <c r="AO66" s="91">
        <f>((AK66-AVERAGE(AL63:AL65)*AB66)*AB66)/(AN66*1000)</f>
        <v>22.602480166067636</v>
      </c>
      <c r="AP66" s="147" t="s">
        <v>107</v>
      </c>
    </row>
    <row r="67" spans="1:42">
      <c r="A67" s="335" t="s">
        <v>108</v>
      </c>
      <c r="B67" s="187"/>
      <c r="C67">
        <v>294.86</v>
      </c>
      <c r="E67">
        <v>214.71</v>
      </c>
      <c r="F67">
        <v>143.58000000000001</v>
      </c>
      <c r="G67">
        <v>110.4</v>
      </c>
      <c r="H67">
        <v>273.95999999999998</v>
      </c>
      <c r="I67">
        <v>192.07</v>
      </c>
      <c r="J67">
        <v>134.15</v>
      </c>
      <c r="K67">
        <v>176.74</v>
      </c>
      <c r="O67">
        <v>294.86</v>
      </c>
      <c r="Q67">
        <v>214.71</v>
      </c>
      <c r="R67">
        <v>143.58000000000001</v>
      </c>
      <c r="S67">
        <v>110.4</v>
      </c>
      <c r="T67">
        <v>273.95999999999998</v>
      </c>
      <c r="U67">
        <v>192.07</v>
      </c>
      <c r="V67">
        <v>134.15</v>
      </c>
      <c r="W67">
        <v>176.74</v>
      </c>
      <c r="Z67" s="227">
        <v>0.30738873167546199</v>
      </c>
      <c r="AA67" s="64">
        <v>0.76921192920654291</v>
      </c>
      <c r="AB67" s="124">
        <v>3.4369000000000001</v>
      </c>
      <c r="AC67" s="312">
        <v>0.85</v>
      </c>
      <c r="AD67" s="87">
        <f t="shared" si="8"/>
        <v>0.94444444444444442</v>
      </c>
      <c r="AE67" s="203">
        <f t="shared" si="9"/>
        <v>0.89722222222222214</v>
      </c>
      <c r="AF67" s="49">
        <f t="shared" si="10"/>
        <v>32.009694385447638</v>
      </c>
      <c r="AG67" s="49">
        <f t="shared" si="11"/>
        <v>32.009694385447638</v>
      </c>
      <c r="AH67" s="50">
        <f t="shared" si="12"/>
        <v>0.11330369727854295</v>
      </c>
      <c r="AI67" s="105">
        <f t="shared" si="13"/>
        <v>1.6597250720403418</v>
      </c>
      <c r="AJ67" s="311">
        <f>INDEX($AR$3:AS77,MATCH(COUNTA(O67:W67),$AR$3:$AR$12,0),2)</f>
        <v>2.2200000000000002</v>
      </c>
      <c r="AK67" s="108">
        <f t="shared" si="14"/>
        <v>192.55875</v>
      </c>
      <c r="AL67" s="310">
        <f t="shared" si="15"/>
        <v>56.026870144607059</v>
      </c>
      <c r="AM67">
        <v>3.5472000000000001</v>
      </c>
      <c r="AN67">
        <v>0.1103</v>
      </c>
      <c r="AP67" s="147" t="s">
        <v>107</v>
      </c>
    </row>
    <row r="68" spans="1:42" s="51" customFormat="1">
      <c r="A68" s="157" t="s">
        <v>109</v>
      </c>
      <c r="B68" s="188"/>
      <c r="C68" s="51">
        <v>192.81</v>
      </c>
      <c r="E68" s="51">
        <v>98.81</v>
      </c>
      <c r="F68" s="51">
        <v>25.66</v>
      </c>
      <c r="G68" s="51">
        <v>13.14</v>
      </c>
      <c r="H68" s="51">
        <v>143.1</v>
      </c>
      <c r="J68" s="51">
        <v>93.72</v>
      </c>
      <c r="K68" s="51">
        <v>73.650000000000006</v>
      </c>
      <c r="N68" s="306"/>
      <c r="O68" s="51">
        <v>192.81</v>
      </c>
      <c r="Q68" s="51">
        <v>98.81</v>
      </c>
      <c r="R68" s="51">
        <v>25.66</v>
      </c>
      <c r="S68" s="51">
        <v>13.14</v>
      </c>
      <c r="T68" s="51">
        <v>143.1</v>
      </c>
      <c r="V68" s="51">
        <v>93.72</v>
      </c>
      <c r="W68" s="51">
        <v>73.650000000000006</v>
      </c>
      <c r="Y68" s="78"/>
      <c r="Z68" s="80">
        <v>0.72500766269002093</v>
      </c>
      <c r="AA68" s="81">
        <v>2.3223591542813038</v>
      </c>
      <c r="AB68" s="293">
        <v>24.244299999999999</v>
      </c>
      <c r="AC68" s="83">
        <v>0.56999999999999995</v>
      </c>
      <c r="AD68" s="89">
        <f t="shared" si="8"/>
        <v>0.63888888888888884</v>
      </c>
      <c r="AE68" s="68">
        <f t="shared" si="9"/>
        <v>0.60444444444444434</v>
      </c>
      <c r="AF68" s="69">
        <f t="shared" si="10"/>
        <v>63.658613157245568</v>
      </c>
      <c r="AG68" s="69">
        <f t="shared" si="11"/>
        <v>63.658613157245568</v>
      </c>
      <c r="AH68" s="70">
        <f t="shared" si="12"/>
        <v>0.27667390215394894</v>
      </c>
      <c r="AI68" s="104">
        <f t="shared" si="13"/>
        <v>1.7372838648379658</v>
      </c>
      <c r="AJ68" s="71">
        <f>INDEX($AR$3:AS78,MATCH(COUNTA(O68:W68),$AR$3:$AR$12,0),2)</f>
        <v>2.1</v>
      </c>
      <c r="AK68" s="107">
        <f t="shared" si="14"/>
        <v>91.555714285714288</v>
      </c>
      <c r="AL68" s="90">
        <f t="shared" si="15"/>
        <v>3.7763810168045393</v>
      </c>
      <c r="AO68" s="78"/>
      <c r="AP68" s="148" t="s">
        <v>110</v>
      </c>
    </row>
    <row r="69" spans="1:42">
      <c r="A69" s="157" t="s">
        <v>111</v>
      </c>
      <c r="B69" s="189"/>
      <c r="C69">
        <v>355.02</v>
      </c>
      <c r="E69">
        <v>236.53</v>
      </c>
      <c r="F69">
        <v>44.41</v>
      </c>
      <c r="G69">
        <v>40.06</v>
      </c>
      <c r="H69">
        <v>443.42</v>
      </c>
      <c r="I69">
        <v>173.94</v>
      </c>
      <c r="J69">
        <v>113.04</v>
      </c>
      <c r="K69">
        <v>101.59</v>
      </c>
      <c r="O69">
        <v>355.02</v>
      </c>
      <c r="Q69">
        <v>236.53</v>
      </c>
      <c r="T69">
        <v>443.42</v>
      </c>
      <c r="U69">
        <v>173.94</v>
      </c>
      <c r="V69">
        <v>113.04</v>
      </c>
      <c r="W69">
        <v>101.59</v>
      </c>
      <c r="Z69" s="167">
        <v>1.1387065290790079</v>
      </c>
      <c r="AA69" s="64">
        <v>2.3223591542813038</v>
      </c>
      <c r="AB69" s="319">
        <v>21.4099</v>
      </c>
      <c r="AC69" s="121">
        <v>0.75</v>
      </c>
      <c r="AD69" s="87">
        <f t="shared" si="8"/>
        <v>0.58333333333333326</v>
      </c>
      <c r="AE69" s="203">
        <f t="shared" si="9"/>
        <v>0.66666666666666663</v>
      </c>
      <c r="AF69" s="49">
        <f t="shared" si="10"/>
        <v>52.816414685215221</v>
      </c>
      <c r="AG69" s="49">
        <f t="shared" si="11"/>
        <v>72.950061598996314</v>
      </c>
      <c r="AH69" s="50">
        <f t="shared" si="12"/>
        <v>0.25860808003978591</v>
      </c>
      <c r="AI69" s="105">
        <f t="shared" si="13"/>
        <v>1.6452204007087246</v>
      </c>
      <c r="AJ69" s="311">
        <f>INDEX($AR$3:AS79,MATCH(COUNTA(O69:W69),$AR$3:$AR$12,0),2)</f>
        <v>1.94</v>
      </c>
      <c r="AK69" s="108">
        <f t="shared" si="14"/>
        <v>237.25666666666666</v>
      </c>
      <c r="AL69" s="122">
        <f t="shared" si="15"/>
        <v>11.081633574499024</v>
      </c>
      <c r="AP69" s="147" t="s">
        <v>110</v>
      </c>
    </row>
    <row r="70" spans="1:42">
      <c r="A70" s="157" t="s">
        <v>112</v>
      </c>
      <c r="B70" s="189"/>
      <c r="C70">
        <v>132.85</v>
      </c>
      <c r="E70">
        <v>64.17</v>
      </c>
      <c r="F70">
        <v>14.28</v>
      </c>
      <c r="G70">
        <v>17.43</v>
      </c>
      <c r="H70">
        <v>367.24</v>
      </c>
      <c r="I70">
        <v>26.16</v>
      </c>
      <c r="J70">
        <v>64.849999999999994</v>
      </c>
      <c r="K70">
        <v>36.42</v>
      </c>
      <c r="Q70">
        <v>64.17</v>
      </c>
      <c r="R70">
        <v>14.28</v>
      </c>
      <c r="S70">
        <v>17.43</v>
      </c>
      <c r="U70">
        <v>26.16</v>
      </c>
      <c r="V70">
        <v>64.849999999999994</v>
      </c>
      <c r="W70">
        <v>36.42</v>
      </c>
      <c r="Z70" s="227">
        <v>0.41413423453421311</v>
      </c>
      <c r="AA70" s="64">
        <v>2.3223591542813038</v>
      </c>
      <c r="AB70" s="319">
        <v>19.963000000000001</v>
      </c>
      <c r="AC70" s="312">
        <v>0.52</v>
      </c>
      <c r="AD70" s="87">
        <f t="shared" si="8"/>
        <v>0.58333333333333326</v>
      </c>
      <c r="AE70" s="203">
        <f t="shared" si="9"/>
        <v>0.55166666666666664</v>
      </c>
      <c r="AF70" s="49">
        <f t="shared" si="10"/>
        <v>55.179363920424748</v>
      </c>
      <c r="AG70" s="49">
        <f t="shared" si="11"/>
        <v>122.36367361480556</v>
      </c>
      <c r="AH70" s="50">
        <f t="shared" si="12"/>
        <v>1.3446707534110989E-2</v>
      </c>
      <c r="AI70" s="105">
        <f t="shared" si="13"/>
        <v>1.345468300450519</v>
      </c>
      <c r="AJ70" s="311">
        <f>INDEX($AR$3:AS80,MATCH(COUNTA(O70:W70),$AR$3:$AR$12,0),2)</f>
        <v>1.94</v>
      </c>
      <c r="AK70" s="108">
        <f t="shared" si="14"/>
        <v>37.218333333333334</v>
      </c>
      <c r="AL70" s="310">
        <f t="shared" si="15"/>
        <v>1.8643657432917564</v>
      </c>
      <c r="AP70" s="147" t="s">
        <v>110</v>
      </c>
    </row>
    <row r="71" spans="1:42">
      <c r="A71" s="157" t="s">
        <v>113</v>
      </c>
      <c r="B71" s="189"/>
      <c r="C71">
        <v>38.6</v>
      </c>
      <c r="E71">
        <v>15.57</v>
      </c>
      <c r="O71">
        <v>38.6</v>
      </c>
      <c r="Q71">
        <v>15.57</v>
      </c>
      <c r="Z71" s="227">
        <v>0.62561317936058813</v>
      </c>
      <c r="AA71" s="64">
        <v>0.28260061430444122</v>
      </c>
      <c r="AB71" s="319">
        <v>22.075199999999999</v>
      </c>
      <c r="AC71" s="312">
        <v>0.57999999999999996</v>
      </c>
      <c r="AD71" s="87">
        <f t="shared" si="8"/>
        <v>0.3611111111111111</v>
      </c>
      <c r="AE71" s="203">
        <f t="shared" si="9"/>
        <v>0.4705555555555555</v>
      </c>
      <c r="AF71" s="49">
        <f t="shared" si="10"/>
        <v>42.514306811888488</v>
      </c>
      <c r="AG71" s="49">
        <f t="shared" si="11"/>
        <v>42.514306811888488</v>
      </c>
      <c r="AH71" s="50">
        <f t="shared" si="12"/>
        <v>1</v>
      </c>
      <c r="AI71" s="105">
        <f t="shared" si="13"/>
        <v>1.0000000000000002</v>
      </c>
      <c r="AJ71" s="311" t="e">
        <f>INDEX($AR$3:AS81,MATCH(COUNTA(O71:W71),$AR$3:$AR$12,0),2)</f>
        <v>#N/A</v>
      </c>
      <c r="AK71" s="108">
        <f t="shared" si="14"/>
        <v>27.085000000000001</v>
      </c>
      <c r="AL71" s="310">
        <f t="shared" si="15"/>
        <v>1.2269424512575198</v>
      </c>
      <c r="AP71" s="147" t="s">
        <v>110</v>
      </c>
    </row>
    <row r="72" spans="1:42">
      <c r="A72" s="157" t="s">
        <v>114</v>
      </c>
      <c r="B72" s="189"/>
      <c r="C72">
        <v>58.14</v>
      </c>
      <c r="E72">
        <v>32.54</v>
      </c>
      <c r="H72">
        <v>49.64</v>
      </c>
      <c r="O72">
        <v>58.14</v>
      </c>
      <c r="Q72">
        <v>32.54</v>
      </c>
      <c r="T72">
        <v>49.64</v>
      </c>
      <c r="Z72" s="227">
        <v>0.52425544744513741</v>
      </c>
      <c r="AA72" s="64">
        <v>0.28260061430444122</v>
      </c>
      <c r="AB72" s="319">
        <v>19.199200000000001</v>
      </c>
      <c r="AC72" s="312">
        <v>0.42</v>
      </c>
      <c r="AD72" s="87">
        <f t="shared" si="8"/>
        <v>0.66666666666666663</v>
      </c>
      <c r="AE72" s="203">
        <f t="shared" si="9"/>
        <v>0.54333333333333333</v>
      </c>
      <c r="AF72" s="49">
        <f t="shared" si="10"/>
        <v>22.760655612851572</v>
      </c>
      <c r="AG72" s="49">
        <f t="shared" si="11"/>
        <v>22.760655612851572</v>
      </c>
      <c r="AH72" s="50">
        <f t="shared" si="12"/>
        <v>0.33203125</v>
      </c>
      <c r="AI72" s="105">
        <f t="shared" si="13"/>
        <v>1.0677019486853276</v>
      </c>
      <c r="AJ72" s="311">
        <f>INDEX($AR$3:AS82,MATCH(COUNTA(O72:W72),$AR$3:$AR$12,0),2)</f>
        <v>1.1499999999999999</v>
      </c>
      <c r="AK72" s="108">
        <f t="shared" si="14"/>
        <v>46.773333333333333</v>
      </c>
      <c r="AL72" s="310">
        <f t="shared" si="15"/>
        <v>2.4362126199702763</v>
      </c>
      <c r="AP72" s="147" t="s">
        <v>110</v>
      </c>
    </row>
    <row r="73" spans="1:42">
      <c r="A73" s="157" t="s">
        <v>115</v>
      </c>
      <c r="B73" s="189"/>
      <c r="C73">
        <v>99.69</v>
      </c>
      <c r="E73">
        <v>45.69</v>
      </c>
      <c r="H73">
        <v>107.05</v>
      </c>
      <c r="O73">
        <v>99.69</v>
      </c>
      <c r="Q73">
        <v>45.69</v>
      </c>
      <c r="T73">
        <v>107.05</v>
      </c>
      <c r="Z73" s="167">
        <v>1.138537379406299</v>
      </c>
      <c r="AA73" s="64">
        <v>0.28260061430444122</v>
      </c>
      <c r="AB73" s="319">
        <v>32.165999999999997</v>
      </c>
      <c r="AC73" s="121">
        <v>0.89</v>
      </c>
      <c r="AD73" s="87">
        <f t="shared" si="8"/>
        <v>0.66666666666666663</v>
      </c>
      <c r="AE73" s="203">
        <f t="shared" si="9"/>
        <v>0.77833333333333332</v>
      </c>
      <c r="AF73" s="49">
        <f t="shared" si="10"/>
        <v>32.51134225089563</v>
      </c>
      <c r="AG73" s="49">
        <f t="shared" si="11"/>
        <v>32.51134225089563</v>
      </c>
      <c r="AH73" s="50">
        <f t="shared" si="12"/>
        <v>0.11994784876140807</v>
      </c>
      <c r="AI73" s="105">
        <f t="shared" si="13"/>
        <v>0.83735049916167104</v>
      </c>
      <c r="AJ73" s="311">
        <f>INDEX($AR$3:AS83,MATCH(COUNTA(O73:W73),$AR$3:$AR$12,0),2)</f>
        <v>1.1499999999999999</v>
      </c>
      <c r="AK73" s="108">
        <f t="shared" si="14"/>
        <v>84.143333333333331</v>
      </c>
      <c r="AL73" s="310">
        <f t="shared" si="15"/>
        <v>2.6159091380132233</v>
      </c>
      <c r="AP73" s="147" t="s">
        <v>110</v>
      </c>
    </row>
    <row r="74" spans="1:42">
      <c r="A74" s="157" t="s">
        <v>116</v>
      </c>
      <c r="B74" s="189"/>
      <c r="C74">
        <v>130.54</v>
      </c>
      <c r="E74">
        <v>96.88</v>
      </c>
      <c r="F74">
        <v>80.599999999999994</v>
      </c>
      <c r="G74">
        <v>69.489999999999995</v>
      </c>
      <c r="H74">
        <v>29.04</v>
      </c>
      <c r="J74">
        <v>58.12</v>
      </c>
      <c r="K74">
        <v>102.52</v>
      </c>
      <c r="O74">
        <v>130.54</v>
      </c>
      <c r="Q74">
        <v>96.88</v>
      </c>
      <c r="R74">
        <v>80.599999999999994</v>
      </c>
      <c r="S74">
        <v>69.489999999999995</v>
      </c>
      <c r="V74">
        <v>58.12</v>
      </c>
      <c r="W74">
        <v>102.52</v>
      </c>
      <c r="Z74" s="227"/>
      <c r="AA74" s="64"/>
      <c r="AB74" s="319">
        <v>0.48601299999999997</v>
      </c>
      <c r="AC74" s="312">
        <v>0.77</v>
      </c>
      <c r="AD74" s="87">
        <f t="shared" si="8"/>
        <v>0.83333333333333326</v>
      </c>
      <c r="AE74" s="203">
        <f t="shared" si="9"/>
        <v>0.80166666666666664</v>
      </c>
      <c r="AF74" s="49">
        <f t="shared" si="10"/>
        <v>26.432563026329241</v>
      </c>
      <c r="AG74" s="49">
        <f t="shared" si="11"/>
        <v>37.681333621920899</v>
      </c>
      <c r="AH74" s="50">
        <f t="shared" si="12"/>
        <v>0.38690969345484671</v>
      </c>
      <c r="AI74" s="105">
        <f t="shared" si="13"/>
        <v>1.7229908486765275</v>
      </c>
      <c r="AJ74" s="311">
        <f>INDEX($AR$3:AS84,MATCH(COUNTA(O74:W74),$AR$3:$AR$12,0),2)</f>
        <v>1.94</v>
      </c>
      <c r="AK74" s="108">
        <f t="shared" si="14"/>
        <v>89.691666666666663</v>
      </c>
      <c r="AL74" s="310">
        <f t="shared" si="15"/>
        <v>184.54581804739107</v>
      </c>
      <c r="AM74" s="166"/>
      <c r="AN74" s="1">
        <f>0.127*1000</f>
        <v>127</v>
      </c>
      <c r="AO74" s="91">
        <f>100*(AK74/AN74)</f>
        <v>70.623359580052494</v>
      </c>
      <c r="AP74" s="147" t="s">
        <v>64</v>
      </c>
    </row>
    <row r="75" spans="1:42">
      <c r="A75" s="157" t="s">
        <v>117</v>
      </c>
      <c r="B75" s="189"/>
      <c r="Z75" s="227"/>
      <c r="AA75" s="64"/>
      <c r="AB75" s="319">
        <v>31.152699999999999</v>
      </c>
      <c r="AC75" s="312">
        <v>0.42</v>
      </c>
      <c r="AD75" s="87" t="e">
        <f t="shared" si="8"/>
        <v>#DIV/0!</v>
      </c>
      <c r="AE75" s="203" t="e">
        <f t="shared" si="9"/>
        <v>#DIV/0!</v>
      </c>
      <c r="AF75" s="49" t="e">
        <f t="shared" si="10"/>
        <v>#DIV/0!</v>
      </c>
      <c r="AG75" s="49" t="e">
        <f t="shared" si="11"/>
        <v>#DIV/0!</v>
      </c>
      <c r="AH75" s="50" t="e">
        <f t="shared" si="12"/>
        <v>#NUM!</v>
      </c>
      <c r="AI75" s="105" t="e">
        <f t="shared" si="13"/>
        <v>#DIV/0!</v>
      </c>
      <c r="AJ75" s="311" t="e">
        <f>INDEX($AR$3:AS85,MATCH(COUNTA(O75:W75),$AR$3:$AR$12,0),2)</f>
        <v>#N/A</v>
      </c>
      <c r="AK75" s="108" t="e">
        <f t="shared" si="14"/>
        <v>#DIV/0!</v>
      </c>
      <c r="AL75" s="310" t="str">
        <f t="shared" si="15"/>
        <v>n.d.</v>
      </c>
      <c r="AP75" s="147" t="s">
        <v>49</v>
      </c>
    </row>
    <row r="76" spans="1:42">
      <c r="A76" s="157" t="s">
        <v>118</v>
      </c>
      <c r="B76" s="189"/>
      <c r="Z76" s="227">
        <v>0.92741006348580879</v>
      </c>
      <c r="AA76" s="64">
        <v>0.93563404694108665</v>
      </c>
      <c r="AB76" s="319">
        <v>10.7529</v>
      </c>
      <c r="AD76" s="87" t="e">
        <f t="shared" si="8"/>
        <v>#DIV/0!</v>
      </c>
      <c r="AE76" s="203" t="e">
        <f t="shared" si="9"/>
        <v>#DIV/0!</v>
      </c>
      <c r="AF76" s="49" t="e">
        <f t="shared" si="10"/>
        <v>#DIV/0!</v>
      </c>
      <c r="AG76" s="49" t="e">
        <f t="shared" si="11"/>
        <v>#DIV/0!</v>
      </c>
      <c r="AH76" s="50" t="e">
        <f t="shared" si="12"/>
        <v>#NUM!</v>
      </c>
      <c r="AI76" s="105" t="e">
        <f t="shared" si="13"/>
        <v>#DIV/0!</v>
      </c>
      <c r="AJ76" s="311" t="e">
        <f>INDEX($AR$3:AS86,MATCH(COUNTA(O76:W76),$AR$3:$AR$12,0),2)</f>
        <v>#N/A</v>
      </c>
      <c r="AK76" s="108" t="e">
        <f t="shared" si="14"/>
        <v>#DIV/0!</v>
      </c>
      <c r="AL76" s="310" t="str">
        <f t="shared" si="15"/>
        <v>n.d.</v>
      </c>
      <c r="AP76" s="147" t="s">
        <v>70</v>
      </c>
    </row>
    <row r="77" spans="1:42">
      <c r="A77" s="157" t="s">
        <v>119</v>
      </c>
      <c r="B77" s="189"/>
      <c r="Z77" s="227">
        <v>0.6165271278721236</v>
      </c>
      <c r="AA77" s="64">
        <v>0.93563404694108665</v>
      </c>
      <c r="AB77" s="319">
        <v>24.845700000000001</v>
      </c>
      <c r="AD77" s="87" t="e">
        <f t="shared" si="8"/>
        <v>#DIV/0!</v>
      </c>
      <c r="AE77" s="203" t="e">
        <f t="shared" si="9"/>
        <v>#DIV/0!</v>
      </c>
      <c r="AF77" s="49" t="e">
        <f t="shared" si="10"/>
        <v>#DIV/0!</v>
      </c>
      <c r="AG77" s="49" t="e">
        <f t="shared" si="11"/>
        <v>#DIV/0!</v>
      </c>
      <c r="AH77" s="50" t="e">
        <f t="shared" si="12"/>
        <v>#NUM!</v>
      </c>
      <c r="AI77" s="105" t="e">
        <f t="shared" si="13"/>
        <v>#DIV/0!</v>
      </c>
      <c r="AJ77" s="311" t="e">
        <f>INDEX($AR$3:AS87,MATCH(COUNTA(O77:W77),$AR$3:$AR$12,0),2)</f>
        <v>#N/A</v>
      </c>
      <c r="AK77" s="108" t="e">
        <f t="shared" si="14"/>
        <v>#DIV/0!</v>
      </c>
      <c r="AL77" s="310" t="str">
        <f t="shared" si="15"/>
        <v>n.d.</v>
      </c>
      <c r="AP77" s="147" t="s">
        <v>70</v>
      </c>
    </row>
    <row r="78" spans="1:42">
      <c r="A78" s="157" t="s">
        <v>120</v>
      </c>
      <c r="B78" s="189"/>
      <c r="Z78" s="227">
        <v>0.69209679096893473</v>
      </c>
      <c r="AA78" s="64">
        <v>0.93563404694108665</v>
      </c>
      <c r="AB78" s="319">
        <v>8.3593499999999992</v>
      </c>
      <c r="AD78" s="87" t="e">
        <f t="shared" si="8"/>
        <v>#DIV/0!</v>
      </c>
      <c r="AE78" s="203" t="e">
        <f t="shared" si="9"/>
        <v>#DIV/0!</v>
      </c>
      <c r="AF78" s="49" t="e">
        <f t="shared" si="10"/>
        <v>#DIV/0!</v>
      </c>
      <c r="AG78" s="49" t="e">
        <f t="shared" si="11"/>
        <v>#DIV/0!</v>
      </c>
      <c r="AH78" s="50" t="e">
        <f t="shared" si="12"/>
        <v>#NUM!</v>
      </c>
      <c r="AI78" s="105" t="e">
        <f t="shared" si="13"/>
        <v>#DIV/0!</v>
      </c>
      <c r="AJ78" s="311" t="e">
        <f>INDEX($AR$3:AS88,MATCH(COUNTA(O78:W78),$AR$3:$AR$12,0),2)</f>
        <v>#N/A</v>
      </c>
      <c r="AK78" s="108" t="e">
        <f t="shared" si="14"/>
        <v>#DIV/0!</v>
      </c>
      <c r="AL78" s="310" t="str">
        <f t="shared" si="15"/>
        <v>n.d.</v>
      </c>
      <c r="AP78" s="147" t="s">
        <v>70</v>
      </c>
    </row>
    <row r="79" spans="1:42">
      <c r="A79" s="157" t="s">
        <v>121</v>
      </c>
      <c r="B79" s="189"/>
      <c r="Z79" s="227"/>
      <c r="AA79" s="64"/>
      <c r="AB79" s="319">
        <v>22.5444</v>
      </c>
      <c r="AD79" s="87" t="e">
        <f t="shared" si="8"/>
        <v>#DIV/0!</v>
      </c>
      <c r="AE79" s="203" t="e">
        <f t="shared" si="9"/>
        <v>#DIV/0!</v>
      </c>
      <c r="AF79" s="49" t="e">
        <f t="shared" si="10"/>
        <v>#DIV/0!</v>
      </c>
      <c r="AG79" s="49" t="e">
        <f t="shared" si="11"/>
        <v>#DIV/0!</v>
      </c>
      <c r="AH79" s="50" t="e">
        <f t="shared" si="12"/>
        <v>#NUM!</v>
      </c>
      <c r="AI79" s="105" t="e">
        <f t="shared" si="13"/>
        <v>#DIV/0!</v>
      </c>
      <c r="AJ79" s="311" t="e">
        <f>INDEX($AR$3:AS89,MATCH(COUNTA(O79:W79),$AR$3:$AR$12,0),2)</f>
        <v>#N/A</v>
      </c>
      <c r="AK79" s="108" t="e">
        <f t="shared" si="14"/>
        <v>#DIV/0!</v>
      </c>
      <c r="AL79" s="310" t="str">
        <f t="shared" si="15"/>
        <v>n.d.</v>
      </c>
      <c r="AP79" s="147" t="s">
        <v>70</v>
      </c>
    </row>
    <row r="80" spans="1:42">
      <c r="A80" s="157" t="s">
        <v>122</v>
      </c>
      <c r="B80" s="189"/>
      <c r="Z80" s="227">
        <v>0.59884540222007288</v>
      </c>
      <c r="AA80" s="64">
        <v>0.72751809830295933</v>
      </c>
      <c r="AB80" s="319">
        <v>4.5157999999999996</v>
      </c>
      <c r="AC80" s="312">
        <v>0.57999999999999996</v>
      </c>
      <c r="AD80" s="87" t="e">
        <f t="shared" si="8"/>
        <v>#DIV/0!</v>
      </c>
      <c r="AE80" s="203" t="e">
        <f t="shared" si="9"/>
        <v>#DIV/0!</v>
      </c>
      <c r="AF80" s="49" t="e">
        <f t="shared" si="10"/>
        <v>#DIV/0!</v>
      </c>
      <c r="AG80" s="49" t="e">
        <f t="shared" si="11"/>
        <v>#DIV/0!</v>
      </c>
      <c r="AH80" s="50" t="e">
        <f t="shared" si="12"/>
        <v>#NUM!</v>
      </c>
      <c r="AI80" s="105" t="e">
        <f t="shared" si="13"/>
        <v>#DIV/0!</v>
      </c>
      <c r="AJ80" s="311" t="e">
        <f>INDEX($AR$3:AS90,MATCH(COUNTA(O80:W80),$AR$3:$AR$12,0),2)</f>
        <v>#N/A</v>
      </c>
      <c r="AK80" s="108" t="e">
        <f t="shared" si="14"/>
        <v>#DIV/0!</v>
      </c>
      <c r="AL80" s="310" t="str">
        <f t="shared" si="15"/>
        <v>n.d.</v>
      </c>
      <c r="AP80" s="147" t="s">
        <v>123</v>
      </c>
    </row>
    <row r="81" spans="1:42">
      <c r="A81" s="157" t="s">
        <v>124</v>
      </c>
      <c r="B81" s="189"/>
      <c r="E81">
        <v>16.05</v>
      </c>
      <c r="F81">
        <v>17.77</v>
      </c>
      <c r="G81">
        <v>43.02</v>
      </c>
      <c r="Q81">
        <v>16.05</v>
      </c>
      <c r="R81">
        <v>17.77</v>
      </c>
      <c r="S81">
        <v>43.02</v>
      </c>
      <c r="Z81" s="227">
        <v>0.61625653571817318</v>
      </c>
      <c r="AA81" s="64">
        <v>0.72751809830295933</v>
      </c>
      <c r="AB81" s="319">
        <v>10.894500000000001</v>
      </c>
      <c r="AC81" s="121">
        <v>0.95</v>
      </c>
      <c r="AD81" s="87">
        <f t="shared" si="8"/>
        <v>0.41666666666666663</v>
      </c>
      <c r="AE81" s="203">
        <f t="shared" si="9"/>
        <v>0.68333333333333335</v>
      </c>
      <c r="AF81" s="49">
        <f t="shared" si="10"/>
        <v>48.132686728301252</v>
      </c>
      <c r="AG81" s="49">
        <f t="shared" si="11"/>
        <v>48.132686728301252</v>
      </c>
      <c r="AH81" s="50">
        <f t="shared" si="12"/>
        <v>0.9362254356692622</v>
      </c>
      <c r="AI81" s="105">
        <f t="shared" si="13"/>
        <v>1.4119177791062436</v>
      </c>
      <c r="AJ81" s="311">
        <f>INDEX($AR$3:AS91,MATCH(COUNTA(O81:W81),$AR$3:$AR$12,0),2)</f>
        <v>1.1499999999999999</v>
      </c>
      <c r="AK81" s="108">
        <f t="shared" si="14"/>
        <v>25.613333333333333</v>
      </c>
      <c r="AL81" s="310">
        <f t="shared" si="15"/>
        <v>2.3510333960561138</v>
      </c>
      <c r="AP81" s="147" t="s">
        <v>123</v>
      </c>
    </row>
    <row r="82" spans="1:42">
      <c r="A82" s="157" t="s">
        <v>125</v>
      </c>
      <c r="B82" s="189"/>
      <c r="E82">
        <v>18.77</v>
      </c>
      <c r="F82">
        <v>12.23</v>
      </c>
      <c r="G82">
        <v>31.3</v>
      </c>
      <c r="Q82">
        <v>18.77</v>
      </c>
      <c r="R82">
        <v>12.23</v>
      </c>
      <c r="S82">
        <v>31.3</v>
      </c>
      <c r="Z82" s="227">
        <v>0.57667479250297526</v>
      </c>
      <c r="AA82" s="64">
        <v>0.72751809830295933</v>
      </c>
      <c r="AB82" s="319">
        <v>10.5124</v>
      </c>
      <c r="AC82" s="121">
        <v>0.95</v>
      </c>
      <c r="AD82" s="87">
        <f t="shared" si="8"/>
        <v>0.41666666666666663</v>
      </c>
      <c r="AE82" s="203">
        <f t="shared" si="9"/>
        <v>0.68333333333333335</v>
      </c>
      <c r="AF82" s="49">
        <f t="shared" si="10"/>
        <v>38.100860918082986</v>
      </c>
      <c r="AG82" s="49">
        <f t="shared" si="11"/>
        <v>38.100860918082986</v>
      </c>
      <c r="AH82" s="50">
        <f t="shared" si="12"/>
        <v>0.65705296276874681</v>
      </c>
      <c r="AI82" s="105">
        <f t="shared" si="13"/>
        <v>1.331264180762789</v>
      </c>
      <c r="AJ82" s="311">
        <f>INDEX($AR$3:AS92,MATCH(COUNTA(O82:W82),$AR$3:$AR$12,0),2)</f>
        <v>1.1499999999999999</v>
      </c>
      <c r="AK82" s="108">
        <f t="shared" si="14"/>
        <v>20.766666666666666</v>
      </c>
      <c r="AL82" s="310">
        <f t="shared" si="15"/>
        <v>1.9754448714533948</v>
      </c>
      <c r="AP82" s="147" t="s">
        <v>123</v>
      </c>
    </row>
    <row r="83" spans="1:42">
      <c r="A83" s="157" t="s">
        <v>126</v>
      </c>
      <c r="B83" s="189"/>
      <c r="C83">
        <v>11.79</v>
      </c>
      <c r="E83">
        <v>11.28</v>
      </c>
      <c r="O83">
        <v>11.79</v>
      </c>
      <c r="Q83">
        <v>11.28</v>
      </c>
      <c r="Z83" s="227">
        <v>1.3019092601025839</v>
      </c>
      <c r="AA83" s="64">
        <v>0.72751809830295933</v>
      </c>
      <c r="AB83" s="319">
        <v>7.32599</v>
      </c>
      <c r="AC83" s="312">
        <v>0.65</v>
      </c>
      <c r="AD83" s="87">
        <f t="shared" si="8"/>
        <v>0.61111111111111116</v>
      </c>
      <c r="AE83" s="203">
        <f t="shared" si="9"/>
        <v>0.63055555555555554</v>
      </c>
      <c r="AF83" s="49">
        <f t="shared" si="10"/>
        <v>2.2106631989596868</v>
      </c>
      <c r="AG83" s="49">
        <f t="shared" si="11"/>
        <v>2.2106631989596868</v>
      </c>
      <c r="AH83" s="50">
        <f t="shared" si="12"/>
        <v>1</v>
      </c>
      <c r="AI83" s="105">
        <f t="shared" si="13"/>
        <v>0.99999999999999656</v>
      </c>
      <c r="AJ83" s="311" t="e">
        <f>INDEX($AR$3:AS93,MATCH(COUNTA(O83:W83),$AR$3:$AR$12,0),2)</f>
        <v>#N/A</v>
      </c>
      <c r="AK83" s="108">
        <f t="shared" si="14"/>
        <v>11.535</v>
      </c>
      <c r="AL83" s="310">
        <f t="shared" si="15"/>
        <v>1.5745312237663442</v>
      </c>
      <c r="AP83" s="147" t="s">
        <v>127</v>
      </c>
    </row>
    <row r="84" spans="1:42">
      <c r="A84" s="157" t="s">
        <v>128</v>
      </c>
      <c r="B84" s="189"/>
      <c r="E84">
        <v>98.43</v>
      </c>
      <c r="F84">
        <v>38.770000000000003</v>
      </c>
      <c r="Q84">
        <v>98.43</v>
      </c>
      <c r="R84">
        <v>38.770000000000003</v>
      </c>
      <c r="Z84" s="227">
        <v>0.58906099485757879</v>
      </c>
      <c r="AA84" s="64">
        <v>0.99528059171618266</v>
      </c>
      <c r="AB84" s="319">
        <v>13.3148</v>
      </c>
      <c r="AC84" s="312">
        <v>0.85</v>
      </c>
      <c r="AD84" s="87">
        <f t="shared" si="8"/>
        <v>0.3611111111111111</v>
      </c>
      <c r="AE84" s="203">
        <f t="shared" si="9"/>
        <v>0.60555555555555551</v>
      </c>
      <c r="AF84" s="49">
        <f t="shared" si="10"/>
        <v>43.483965014577244</v>
      </c>
      <c r="AG84" s="49">
        <f t="shared" si="11"/>
        <v>43.483965014577244</v>
      </c>
      <c r="AH84" s="50">
        <f t="shared" si="12"/>
        <v>1</v>
      </c>
      <c r="AI84" s="105">
        <f t="shared" si="13"/>
        <v>1.0000000000000002</v>
      </c>
      <c r="AJ84" s="311" t="e">
        <f>INDEX($AR$3:AS94,MATCH(COUNTA(O84:W84),$AR$3:$AR$12,0),2)</f>
        <v>#N/A</v>
      </c>
      <c r="AK84" s="108">
        <f t="shared" si="14"/>
        <v>68.600000000000009</v>
      </c>
      <c r="AL84" s="310">
        <f t="shared" si="15"/>
        <v>5.1521615044912439</v>
      </c>
      <c r="AP84" s="147" t="s">
        <v>123</v>
      </c>
    </row>
    <row r="85" spans="1:42">
      <c r="A85" s="157" t="s">
        <v>129</v>
      </c>
      <c r="B85" s="189"/>
      <c r="E85">
        <v>79.94</v>
      </c>
      <c r="F85">
        <v>46.34</v>
      </c>
      <c r="K85">
        <v>47.44</v>
      </c>
      <c r="Q85">
        <v>79.94</v>
      </c>
      <c r="R85">
        <v>46.34</v>
      </c>
      <c r="W85">
        <v>47.44</v>
      </c>
      <c r="Z85" s="227">
        <v>0.51486739662881298</v>
      </c>
      <c r="AA85" s="64">
        <v>0.99528059171618266</v>
      </c>
      <c r="AB85" s="319">
        <v>11.510199999999999</v>
      </c>
      <c r="AC85" s="312">
        <v>0.72</v>
      </c>
      <c r="AD85" s="87">
        <f t="shared" si="8"/>
        <v>0.66666666666666663</v>
      </c>
      <c r="AE85" s="203">
        <f t="shared" si="9"/>
        <v>0.69333333333333336</v>
      </c>
      <c r="AF85" s="49">
        <f t="shared" si="10"/>
        <v>26.916400082664175</v>
      </c>
      <c r="AG85" s="49">
        <f t="shared" si="11"/>
        <v>26.916400082664175</v>
      </c>
      <c r="AH85" s="50">
        <f t="shared" si="12"/>
        <v>0.96726190476190488</v>
      </c>
      <c r="AI85" s="105">
        <f t="shared" si="13"/>
        <v>1.4136264541031667</v>
      </c>
      <c r="AJ85" s="311">
        <f>INDEX($AR$3:AS95,MATCH(COUNTA(O85:W85),$AR$3:$AR$12,0),2)</f>
        <v>1.1499999999999999</v>
      </c>
      <c r="AK85" s="108">
        <f t="shared" si="14"/>
        <v>57.906666666666666</v>
      </c>
      <c r="AL85" s="310">
        <f t="shared" si="15"/>
        <v>5.0309001291608029</v>
      </c>
      <c r="AP85" s="147" t="s">
        <v>123</v>
      </c>
    </row>
    <row r="86" spans="1:42">
      <c r="A86" s="157" t="s">
        <v>130</v>
      </c>
      <c r="B86" s="189"/>
      <c r="C86">
        <v>32.92</v>
      </c>
      <c r="E86">
        <v>64.17</v>
      </c>
      <c r="O86">
        <v>32.92</v>
      </c>
      <c r="Q86">
        <v>64.17</v>
      </c>
      <c r="Z86" s="227">
        <v>0.43495871571275968</v>
      </c>
      <c r="AA86" s="64">
        <v>0.99528059171618266</v>
      </c>
      <c r="AB86" s="319">
        <v>13.69835</v>
      </c>
      <c r="AC86" s="312">
        <v>0.82</v>
      </c>
      <c r="AD86" s="87">
        <f t="shared" si="8"/>
        <v>0.61111111111111116</v>
      </c>
      <c r="AE86" s="203">
        <f t="shared" si="9"/>
        <v>0.7155555555555555</v>
      </c>
      <c r="AF86" s="49">
        <f t="shared" si="10"/>
        <v>32.186630960964081</v>
      </c>
      <c r="AG86" s="49">
        <f t="shared" si="11"/>
        <v>32.186630960964081</v>
      </c>
      <c r="AH86" s="50">
        <f t="shared" si="12"/>
        <v>1</v>
      </c>
      <c r="AI86" s="105">
        <f t="shared" si="13"/>
        <v>0.99999999999999911</v>
      </c>
      <c r="AJ86" s="311" t="e">
        <f>INDEX($AR$3:AS96,MATCH(COUNTA(O86:W86),$AR$3:$AR$12,0),2)</f>
        <v>#N/A</v>
      </c>
      <c r="AK86" s="108">
        <f t="shared" si="14"/>
        <v>48.545000000000002</v>
      </c>
      <c r="AL86" s="310">
        <f t="shared" si="15"/>
        <v>3.5438574718853002</v>
      </c>
      <c r="AP86" s="147" t="s">
        <v>123</v>
      </c>
    </row>
    <row r="87" spans="1:42">
      <c r="A87" s="157" t="s">
        <v>131</v>
      </c>
      <c r="B87" s="189"/>
      <c r="C87">
        <v>1038.58</v>
      </c>
      <c r="E87">
        <v>899.32</v>
      </c>
      <c r="F87">
        <v>706.82</v>
      </c>
      <c r="G87">
        <v>534.48</v>
      </c>
      <c r="H87">
        <v>1730.62</v>
      </c>
      <c r="I87">
        <v>1530.8</v>
      </c>
      <c r="J87">
        <v>608.73</v>
      </c>
      <c r="K87">
        <v>1104.6199999999999</v>
      </c>
      <c r="O87">
        <v>1038.58</v>
      </c>
      <c r="Q87">
        <v>899.32</v>
      </c>
      <c r="R87">
        <v>706.82</v>
      </c>
      <c r="S87">
        <v>534.48</v>
      </c>
      <c r="T87">
        <v>1730.62</v>
      </c>
      <c r="U87">
        <v>1530.8</v>
      </c>
      <c r="V87">
        <v>608.73</v>
      </c>
      <c r="W87">
        <v>1104.6199999999999</v>
      </c>
      <c r="Z87" s="227">
        <v>1.463439595231159</v>
      </c>
      <c r="AA87" s="64">
        <v>0.99528059171618266</v>
      </c>
      <c r="AB87" s="319">
        <v>4.7008900000000002</v>
      </c>
      <c r="AC87" s="312">
        <v>0.75</v>
      </c>
      <c r="AD87" s="87">
        <f t="shared" si="8"/>
        <v>0.69444444444444442</v>
      </c>
      <c r="AE87" s="203">
        <f t="shared" si="9"/>
        <v>0.72222222222222221</v>
      </c>
      <c r="AF87" s="49">
        <f t="shared" si="10"/>
        <v>39.411684134980653</v>
      </c>
      <c r="AG87" s="49">
        <f t="shared" si="11"/>
        <v>39.411684134980653</v>
      </c>
      <c r="AH87" s="50">
        <f t="shared" si="12"/>
        <v>0.16705402377648099</v>
      </c>
      <c r="AI87" s="105">
        <f t="shared" si="13"/>
        <v>1.7708987024791627</v>
      </c>
      <c r="AJ87" s="311">
        <f>INDEX($AR$3:AS97,MATCH(COUNTA(O87:W87),$AR$3:$AR$12,0),2)</f>
        <v>2.2200000000000002</v>
      </c>
      <c r="AK87" s="108">
        <f t="shared" si="14"/>
        <v>1019.24625</v>
      </c>
      <c r="AL87" s="310">
        <f t="shared" si="15"/>
        <v>216.81984688005889</v>
      </c>
      <c r="AN87" s="312">
        <f>0.3821</f>
        <v>0.3821</v>
      </c>
      <c r="AO87" s="91">
        <f>100*((AK87-AVERAGE(AL84:AL86)*AB87)/(AN87*1000))</f>
        <v>261.11925440512698</v>
      </c>
      <c r="AP87" s="147" t="s">
        <v>127</v>
      </c>
    </row>
    <row r="88" spans="1:42">
      <c r="A88" s="336" t="s">
        <v>132</v>
      </c>
      <c r="B88" s="179"/>
      <c r="F88">
        <v>13.19</v>
      </c>
      <c r="G88">
        <v>12.34</v>
      </c>
      <c r="J88">
        <v>55.06</v>
      </c>
      <c r="K88">
        <v>58.73</v>
      </c>
      <c r="R88">
        <v>13.19</v>
      </c>
      <c r="S88">
        <v>12.34</v>
      </c>
      <c r="V88">
        <v>55.06</v>
      </c>
      <c r="W88">
        <v>58.73</v>
      </c>
      <c r="Z88" s="227">
        <v>0.44252277258406802</v>
      </c>
      <c r="AA88" s="64">
        <v>0.56732019691233859</v>
      </c>
      <c r="AB88" s="319">
        <v>7.9326249999999998</v>
      </c>
      <c r="AC88" s="312">
        <v>0.75</v>
      </c>
      <c r="AD88" s="87">
        <f t="shared" si="8"/>
        <v>0.47222222222222221</v>
      </c>
      <c r="AE88" s="203">
        <f t="shared" si="9"/>
        <v>0.61111111111111116</v>
      </c>
      <c r="AF88" s="49">
        <f t="shared" si="10"/>
        <v>63.465866098321541</v>
      </c>
      <c r="AG88" s="49">
        <f t="shared" si="11"/>
        <v>63.465866098321541</v>
      </c>
      <c r="AH88" s="50">
        <f t="shared" si="12"/>
        <v>7.9111877559818813E-2</v>
      </c>
      <c r="AI88" s="105">
        <f t="shared" si="13"/>
        <v>1.0811954649322508</v>
      </c>
      <c r="AJ88" s="311">
        <f>INDEX($AR$3:AS98,MATCH(COUNTA(O88:W88),$AR$3:$AR$12,0),2)</f>
        <v>1.49</v>
      </c>
      <c r="AK88" s="108">
        <f t="shared" si="14"/>
        <v>34.83</v>
      </c>
      <c r="AL88" s="310">
        <f t="shared" si="15"/>
        <v>4.3907281637541162</v>
      </c>
      <c r="AP88" s="147" t="s">
        <v>110</v>
      </c>
    </row>
    <row r="89" spans="1:42">
      <c r="A89" s="336" t="s">
        <v>133</v>
      </c>
      <c r="B89" s="179"/>
      <c r="J89">
        <v>10.67</v>
      </c>
      <c r="V89">
        <v>10.67</v>
      </c>
      <c r="Z89" s="227">
        <v>0.70058927453223541</v>
      </c>
      <c r="AA89" s="64">
        <v>0.56732019691233859</v>
      </c>
      <c r="AB89" s="319">
        <v>5.5930400000000002</v>
      </c>
      <c r="AC89" s="312">
        <v>0.57999999999999996</v>
      </c>
      <c r="AD89" s="87">
        <f t="shared" si="8"/>
        <v>0.55555555555555558</v>
      </c>
      <c r="AE89" s="203">
        <f t="shared" si="9"/>
        <v>0.56777777777777771</v>
      </c>
      <c r="AF89" s="49">
        <f t="shared" si="10"/>
        <v>0</v>
      </c>
      <c r="AG89" s="49">
        <f t="shared" si="11"/>
        <v>0</v>
      </c>
      <c r="AH89" s="50" t="e">
        <f t="shared" si="12"/>
        <v>#NUM!</v>
      </c>
      <c r="AI89" s="105" t="e">
        <f t="shared" si="13"/>
        <v>#DIV/0!</v>
      </c>
      <c r="AJ89" s="311" t="e">
        <f>INDEX($AR$3:AS99,MATCH(COUNTA(O89:W89),$AR$3:$AR$12,0),2)</f>
        <v>#N/A</v>
      </c>
      <c r="AK89" s="108">
        <f t="shared" si="14"/>
        <v>10.67</v>
      </c>
      <c r="AL89" s="310" t="str">
        <f t="shared" si="15"/>
        <v>n.d.</v>
      </c>
      <c r="AP89" s="147" t="s">
        <v>110</v>
      </c>
    </row>
    <row r="90" spans="1:42">
      <c r="A90" s="336" t="s">
        <v>134</v>
      </c>
      <c r="B90" s="179"/>
      <c r="J90">
        <v>19.39</v>
      </c>
      <c r="K90">
        <v>33.61</v>
      </c>
      <c r="V90">
        <v>19.39</v>
      </c>
      <c r="W90">
        <v>33.61</v>
      </c>
      <c r="Z90" s="227">
        <v>1.1131218618954</v>
      </c>
      <c r="AA90" s="64">
        <v>0.56732019691233859</v>
      </c>
      <c r="AB90" s="319">
        <v>4.9848800000000004</v>
      </c>
      <c r="AC90" s="312">
        <v>0.5</v>
      </c>
      <c r="AD90" s="87">
        <f t="shared" si="8"/>
        <v>0.61111111111111116</v>
      </c>
      <c r="AE90" s="203">
        <f t="shared" si="9"/>
        <v>0.55555555555555558</v>
      </c>
      <c r="AF90" s="49">
        <f t="shared" si="10"/>
        <v>26.830188679245282</v>
      </c>
      <c r="AG90" s="49">
        <f t="shared" si="11"/>
        <v>26.830188679245282</v>
      </c>
      <c r="AH90" s="50">
        <f t="shared" si="12"/>
        <v>1</v>
      </c>
      <c r="AI90" s="105">
        <f t="shared" si="13"/>
        <v>1</v>
      </c>
      <c r="AJ90" s="311" t="e">
        <f>INDEX($AR$3:AS100,MATCH(COUNTA(O90:W90),$AR$3:$AR$12,0),2)</f>
        <v>#N/A</v>
      </c>
      <c r="AK90" s="108">
        <f t="shared" si="14"/>
        <v>26.5</v>
      </c>
      <c r="AL90" s="310">
        <f t="shared" si="15"/>
        <v>5.316075813259296</v>
      </c>
      <c r="AP90" s="147" t="s">
        <v>110</v>
      </c>
    </row>
    <row r="91" spans="1:42">
      <c r="A91" s="157" t="s">
        <v>135</v>
      </c>
      <c r="B91" s="189"/>
      <c r="J91">
        <v>12.14</v>
      </c>
      <c r="V91">
        <v>12.14</v>
      </c>
      <c r="Z91" s="227">
        <v>0.95520554433141691</v>
      </c>
      <c r="AA91" s="64">
        <v>0.15301122576532269</v>
      </c>
      <c r="AB91" s="319">
        <v>9.8550500000000003</v>
      </c>
      <c r="AC91" s="312">
        <v>0.52</v>
      </c>
      <c r="AD91" s="87">
        <f t="shared" si="8"/>
        <v>0.55555555555555558</v>
      </c>
      <c r="AE91" s="203">
        <f t="shared" si="9"/>
        <v>0.5377777777777778</v>
      </c>
      <c r="AF91" s="49">
        <f t="shared" si="10"/>
        <v>0</v>
      </c>
      <c r="AG91" s="49">
        <f t="shared" si="11"/>
        <v>0</v>
      </c>
      <c r="AH91" s="50" t="e">
        <f t="shared" si="12"/>
        <v>#NUM!</v>
      </c>
      <c r="AI91" s="105" t="e">
        <f t="shared" si="13"/>
        <v>#DIV/0!</v>
      </c>
      <c r="AJ91" s="311" t="e">
        <f>INDEX($AR$3:AS101,MATCH(COUNTA(O91:W91),$AR$3:$AR$12,0),2)</f>
        <v>#N/A</v>
      </c>
      <c r="AK91" s="108">
        <f t="shared" si="14"/>
        <v>12.14</v>
      </c>
      <c r="AL91" s="310" t="str">
        <f t="shared" si="15"/>
        <v>n.d.</v>
      </c>
      <c r="AP91" s="147" t="s">
        <v>70</v>
      </c>
    </row>
    <row r="92" spans="1:42">
      <c r="A92" s="157" t="s">
        <v>136</v>
      </c>
      <c r="B92" s="189"/>
      <c r="J92">
        <v>14.77</v>
      </c>
      <c r="V92">
        <v>14.77</v>
      </c>
      <c r="Z92" s="227">
        <v>8.1601885331415172E-2</v>
      </c>
      <c r="AA92" s="64">
        <v>0.15301122576532269</v>
      </c>
      <c r="AB92" s="319">
        <v>8.9800300000000011</v>
      </c>
      <c r="AC92" s="312">
        <v>0.52</v>
      </c>
      <c r="AD92" s="87">
        <f t="shared" si="8"/>
        <v>0.55555555555555558</v>
      </c>
      <c r="AE92" s="203">
        <f t="shared" si="9"/>
        <v>0.5377777777777778</v>
      </c>
      <c r="AF92" s="49">
        <f t="shared" si="10"/>
        <v>0</v>
      </c>
      <c r="AG92" s="49">
        <f t="shared" si="11"/>
        <v>0</v>
      </c>
      <c r="AH92" s="50" t="e">
        <f t="shared" si="12"/>
        <v>#NUM!</v>
      </c>
      <c r="AI92" s="105" t="e">
        <f t="shared" si="13"/>
        <v>#DIV/0!</v>
      </c>
      <c r="AJ92" s="311" t="e">
        <f>INDEX($AR$3:AS102,MATCH(COUNTA(O92:W92),$AR$3:$AR$12,0),2)</f>
        <v>#N/A</v>
      </c>
      <c r="AK92" s="108">
        <f t="shared" si="14"/>
        <v>14.77</v>
      </c>
      <c r="AL92" s="310" t="str">
        <f t="shared" si="15"/>
        <v>n.d.</v>
      </c>
      <c r="AP92" s="147" t="s">
        <v>70</v>
      </c>
    </row>
    <row r="93" spans="1:42">
      <c r="A93" s="157" t="s">
        <v>137</v>
      </c>
      <c r="B93" s="189"/>
      <c r="J93">
        <v>10.6</v>
      </c>
      <c r="V93">
        <v>10.6</v>
      </c>
      <c r="Z93" s="227">
        <v>1.0305923510445369</v>
      </c>
      <c r="AA93" s="64">
        <v>0.15301122576532269</v>
      </c>
      <c r="AB93" s="319">
        <v>8.0890199999999997</v>
      </c>
      <c r="AC93" s="312">
        <v>0.42</v>
      </c>
      <c r="AD93" s="87">
        <f t="shared" si="8"/>
        <v>0.55555555555555558</v>
      </c>
      <c r="AE93" s="203">
        <f t="shared" si="9"/>
        <v>0.48777777777777775</v>
      </c>
      <c r="AF93" s="49">
        <f t="shared" si="10"/>
        <v>0</v>
      </c>
      <c r="AG93" s="49">
        <f t="shared" si="11"/>
        <v>0</v>
      </c>
      <c r="AH93" s="50" t="e">
        <f t="shared" si="12"/>
        <v>#NUM!</v>
      </c>
      <c r="AI93" s="105" t="e">
        <f t="shared" si="13"/>
        <v>#DIV/0!</v>
      </c>
      <c r="AJ93" s="311" t="e">
        <f>INDEX($AR$3:AS103,MATCH(COUNTA(O93:W93),$AR$3:$AR$12,0),2)</f>
        <v>#N/A</v>
      </c>
      <c r="AK93" s="108">
        <f t="shared" si="14"/>
        <v>10.6</v>
      </c>
      <c r="AL93" s="310" t="str">
        <f t="shared" si="15"/>
        <v>n.d.</v>
      </c>
      <c r="AP93" s="147" t="s">
        <v>70</v>
      </c>
    </row>
    <row r="94" spans="1:42">
      <c r="A94" s="337" t="s">
        <v>138</v>
      </c>
      <c r="B94" s="189"/>
      <c r="C94">
        <v>765.07</v>
      </c>
      <c r="E94">
        <v>467.69</v>
      </c>
      <c r="F94">
        <v>467.59</v>
      </c>
      <c r="G94">
        <v>415.81</v>
      </c>
      <c r="H94">
        <v>870.99</v>
      </c>
      <c r="I94">
        <v>741.77</v>
      </c>
      <c r="J94">
        <v>346.71</v>
      </c>
      <c r="K94">
        <v>595.76</v>
      </c>
      <c r="Q94">
        <v>467.69</v>
      </c>
      <c r="R94">
        <v>467.59</v>
      </c>
      <c r="S94">
        <v>415.81</v>
      </c>
      <c r="V94">
        <v>346.71</v>
      </c>
      <c r="AB94" s="319">
        <v>1.39551</v>
      </c>
      <c r="AC94" s="312">
        <v>0.77</v>
      </c>
      <c r="AD94" s="87">
        <f t="shared" si="8"/>
        <v>0.72222222222222221</v>
      </c>
      <c r="AE94" s="203">
        <f t="shared" si="9"/>
        <v>0.74611111111111117</v>
      </c>
      <c r="AF94" s="49">
        <f t="shared" si="10"/>
        <v>11.690622792072739</v>
      </c>
      <c r="AG94" s="49">
        <f t="shared" si="11"/>
        <v>30.385920049364124</v>
      </c>
      <c r="AH94" s="50">
        <f t="shared" si="12"/>
        <v>8.2658290626568627E-4</v>
      </c>
      <c r="AI94" s="105">
        <f t="shared" si="13"/>
        <v>0.87140791337847145</v>
      </c>
      <c r="AJ94" s="311">
        <f>INDEX($AR$3:AS104,MATCH(COUNTA(O94:W94),$AR$3:$AR$12,0),2)</f>
        <v>1.49</v>
      </c>
      <c r="AK94" s="108">
        <f t="shared" si="14"/>
        <v>424.45</v>
      </c>
      <c r="AL94" s="310">
        <f t="shared" si="15"/>
        <v>304.15403687540754</v>
      </c>
      <c r="AN94" s="126">
        <v>0.29849999999999999</v>
      </c>
      <c r="AO94" s="91">
        <f>100*(AK94/(AN94*1000))</f>
        <v>142.19430485762143</v>
      </c>
      <c r="AP94" s="147" t="s">
        <v>64</v>
      </c>
    </row>
    <row r="95" spans="1:42" s="51" customFormat="1">
      <c r="A95" s="158" t="s">
        <v>139</v>
      </c>
      <c r="B95" s="190"/>
      <c r="E95" s="51">
        <v>19.260000000000002</v>
      </c>
      <c r="J95" s="51">
        <v>14.16</v>
      </c>
      <c r="K95" s="51">
        <v>18.75</v>
      </c>
      <c r="N95" s="306"/>
      <c r="Q95" s="51">
        <v>19.260000000000002</v>
      </c>
      <c r="V95" s="51">
        <v>14.16</v>
      </c>
      <c r="W95" s="51">
        <v>18.75</v>
      </c>
      <c r="Y95" s="78"/>
      <c r="AB95" s="78">
        <v>3.2955000000000001</v>
      </c>
      <c r="AC95" s="83">
        <v>0.65</v>
      </c>
      <c r="AD95" s="87">
        <f t="shared" si="8"/>
        <v>0.66666666666666663</v>
      </c>
      <c r="AE95" s="203">
        <f t="shared" si="9"/>
        <v>0.65833333333333333</v>
      </c>
      <c r="AF95" s="49">
        <f t="shared" si="10"/>
        <v>13.188185081940548</v>
      </c>
      <c r="AG95" s="49">
        <f t="shared" si="11"/>
        <v>13.188185081940548</v>
      </c>
      <c r="AH95" s="50">
        <f t="shared" si="12"/>
        <v>0.10000000000000028</v>
      </c>
      <c r="AI95" s="105">
        <f t="shared" si="13"/>
        <v>0.81537424832720662</v>
      </c>
      <c r="AJ95" s="311">
        <f>INDEX($AR$3:AS105,MATCH(COUNTA(O95:W95),$AR$3:$AR$12,0),2)</f>
        <v>1.1499999999999999</v>
      </c>
      <c r="AK95" s="108">
        <f t="shared" si="14"/>
        <v>17.39</v>
      </c>
      <c r="AL95" s="310">
        <f t="shared" si="15"/>
        <v>5.2768927325140345</v>
      </c>
      <c r="AO95" s="78"/>
      <c r="AP95" s="148" t="s">
        <v>64</v>
      </c>
    </row>
    <row r="96" spans="1:42">
      <c r="A96" s="158" t="s">
        <v>140</v>
      </c>
      <c r="B96" s="191"/>
      <c r="E96">
        <v>7.51</v>
      </c>
      <c r="Q96">
        <v>7.51</v>
      </c>
      <c r="Z96">
        <v>0.70699999999999996</v>
      </c>
      <c r="AA96">
        <v>1.143</v>
      </c>
      <c r="AB96" s="307">
        <v>5.1746699999999999</v>
      </c>
      <c r="AC96" s="312">
        <v>0.68</v>
      </c>
      <c r="AD96" s="87">
        <f t="shared" si="8"/>
        <v>0.55555555555555558</v>
      </c>
      <c r="AE96" s="203">
        <f t="shared" si="9"/>
        <v>0.61777777777777776</v>
      </c>
      <c r="AF96" s="49">
        <f t="shared" si="10"/>
        <v>0</v>
      </c>
      <c r="AG96" s="49">
        <f t="shared" si="11"/>
        <v>0</v>
      </c>
      <c r="AH96" s="50" t="e">
        <f t="shared" si="12"/>
        <v>#NUM!</v>
      </c>
      <c r="AI96" s="105" t="e">
        <f t="shared" si="13"/>
        <v>#DIV/0!</v>
      </c>
      <c r="AJ96" s="311" t="e">
        <f>INDEX($AR$3:AS106,MATCH(COUNTA(O96:W96),$AR$3:$AR$12,0),2)</f>
        <v>#N/A</v>
      </c>
      <c r="AK96" s="108">
        <f t="shared" si="14"/>
        <v>7.51</v>
      </c>
      <c r="AL96" s="310">
        <f t="shared" si="15"/>
        <v>1.4513002761528755</v>
      </c>
      <c r="AP96" s="147" t="s">
        <v>141</v>
      </c>
    </row>
    <row r="97" spans="1:42">
      <c r="A97" s="158" t="s">
        <v>142</v>
      </c>
      <c r="B97" s="191"/>
      <c r="E97">
        <v>18.72</v>
      </c>
      <c r="J97">
        <v>21.28</v>
      </c>
      <c r="K97">
        <v>15.49</v>
      </c>
      <c r="Q97">
        <v>18.72</v>
      </c>
      <c r="V97">
        <v>21.28</v>
      </c>
      <c r="W97">
        <v>15.49</v>
      </c>
      <c r="Z97">
        <v>0.70699999999999996</v>
      </c>
      <c r="AA97">
        <v>1.143</v>
      </c>
      <c r="AB97" s="307">
        <v>8.3862100000000002</v>
      </c>
      <c r="AC97" s="312">
        <v>0.65</v>
      </c>
      <c r="AD97" s="87">
        <f t="shared" si="8"/>
        <v>0.66666666666666663</v>
      </c>
      <c r="AE97" s="203">
        <f t="shared" si="9"/>
        <v>0.65833333333333333</v>
      </c>
      <c r="AF97" s="49">
        <f t="shared" si="10"/>
        <v>12.807859030529285</v>
      </c>
      <c r="AG97" s="49">
        <f t="shared" si="11"/>
        <v>12.807859030529285</v>
      </c>
      <c r="AH97" s="50">
        <f t="shared" si="12"/>
        <v>0.44214162348877406</v>
      </c>
      <c r="AI97" s="105">
        <f t="shared" si="13"/>
        <v>1.1748846014488112</v>
      </c>
      <c r="AJ97" s="311">
        <f>INDEX($AR$3:AS107,MATCH(COUNTA(O97:W97),$AR$3:$AR$12,0),2)</f>
        <v>1.1499999999999999</v>
      </c>
      <c r="AK97" s="108">
        <f t="shared" si="14"/>
        <v>18.496666666666666</v>
      </c>
      <c r="AL97" s="310">
        <f t="shared" si="15"/>
        <v>2.2056049951845549</v>
      </c>
      <c r="AP97" s="147" t="s">
        <v>141</v>
      </c>
    </row>
    <row r="98" spans="1:42">
      <c r="A98" s="158" t="s">
        <v>143</v>
      </c>
      <c r="B98" s="191"/>
      <c r="C98">
        <v>45.73</v>
      </c>
      <c r="E98">
        <v>15.06</v>
      </c>
      <c r="J98">
        <v>13.6</v>
      </c>
      <c r="K98">
        <v>15</v>
      </c>
      <c r="O98">
        <v>45.73</v>
      </c>
      <c r="Q98">
        <v>15.06</v>
      </c>
      <c r="V98">
        <v>13.6</v>
      </c>
      <c r="W98">
        <v>15</v>
      </c>
      <c r="Z98">
        <v>0.70699999999999996</v>
      </c>
      <c r="AA98">
        <v>0.104</v>
      </c>
      <c r="AB98" s="307">
        <v>19.356549999999999</v>
      </c>
      <c r="AC98" s="312">
        <v>0.65</v>
      </c>
      <c r="AD98" s="87">
        <f t="shared" si="8"/>
        <v>0.47222222222222221</v>
      </c>
      <c r="AE98" s="203">
        <f t="shared" si="9"/>
        <v>0.56111111111111112</v>
      </c>
      <c r="AF98" s="49">
        <f t="shared" si="10"/>
        <v>60.4654944152662</v>
      </c>
      <c r="AG98" s="49">
        <f t="shared" si="11"/>
        <v>60.4654944152662</v>
      </c>
      <c r="AH98" s="50">
        <f t="shared" si="12"/>
        <v>0.95455960161842512</v>
      </c>
      <c r="AI98" s="105">
        <f t="shared" si="13"/>
        <v>1.730431406336719</v>
      </c>
      <c r="AJ98" s="311">
        <f>INDEX($AR$3:AS108,MATCH(COUNTA(O98:W98),$AR$3:$AR$12,0),2)</f>
        <v>1.49</v>
      </c>
      <c r="AK98" s="108">
        <f t="shared" si="14"/>
        <v>22.3475</v>
      </c>
      <c r="AL98" s="310">
        <f t="shared" si="15"/>
        <v>1.1545187546334446</v>
      </c>
      <c r="AP98" s="147" t="s">
        <v>141</v>
      </c>
    </row>
    <row r="99" spans="1:42">
      <c r="A99" s="158" t="s">
        <v>144</v>
      </c>
      <c r="B99" s="191"/>
      <c r="C99">
        <v>23.86</v>
      </c>
      <c r="E99">
        <v>9.3800000000000008</v>
      </c>
      <c r="O99">
        <v>23.86</v>
      </c>
      <c r="Q99">
        <v>9.3800000000000008</v>
      </c>
      <c r="Z99">
        <v>0.70699999999999996</v>
      </c>
      <c r="AA99">
        <v>0.104</v>
      </c>
      <c r="AB99" s="307">
        <v>14.0021</v>
      </c>
      <c r="AC99" s="312">
        <v>0.65</v>
      </c>
      <c r="AD99" s="87">
        <f t="shared" si="8"/>
        <v>0.3611111111111111</v>
      </c>
      <c r="AE99" s="203">
        <f t="shared" si="9"/>
        <v>0.50555555555555554</v>
      </c>
      <c r="AF99" s="49">
        <f t="shared" si="10"/>
        <v>43.561973525872418</v>
      </c>
      <c r="AG99" s="49">
        <f t="shared" si="11"/>
        <v>43.561973525872418</v>
      </c>
      <c r="AH99" s="50">
        <f t="shared" si="12"/>
        <v>1</v>
      </c>
      <c r="AI99" s="105">
        <f t="shared" si="13"/>
        <v>1.0000000000000004</v>
      </c>
      <c r="AJ99" s="311" t="e">
        <f>INDEX($AR$3:AS109,MATCH(COUNTA(O99:W99),$AR$3:$AR$12,0),2)</f>
        <v>#N/A</v>
      </c>
      <c r="AK99" s="108">
        <f t="shared" si="14"/>
        <v>16.62</v>
      </c>
      <c r="AL99" s="310">
        <f t="shared" si="15"/>
        <v>1.1869648124209939</v>
      </c>
      <c r="AP99" s="147" t="s">
        <v>141</v>
      </c>
    </row>
    <row r="100" spans="1:42">
      <c r="A100" s="158" t="s">
        <v>145</v>
      </c>
      <c r="B100" s="191"/>
      <c r="C100">
        <v>79.47</v>
      </c>
      <c r="E100">
        <v>54.18</v>
      </c>
      <c r="F100">
        <v>3.41</v>
      </c>
      <c r="J100">
        <v>45.01</v>
      </c>
      <c r="K100">
        <v>32.659999999999997</v>
      </c>
      <c r="O100">
        <v>79.47</v>
      </c>
      <c r="Q100">
        <v>54.18</v>
      </c>
      <c r="R100">
        <v>3.41</v>
      </c>
      <c r="V100">
        <v>45.01</v>
      </c>
      <c r="W100">
        <v>32.659999999999997</v>
      </c>
      <c r="AB100" s="307">
        <v>3.68384</v>
      </c>
      <c r="AC100" s="312">
        <v>0.52</v>
      </c>
      <c r="AD100" s="87">
        <f t="shared" si="8"/>
        <v>0.52777777777777779</v>
      </c>
      <c r="AE100" s="203">
        <f t="shared" si="9"/>
        <v>0.52388888888888885</v>
      </c>
      <c r="AF100" s="49">
        <f t="shared" si="10"/>
        <v>58.290475787582118</v>
      </c>
      <c r="AG100" s="49">
        <f t="shared" si="11"/>
        <v>58.290475787582118</v>
      </c>
      <c r="AH100" s="50">
        <f t="shared" si="12"/>
        <v>0.33250065737575596</v>
      </c>
      <c r="AI100" s="105">
        <f t="shared" si="13"/>
        <v>1.4590091453476153</v>
      </c>
      <c r="AJ100" s="311">
        <f>INDEX($AR$3:AS109,MATCH(COUNTA(O100:W100),$AR$3:$AR$12,0),2)</f>
        <v>1.75</v>
      </c>
      <c r="AK100" s="108">
        <f t="shared" si="14"/>
        <v>42.945999999999998</v>
      </c>
      <c r="AL100" s="310">
        <f t="shared" si="15"/>
        <v>11.657943884642112</v>
      </c>
      <c r="AP100" s="147" t="s">
        <v>146</v>
      </c>
    </row>
    <row r="101" spans="1:42">
      <c r="A101" s="158" t="s">
        <v>147</v>
      </c>
      <c r="B101" s="191"/>
      <c r="C101">
        <v>48.19</v>
      </c>
      <c r="E101">
        <v>29.94</v>
      </c>
      <c r="J101">
        <v>22.35</v>
      </c>
      <c r="O101">
        <v>48.19</v>
      </c>
      <c r="Q101">
        <v>29.94</v>
      </c>
      <c r="V101">
        <v>22.35</v>
      </c>
      <c r="Z101">
        <v>0.70699999999999996</v>
      </c>
      <c r="AA101">
        <v>4.2000000000000003E-2</v>
      </c>
      <c r="AB101" s="307">
        <v>4.4491899999999998</v>
      </c>
      <c r="AC101" s="312">
        <v>0.52</v>
      </c>
      <c r="AD101" s="87">
        <f t="shared" si="8"/>
        <v>0.66666666666666663</v>
      </c>
      <c r="AE101" s="203">
        <f t="shared" si="9"/>
        <v>0.59333333333333327</v>
      </c>
      <c r="AF101" s="49">
        <f t="shared" si="10"/>
        <v>32.377283364177451</v>
      </c>
      <c r="AG101" s="49">
        <f t="shared" si="11"/>
        <v>32.377283364177451</v>
      </c>
      <c r="AH101" s="50">
        <f t="shared" si="12"/>
        <v>0.70626934984520118</v>
      </c>
      <c r="AI101" s="105">
        <f t="shared" si="13"/>
        <v>1.3552520292496282</v>
      </c>
      <c r="AJ101" s="311">
        <f>INDEX($AR$3:AS110,MATCH(COUNTA(O101:W101),$AR$3:$AR$12,0),2)</f>
        <v>1.1499999999999999</v>
      </c>
      <c r="AK101" s="108">
        <f t="shared" si="14"/>
        <v>33.493333333333332</v>
      </c>
      <c r="AL101" s="310">
        <f t="shared" si="15"/>
        <v>7.5279620185546881</v>
      </c>
      <c r="AP101" s="147" t="s">
        <v>146</v>
      </c>
    </row>
    <row r="102" spans="1:42">
      <c r="A102" s="158" t="s">
        <v>148</v>
      </c>
      <c r="B102" s="191"/>
      <c r="C102">
        <v>40.020000000000003</v>
      </c>
      <c r="E102">
        <v>27.49</v>
      </c>
      <c r="J102">
        <v>23.17</v>
      </c>
      <c r="O102">
        <v>40.020000000000003</v>
      </c>
      <c r="Q102">
        <v>27.49</v>
      </c>
      <c r="V102">
        <v>23.17</v>
      </c>
      <c r="Z102">
        <v>0.70699999999999996</v>
      </c>
      <c r="AA102">
        <v>4.2000000000000003E-2</v>
      </c>
      <c r="AB102" s="307">
        <v>4.2668999999999997</v>
      </c>
      <c r="AC102" s="312">
        <v>0.42</v>
      </c>
      <c r="AD102" s="87">
        <f t="shared" si="8"/>
        <v>0.66666666666666663</v>
      </c>
      <c r="AE102" s="203">
        <f t="shared" si="9"/>
        <v>0.54333333333333333</v>
      </c>
      <c r="AF102" s="49">
        <f t="shared" si="10"/>
        <v>23.641323696062496</v>
      </c>
      <c r="AG102" s="49">
        <f t="shared" si="11"/>
        <v>23.641323696062496</v>
      </c>
      <c r="AH102" s="50">
        <f t="shared" si="12"/>
        <v>0.74362017804154323</v>
      </c>
      <c r="AI102" s="105">
        <f t="shared" si="13"/>
        <v>1.3704667102085839</v>
      </c>
      <c r="AJ102" s="311">
        <f>INDEX($AR$3:AS111,MATCH(COUNTA(O102:W102),$AR$3:$AR$12,0),2)</f>
        <v>1.1499999999999999</v>
      </c>
      <c r="AK102" s="108">
        <f t="shared" si="14"/>
        <v>30.22666666666667</v>
      </c>
      <c r="AL102" s="310">
        <f t="shared" si="15"/>
        <v>7.0839875944284314</v>
      </c>
      <c r="AP102" s="147" t="s">
        <v>146</v>
      </c>
    </row>
    <row r="103" spans="1:42">
      <c r="A103" s="158" t="s">
        <v>149</v>
      </c>
      <c r="B103" s="191"/>
      <c r="C103">
        <v>225.66</v>
      </c>
      <c r="E103">
        <v>51.57</v>
      </c>
      <c r="F103">
        <v>13.93</v>
      </c>
      <c r="H103">
        <v>82.1</v>
      </c>
      <c r="J103">
        <v>56.53</v>
      </c>
      <c r="K103">
        <v>16.11</v>
      </c>
      <c r="Q103">
        <v>51.57</v>
      </c>
      <c r="R103">
        <v>13.93</v>
      </c>
      <c r="T103">
        <v>82.1</v>
      </c>
      <c r="V103">
        <v>56.53</v>
      </c>
      <c r="W103">
        <v>16.11</v>
      </c>
      <c r="Z103">
        <v>0.70699999999999996</v>
      </c>
      <c r="AA103">
        <v>0.16900000000000001</v>
      </c>
      <c r="AB103" s="307">
        <v>8.0275499999999997</v>
      </c>
      <c r="AC103" s="312">
        <v>0.79</v>
      </c>
      <c r="AD103" s="87">
        <f t="shared" si="8"/>
        <v>0.52777777777777779</v>
      </c>
      <c r="AE103" s="203">
        <f t="shared" si="9"/>
        <v>0.65888888888888886</v>
      </c>
      <c r="AF103" s="49">
        <f t="shared" si="10"/>
        <v>58.746096871369993</v>
      </c>
      <c r="AG103" s="49">
        <f t="shared" si="11"/>
        <v>96.460867291465348</v>
      </c>
      <c r="AH103" s="50">
        <f t="shared" si="12"/>
        <v>0.3750916825583101</v>
      </c>
      <c r="AI103" s="105">
        <f t="shared" si="13"/>
        <v>1.4705245418716955</v>
      </c>
      <c r="AJ103" s="311">
        <f>INDEX($AR$3:AS112,MATCH(COUNTA(O103:W103),$AR$3:$AR$12,0),2)</f>
        <v>1.75</v>
      </c>
      <c r="AK103" s="108">
        <f t="shared" si="14"/>
        <v>44.048000000000002</v>
      </c>
      <c r="AL103" s="310">
        <f t="shared" si="15"/>
        <v>5.4871037863358065</v>
      </c>
      <c r="AP103" s="147" t="s">
        <v>150</v>
      </c>
    </row>
    <row r="104" spans="1:42">
      <c r="A104" s="158" t="s">
        <v>151</v>
      </c>
      <c r="B104" s="191"/>
      <c r="E104">
        <v>15.64</v>
      </c>
      <c r="H104">
        <v>43.85</v>
      </c>
      <c r="J104">
        <v>19.61</v>
      </c>
      <c r="K104">
        <v>26.51</v>
      </c>
      <c r="Q104">
        <v>15.64</v>
      </c>
      <c r="T104">
        <v>43.85</v>
      </c>
      <c r="V104">
        <v>19.61</v>
      </c>
      <c r="W104">
        <v>26.51</v>
      </c>
      <c r="Z104">
        <v>0.70699999999999996</v>
      </c>
      <c r="AA104">
        <v>0.16900000000000001</v>
      </c>
      <c r="AB104" s="307">
        <v>5.2789650000000004</v>
      </c>
      <c r="AC104" s="312">
        <v>0.57999999999999996</v>
      </c>
      <c r="AD104" s="87">
        <f t="shared" si="8"/>
        <v>0.47222222222222221</v>
      </c>
      <c r="AE104" s="203">
        <f t="shared" si="9"/>
        <v>0.52611111111111108</v>
      </c>
      <c r="AF104" s="49">
        <f t="shared" si="10"/>
        <v>40.898039460081385</v>
      </c>
      <c r="AG104" s="49">
        <f t="shared" si="11"/>
        <v>40.898039460081385</v>
      </c>
      <c r="AH104" s="50">
        <f t="shared" si="12"/>
        <v>0.61467564693371146</v>
      </c>
      <c r="AI104" s="105">
        <f t="shared" si="13"/>
        <v>1.6157927907314102</v>
      </c>
      <c r="AJ104" s="311">
        <f>INDEX($AR$3:AS113,MATCH(COUNTA(O104:W104),$AR$3:$AR$12,0),2)</f>
        <v>1.49</v>
      </c>
      <c r="AK104" s="108">
        <f t="shared" si="14"/>
        <v>26.4025</v>
      </c>
      <c r="AL104" s="310">
        <f t="shared" si="15"/>
        <v>5.0014538834790532</v>
      </c>
      <c r="AP104" s="147" t="s">
        <v>150</v>
      </c>
    </row>
    <row r="105" spans="1:42">
      <c r="A105" s="158" t="s">
        <v>152</v>
      </c>
      <c r="B105" s="191"/>
      <c r="C105">
        <v>137.66</v>
      </c>
      <c r="E105">
        <v>150.86000000000001</v>
      </c>
      <c r="F105">
        <v>3.92</v>
      </c>
      <c r="G105">
        <v>20.399999999999999</v>
      </c>
      <c r="H105">
        <v>102.77</v>
      </c>
      <c r="I105">
        <v>68.17</v>
      </c>
      <c r="J105">
        <v>64.61</v>
      </c>
      <c r="K105">
        <v>57.49</v>
      </c>
      <c r="R105">
        <v>3.92</v>
      </c>
      <c r="S105">
        <v>20.399999999999999</v>
      </c>
      <c r="T105">
        <v>102.77</v>
      </c>
      <c r="U105">
        <v>68.17</v>
      </c>
      <c r="V105">
        <v>64.61</v>
      </c>
      <c r="W105">
        <v>57.49</v>
      </c>
      <c r="Z105">
        <v>0.42299999999999999</v>
      </c>
      <c r="AA105">
        <v>1.327</v>
      </c>
      <c r="AB105" s="307">
        <v>8.4861800000000009</v>
      </c>
      <c r="AC105" s="312">
        <v>0.75</v>
      </c>
      <c r="AD105" s="87">
        <f t="shared" si="8"/>
        <v>0.58333333333333326</v>
      </c>
      <c r="AE105" s="203">
        <f t="shared" si="9"/>
        <v>0.66666666666666663</v>
      </c>
      <c r="AF105" s="49">
        <f t="shared" si="10"/>
        <v>61.425857338176115</v>
      </c>
      <c r="AG105" s="49">
        <f t="shared" si="11"/>
        <v>64.250734973089024</v>
      </c>
      <c r="AH105" s="50">
        <f t="shared" si="12"/>
        <v>0.35002529084471418</v>
      </c>
      <c r="AI105" s="105">
        <f t="shared" si="13"/>
        <v>1.5351303480771397</v>
      </c>
      <c r="AJ105" s="311">
        <f>INDEX($AR$3:AS114,MATCH(COUNTA(O105:W105),$AR$3:$AR$12,0),2)</f>
        <v>1.94</v>
      </c>
      <c r="AK105" s="108">
        <f t="shared" si="14"/>
        <v>52.893333333333338</v>
      </c>
      <c r="AL105" s="310">
        <f t="shared" si="15"/>
        <v>6.2328790260556968</v>
      </c>
      <c r="AP105" s="147" t="s">
        <v>153</v>
      </c>
    </row>
    <row r="106" spans="1:42">
      <c r="A106" s="158" t="s">
        <v>154</v>
      </c>
      <c r="B106" s="191"/>
      <c r="C106">
        <v>409.62</v>
      </c>
      <c r="E106">
        <v>175.88</v>
      </c>
      <c r="F106">
        <v>19.649999999999999</v>
      </c>
      <c r="G106">
        <v>35.71</v>
      </c>
      <c r="H106">
        <v>390.12</v>
      </c>
      <c r="I106">
        <v>134.19999999999999</v>
      </c>
      <c r="J106">
        <v>84.86</v>
      </c>
      <c r="K106">
        <v>114.19</v>
      </c>
      <c r="R106">
        <v>19.649999999999999</v>
      </c>
      <c r="S106">
        <v>35.71</v>
      </c>
      <c r="U106">
        <v>134.19999999999999</v>
      </c>
      <c r="V106">
        <v>84.86</v>
      </c>
      <c r="W106">
        <v>114.19</v>
      </c>
      <c r="Z106">
        <v>0.71199999999999997</v>
      </c>
      <c r="AA106">
        <v>1.327</v>
      </c>
      <c r="AB106" s="307">
        <v>10.4887</v>
      </c>
      <c r="AC106" s="312">
        <v>0.97</v>
      </c>
      <c r="AD106" s="87">
        <f t="shared" si="8"/>
        <v>0.52777777777777779</v>
      </c>
      <c r="AE106" s="203">
        <f t="shared" si="9"/>
        <v>0.74888888888888894</v>
      </c>
      <c r="AF106" s="49">
        <f t="shared" si="10"/>
        <v>56.693833228578129</v>
      </c>
      <c r="AG106" s="49">
        <f t="shared" si="11"/>
        <v>82.459908041852117</v>
      </c>
      <c r="AH106" s="50">
        <f t="shared" si="12"/>
        <v>0.17468354430379743</v>
      </c>
      <c r="AI106" s="105">
        <f t="shared" si="13"/>
        <v>1.2817387656405068</v>
      </c>
      <c r="AJ106" s="311">
        <f>INDEX($AR$3:AS115,MATCH(COUNTA(O106:W106),$AR$3:$AR$12,0),2)</f>
        <v>1.75</v>
      </c>
      <c r="AK106" s="108">
        <f t="shared" si="14"/>
        <v>77.722000000000008</v>
      </c>
      <c r="AL106" s="310">
        <f t="shared" si="15"/>
        <v>7.4100698847330948</v>
      </c>
      <c r="AP106" s="147" t="s">
        <v>153</v>
      </c>
    </row>
    <row r="107" spans="1:42">
      <c r="A107" s="158" t="s">
        <v>155</v>
      </c>
      <c r="B107" s="191"/>
      <c r="C107">
        <v>1413.24</v>
      </c>
      <c r="E107">
        <v>983.2</v>
      </c>
      <c r="F107">
        <v>855.1</v>
      </c>
      <c r="G107">
        <v>547.79999999999995</v>
      </c>
      <c r="H107">
        <v>1704.51</v>
      </c>
      <c r="I107">
        <v>1283.6300000000001</v>
      </c>
      <c r="J107">
        <v>427.34</v>
      </c>
      <c r="K107">
        <v>696.34</v>
      </c>
      <c r="Q107">
        <v>983.2</v>
      </c>
      <c r="R107">
        <v>855.1</v>
      </c>
      <c r="S107">
        <v>547.79999999999995</v>
      </c>
      <c r="V107">
        <v>427.34</v>
      </c>
      <c r="W107">
        <v>696.34</v>
      </c>
      <c r="Z107">
        <v>1.1220000000000001</v>
      </c>
      <c r="AA107">
        <v>1.327</v>
      </c>
      <c r="AB107" s="307">
        <v>5.2791800000000002</v>
      </c>
      <c r="AC107" s="312">
        <v>0.8</v>
      </c>
      <c r="AD107" s="87">
        <f t="shared" si="8"/>
        <v>0.77777777777777779</v>
      </c>
      <c r="AE107" s="203">
        <f t="shared" si="9"/>
        <v>0.78888888888888897</v>
      </c>
      <c r="AF107" s="49">
        <f t="shared" si="10"/>
        <v>28.616962660629735</v>
      </c>
      <c r="AG107" s="49">
        <f t="shared" si="11"/>
        <v>42.188901559887206</v>
      </c>
      <c r="AH107" s="50">
        <f t="shared" si="12"/>
        <v>0.23045371136617132</v>
      </c>
      <c r="AI107" s="105">
        <f t="shared" si="13"/>
        <v>1.4000702863735275</v>
      </c>
      <c r="AJ107" s="311">
        <f>INDEX($AR$3:AS116,MATCH(COUNTA(O107:W107),$AR$3:$AR$12,0),2)</f>
        <v>1.75</v>
      </c>
      <c r="AK107" s="108">
        <f t="shared" si="14"/>
        <v>701.95600000000013</v>
      </c>
      <c r="AL107" s="310">
        <f t="shared" si="15"/>
        <v>132.96686227785378</v>
      </c>
      <c r="AN107">
        <v>0.54420000000000002</v>
      </c>
      <c r="AO107" s="203">
        <f>100*((AK107-AVERAGE(AL105:AL106)*AB107)/(AN107*1000))</f>
        <v>122.3712253738646</v>
      </c>
      <c r="AP107" s="147" t="s">
        <v>64</v>
      </c>
    </row>
    <row r="108" spans="1:42">
      <c r="A108" s="158" t="s">
        <v>156</v>
      </c>
      <c r="B108" s="191"/>
      <c r="C108">
        <v>594.70000000000005</v>
      </c>
      <c r="E108">
        <v>230</v>
      </c>
      <c r="F108">
        <v>50.34</v>
      </c>
      <c r="G108">
        <v>67.430000000000007</v>
      </c>
      <c r="H108">
        <v>444.23</v>
      </c>
      <c r="I108">
        <v>186.45</v>
      </c>
      <c r="J108">
        <v>131.41</v>
      </c>
      <c r="K108">
        <v>134.87</v>
      </c>
      <c r="Q108">
        <v>230</v>
      </c>
      <c r="R108">
        <v>50.34</v>
      </c>
      <c r="S108">
        <v>67.430000000000007</v>
      </c>
      <c r="U108">
        <v>186.45</v>
      </c>
      <c r="V108">
        <v>131.41</v>
      </c>
      <c r="W108">
        <v>134.87</v>
      </c>
      <c r="Z108">
        <v>0.70699999999999996</v>
      </c>
      <c r="AA108">
        <v>6.7000000000000004E-2</v>
      </c>
      <c r="AB108" s="307">
        <v>12.811</v>
      </c>
      <c r="AC108" s="312">
        <v>0.87</v>
      </c>
      <c r="AD108" s="87">
        <f t="shared" si="8"/>
        <v>0.58333333333333326</v>
      </c>
      <c r="AE108" s="203">
        <f t="shared" si="9"/>
        <v>0.72666666666666657</v>
      </c>
      <c r="AF108" s="49">
        <f t="shared" si="10"/>
        <v>46.811216607528962</v>
      </c>
      <c r="AG108" s="49">
        <f t="shared" si="11"/>
        <v>78.145092802927635</v>
      </c>
      <c r="AH108" s="50">
        <f t="shared" si="12"/>
        <v>0.2424023154848047</v>
      </c>
      <c r="AI108" s="105">
        <f t="shared" si="13"/>
        <v>1.5464724074076133</v>
      </c>
      <c r="AJ108" s="311">
        <f>INDEX($AR$3:AS117,MATCH(COUNTA(O108:W108),$AR$3:$AR$12,0),2)</f>
        <v>1.94</v>
      </c>
      <c r="AK108" s="108">
        <f t="shared" si="14"/>
        <v>133.41666666666666</v>
      </c>
      <c r="AL108" s="310">
        <f t="shared" si="15"/>
        <v>10.414227356698669</v>
      </c>
      <c r="AO108" s="203"/>
      <c r="AP108" s="147" t="s">
        <v>153</v>
      </c>
    </row>
    <row r="109" spans="1:42" s="85" customFormat="1">
      <c r="A109" s="338" t="s">
        <v>157</v>
      </c>
      <c r="B109" s="192"/>
      <c r="C109" s="85">
        <v>107.85</v>
      </c>
      <c r="E109" s="85">
        <v>156.38999999999999</v>
      </c>
      <c r="F109" s="85">
        <v>35.97</v>
      </c>
      <c r="G109" s="85">
        <v>29.32</v>
      </c>
      <c r="H109" s="85">
        <v>179.55</v>
      </c>
      <c r="I109" s="85">
        <v>45.05</v>
      </c>
      <c r="J109" s="85">
        <v>66.709999999999994</v>
      </c>
      <c r="K109" s="85">
        <v>56.62</v>
      </c>
      <c r="N109" s="306"/>
      <c r="O109" s="85">
        <v>107.85</v>
      </c>
      <c r="Q109" s="85">
        <v>156.38999999999999</v>
      </c>
      <c r="R109" s="85">
        <v>35.97</v>
      </c>
      <c r="S109" s="85">
        <v>29.32</v>
      </c>
      <c r="T109" s="85">
        <v>179.55</v>
      </c>
      <c r="U109" s="85">
        <v>45.05</v>
      </c>
      <c r="V109" s="85">
        <v>66.709999999999994</v>
      </c>
      <c r="W109" s="85">
        <v>56.62</v>
      </c>
      <c r="Y109" s="96"/>
      <c r="Z109" s="85">
        <v>0.70699999999999996</v>
      </c>
      <c r="AA109" s="85">
        <v>6.7000000000000004E-2</v>
      </c>
      <c r="AB109" s="96">
        <v>9.2412299999999998</v>
      </c>
      <c r="AC109" s="120">
        <v>0.75</v>
      </c>
      <c r="AD109" s="97">
        <f t="shared" si="8"/>
        <v>0.69444444444444442</v>
      </c>
      <c r="AE109" s="98">
        <f t="shared" si="9"/>
        <v>0.72222222222222221</v>
      </c>
      <c r="AF109" s="99">
        <f t="shared" si="10"/>
        <v>63.038649429875058</v>
      </c>
      <c r="AG109" s="99">
        <f t="shared" si="11"/>
        <v>63.038649429875058</v>
      </c>
      <c r="AH109" s="100">
        <f t="shared" si="12"/>
        <v>0.15416361578912349</v>
      </c>
      <c r="AI109" s="106">
        <f t="shared" si="13"/>
        <v>1.7771205344099048</v>
      </c>
      <c r="AJ109" s="134">
        <f>INDEX($AR$3:AS118,MATCH(COUNTA(O109:W109),$AR$3:$AR$12,0),2)</f>
        <v>2.2200000000000002</v>
      </c>
      <c r="AK109" s="109">
        <f t="shared" si="14"/>
        <v>84.682500000000005</v>
      </c>
      <c r="AL109" s="135">
        <f t="shared" si="15"/>
        <v>9.1635529036719152</v>
      </c>
      <c r="AO109" s="203"/>
      <c r="AP109" s="131" t="s">
        <v>153</v>
      </c>
    </row>
    <row r="110" spans="1:42">
      <c r="A110" s="339" t="s">
        <v>158</v>
      </c>
      <c r="B110" s="193"/>
      <c r="C110">
        <v>275.29000000000002</v>
      </c>
      <c r="H110">
        <v>1034.2</v>
      </c>
      <c r="I110">
        <v>158.08000000000001</v>
      </c>
      <c r="J110">
        <v>268.08999999999997</v>
      </c>
      <c r="O110">
        <v>275.29000000000002</v>
      </c>
      <c r="U110">
        <v>158.08000000000001</v>
      </c>
      <c r="V110">
        <v>268.08999999999997</v>
      </c>
      <c r="Z110">
        <v>1.0109999999999999</v>
      </c>
      <c r="AA110">
        <v>0.113</v>
      </c>
      <c r="AB110" s="307">
        <v>9.0289600000000014</v>
      </c>
      <c r="AC110" s="312">
        <v>0.5</v>
      </c>
      <c r="AD110" s="87">
        <f t="shared" si="8"/>
        <v>0.66666666666666663</v>
      </c>
      <c r="AE110" s="203">
        <f t="shared" si="9"/>
        <v>0.58333333333333326</v>
      </c>
      <c r="AF110" s="49">
        <f t="shared" si="10"/>
        <v>22.939384903727351</v>
      </c>
      <c r="AG110" s="49">
        <f t="shared" si="11"/>
        <v>80.58576514103207</v>
      </c>
      <c r="AH110" s="50">
        <f t="shared" si="12"/>
        <v>6.1428205784489764E-2</v>
      </c>
      <c r="AI110" s="105">
        <f t="shared" si="13"/>
        <v>0.77316219549407539</v>
      </c>
      <c r="AJ110" s="311">
        <f>INDEX($AR$3:AS119,MATCH(COUNTA(O110:W110),$AR$3:$AR$12,0),2)</f>
        <v>1.1499999999999999</v>
      </c>
      <c r="AK110" s="108">
        <f t="shared" si="14"/>
        <v>233.82000000000002</v>
      </c>
      <c r="AL110" s="310">
        <f t="shared" si="15"/>
        <v>25.896670269887117</v>
      </c>
      <c r="AO110" s="203"/>
      <c r="AP110" s="147" t="s">
        <v>42</v>
      </c>
    </row>
    <row r="111" spans="1:42">
      <c r="A111" s="159" t="s">
        <v>159</v>
      </c>
      <c r="B111" s="193"/>
      <c r="C111">
        <v>219.22</v>
      </c>
      <c r="H111">
        <v>213.95</v>
      </c>
      <c r="I111">
        <v>77.67</v>
      </c>
      <c r="J111">
        <v>189.17</v>
      </c>
      <c r="O111">
        <v>219.22</v>
      </c>
      <c r="T111">
        <v>213.95</v>
      </c>
      <c r="U111">
        <v>77.67</v>
      </c>
      <c r="V111">
        <v>189.17</v>
      </c>
      <c r="Z111">
        <v>0.60199999999999998</v>
      </c>
      <c r="AA111">
        <v>0.113</v>
      </c>
      <c r="AB111" s="307">
        <v>9.4451499999999999</v>
      </c>
      <c r="AC111" s="312">
        <v>0.65</v>
      </c>
      <c r="AD111" s="87">
        <f t="shared" si="8"/>
        <v>0.72222222222222221</v>
      </c>
      <c r="AE111" s="203">
        <f t="shared" si="9"/>
        <v>0.68611111111111112</v>
      </c>
      <c r="AF111" s="49">
        <f t="shared" si="10"/>
        <v>32.758925340327139</v>
      </c>
      <c r="AG111" s="49">
        <f t="shared" si="11"/>
        <v>32.758925340327139</v>
      </c>
      <c r="AH111" s="50">
        <f t="shared" si="12"/>
        <v>3.7230660543977459E-2</v>
      </c>
      <c r="AI111" s="105">
        <f t="shared" si="13"/>
        <v>0.77129459042453896</v>
      </c>
      <c r="AJ111" s="311">
        <f>INDEX($AR$3:AS120,MATCH(COUNTA(O111:W111),$AR$3:$AR$12,0),2)</f>
        <v>1.49</v>
      </c>
      <c r="AK111" s="108">
        <f t="shared" si="14"/>
        <v>175.0025</v>
      </c>
      <c r="AL111" s="310">
        <f t="shared" si="15"/>
        <v>18.528292298163606</v>
      </c>
      <c r="AO111" s="203"/>
      <c r="AP111" s="147" t="s">
        <v>42</v>
      </c>
    </row>
    <row r="112" spans="1:42">
      <c r="A112" s="159" t="s">
        <v>160</v>
      </c>
      <c r="B112" s="193"/>
      <c r="C112">
        <v>265.75</v>
      </c>
      <c r="H112">
        <v>528.57000000000005</v>
      </c>
      <c r="I112">
        <v>244.1</v>
      </c>
      <c r="J112">
        <v>167.8</v>
      </c>
      <c r="O112">
        <v>265.75</v>
      </c>
      <c r="U112">
        <v>244.1</v>
      </c>
      <c r="V112">
        <v>167.8</v>
      </c>
      <c r="Z112">
        <v>0.63600000000000001</v>
      </c>
      <c r="AA112">
        <v>0.113</v>
      </c>
      <c r="AB112" s="307">
        <v>8.1411800000000003</v>
      </c>
      <c r="AC112" s="312">
        <v>0.75</v>
      </c>
      <c r="AD112" s="87">
        <f t="shared" si="8"/>
        <v>0.66666666666666663</v>
      </c>
      <c r="AE112" s="203">
        <f t="shared" si="9"/>
        <v>0.70833333333333326</v>
      </c>
      <c r="AF112" s="49">
        <f t="shared" si="10"/>
        <v>18.598713476193687</v>
      </c>
      <c r="AG112" s="49">
        <f t="shared" si="11"/>
        <v>45.107273359784863</v>
      </c>
      <c r="AH112" s="50">
        <f t="shared" si="12"/>
        <v>0.22103113833588575</v>
      </c>
      <c r="AI112" s="105">
        <f t="shared" si="13"/>
        <v>0.94894891389075386</v>
      </c>
      <c r="AJ112" s="311">
        <f>INDEX($AR$3:AS121,MATCH(COUNTA(O112:W112),$AR$3:$AR$12,0),2)</f>
        <v>1.1499999999999999</v>
      </c>
      <c r="AK112" s="108">
        <f t="shared" si="14"/>
        <v>225.88333333333335</v>
      </c>
      <c r="AL112" s="310">
        <f t="shared" si="15"/>
        <v>27.74577313526213</v>
      </c>
      <c r="AO112" s="203"/>
      <c r="AP112" s="147" t="s">
        <v>42</v>
      </c>
    </row>
    <row r="113" spans="1:42">
      <c r="A113" s="159" t="s">
        <v>161</v>
      </c>
      <c r="B113" s="193"/>
      <c r="C113">
        <v>260.11</v>
      </c>
      <c r="E113">
        <v>162.63</v>
      </c>
      <c r="F113">
        <v>127.13</v>
      </c>
      <c r="G113">
        <v>65.739999999999995</v>
      </c>
      <c r="H113">
        <v>355.63</v>
      </c>
      <c r="I113">
        <v>143.88999999999999</v>
      </c>
      <c r="J113">
        <v>175.39</v>
      </c>
      <c r="K113">
        <v>190.48</v>
      </c>
      <c r="O113">
        <v>260.11</v>
      </c>
      <c r="Q113">
        <v>162.63</v>
      </c>
      <c r="R113">
        <v>127.13</v>
      </c>
      <c r="S113">
        <v>65.739999999999995</v>
      </c>
      <c r="U113">
        <v>143.88999999999999</v>
      </c>
      <c r="V113">
        <v>175.39</v>
      </c>
      <c r="W113">
        <v>190.48</v>
      </c>
      <c r="Z113">
        <v>0.60099999999999998</v>
      </c>
      <c r="AA113">
        <v>0.121</v>
      </c>
      <c r="AB113" s="307">
        <v>7.5561999999999996</v>
      </c>
      <c r="AC113" s="312">
        <v>0.8</v>
      </c>
      <c r="AD113" s="87">
        <f t="shared" si="8"/>
        <v>0.88888888888888884</v>
      </c>
      <c r="AE113" s="203">
        <f t="shared" si="9"/>
        <v>0.84444444444444444</v>
      </c>
      <c r="AF113" s="49">
        <f t="shared" si="10"/>
        <v>34.404788807647435</v>
      </c>
      <c r="AG113" s="49">
        <f t="shared" si="11"/>
        <v>44.642454246642238</v>
      </c>
      <c r="AH113" s="50">
        <f t="shared" si="12"/>
        <v>0.35823429541595936</v>
      </c>
      <c r="AI113" s="105">
        <f t="shared" si="13"/>
        <v>1.7960584104820851</v>
      </c>
      <c r="AJ113" s="311">
        <f>INDEX($AR$3:AS122,MATCH(COUNTA(O113:W113),$AR$3:$AR$12,0),2)</f>
        <v>2.1</v>
      </c>
      <c r="AK113" s="108">
        <f t="shared" si="14"/>
        <v>160.76714285714283</v>
      </c>
      <c r="AL113" s="310">
        <f t="shared" si="15"/>
        <v>21.276189467873117</v>
      </c>
      <c r="AO113" s="203"/>
      <c r="AP113" s="147" t="s">
        <v>42</v>
      </c>
    </row>
    <row r="114" spans="1:42">
      <c r="A114" s="159" t="s">
        <v>162</v>
      </c>
      <c r="B114" s="193"/>
      <c r="C114">
        <v>229.83</v>
      </c>
      <c r="E114">
        <v>111.52</v>
      </c>
      <c r="F114">
        <v>66.11</v>
      </c>
      <c r="G114">
        <v>38.19</v>
      </c>
      <c r="H114">
        <v>649.16</v>
      </c>
      <c r="I114">
        <v>150.18</v>
      </c>
      <c r="J114">
        <v>129.25</v>
      </c>
      <c r="K114">
        <v>140.16999999999999</v>
      </c>
      <c r="O114">
        <v>229.83</v>
      </c>
      <c r="Q114">
        <v>111.52</v>
      </c>
      <c r="R114">
        <v>66.11</v>
      </c>
      <c r="S114">
        <v>38.19</v>
      </c>
      <c r="U114">
        <v>150.18</v>
      </c>
      <c r="V114">
        <v>129.25</v>
      </c>
      <c r="W114">
        <v>140.16999999999999</v>
      </c>
      <c r="Z114">
        <v>0.873</v>
      </c>
      <c r="AA114">
        <v>0.121</v>
      </c>
      <c r="AB114" s="307">
        <v>4.8253199999999996</v>
      </c>
      <c r="AC114" s="312">
        <v>0.69</v>
      </c>
      <c r="AD114" s="87">
        <f t="shared" si="8"/>
        <v>0.63888888888888884</v>
      </c>
      <c r="AE114" s="203">
        <f t="shared" si="9"/>
        <v>0.66444444444444439</v>
      </c>
      <c r="AF114" s="49">
        <f t="shared" si="10"/>
        <v>46.41768029877457</v>
      </c>
      <c r="AG114" s="49">
        <f t="shared" si="11"/>
        <v>96.094381327752259</v>
      </c>
      <c r="AH114" s="50">
        <f t="shared" si="12"/>
        <v>0.41562304320601129</v>
      </c>
      <c r="AI114" s="105">
        <f t="shared" si="13"/>
        <v>1.8513604328281561</v>
      </c>
      <c r="AJ114" s="311">
        <f>INDEX($AR$3:AS123,MATCH(COUNTA(O114:W114),$AR$3:$AR$12,0),2)</f>
        <v>2.1</v>
      </c>
      <c r="AK114" s="108">
        <f t="shared" si="14"/>
        <v>123.60714285714286</v>
      </c>
      <c r="AL114" s="310">
        <f t="shared" si="15"/>
        <v>25.616361786812661</v>
      </c>
      <c r="AO114" s="203"/>
      <c r="AP114" s="147" t="s">
        <v>42</v>
      </c>
    </row>
    <row r="115" spans="1:42">
      <c r="A115" s="159" t="s">
        <v>163</v>
      </c>
      <c r="B115" s="193"/>
      <c r="C115">
        <v>318.57</v>
      </c>
      <c r="E115">
        <v>137.79</v>
      </c>
      <c r="F115">
        <v>126.48</v>
      </c>
      <c r="G115">
        <v>81.849999999999994</v>
      </c>
      <c r="H115">
        <v>1061.73</v>
      </c>
      <c r="I115">
        <v>206.53</v>
      </c>
      <c r="J115">
        <v>167.84</v>
      </c>
      <c r="K115">
        <v>179.55</v>
      </c>
      <c r="O115">
        <v>318.57</v>
      </c>
      <c r="Q115">
        <v>137.79</v>
      </c>
      <c r="R115">
        <v>126.48</v>
      </c>
      <c r="S115">
        <v>81.849999999999994</v>
      </c>
      <c r="U115">
        <v>206.53</v>
      </c>
      <c r="V115">
        <v>167.84</v>
      </c>
      <c r="W115">
        <v>179.55</v>
      </c>
      <c r="Z115">
        <v>0.76100000000000001</v>
      </c>
      <c r="AA115">
        <v>0.121</v>
      </c>
      <c r="AB115" s="307">
        <v>6.5425250000000004</v>
      </c>
      <c r="AC115" s="312">
        <v>0.67</v>
      </c>
      <c r="AD115" s="87">
        <f t="shared" si="8"/>
        <v>0.63888888888888884</v>
      </c>
      <c r="AE115" s="203">
        <f t="shared" si="9"/>
        <v>0.65444444444444438</v>
      </c>
      <c r="AF115" s="49">
        <f t="shared" si="10"/>
        <v>40.08547802835448</v>
      </c>
      <c r="AG115" s="49">
        <f t="shared" si="11"/>
        <v>105.5036502830563</v>
      </c>
      <c r="AH115" s="50">
        <f t="shared" si="12"/>
        <v>0.47330179114565729</v>
      </c>
      <c r="AI115" s="105">
        <f t="shared" si="13"/>
        <v>2.0704395570964484</v>
      </c>
      <c r="AJ115" s="311">
        <f>INDEX($AR$3:AS124,MATCH(COUNTA(O115:W115),$AR$3:$AR$12,0),2)</f>
        <v>2.1</v>
      </c>
      <c r="AK115" s="108">
        <f t="shared" si="14"/>
        <v>174.08714285714285</v>
      </c>
      <c r="AL115" s="310">
        <f t="shared" si="15"/>
        <v>26.608556002024116</v>
      </c>
      <c r="AO115" s="203"/>
      <c r="AP115" s="147" t="s">
        <v>42</v>
      </c>
    </row>
    <row r="116" spans="1:42">
      <c r="A116" s="159" t="s">
        <v>164</v>
      </c>
      <c r="B116" s="193"/>
      <c r="C116">
        <v>413.91</v>
      </c>
      <c r="H116">
        <v>764.84</v>
      </c>
      <c r="I116">
        <v>271.08999999999997</v>
      </c>
      <c r="J116">
        <v>338.43</v>
      </c>
      <c r="K116">
        <v>480.03</v>
      </c>
      <c r="O116">
        <v>413.91</v>
      </c>
      <c r="U116">
        <v>271.08999999999997</v>
      </c>
      <c r="V116">
        <v>338.43</v>
      </c>
      <c r="W116">
        <v>480.03</v>
      </c>
      <c r="Z116">
        <v>0.93300000000000005</v>
      </c>
      <c r="AA116">
        <v>0.16900000000000001</v>
      </c>
      <c r="AB116" s="307">
        <v>10.150700000000001</v>
      </c>
      <c r="AC116" s="312">
        <v>0.57999999999999996</v>
      </c>
      <c r="AD116" s="87">
        <f t="shared" si="8"/>
        <v>0.72222222222222221</v>
      </c>
      <c r="AE116" s="203">
        <f t="shared" si="9"/>
        <v>0.65111111111111108</v>
      </c>
      <c r="AF116" s="49">
        <f t="shared" si="10"/>
        <v>20.896995550955079</v>
      </c>
      <c r="AG116" s="49">
        <f t="shared" si="11"/>
        <v>37.63062165186426</v>
      </c>
      <c r="AH116" s="50">
        <f t="shared" si="12"/>
        <v>0.31645448454101632</v>
      </c>
      <c r="AI116" s="105">
        <f t="shared" si="13"/>
        <v>1.3261910149669482</v>
      </c>
      <c r="AJ116" s="311">
        <f>INDEX($AR$3:AS125,MATCH(COUNTA(O116:W116),$AR$3:$AR$12,0),2)</f>
        <v>1.49</v>
      </c>
      <c r="AK116" s="108">
        <f t="shared" si="14"/>
        <v>375.86500000000001</v>
      </c>
      <c r="AL116" s="310">
        <f t="shared" si="15"/>
        <v>37.028480794427971</v>
      </c>
      <c r="AO116" s="203"/>
      <c r="AP116" s="147" t="s">
        <v>42</v>
      </c>
    </row>
    <row r="117" spans="1:42">
      <c r="A117" s="159" t="s">
        <v>165</v>
      </c>
      <c r="B117" s="193"/>
      <c r="C117">
        <v>381.59</v>
      </c>
      <c r="E117">
        <v>166.72</v>
      </c>
      <c r="F117">
        <v>63.27</v>
      </c>
      <c r="G117">
        <v>76</v>
      </c>
      <c r="H117">
        <v>930.39</v>
      </c>
      <c r="I117">
        <v>166.41</v>
      </c>
      <c r="J117">
        <v>221.35</v>
      </c>
      <c r="K117">
        <v>202.72</v>
      </c>
      <c r="O117">
        <v>381.59</v>
      </c>
      <c r="Q117">
        <v>166.72</v>
      </c>
      <c r="R117">
        <v>63.27</v>
      </c>
      <c r="S117">
        <v>76</v>
      </c>
      <c r="U117">
        <v>166.41</v>
      </c>
      <c r="V117">
        <v>221.35</v>
      </c>
      <c r="W117">
        <v>202.72</v>
      </c>
      <c r="Z117">
        <v>0.48299999999999998</v>
      </c>
      <c r="AA117">
        <v>0.16900000000000001</v>
      </c>
      <c r="AB117" s="307">
        <v>8.5572100000000013</v>
      </c>
      <c r="AC117" s="312">
        <v>0.72</v>
      </c>
      <c r="AD117" s="87">
        <f t="shared" si="8"/>
        <v>0.63888888888888884</v>
      </c>
      <c r="AE117" s="203">
        <f t="shared" si="9"/>
        <v>0.67944444444444441</v>
      </c>
      <c r="AF117" s="49">
        <f t="shared" si="10"/>
        <v>53.831716738770993</v>
      </c>
      <c r="AG117" s="49">
        <f t="shared" si="11"/>
        <v>95.578658730223751</v>
      </c>
      <c r="AH117" s="50">
        <f t="shared" si="12"/>
        <v>0.50339281226438803</v>
      </c>
      <c r="AI117" s="105">
        <f t="shared" si="13"/>
        <v>2.0248062230243162</v>
      </c>
      <c r="AJ117" s="311">
        <f>INDEX($AR$3:AS126,MATCH(COUNTA(O117:W117),$AR$3:$AR$12,0),2)</f>
        <v>2.1</v>
      </c>
      <c r="AK117" s="108">
        <f t="shared" si="14"/>
        <v>182.57999999999998</v>
      </c>
      <c r="AL117" s="310">
        <f t="shared" si="15"/>
        <v>21.336393520785393</v>
      </c>
      <c r="AO117" s="203"/>
      <c r="AP117" s="147" t="s">
        <v>42</v>
      </c>
    </row>
    <row r="118" spans="1:42">
      <c r="A118" s="159" t="s">
        <v>166</v>
      </c>
      <c r="B118" s="193"/>
      <c r="C118">
        <v>321.88</v>
      </c>
      <c r="E118">
        <v>165.42</v>
      </c>
      <c r="H118">
        <v>658.71</v>
      </c>
      <c r="I118">
        <v>277.10000000000002</v>
      </c>
      <c r="J118">
        <v>492.34</v>
      </c>
      <c r="O118">
        <v>321.88</v>
      </c>
      <c r="Q118">
        <v>165.42</v>
      </c>
      <c r="T118">
        <v>658.71</v>
      </c>
      <c r="U118">
        <v>277.10000000000002</v>
      </c>
      <c r="V118">
        <v>492.34</v>
      </c>
      <c r="Z118">
        <v>0.752</v>
      </c>
      <c r="AA118">
        <v>0.16900000000000001</v>
      </c>
      <c r="AB118" s="307">
        <v>10.0943</v>
      </c>
      <c r="AC118" s="312">
        <v>0.57999999999999996</v>
      </c>
      <c r="AD118" s="87">
        <f t="shared" si="8"/>
        <v>0.52777777777777779</v>
      </c>
      <c r="AE118" s="203">
        <f t="shared" si="9"/>
        <v>0.55388888888888888</v>
      </c>
      <c r="AF118" s="49">
        <f t="shared" si="10"/>
        <v>45.252211193571249</v>
      </c>
      <c r="AG118" s="49">
        <f t="shared" si="11"/>
        <v>45.252211193571249</v>
      </c>
      <c r="AH118" s="50">
        <f t="shared" si="12"/>
        <v>0.33726611121247146</v>
      </c>
      <c r="AI118" s="105">
        <f t="shared" si="13"/>
        <v>1.5899010916790746</v>
      </c>
      <c r="AJ118" s="311">
        <f>INDEX($AR$3:AS127,MATCH(COUNTA(O118:W118),$AR$3:$AR$12,0),2)</f>
        <v>1.75</v>
      </c>
      <c r="AK118" s="108">
        <f t="shared" si="14"/>
        <v>383.09000000000003</v>
      </c>
      <c r="AL118" s="310">
        <f t="shared" si="15"/>
        <v>37.951120929633554</v>
      </c>
      <c r="AO118" s="203"/>
      <c r="AP118" s="147" t="s">
        <v>42</v>
      </c>
    </row>
    <row r="119" spans="1:42">
      <c r="A119" s="159" t="s">
        <v>167</v>
      </c>
      <c r="B119" s="193"/>
      <c r="E119">
        <v>24.93</v>
      </c>
      <c r="F119">
        <v>25.62</v>
      </c>
      <c r="G119">
        <v>42.41</v>
      </c>
      <c r="H119">
        <v>10.64</v>
      </c>
      <c r="Q119">
        <v>24.93</v>
      </c>
      <c r="R119">
        <v>25.62</v>
      </c>
      <c r="S119">
        <v>42.41</v>
      </c>
      <c r="T119">
        <v>10.64</v>
      </c>
      <c r="Z119">
        <v>0.70699999999999996</v>
      </c>
      <c r="AA119">
        <v>8.1000000000000003E-2</v>
      </c>
      <c r="AB119" s="307">
        <v>11.9978</v>
      </c>
      <c r="AC119" s="312">
        <v>0.89</v>
      </c>
      <c r="AD119" s="87">
        <f t="shared" si="8"/>
        <v>0.47222222222222221</v>
      </c>
      <c r="AE119" s="203">
        <f t="shared" si="9"/>
        <v>0.68111111111111111</v>
      </c>
      <c r="AF119" s="49">
        <f t="shared" si="10"/>
        <v>43.445601748226323</v>
      </c>
      <c r="AG119" s="49">
        <f t="shared" si="11"/>
        <v>43.445601748226323</v>
      </c>
      <c r="AH119" s="50">
        <f t="shared" si="12"/>
        <v>0.52848599307522814</v>
      </c>
      <c r="AI119" s="105">
        <f t="shared" si="13"/>
        <v>1.4672411286782594</v>
      </c>
      <c r="AJ119" s="311">
        <f>INDEX($AR$3:AS128,MATCH(COUNTA(O119:W119),$AR$3:$AR$12,0),2)</f>
        <v>1.49</v>
      </c>
      <c r="AK119" s="108">
        <f t="shared" si="14"/>
        <v>25.9</v>
      </c>
      <c r="AL119" s="310">
        <f t="shared" si="15"/>
        <v>2.1587291003350613</v>
      </c>
      <c r="AO119" s="203"/>
      <c r="AP119" s="147" t="s">
        <v>123</v>
      </c>
    </row>
    <row r="120" spans="1:42">
      <c r="A120" s="159" t="s">
        <v>168</v>
      </c>
      <c r="B120" s="193"/>
      <c r="F120">
        <v>18.61</v>
      </c>
      <c r="G120">
        <v>55.27</v>
      </c>
      <c r="H120">
        <v>27.09</v>
      </c>
      <c r="J120">
        <v>11.81</v>
      </c>
      <c r="K120">
        <v>13.95</v>
      </c>
      <c r="R120">
        <v>18.61</v>
      </c>
      <c r="S120">
        <v>55.27</v>
      </c>
      <c r="T120">
        <v>27.09</v>
      </c>
      <c r="V120">
        <v>11.81</v>
      </c>
      <c r="W120">
        <v>13.95</v>
      </c>
      <c r="Z120">
        <v>0.70699999999999996</v>
      </c>
      <c r="AA120">
        <v>8.1000000000000003E-2</v>
      </c>
      <c r="AB120" s="307">
        <v>18.2178</v>
      </c>
      <c r="AC120" s="312">
        <v>0.67</v>
      </c>
      <c r="AD120" s="87">
        <f t="shared" si="8"/>
        <v>0.52777777777777779</v>
      </c>
      <c r="AE120" s="203">
        <f t="shared" si="9"/>
        <v>0.59888888888888892</v>
      </c>
      <c r="AF120" s="49">
        <f t="shared" si="10"/>
        <v>62.55544349873152</v>
      </c>
      <c r="AG120" s="49">
        <f t="shared" si="11"/>
        <v>62.55544349873152</v>
      </c>
      <c r="AH120" s="50">
        <f t="shared" si="12"/>
        <v>0.64841233317993563</v>
      </c>
      <c r="AI120" s="105">
        <f t="shared" si="13"/>
        <v>1.8873181136212804</v>
      </c>
      <c r="AJ120" s="311">
        <f>INDEX($AR$3:AS129,MATCH(COUNTA(O120:W120),$AR$3:$AR$12,0),2)</f>
        <v>1.75</v>
      </c>
      <c r="AK120" s="108">
        <f t="shared" si="14"/>
        <v>25.346</v>
      </c>
      <c r="AL120" s="310">
        <f t="shared" si="15"/>
        <v>1.3912766634829672</v>
      </c>
      <c r="AO120" s="203"/>
      <c r="AP120" s="147" t="s">
        <v>123</v>
      </c>
    </row>
    <row r="121" spans="1:42">
      <c r="A121" s="159" t="s">
        <v>169</v>
      </c>
      <c r="B121" s="193"/>
      <c r="C121">
        <v>693.48</v>
      </c>
      <c r="E121">
        <v>535.22</v>
      </c>
      <c r="F121">
        <v>490.81</v>
      </c>
      <c r="G121">
        <v>342.25</v>
      </c>
      <c r="H121">
        <v>521.29</v>
      </c>
      <c r="I121">
        <v>496.81</v>
      </c>
      <c r="J121">
        <v>180.86</v>
      </c>
      <c r="K121">
        <v>296.20999999999998</v>
      </c>
      <c r="O121">
        <v>693.48</v>
      </c>
      <c r="Q121">
        <v>535.22</v>
      </c>
      <c r="R121">
        <v>490.81</v>
      </c>
      <c r="S121">
        <v>342.25</v>
      </c>
      <c r="T121">
        <v>521.29</v>
      </c>
      <c r="U121">
        <v>496.81</v>
      </c>
      <c r="V121">
        <v>180.86</v>
      </c>
      <c r="W121">
        <v>296.20999999999998</v>
      </c>
      <c r="AB121" s="307">
        <v>14.882400000000001</v>
      </c>
      <c r="AC121" s="312">
        <v>0.8</v>
      </c>
      <c r="AD121" s="87">
        <f t="shared" si="8"/>
        <v>0.94444444444444442</v>
      </c>
      <c r="AE121" s="203">
        <f t="shared" si="9"/>
        <v>0.87222222222222223</v>
      </c>
      <c r="AF121" s="49">
        <f t="shared" si="10"/>
        <v>34.012266805213692</v>
      </c>
      <c r="AG121" s="49">
        <f t="shared" si="11"/>
        <v>34.012266805213692</v>
      </c>
      <c r="AH121" s="50">
        <f t="shared" si="12"/>
        <v>0.30872771253560138</v>
      </c>
      <c r="AI121" s="105">
        <f t="shared" si="13"/>
        <v>1.6456623465022164</v>
      </c>
      <c r="AJ121" s="311">
        <f>INDEX($AR$3:AS130,MATCH(COUNTA(O121:W121),$AR$3:$AR$12,0),2)</f>
        <v>2.2200000000000002</v>
      </c>
      <c r="AK121" s="108">
        <f t="shared" si="14"/>
        <v>444.61625000000004</v>
      </c>
      <c r="AL121" s="310">
        <f t="shared" si="15"/>
        <v>29.87530573025856</v>
      </c>
      <c r="AN121">
        <v>0.17249999999999999</v>
      </c>
      <c r="AO121" s="309">
        <f>100*((AK121-AVERAGE(AL119:AL120)*AB121)/(AN121*1000))</f>
        <v>242.43475194798685</v>
      </c>
      <c r="AP121" s="147" t="s">
        <v>127</v>
      </c>
    </row>
    <row r="122" spans="1:42">
      <c r="A122" s="159" t="s">
        <v>170</v>
      </c>
      <c r="B122" s="193"/>
      <c r="C122">
        <v>688.01</v>
      </c>
      <c r="E122">
        <v>553.91999999999996</v>
      </c>
      <c r="F122">
        <v>424.17</v>
      </c>
      <c r="G122">
        <v>319.33</v>
      </c>
      <c r="H122">
        <v>695.26</v>
      </c>
      <c r="I122">
        <v>524.49</v>
      </c>
      <c r="J122">
        <v>194.61</v>
      </c>
      <c r="K122">
        <v>328.16</v>
      </c>
      <c r="O122">
        <v>688.01</v>
      </c>
      <c r="Q122">
        <v>553.91999999999996</v>
      </c>
      <c r="R122">
        <v>424.17</v>
      </c>
      <c r="S122">
        <v>319.33</v>
      </c>
      <c r="T122">
        <v>695.26</v>
      </c>
      <c r="U122">
        <v>524.49</v>
      </c>
      <c r="V122">
        <v>194.61</v>
      </c>
      <c r="W122">
        <v>328.16</v>
      </c>
      <c r="AB122" s="307">
        <v>11.2957</v>
      </c>
      <c r="AC122" s="312">
        <v>0.83</v>
      </c>
      <c r="AD122" s="87">
        <f t="shared" si="8"/>
        <v>0.69444444444444442</v>
      </c>
      <c r="AE122" s="203">
        <f t="shared" si="9"/>
        <v>0.76222222222222213</v>
      </c>
      <c r="AF122" s="49">
        <f t="shared" si="10"/>
        <v>36.300359817448978</v>
      </c>
      <c r="AG122" s="49">
        <f t="shared" si="11"/>
        <v>36.300359817448978</v>
      </c>
      <c r="AH122" s="50">
        <f t="shared" si="12"/>
        <v>1.4481174473184861E-2</v>
      </c>
      <c r="AI122" s="105">
        <f t="shared" si="13"/>
        <v>1.3553426523975349</v>
      </c>
      <c r="AJ122" s="311">
        <f>INDEX($AR$3:AS131,MATCH(COUNTA(O122:W122),$AR$3:$AR$12,0),2)</f>
        <v>2.2200000000000002</v>
      </c>
      <c r="AK122" s="108">
        <f t="shared" si="14"/>
        <v>465.99374999999992</v>
      </c>
      <c r="AL122" s="310">
        <f t="shared" si="15"/>
        <v>41.254083412271918</v>
      </c>
      <c r="AN122">
        <v>0.23039999999999999</v>
      </c>
      <c r="AO122" s="309">
        <f>100*((AK122-AVERAGE(AL119:AL120)*AB122)/(AN122*1000))</f>
        <v>193.55201820608517</v>
      </c>
      <c r="AP122" s="147" t="s">
        <v>127</v>
      </c>
    </row>
    <row r="123" spans="1:42">
      <c r="A123" s="159" t="s">
        <v>171</v>
      </c>
      <c r="B123" s="193"/>
      <c r="C123">
        <v>530.22</v>
      </c>
      <c r="E123">
        <v>445.09</v>
      </c>
      <c r="F123">
        <v>308.75</v>
      </c>
      <c r="G123">
        <v>257.69</v>
      </c>
      <c r="H123">
        <v>412.7</v>
      </c>
      <c r="I123">
        <v>408.63</v>
      </c>
      <c r="J123">
        <v>146.34</v>
      </c>
      <c r="K123">
        <v>243.7</v>
      </c>
      <c r="O123">
        <v>530.22</v>
      </c>
      <c r="Q123">
        <v>445.09</v>
      </c>
      <c r="R123">
        <v>308.75</v>
      </c>
      <c r="S123">
        <v>257.69</v>
      </c>
      <c r="T123">
        <v>412.7</v>
      </c>
      <c r="U123">
        <v>408.63</v>
      </c>
      <c r="V123">
        <v>146.34</v>
      </c>
      <c r="W123">
        <v>243.7</v>
      </c>
      <c r="AB123" s="307">
        <v>8.4538799999999998</v>
      </c>
      <c r="AC123" s="312">
        <v>0.85</v>
      </c>
      <c r="AD123" s="87">
        <f t="shared" si="8"/>
        <v>0.94444444444444442</v>
      </c>
      <c r="AE123" s="203">
        <f t="shared" si="9"/>
        <v>0.89722222222222214</v>
      </c>
      <c r="AF123" s="49">
        <f t="shared" si="10"/>
        <v>34.322704803187229</v>
      </c>
      <c r="AG123" s="49">
        <f t="shared" si="11"/>
        <v>34.322704803187229</v>
      </c>
      <c r="AH123" s="50">
        <f t="shared" si="12"/>
        <v>0.22176200896113382</v>
      </c>
      <c r="AI123" s="105">
        <f t="shared" si="13"/>
        <v>1.5753716940190423</v>
      </c>
      <c r="AJ123" s="311">
        <f>INDEX($AR$3:AS132,MATCH(COUNTA(O123:W123),$AR$3:$AR$12,0),2)</f>
        <v>2.2200000000000002</v>
      </c>
      <c r="AK123" s="108">
        <f t="shared" si="14"/>
        <v>344.14</v>
      </c>
      <c r="AL123" s="310">
        <f t="shared" si="15"/>
        <v>40.707935291250884</v>
      </c>
      <c r="AN123">
        <v>0.17249999999999999</v>
      </c>
      <c r="AO123" s="309">
        <f>100*((AK123-AVERAGE(AL119:AL120)*AB123)/(AN123*1000))</f>
        <v>190.80251515170261</v>
      </c>
      <c r="AP123" s="147" t="s">
        <v>127</v>
      </c>
    </row>
    <row r="124" spans="1:42">
      <c r="A124" s="159" t="s">
        <v>172</v>
      </c>
      <c r="B124" s="193"/>
      <c r="C124">
        <v>685.48</v>
      </c>
      <c r="E124">
        <v>563.72</v>
      </c>
      <c r="F124">
        <v>473.06</v>
      </c>
      <c r="G124">
        <v>330.27</v>
      </c>
      <c r="H124">
        <v>604.26</v>
      </c>
      <c r="I124">
        <v>540.23</v>
      </c>
      <c r="J124">
        <v>198.21</v>
      </c>
      <c r="K124">
        <v>335.7</v>
      </c>
      <c r="O124">
        <v>685.48</v>
      </c>
      <c r="Q124">
        <v>563.72</v>
      </c>
      <c r="R124">
        <v>473.06</v>
      </c>
      <c r="S124">
        <v>330.27</v>
      </c>
      <c r="T124">
        <v>604.26</v>
      </c>
      <c r="U124">
        <v>540.23</v>
      </c>
      <c r="V124">
        <v>198.21</v>
      </c>
      <c r="W124">
        <v>335.7</v>
      </c>
      <c r="AB124" s="307">
        <v>13.7104</v>
      </c>
      <c r="AC124" s="312">
        <v>0.83</v>
      </c>
      <c r="AD124" s="87">
        <f t="shared" si="8"/>
        <v>0.94444444444444442</v>
      </c>
      <c r="AE124" s="203">
        <f t="shared" si="9"/>
        <v>0.88722222222222213</v>
      </c>
      <c r="AF124" s="49">
        <f t="shared" si="10"/>
        <v>33.002069182513488</v>
      </c>
      <c r="AG124" s="49">
        <f t="shared" si="11"/>
        <v>33.002069182513488</v>
      </c>
      <c r="AH124" s="50">
        <f t="shared" si="12"/>
        <v>0.16668376875243712</v>
      </c>
      <c r="AI124" s="105">
        <f t="shared" si="13"/>
        <v>1.4236438205888253</v>
      </c>
      <c r="AJ124" s="311">
        <f>INDEX($AR$3:AS133,MATCH(COUNTA(O124:W124),$AR$3:$AR$12,0),2)</f>
        <v>2.2200000000000002</v>
      </c>
      <c r="AK124" s="108">
        <f t="shared" si="14"/>
        <v>466.36624999999998</v>
      </c>
      <c r="AL124" s="310">
        <f t="shared" si="15"/>
        <v>34.015510123701716</v>
      </c>
      <c r="AN124">
        <v>0.19689999999999999</v>
      </c>
      <c r="AO124" s="309">
        <f>100*((AK124-AVERAGE(AL119:AL120)*AB124)/(AN124*1000))</f>
        <v>224.49479455961128</v>
      </c>
      <c r="AP124" s="147" t="s">
        <v>127</v>
      </c>
    </row>
    <row r="125" spans="1:42">
      <c r="A125" s="159" t="s">
        <v>173</v>
      </c>
      <c r="B125" s="193"/>
      <c r="E125">
        <v>20.05</v>
      </c>
      <c r="Q125">
        <v>20.05</v>
      </c>
      <c r="Z125">
        <v>1.0009999999999999</v>
      </c>
      <c r="AA125">
        <v>0.155</v>
      </c>
      <c r="AB125" s="307">
        <v>10.5603</v>
      </c>
      <c r="AC125" s="312">
        <v>0.42</v>
      </c>
      <c r="AD125" s="87">
        <f t="shared" si="8"/>
        <v>0.55555555555555558</v>
      </c>
      <c r="AE125" s="203">
        <f t="shared" si="9"/>
        <v>0.48777777777777775</v>
      </c>
      <c r="AF125" s="49">
        <f t="shared" si="10"/>
        <v>0</v>
      </c>
      <c r="AG125" s="49">
        <f t="shared" si="11"/>
        <v>0</v>
      </c>
      <c r="AH125" s="50" t="e">
        <f t="shared" si="12"/>
        <v>#NUM!</v>
      </c>
      <c r="AI125" s="105" t="e">
        <f t="shared" si="13"/>
        <v>#DIV/0!</v>
      </c>
      <c r="AJ125" s="311" t="e">
        <f>INDEX($AR$3:AS134,MATCH(COUNTA(O125:W125),$AR$3:$AR$12,0),2)</f>
        <v>#N/A</v>
      </c>
      <c r="AK125" s="108">
        <f t="shared" si="14"/>
        <v>20.05</v>
      </c>
      <c r="AL125" s="310">
        <f t="shared" si="15"/>
        <v>1.8986203043474146</v>
      </c>
      <c r="AO125" s="138"/>
      <c r="AP125" s="147" t="s">
        <v>123</v>
      </c>
    </row>
    <row r="126" spans="1:42">
      <c r="A126" s="159" t="s">
        <v>174</v>
      </c>
      <c r="B126" s="193"/>
      <c r="E126">
        <v>53.56</v>
      </c>
      <c r="F126">
        <v>25.51</v>
      </c>
      <c r="Q126">
        <v>53.56</v>
      </c>
      <c r="R126">
        <v>25.51</v>
      </c>
      <c r="Z126">
        <v>0.25800000000000001</v>
      </c>
      <c r="AA126">
        <v>0.155</v>
      </c>
      <c r="AB126" s="307">
        <v>11.7896</v>
      </c>
      <c r="AC126" s="312">
        <v>0.5</v>
      </c>
      <c r="AD126" s="87">
        <f t="shared" si="8"/>
        <v>0.3611111111111111</v>
      </c>
      <c r="AE126" s="203">
        <f t="shared" si="9"/>
        <v>0.43055555555555558</v>
      </c>
      <c r="AF126" s="49">
        <f t="shared" si="10"/>
        <v>35.474895662071553</v>
      </c>
      <c r="AG126" s="49">
        <f t="shared" si="11"/>
        <v>35.474895662071553</v>
      </c>
      <c r="AH126" s="50">
        <f t="shared" si="12"/>
        <v>1</v>
      </c>
      <c r="AI126" s="105">
        <f t="shared" si="13"/>
        <v>1.0000000000000007</v>
      </c>
      <c r="AJ126" s="311" t="e">
        <f>INDEX($AR$3:AS135,MATCH(COUNTA(O126:W126),$AR$3:$AR$12,0),2)</f>
        <v>#N/A</v>
      </c>
      <c r="AK126" s="108">
        <f t="shared" si="14"/>
        <v>39.535000000000004</v>
      </c>
      <c r="AL126" s="310">
        <f t="shared" si="15"/>
        <v>3.3533792495080412</v>
      </c>
      <c r="AP126" s="147" t="s">
        <v>123</v>
      </c>
    </row>
    <row r="127" spans="1:42">
      <c r="A127" s="159" t="s">
        <v>175</v>
      </c>
      <c r="B127" s="193"/>
      <c r="E127">
        <v>44.92</v>
      </c>
      <c r="F127">
        <v>17.399999999999999</v>
      </c>
      <c r="Q127">
        <v>44.92</v>
      </c>
      <c r="R127">
        <v>17.399999999999999</v>
      </c>
      <c r="Z127">
        <v>0.93400000000000005</v>
      </c>
      <c r="AA127">
        <v>0.155</v>
      </c>
      <c r="AB127" s="307">
        <v>12.7499</v>
      </c>
      <c r="AC127" s="312">
        <v>0.5</v>
      </c>
      <c r="AD127" s="87">
        <f t="shared" si="8"/>
        <v>0.3611111111111111</v>
      </c>
      <c r="AE127" s="203">
        <f t="shared" si="9"/>
        <v>0.43055555555555558</v>
      </c>
      <c r="AF127" s="49">
        <f t="shared" si="10"/>
        <v>44.159178433889608</v>
      </c>
      <c r="AG127" s="49">
        <f t="shared" si="11"/>
        <v>44.159178433889608</v>
      </c>
      <c r="AH127" s="50">
        <f t="shared" si="12"/>
        <v>1</v>
      </c>
      <c r="AI127" s="105">
        <f t="shared" si="13"/>
        <v>1</v>
      </c>
      <c r="AJ127" s="311" t="e">
        <f>INDEX($AR$3:AS136,MATCH(COUNTA(O127:W127),$AR$3:$AR$12,0),2)</f>
        <v>#N/A</v>
      </c>
      <c r="AK127" s="108">
        <f t="shared" si="14"/>
        <v>31.16</v>
      </c>
      <c r="AL127" s="310">
        <f t="shared" si="15"/>
        <v>2.4439407367900925</v>
      </c>
      <c r="AP127" s="147" t="s">
        <v>123</v>
      </c>
    </row>
    <row r="128" spans="1:42">
      <c r="A128" s="159" t="s">
        <v>176</v>
      </c>
      <c r="B128" s="193"/>
      <c r="Z128">
        <v>0.64800000000000002</v>
      </c>
      <c r="AA128">
        <v>0.41199999999999998</v>
      </c>
      <c r="AB128" s="307">
        <v>8.2120499999999996</v>
      </c>
      <c r="AD128" s="87" t="e">
        <f t="shared" si="8"/>
        <v>#DIV/0!</v>
      </c>
      <c r="AE128" s="203" t="e">
        <f t="shared" si="9"/>
        <v>#DIV/0!</v>
      </c>
      <c r="AF128" s="49" t="e">
        <f t="shared" si="10"/>
        <v>#DIV/0!</v>
      </c>
      <c r="AG128" s="49" t="e">
        <f t="shared" si="11"/>
        <v>#DIV/0!</v>
      </c>
      <c r="AH128" s="50" t="e">
        <f t="shared" si="12"/>
        <v>#NUM!</v>
      </c>
      <c r="AI128" s="105" t="e">
        <f t="shared" si="13"/>
        <v>#DIV/0!</v>
      </c>
      <c r="AJ128" s="311" t="e">
        <f>INDEX($AR$3:AS137,MATCH(COUNTA(O128:W128),$AR$3:$AR$12,0),2)</f>
        <v>#N/A</v>
      </c>
      <c r="AK128" s="108" t="e">
        <f t="shared" si="14"/>
        <v>#DIV/0!</v>
      </c>
      <c r="AL128" s="310" t="str">
        <f t="shared" si="15"/>
        <v>n.d.</v>
      </c>
      <c r="AP128" s="147" t="s">
        <v>110</v>
      </c>
    </row>
    <row r="129" spans="1:42">
      <c r="A129" s="159" t="s">
        <v>177</v>
      </c>
      <c r="B129" s="193"/>
      <c r="C129">
        <v>588.79</v>
      </c>
      <c r="I129">
        <v>731.29</v>
      </c>
      <c r="J129">
        <v>1161.82</v>
      </c>
      <c r="K129">
        <v>3085.58</v>
      </c>
      <c r="O129">
        <v>588.79</v>
      </c>
      <c r="U129">
        <v>731.29</v>
      </c>
      <c r="Z129">
        <v>0.73</v>
      </c>
      <c r="AA129">
        <v>0.41199999999999998</v>
      </c>
      <c r="AB129" s="307">
        <v>11.8268</v>
      </c>
      <c r="AC129" s="312">
        <v>0.45</v>
      </c>
      <c r="AD129" s="87">
        <f t="shared" si="8"/>
        <v>0.61111111111111116</v>
      </c>
      <c r="AE129" s="203">
        <f t="shared" si="9"/>
        <v>0.53055555555555556</v>
      </c>
      <c r="AF129" s="49">
        <f t="shared" si="10"/>
        <v>10.794800315132417</v>
      </c>
      <c r="AG129" s="49">
        <f t="shared" si="11"/>
        <v>71.871649931300666</v>
      </c>
      <c r="AH129" s="50">
        <f t="shared" si="12"/>
        <v>1</v>
      </c>
      <c r="AI129" s="105">
        <f t="shared" si="13"/>
        <v>1</v>
      </c>
      <c r="AJ129" s="311" t="e">
        <f>INDEX($AR$3:AS138,MATCH(COUNTA(O129:W129),$AR$3:$AR$12,0),2)</f>
        <v>#N/A</v>
      </c>
      <c r="AK129" s="108">
        <f t="shared" si="14"/>
        <v>660.04</v>
      </c>
      <c r="AL129" s="310">
        <f t="shared" si="15"/>
        <v>55.808840937531706</v>
      </c>
      <c r="AP129" s="147" t="s">
        <v>110</v>
      </c>
    </row>
    <row r="130" spans="1:42">
      <c r="A130" s="159" t="s">
        <v>178</v>
      </c>
      <c r="B130" s="193"/>
      <c r="C130">
        <v>398.02</v>
      </c>
      <c r="E130">
        <v>138.55000000000001</v>
      </c>
      <c r="F130">
        <v>13.26</v>
      </c>
      <c r="G130">
        <v>54.21</v>
      </c>
      <c r="H130">
        <v>221.84</v>
      </c>
      <c r="I130">
        <v>560.25</v>
      </c>
      <c r="J130">
        <v>795.34</v>
      </c>
      <c r="K130">
        <v>873.94</v>
      </c>
      <c r="O130">
        <v>398.02</v>
      </c>
      <c r="Q130">
        <v>138.55000000000001</v>
      </c>
      <c r="R130">
        <v>13.26</v>
      </c>
      <c r="S130">
        <v>54.21</v>
      </c>
      <c r="T130">
        <v>221.84</v>
      </c>
      <c r="U130">
        <v>560.25</v>
      </c>
      <c r="Z130">
        <v>0.83599999999999997</v>
      </c>
      <c r="AA130">
        <v>0.41199999999999998</v>
      </c>
      <c r="AB130" s="307">
        <v>6.7368800000000002</v>
      </c>
      <c r="AC130" s="312">
        <v>0.48</v>
      </c>
      <c r="AD130" s="87">
        <f t="shared" ref="AD130:AD193" si="16">(COUNT(O130:W130)*(1/(COUNT(O130:W130)+COUNTBLANK(O130:W130)))+(IF(AF130&lt;35,1,IF(AF130&lt;70,0.5,IF(AF130&gt;70,0)))))/2</f>
        <v>0.33333333333333331</v>
      </c>
      <c r="AE130" s="203">
        <f t="shared" ref="AE130:AE193" si="17">AVERAGE(AC130:AD130)</f>
        <v>0.40666666666666662</v>
      </c>
      <c r="AF130" s="49">
        <f t="shared" ref="AF130:AF193" si="18">((_xlfn.STDEV.P(O130:W130))/(AVERAGE(O130:W130)))*100</f>
        <v>83.561300800154783</v>
      </c>
      <c r="AG130" s="49">
        <f t="shared" ref="AG130:AG193" si="19">((_xlfn.STDEV.P(C130:K130))/(AVERAGE(C130:K130)))*100</f>
        <v>81.400450140108958</v>
      </c>
      <c r="AH130" s="50">
        <f t="shared" ref="AH130:AH193" si="20">(ABS((LARGE(O130:W130,2) -MAX(O130:W130))))/(ABS(MIN(O130:W130)-MAX(O130:W130)))</f>
        <v>0.2965867748953363</v>
      </c>
      <c r="AI130" s="105">
        <f t="shared" ref="AI130:AI193" si="21">(ABS(MAX(O130:W130)-AVERAGE(O130:W130))/_xlfn.STDEV.P(O130:W130))</f>
        <v>1.7054512070274883</v>
      </c>
      <c r="AJ130" s="311">
        <f>INDEX($AR$3:AS139,MATCH(COUNTA(O130:W130),$AR$3:$AR$12,0),2)</f>
        <v>1.94</v>
      </c>
      <c r="AK130" s="108">
        <f t="shared" ref="AK130:AK193" si="22">AVERAGE(O130:W130)</f>
        <v>231.02166666666668</v>
      </c>
      <c r="AL130" s="310">
        <f t="shared" ref="AL130:AL193" si="23">IF(AND(O130="",Q130="",S130="",U130="",W130=""),"n.d.", AK130/AB130)</f>
        <v>34.292085752850973</v>
      </c>
      <c r="AP130" s="147" t="s">
        <v>110</v>
      </c>
    </row>
    <row r="131" spans="1:42">
      <c r="A131" s="159" t="s">
        <v>179</v>
      </c>
      <c r="B131" s="193"/>
      <c r="C131">
        <v>267.62</v>
      </c>
      <c r="E131">
        <v>154.46</v>
      </c>
      <c r="H131">
        <v>1043.42</v>
      </c>
      <c r="I131">
        <v>116.85</v>
      </c>
      <c r="J131">
        <v>134.28</v>
      </c>
      <c r="K131">
        <v>107.48</v>
      </c>
      <c r="O131">
        <v>267.62</v>
      </c>
      <c r="Q131">
        <v>154.46</v>
      </c>
      <c r="U131">
        <v>116.85</v>
      </c>
      <c r="V131">
        <v>134.28</v>
      </c>
      <c r="W131">
        <v>107.48</v>
      </c>
      <c r="Z131">
        <v>0.31900000000000001</v>
      </c>
      <c r="AA131">
        <v>6.6000000000000003E-2</v>
      </c>
      <c r="AB131" s="307">
        <v>9.8973499999999994</v>
      </c>
      <c r="AC131" s="312">
        <v>0.53</v>
      </c>
      <c r="AD131" s="87">
        <f t="shared" si="16"/>
        <v>0.52777777777777779</v>
      </c>
      <c r="AE131" s="203">
        <f t="shared" si="17"/>
        <v>0.52888888888888896</v>
      </c>
      <c r="AF131" s="49">
        <f t="shared" si="18"/>
        <v>37.146595871632115</v>
      </c>
      <c r="AG131" s="49">
        <f t="shared" si="19"/>
        <v>110.15207652326828</v>
      </c>
      <c r="AH131" s="50">
        <f t="shared" si="20"/>
        <v>0.70663169726489328</v>
      </c>
      <c r="AI131" s="105">
        <f t="shared" si="21"/>
        <v>1.9221050435551466</v>
      </c>
      <c r="AJ131" s="311">
        <f>INDEX($AR$3:AS140,MATCH(COUNTA(O131:W131),$AR$3:$AR$12,0),2)</f>
        <v>1.75</v>
      </c>
      <c r="AK131" s="108">
        <f t="shared" si="22"/>
        <v>156.13800000000001</v>
      </c>
      <c r="AL131" s="310">
        <f t="shared" si="23"/>
        <v>15.775737950057341</v>
      </c>
      <c r="AP131" s="147" t="s">
        <v>110</v>
      </c>
    </row>
    <row r="132" spans="1:42">
      <c r="A132" s="159" t="s">
        <v>180</v>
      </c>
      <c r="B132" s="193"/>
      <c r="C132">
        <v>130.25</v>
      </c>
      <c r="E132">
        <v>55.44</v>
      </c>
      <c r="I132">
        <v>29.13</v>
      </c>
      <c r="J132">
        <v>65.77</v>
      </c>
      <c r="O132">
        <v>130.25</v>
      </c>
      <c r="Q132">
        <v>55.44</v>
      </c>
      <c r="U132">
        <v>29.13</v>
      </c>
      <c r="V132">
        <v>65.77</v>
      </c>
      <c r="Z132">
        <v>0.98799999999999999</v>
      </c>
      <c r="AA132">
        <v>6.6000000000000003E-2</v>
      </c>
      <c r="AB132" s="307">
        <v>7.9930649999999996</v>
      </c>
      <c r="AC132" s="312">
        <v>0.75</v>
      </c>
      <c r="AD132" s="87">
        <f t="shared" si="16"/>
        <v>0.47222222222222221</v>
      </c>
      <c r="AE132" s="203">
        <f t="shared" si="17"/>
        <v>0.61111111111111116</v>
      </c>
      <c r="AF132" s="49">
        <f t="shared" si="18"/>
        <v>53.006480204266907</v>
      </c>
      <c r="AG132" s="49">
        <f t="shared" si="19"/>
        <v>53.006480204266907</v>
      </c>
      <c r="AH132" s="50">
        <f t="shared" si="20"/>
        <v>0.63765822784810122</v>
      </c>
      <c r="AI132" s="105">
        <f t="shared" si="21"/>
        <v>1.6164094199249348</v>
      </c>
      <c r="AJ132" s="311">
        <f>INDEX($AR$3:AS141,MATCH(COUNTA(O132:W132),$AR$3:$AR$12,0),2)</f>
        <v>1.49</v>
      </c>
      <c r="AK132" s="108">
        <f t="shared" si="22"/>
        <v>70.147499999999994</v>
      </c>
      <c r="AL132" s="310">
        <f t="shared" si="23"/>
        <v>8.7760452342124076</v>
      </c>
      <c r="AP132" s="147" t="s">
        <v>110</v>
      </c>
    </row>
    <row r="133" spans="1:42">
      <c r="A133" s="159" t="s">
        <v>181</v>
      </c>
      <c r="B133" s="193"/>
      <c r="C133">
        <v>193.62</v>
      </c>
      <c r="E133">
        <v>103.52</v>
      </c>
      <c r="I133">
        <v>52.92</v>
      </c>
      <c r="J133">
        <v>76.55</v>
      </c>
      <c r="O133">
        <v>193.62</v>
      </c>
      <c r="Q133">
        <v>103.52</v>
      </c>
      <c r="U133">
        <v>52.92</v>
      </c>
      <c r="V133">
        <v>76.55</v>
      </c>
      <c r="Z133">
        <v>0.86799999999999999</v>
      </c>
      <c r="AA133">
        <v>6.6000000000000003E-2</v>
      </c>
      <c r="AB133" s="307">
        <v>12.607849999999999</v>
      </c>
      <c r="AC133" s="312">
        <v>0.62</v>
      </c>
      <c r="AD133" s="87">
        <f t="shared" si="16"/>
        <v>0.47222222222222221</v>
      </c>
      <c r="AE133" s="203">
        <f t="shared" si="17"/>
        <v>0.5461111111111111</v>
      </c>
      <c r="AF133" s="49">
        <f t="shared" si="18"/>
        <v>49.981853281676614</v>
      </c>
      <c r="AG133" s="49">
        <f t="shared" si="19"/>
        <v>49.981853281676614</v>
      </c>
      <c r="AH133" s="50">
        <f t="shared" si="20"/>
        <v>0.64036958066808825</v>
      </c>
      <c r="AI133" s="105">
        <f t="shared" si="21"/>
        <v>1.6314493322547856</v>
      </c>
      <c r="AJ133" s="311">
        <f>INDEX($AR$3:AS142,MATCH(COUNTA(O133:W133),$AR$3:$AR$12,0),2)</f>
        <v>1.49</v>
      </c>
      <c r="AK133" s="108">
        <f t="shared" si="22"/>
        <v>106.6525</v>
      </c>
      <c r="AL133" s="310">
        <f t="shared" si="23"/>
        <v>8.4592139024496653</v>
      </c>
      <c r="AP133" s="147" t="s">
        <v>110</v>
      </c>
    </row>
    <row r="134" spans="1:42">
      <c r="A134" s="159" t="s">
        <v>182</v>
      </c>
      <c r="B134" s="193"/>
      <c r="C134">
        <v>389.41</v>
      </c>
      <c r="J134">
        <v>354.06</v>
      </c>
      <c r="K134">
        <v>431.15</v>
      </c>
      <c r="O134">
        <v>389.41</v>
      </c>
      <c r="V134">
        <v>354.06</v>
      </c>
      <c r="W134">
        <v>431.15</v>
      </c>
      <c r="Z134">
        <v>0.75</v>
      </c>
      <c r="AA134">
        <v>5.2999999999999999E-2</v>
      </c>
      <c r="AB134" s="307">
        <v>13.6172</v>
      </c>
      <c r="AC134" s="312">
        <v>0.55000000000000004</v>
      </c>
      <c r="AD134" s="87">
        <f t="shared" si="16"/>
        <v>0.66666666666666663</v>
      </c>
      <c r="AE134" s="203">
        <f t="shared" si="17"/>
        <v>0.60833333333333339</v>
      </c>
      <c r="AF134" s="49">
        <f t="shared" si="18"/>
        <v>8.0471674510383764</v>
      </c>
      <c r="AG134" s="49">
        <f t="shared" si="19"/>
        <v>8.0471674510383764</v>
      </c>
      <c r="AH134" s="50">
        <f t="shared" si="20"/>
        <v>0.54144506421066241</v>
      </c>
      <c r="AI134" s="105">
        <f t="shared" si="21"/>
        <v>1.257145853887119</v>
      </c>
      <c r="AJ134" s="311">
        <f>INDEX($AR$3:AS143,MATCH(COUNTA(O134:W134),$AR$3:$AR$12,0),2)</f>
        <v>1.1499999999999999</v>
      </c>
      <c r="AK134" s="108">
        <f t="shared" si="22"/>
        <v>391.53999999999996</v>
      </c>
      <c r="AL134" s="310">
        <f t="shared" si="23"/>
        <v>28.753341362394615</v>
      </c>
      <c r="AP134" s="147" t="s">
        <v>110</v>
      </c>
    </row>
    <row r="135" spans="1:42">
      <c r="A135" s="159" t="s">
        <v>183</v>
      </c>
      <c r="B135" s="193"/>
      <c r="C135">
        <v>166.42</v>
      </c>
      <c r="E135">
        <v>79.14</v>
      </c>
      <c r="H135">
        <v>1015.28</v>
      </c>
      <c r="I135">
        <v>42.29</v>
      </c>
      <c r="J135">
        <v>109.56</v>
      </c>
      <c r="K135">
        <v>127.18</v>
      </c>
      <c r="O135">
        <v>166.42</v>
      </c>
      <c r="Q135">
        <v>79.14</v>
      </c>
      <c r="U135">
        <v>42.29</v>
      </c>
      <c r="V135">
        <v>109.56</v>
      </c>
      <c r="W135">
        <v>127.18</v>
      </c>
      <c r="Z135">
        <v>0.89700000000000002</v>
      </c>
      <c r="AA135">
        <v>5.2999999999999999E-2</v>
      </c>
      <c r="AB135" s="307">
        <v>7.6774300000000002</v>
      </c>
      <c r="AC135" s="312">
        <v>0.57999999999999996</v>
      </c>
      <c r="AD135" s="87">
        <f t="shared" si="16"/>
        <v>0.52777777777777779</v>
      </c>
      <c r="AE135" s="203">
        <f t="shared" si="17"/>
        <v>0.55388888888888888</v>
      </c>
      <c r="AF135" s="49">
        <f t="shared" si="18"/>
        <v>40.181692757268024</v>
      </c>
      <c r="AG135" s="49">
        <f t="shared" si="19"/>
        <v>133.04277353258996</v>
      </c>
      <c r="AH135" s="50">
        <f t="shared" si="20"/>
        <v>0.31612019656811391</v>
      </c>
      <c r="AI135" s="105">
        <f t="shared" si="21"/>
        <v>1.4588512341324777</v>
      </c>
      <c r="AJ135" s="311">
        <f>INDEX($AR$3:AS144,MATCH(COUNTA(O135:W135),$AR$3:$AR$12,0),2)</f>
        <v>1.75</v>
      </c>
      <c r="AK135" s="108">
        <f t="shared" si="22"/>
        <v>104.91800000000001</v>
      </c>
      <c r="AL135" s="310">
        <f t="shared" si="23"/>
        <v>13.665770967628491</v>
      </c>
      <c r="AP135" s="147" t="s">
        <v>110</v>
      </c>
    </row>
    <row r="136" spans="1:42">
      <c r="A136" s="159" t="s">
        <v>184</v>
      </c>
      <c r="B136" s="193"/>
      <c r="C136">
        <v>299.56</v>
      </c>
      <c r="E136">
        <v>144.30000000000001</v>
      </c>
      <c r="H136">
        <v>1158.8900000000001</v>
      </c>
      <c r="I136">
        <v>174.75</v>
      </c>
      <c r="J136">
        <v>251.65</v>
      </c>
      <c r="K136">
        <v>216.9</v>
      </c>
      <c r="O136">
        <v>299.56</v>
      </c>
      <c r="Q136">
        <v>144.30000000000001</v>
      </c>
      <c r="U136">
        <v>174.75</v>
      </c>
      <c r="V136">
        <v>251.65</v>
      </c>
      <c r="W136">
        <v>216.9</v>
      </c>
      <c r="Z136">
        <v>0.59099999999999997</v>
      </c>
      <c r="AA136">
        <v>5.2999999999999999E-2</v>
      </c>
      <c r="AB136" s="307">
        <v>12.9139</v>
      </c>
      <c r="AC136" s="312">
        <v>0.52</v>
      </c>
      <c r="AD136" s="87">
        <f t="shared" si="16"/>
        <v>0.77777777777777779</v>
      </c>
      <c r="AE136" s="203">
        <f t="shared" si="17"/>
        <v>0.64888888888888885</v>
      </c>
      <c r="AF136" s="49">
        <f t="shared" si="18"/>
        <v>25.262803645000371</v>
      </c>
      <c r="AG136" s="49">
        <f t="shared" si="19"/>
        <v>94.679738636020147</v>
      </c>
      <c r="AH136" s="50">
        <f t="shared" si="20"/>
        <v>0.30857915754218729</v>
      </c>
      <c r="AI136" s="105">
        <f t="shared" si="21"/>
        <v>1.4951550765351593</v>
      </c>
      <c r="AJ136" s="311">
        <f>INDEX($AR$3:AS145,MATCH(COUNTA(O136:W136),$AR$3:$AR$12,0),2)</f>
        <v>1.75</v>
      </c>
      <c r="AK136" s="108">
        <f t="shared" si="22"/>
        <v>217.43200000000002</v>
      </c>
      <c r="AL136" s="310">
        <f t="shared" si="23"/>
        <v>16.837051549106004</v>
      </c>
      <c r="AP136" s="147" t="s">
        <v>110</v>
      </c>
    </row>
    <row r="137" spans="1:42">
      <c r="A137" s="159" t="s">
        <v>185</v>
      </c>
      <c r="B137" s="193"/>
      <c r="C137">
        <v>27.84</v>
      </c>
      <c r="G137">
        <v>9.4700000000000006</v>
      </c>
      <c r="J137">
        <v>21.93</v>
      </c>
      <c r="K137">
        <v>31.79</v>
      </c>
      <c r="O137">
        <v>27.84</v>
      </c>
      <c r="S137">
        <v>9.4700000000000006</v>
      </c>
      <c r="V137">
        <v>21.93</v>
      </c>
      <c r="W137">
        <v>31.79</v>
      </c>
      <c r="AB137" s="307"/>
      <c r="AC137" s="312">
        <v>0.75</v>
      </c>
      <c r="AD137" s="87">
        <f t="shared" si="16"/>
        <v>0.47222222222222221</v>
      </c>
      <c r="AE137" s="203">
        <f t="shared" si="17"/>
        <v>0.61111111111111116</v>
      </c>
      <c r="AF137" s="49">
        <f t="shared" si="18"/>
        <v>37.068830560835892</v>
      </c>
      <c r="AG137" s="49">
        <f t="shared" si="19"/>
        <v>37.068830560835892</v>
      </c>
      <c r="AH137" s="50">
        <f t="shared" si="20"/>
        <v>0.17697132616487452</v>
      </c>
      <c r="AI137" s="105">
        <f t="shared" si="21"/>
        <v>1.0707165944411987</v>
      </c>
      <c r="AJ137" s="311">
        <f>INDEX($AR$3:AS146,MATCH(COUNTA(O137:W137),$AR$3:$AR$12,0),2)</f>
        <v>1.49</v>
      </c>
      <c r="AK137" s="108">
        <f t="shared" si="22"/>
        <v>22.7575</v>
      </c>
      <c r="AL137" s="310" t="e">
        <f t="shared" si="23"/>
        <v>#DIV/0!</v>
      </c>
      <c r="AP137" s="147" t="s">
        <v>186</v>
      </c>
    </row>
    <row r="138" spans="1:42">
      <c r="A138" s="159" t="s">
        <v>187</v>
      </c>
      <c r="B138" s="193"/>
      <c r="J138">
        <v>20.71</v>
      </c>
      <c r="K138">
        <v>73.400000000000006</v>
      </c>
      <c r="V138">
        <v>20.71</v>
      </c>
      <c r="W138">
        <v>73.400000000000006</v>
      </c>
      <c r="AB138" s="307"/>
      <c r="AC138" s="312">
        <v>0.42</v>
      </c>
      <c r="AD138" s="87">
        <f t="shared" si="16"/>
        <v>0.3611111111111111</v>
      </c>
      <c r="AE138" s="203">
        <f t="shared" si="17"/>
        <v>0.39055555555555554</v>
      </c>
      <c r="AF138" s="49">
        <f t="shared" si="18"/>
        <v>55.987673998512356</v>
      </c>
      <c r="AG138" s="49">
        <f t="shared" si="19"/>
        <v>55.987673998512356</v>
      </c>
      <c r="AH138" s="50">
        <f t="shared" si="20"/>
        <v>1</v>
      </c>
      <c r="AI138" s="105">
        <f t="shared" si="21"/>
        <v>1.0000000000000002</v>
      </c>
      <c r="AJ138" s="311" t="e">
        <f>INDEX($AR$3:AS147,MATCH(COUNTA(O138:W138),$AR$3:$AR$12,0),2)</f>
        <v>#N/A</v>
      </c>
      <c r="AK138" s="108">
        <f t="shared" si="22"/>
        <v>47.055000000000007</v>
      </c>
      <c r="AL138" s="310" t="e">
        <f t="shared" si="23"/>
        <v>#DIV/0!</v>
      </c>
      <c r="AP138" s="147" t="s">
        <v>186</v>
      </c>
    </row>
    <row r="139" spans="1:42">
      <c r="A139" s="159" t="s">
        <v>188</v>
      </c>
      <c r="B139" s="193"/>
      <c r="J139">
        <v>26.01</v>
      </c>
      <c r="K139">
        <v>56.22</v>
      </c>
      <c r="V139">
        <v>26.01</v>
      </c>
      <c r="W139">
        <v>56.22</v>
      </c>
      <c r="AB139" s="307"/>
      <c r="AC139" s="312">
        <v>0.42</v>
      </c>
      <c r="AD139" s="87">
        <f t="shared" si="16"/>
        <v>0.3611111111111111</v>
      </c>
      <c r="AE139" s="203">
        <f t="shared" si="17"/>
        <v>0.39055555555555554</v>
      </c>
      <c r="AF139" s="49">
        <f t="shared" si="18"/>
        <v>36.738416636264127</v>
      </c>
      <c r="AG139" s="49">
        <f t="shared" si="19"/>
        <v>36.738416636264127</v>
      </c>
      <c r="AH139" s="50">
        <f t="shared" si="20"/>
        <v>1</v>
      </c>
      <c r="AI139" s="105">
        <f t="shared" si="21"/>
        <v>1</v>
      </c>
      <c r="AJ139" s="311" t="e">
        <f>INDEX($AR$3:AS148,MATCH(COUNTA(O139:W139),$AR$3:$AR$12,0),2)</f>
        <v>#N/A</v>
      </c>
      <c r="AK139" s="108">
        <f t="shared" si="22"/>
        <v>41.115000000000002</v>
      </c>
      <c r="AL139" s="310" t="e">
        <f t="shared" si="23"/>
        <v>#DIV/0!</v>
      </c>
      <c r="AP139" s="147" t="s">
        <v>186</v>
      </c>
    </row>
    <row r="140" spans="1:42">
      <c r="A140" s="159" t="s">
        <v>189</v>
      </c>
      <c r="B140" s="193"/>
      <c r="AB140" s="307"/>
      <c r="AD140" s="87" t="e">
        <f t="shared" si="16"/>
        <v>#DIV/0!</v>
      </c>
      <c r="AE140" s="203" t="e">
        <f t="shared" si="17"/>
        <v>#DIV/0!</v>
      </c>
      <c r="AF140" s="49" t="e">
        <f t="shared" si="18"/>
        <v>#DIV/0!</v>
      </c>
      <c r="AG140" s="49" t="e">
        <f t="shared" si="19"/>
        <v>#DIV/0!</v>
      </c>
      <c r="AH140" s="50" t="e">
        <f t="shared" si="20"/>
        <v>#NUM!</v>
      </c>
      <c r="AI140" s="105" t="e">
        <f t="shared" si="21"/>
        <v>#DIV/0!</v>
      </c>
      <c r="AJ140" s="311" t="e">
        <f>INDEX($AR$3:AS149,MATCH(COUNTA(O140:W140),$AR$3:$AR$12,0),2)</f>
        <v>#N/A</v>
      </c>
      <c r="AK140" s="108" t="e">
        <f t="shared" si="22"/>
        <v>#DIV/0!</v>
      </c>
      <c r="AL140" s="310" t="str">
        <f t="shared" si="23"/>
        <v>n.d.</v>
      </c>
      <c r="AP140" s="147" t="s">
        <v>186</v>
      </c>
    </row>
    <row r="141" spans="1:42">
      <c r="A141" s="159" t="s">
        <v>190</v>
      </c>
      <c r="B141" s="193"/>
      <c r="AB141" s="307">
        <v>0.61838899999999997</v>
      </c>
      <c r="AC141" s="312">
        <v>0.42</v>
      </c>
      <c r="AD141" s="87" t="e">
        <f t="shared" si="16"/>
        <v>#DIV/0!</v>
      </c>
      <c r="AE141" s="203" t="e">
        <f t="shared" si="17"/>
        <v>#DIV/0!</v>
      </c>
      <c r="AF141" s="49" t="e">
        <f t="shared" si="18"/>
        <v>#DIV/0!</v>
      </c>
      <c r="AG141" s="49" t="e">
        <f t="shared" si="19"/>
        <v>#DIV/0!</v>
      </c>
      <c r="AH141" s="50" t="e">
        <f t="shared" si="20"/>
        <v>#NUM!</v>
      </c>
      <c r="AI141" s="105" t="e">
        <f t="shared" si="21"/>
        <v>#DIV/0!</v>
      </c>
      <c r="AJ141" s="311" t="e">
        <f>INDEX($AR$3:AS150,MATCH(COUNTA(O141:W141),$AR$3:$AR$12,0),2)</f>
        <v>#N/A</v>
      </c>
      <c r="AK141" s="108" t="e">
        <f t="shared" si="22"/>
        <v>#DIV/0!</v>
      </c>
      <c r="AL141" s="310" t="str">
        <f t="shared" si="23"/>
        <v>n.d.</v>
      </c>
      <c r="AP141" s="147" t="s">
        <v>191</v>
      </c>
    </row>
    <row r="142" spans="1:42">
      <c r="A142" s="340" t="s">
        <v>192</v>
      </c>
      <c r="B142" s="193"/>
      <c r="AB142" s="307">
        <v>0.122319</v>
      </c>
      <c r="AD142" s="87" t="e">
        <f t="shared" si="16"/>
        <v>#DIV/0!</v>
      </c>
      <c r="AE142" s="203" t="e">
        <f t="shared" si="17"/>
        <v>#DIV/0!</v>
      </c>
      <c r="AF142" s="49" t="e">
        <f t="shared" si="18"/>
        <v>#DIV/0!</v>
      </c>
      <c r="AG142" s="49" t="e">
        <f t="shared" si="19"/>
        <v>#DIV/0!</v>
      </c>
      <c r="AH142" s="50" t="e">
        <f t="shared" si="20"/>
        <v>#NUM!</v>
      </c>
      <c r="AI142" s="105" t="e">
        <f t="shared" si="21"/>
        <v>#DIV/0!</v>
      </c>
      <c r="AJ142" s="311" t="e">
        <f>INDEX($AR$3:AS151,MATCH(COUNTA(O142:W142),$AR$3:$AR$12,0),2)</f>
        <v>#N/A</v>
      </c>
      <c r="AK142" s="108" t="e">
        <f t="shared" si="22"/>
        <v>#DIV/0!</v>
      </c>
      <c r="AL142" s="310" t="str">
        <f t="shared" si="23"/>
        <v>n.d.</v>
      </c>
      <c r="AP142" s="147" t="s">
        <v>191</v>
      </c>
    </row>
    <row r="143" spans="1:42" s="51" customFormat="1">
      <c r="A143" s="160" t="s">
        <v>193</v>
      </c>
      <c r="B143" s="194"/>
      <c r="C143" s="51">
        <v>99.58</v>
      </c>
      <c r="E143" s="51">
        <v>57.7</v>
      </c>
      <c r="H143" s="51">
        <v>176.48</v>
      </c>
      <c r="N143" s="306"/>
      <c r="O143" s="51">
        <v>99.58</v>
      </c>
      <c r="Q143" s="51">
        <v>57.7</v>
      </c>
      <c r="T143" s="51">
        <v>176.48</v>
      </c>
      <c r="Y143" s="78"/>
      <c r="Z143" s="51">
        <v>1.093</v>
      </c>
      <c r="AA143" s="51">
        <v>0.10100000000000001</v>
      </c>
      <c r="AB143" s="78">
        <v>5.5792199999999994</v>
      </c>
      <c r="AC143" s="51">
        <v>0.75</v>
      </c>
      <c r="AD143" s="89">
        <f t="shared" si="16"/>
        <v>0.41666666666666663</v>
      </c>
      <c r="AE143" s="68">
        <f t="shared" si="17"/>
        <v>0.58333333333333326</v>
      </c>
      <c r="AF143" s="69">
        <f t="shared" si="18"/>
        <v>44.213723261643437</v>
      </c>
      <c r="AG143" s="69">
        <f t="shared" si="19"/>
        <v>44.213723261643437</v>
      </c>
      <c r="AH143" s="70">
        <f t="shared" si="20"/>
        <v>0.64741538979626201</v>
      </c>
      <c r="AI143" s="104">
        <f t="shared" si="21"/>
        <v>1.326035235502139</v>
      </c>
      <c r="AJ143" s="71">
        <f>INDEX($AR$3:AS152,MATCH(COUNTA(O143:W143),$AR$3:$AR$12,0),2)</f>
        <v>1.1499999999999999</v>
      </c>
      <c r="AK143" s="107">
        <f t="shared" si="22"/>
        <v>111.25333333333333</v>
      </c>
      <c r="AL143" s="90">
        <f t="shared" si="23"/>
        <v>19.940660761420656</v>
      </c>
      <c r="AO143" s="78"/>
      <c r="AP143" s="148" t="s">
        <v>42</v>
      </c>
    </row>
    <row r="144" spans="1:42">
      <c r="A144" s="160" t="s">
        <v>194</v>
      </c>
      <c r="B144" s="195"/>
      <c r="C144">
        <v>254.56</v>
      </c>
      <c r="E144">
        <v>58.75</v>
      </c>
      <c r="F144">
        <v>18.03</v>
      </c>
      <c r="H144">
        <v>463.45</v>
      </c>
      <c r="O144">
        <v>254.56</v>
      </c>
      <c r="Q144">
        <v>58.75</v>
      </c>
      <c r="R144">
        <v>18.03</v>
      </c>
      <c r="T144">
        <v>463.45</v>
      </c>
      <c r="Z144">
        <v>0.40500000000000003</v>
      </c>
      <c r="AA144">
        <v>0.10100000000000001</v>
      </c>
      <c r="AB144" s="307">
        <v>9.1932700000000001</v>
      </c>
      <c r="AC144">
        <v>0.75</v>
      </c>
      <c r="AD144" s="87">
        <f t="shared" si="16"/>
        <v>0.22222222222222221</v>
      </c>
      <c r="AE144" s="203">
        <f t="shared" si="17"/>
        <v>0.4861111111111111</v>
      </c>
      <c r="AF144" s="49">
        <f t="shared" si="18"/>
        <v>89.124392429664752</v>
      </c>
      <c r="AG144" s="49">
        <f t="shared" si="19"/>
        <v>89.124392429664752</v>
      </c>
      <c r="AH144" s="50">
        <f t="shared" si="20"/>
        <v>0.46897310403663961</v>
      </c>
      <c r="AI144" s="105">
        <f t="shared" si="21"/>
        <v>1.495034052157092</v>
      </c>
      <c r="AJ144" s="311">
        <f>INDEX($AR$3:AS153,MATCH(COUNTA(O144:W144),$AR$3:$AR$12,0),2)</f>
        <v>1.49</v>
      </c>
      <c r="AK144" s="108">
        <f t="shared" si="22"/>
        <v>198.69749999999999</v>
      </c>
      <c r="AL144" s="310">
        <f t="shared" si="23"/>
        <v>21.613364994175086</v>
      </c>
      <c r="AP144" s="147" t="s">
        <v>42</v>
      </c>
    </row>
    <row r="145" spans="1:42">
      <c r="A145" s="160" t="s">
        <v>195</v>
      </c>
      <c r="B145" s="195"/>
      <c r="C145">
        <v>387.52</v>
      </c>
      <c r="E145">
        <v>111.43</v>
      </c>
      <c r="F145">
        <v>25.5</v>
      </c>
      <c r="H145">
        <v>432.22</v>
      </c>
      <c r="J145">
        <v>96.15</v>
      </c>
      <c r="O145">
        <v>387.52</v>
      </c>
      <c r="Q145">
        <v>111.43</v>
      </c>
      <c r="R145">
        <v>25.5</v>
      </c>
      <c r="T145">
        <v>432.22</v>
      </c>
      <c r="V145">
        <v>96.15</v>
      </c>
      <c r="Z145">
        <v>0.74</v>
      </c>
      <c r="AA145">
        <v>0.10100000000000001</v>
      </c>
      <c r="AB145" s="307">
        <v>9.9659200000000006</v>
      </c>
      <c r="AC145">
        <v>0.65</v>
      </c>
      <c r="AD145" s="87">
        <f t="shared" si="16"/>
        <v>0.27777777777777779</v>
      </c>
      <c r="AE145" s="203">
        <f t="shared" si="17"/>
        <v>0.46388888888888891</v>
      </c>
      <c r="AF145" s="49">
        <f t="shared" si="18"/>
        <v>78.78769716004102</v>
      </c>
      <c r="AG145" s="49">
        <f t="shared" si="19"/>
        <v>78.78769716004102</v>
      </c>
      <c r="AH145" s="50">
        <f t="shared" si="20"/>
        <v>0.1099036191974824</v>
      </c>
      <c r="AI145" s="105">
        <f t="shared" si="21"/>
        <v>1.3360938428959837</v>
      </c>
      <c r="AJ145" s="311">
        <f>INDEX($AR$3:AS154,MATCH(COUNTA(O145:W145),$AR$3:$AR$12,0),2)</f>
        <v>1.75</v>
      </c>
      <c r="AK145" s="108">
        <f t="shared" si="22"/>
        <v>210.56400000000002</v>
      </c>
      <c r="AL145" s="310">
        <f t="shared" si="23"/>
        <v>21.128405606306291</v>
      </c>
      <c r="AP145" s="147" t="s">
        <v>42</v>
      </c>
    </row>
    <row r="146" spans="1:42">
      <c r="A146" s="160" t="s">
        <v>196</v>
      </c>
      <c r="B146" s="195"/>
      <c r="C146">
        <v>184.86</v>
      </c>
      <c r="E146">
        <v>65.38</v>
      </c>
      <c r="G146">
        <v>10.17</v>
      </c>
      <c r="H146">
        <v>52.27</v>
      </c>
      <c r="K146">
        <v>39.479999999999997</v>
      </c>
      <c r="Q146">
        <v>65.38</v>
      </c>
      <c r="S146">
        <v>10.17</v>
      </c>
      <c r="T146">
        <v>52.27</v>
      </c>
      <c r="W146">
        <v>39.479999999999997</v>
      </c>
      <c r="Z146">
        <v>0.41599999999999998</v>
      </c>
      <c r="AA146">
        <v>0.19</v>
      </c>
      <c r="AB146" s="307">
        <v>7.4657300000000006</v>
      </c>
      <c r="AC146">
        <v>0.89</v>
      </c>
      <c r="AD146" s="87">
        <f t="shared" si="16"/>
        <v>0.47222222222222221</v>
      </c>
      <c r="AE146" s="203">
        <f t="shared" si="17"/>
        <v>0.68111111111111111</v>
      </c>
      <c r="AF146" s="49">
        <f t="shared" si="18"/>
        <v>48.874674766677238</v>
      </c>
      <c r="AG146" s="49">
        <f t="shared" si="19"/>
        <v>85.280039184928029</v>
      </c>
      <c r="AH146" s="50">
        <f t="shared" si="20"/>
        <v>0.23745698243071897</v>
      </c>
      <c r="AI146" s="105">
        <f t="shared" si="21"/>
        <v>1.1522939416099558</v>
      </c>
      <c r="AJ146" s="311">
        <f>INDEX($AR$3:AS155,MATCH(COUNTA(O146:W146),$AR$3:$AR$12,0),2)</f>
        <v>1.49</v>
      </c>
      <c r="AK146" s="108">
        <f t="shared" si="22"/>
        <v>41.824999999999996</v>
      </c>
      <c r="AL146" s="310">
        <f t="shared" si="23"/>
        <v>5.6022652841718079</v>
      </c>
      <c r="AP146" s="147" t="s">
        <v>146</v>
      </c>
    </row>
    <row r="147" spans="1:42">
      <c r="A147" s="160" t="s">
        <v>197</v>
      </c>
      <c r="B147" s="195"/>
      <c r="C147">
        <v>147.11000000000001</v>
      </c>
      <c r="E147">
        <v>60.17</v>
      </c>
      <c r="F147">
        <v>8.9700000000000006</v>
      </c>
      <c r="G147">
        <v>15.66</v>
      </c>
      <c r="H147">
        <v>33.130000000000003</v>
      </c>
      <c r="J147">
        <v>25.12</v>
      </c>
      <c r="K147">
        <v>38.229999999999997</v>
      </c>
      <c r="Q147">
        <v>60.17</v>
      </c>
      <c r="R147">
        <v>8.9700000000000006</v>
      </c>
      <c r="S147">
        <v>15.66</v>
      </c>
      <c r="T147">
        <v>33.130000000000003</v>
      </c>
      <c r="V147">
        <v>25.12</v>
      </c>
      <c r="W147">
        <v>38.229999999999997</v>
      </c>
      <c r="Z147">
        <v>1.0229999999999999</v>
      </c>
      <c r="AA147">
        <v>0.19</v>
      </c>
      <c r="AB147" s="307">
        <v>6.9106949999999996</v>
      </c>
      <c r="AC147">
        <v>0.95</v>
      </c>
      <c r="AD147" s="87">
        <f t="shared" si="16"/>
        <v>0.58333333333333326</v>
      </c>
      <c r="AE147" s="203">
        <f t="shared" si="17"/>
        <v>0.76666666666666661</v>
      </c>
      <c r="AF147" s="49">
        <f t="shared" si="18"/>
        <v>55.039521360685242</v>
      </c>
      <c r="AG147" s="49">
        <f t="shared" si="19"/>
        <v>93.165645023057024</v>
      </c>
      <c r="AH147" s="50">
        <f t="shared" si="20"/>
        <v>0.42851562500000007</v>
      </c>
      <c r="AI147" s="105">
        <f t="shared" si="21"/>
        <v>1.8014416365858232</v>
      </c>
      <c r="AJ147" s="311">
        <f>INDEX($AR$3:AS156,MATCH(COUNTA(O147:W147),$AR$3:$AR$12,0),2)</f>
        <v>1.94</v>
      </c>
      <c r="AK147" s="108">
        <f t="shared" si="22"/>
        <v>30.213333333333335</v>
      </c>
      <c r="AL147" s="310">
        <f t="shared" si="23"/>
        <v>4.3719674118642677</v>
      </c>
      <c r="AP147" s="147" t="s">
        <v>146</v>
      </c>
    </row>
    <row r="148" spans="1:42">
      <c r="A148" s="160" t="s">
        <v>198</v>
      </c>
      <c r="B148" s="195"/>
      <c r="C148">
        <v>93.81</v>
      </c>
      <c r="E148">
        <v>41.85</v>
      </c>
      <c r="H148">
        <v>17.940000000000001</v>
      </c>
      <c r="J148">
        <v>18.239999999999998</v>
      </c>
      <c r="Q148">
        <v>41.85</v>
      </c>
      <c r="T148">
        <v>17.940000000000001</v>
      </c>
      <c r="V148">
        <v>18.239999999999998</v>
      </c>
      <c r="Z148">
        <v>0.80500000000000005</v>
      </c>
      <c r="AA148">
        <v>0.19</v>
      </c>
      <c r="AB148" s="307">
        <v>6.5458299999999996</v>
      </c>
      <c r="AC148">
        <v>0.68</v>
      </c>
      <c r="AD148" s="87">
        <f t="shared" si="16"/>
        <v>0.41666666666666663</v>
      </c>
      <c r="AE148" s="203">
        <f t="shared" si="17"/>
        <v>0.54833333333333334</v>
      </c>
      <c r="AF148" s="49">
        <f t="shared" si="18"/>
        <v>43.06513265157502</v>
      </c>
      <c r="AG148" s="49">
        <f t="shared" si="19"/>
        <v>71.972496965399742</v>
      </c>
      <c r="AH148" s="50">
        <f t="shared" si="20"/>
        <v>0.98745294855708921</v>
      </c>
      <c r="AI148" s="105">
        <f t="shared" si="21"/>
        <v>1.4141290234017536</v>
      </c>
      <c r="AJ148" s="311">
        <f>INDEX($AR$3:AS157,MATCH(COUNTA(O148:W148),$AR$3:$AR$12,0),2)</f>
        <v>1.1499999999999999</v>
      </c>
      <c r="AK148" s="108">
        <f t="shared" si="22"/>
        <v>26.01</v>
      </c>
      <c r="AL148" s="310">
        <f t="shared" si="23"/>
        <v>3.9735220743587907</v>
      </c>
      <c r="AP148" s="147" t="s">
        <v>146</v>
      </c>
    </row>
    <row r="149" spans="1:42">
      <c r="A149" s="160" t="s">
        <v>199</v>
      </c>
      <c r="B149" s="195"/>
      <c r="C149">
        <v>253.69</v>
      </c>
      <c r="E149">
        <v>121.1</v>
      </c>
      <c r="F149">
        <v>39.619999999999997</v>
      </c>
      <c r="G149">
        <v>19.829999999999998</v>
      </c>
      <c r="H149">
        <v>307.20999999999998</v>
      </c>
      <c r="O149">
        <v>253.69</v>
      </c>
      <c r="Q149">
        <v>121.1</v>
      </c>
      <c r="R149">
        <v>39.619999999999997</v>
      </c>
      <c r="S149">
        <v>19.829999999999998</v>
      </c>
      <c r="T149">
        <v>307.20999999999998</v>
      </c>
      <c r="Z149">
        <v>0.79200000000000004</v>
      </c>
      <c r="AA149">
        <v>8.5999999999999993E-2</v>
      </c>
      <c r="AB149" s="307">
        <v>11.9077</v>
      </c>
      <c r="AC149">
        <v>0.65</v>
      </c>
      <c r="AD149" s="87">
        <f t="shared" si="16"/>
        <v>0.27777777777777779</v>
      </c>
      <c r="AE149" s="203">
        <f t="shared" si="17"/>
        <v>0.46388888888888891</v>
      </c>
      <c r="AF149" s="49">
        <f t="shared" si="18"/>
        <v>77.133377149332887</v>
      </c>
      <c r="AG149" s="49">
        <f t="shared" si="19"/>
        <v>77.133377149332887</v>
      </c>
      <c r="AH149" s="50">
        <f t="shared" si="20"/>
        <v>0.18623425429744583</v>
      </c>
      <c r="AI149" s="105">
        <f t="shared" si="21"/>
        <v>1.3893905625662499</v>
      </c>
      <c r="AJ149" s="311">
        <f>INDEX($AR$3:AS158,MATCH(COUNTA(O149:W149),$AR$3:$AR$12,0),2)</f>
        <v>1.75</v>
      </c>
      <c r="AK149" s="108">
        <f t="shared" si="22"/>
        <v>148.29</v>
      </c>
      <c r="AL149" s="310">
        <f t="shared" si="23"/>
        <v>12.45328652888467</v>
      </c>
      <c r="AP149" s="147" t="s">
        <v>146</v>
      </c>
    </row>
    <row r="150" spans="1:42">
      <c r="A150" s="160" t="s">
        <v>200</v>
      </c>
      <c r="B150" s="195"/>
      <c r="C150">
        <v>248.52</v>
      </c>
      <c r="E150">
        <v>139.51</v>
      </c>
      <c r="F150">
        <v>22.39</v>
      </c>
      <c r="G150">
        <v>19.149999999999999</v>
      </c>
      <c r="H150">
        <v>370.53</v>
      </c>
      <c r="I150">
        <v>16.309999999999999</v>
      </c>
      <c r="O150">
        <v>248.52</v>
      </c>
      <c r="Q150">
        <v>139.51</v>
      </c>
      <c r="R150">
        <v>22.39</v>
      </c>
      <c r="S150">
        <v>19.149999999999999</v>
      </c>
      <c r="T150">
        <v>370.53</v>
      </c>
      <c r="U150">
        <v>16.309999999999999</v>
      </c>
      <c r="Z150">
        <v>0.34799999999999998</v>
      </c>
      <c r="AA150">
        <v>8.5999999999999993E-2</v>
      </c>
      <c r="AB150" s="307">
        <v>8.1406600000000005</v>
      </c>
      <c r="AC150">
        <v>0.67</v>
      </c>
      <c r="AD150" s="87">
        <f t="shared" si="16"/>
        <v>0.33333333333333331</v>
      </c>
      <c r="AE150" s="203">
        <f t="shared" si="17"/>
        <v>0.50166666666666671</v>
      </c>
      <c r="AF150" s="49">
        <f t="shared" si="18"/>
        <v>98.857735029507609</v>
      </c>
      <c r="AG150" s="49">
        <f t="shared" si="19"/>
        <v>98.857735029507609</v>
      </c>
      <c r="AH150" s="50">
        <f t="shared" si="20"/>
        <v>0.34444695387047591</v>
      </c>
      <c r="AI150" s="105">
        <f t="shared" si="21"/>
        <v>1.7430270486838071</v>
      </c>
      <c r="AJ150" s="311">
        <f>INDEX($AR$3:AS159,MATCH(COUNTA(O150:W150),$AR$3:$AR$12,0),2)</f>
        <v>1.94</v>
      </c>
      <c r="AK150" s="108">
        <f t="shared" si="22"/>
        <v>136.0683333333333</v>
      </c>
      <c r="AL150" s="310">
        <f t="shared" si="23"/>
        <v>16.714656223614952</v>
      </c>
      <c r="AP150" s="147" t="s">
        <v>146</v>
      </c>
    </row>
    <row r="151" spans="1:42">
      <c r="A151" s="160" t="s">
        <v>201</v>
      </c>
      <c r="B151" s="195"/>
      <c r="C151">
        <v>251.66</v>
      </c>
      <c r="E151">
        <v>133.58000000000001</v>
      </c>
      <c r="F151">
        <v>27.82</v>
      </c>
      <c r="G151">
        <v>22.74</v>
      </c>
      <c r="H151">
        <v>354.45</v>
      </c>
      <c r="J151">
        <v>58.32</v>
      </c>
      <c r="O151">
        <v>251.66</v>
      </c>
      <c r="Q151">
        <v>133.58000000000001</v>
      </c>
      <c r="R151">
        <v>27.82</v>
      </c>
      <c r="S151">
        <v>22.74</v>
      </c>
      <c r="T151">
        <v>354.45</v>
      </c>
      <c r="V151">
        <v>58.32</v>
      </c>
      <c r="Z151">
        <v>1.0620000000000001</v>
      </c>
      <c r="AA151">
        <v>8.5999999999999993E-2</v>
      </c>
      <c r="AB151" s="307">
        <v>9.8009899999999988</v>
      </c>
      <c r="AC151">
        <v>0.72</v>
      </c>
      <c r="AD151" s="87">
        <f t="shared" si="16"/>
        <v>0.33333333333333331</v>
      </c>
      <c r="AE151" s="203">
        <f t="shared" si="17"/>
        <v>0.52666666666666662</v>
      </c>
      <c r="AF151" s="49">
        <f t="shared" si="18"/>
        <v>87.312937748180232</v>
      </c>
      <c r="AG151" s="49">
        <f t="shared" si="19"/>
        <v>87.312937748180232</v>
      </c>
      <c r="AH151" s="50">
        <f t="shared" si="20"/>
        <v>0.3098791112718941</v>
      </c>
      <c r="AI151" s="105">
        <f t="shared" si="21"/>
        <v>1.7250780689290708</v>
      </c>
      <c r="AJ151" s="311">
        <f>INDEX($AR$3:AS160,MATCH(COUNTA(O151:W151),$AR$3:$AR$12,0),2)</f>
        <v>1.94</v>
      </c>
      <c r="AK151" s="108">
        <f t="shared" si="22"/>
        <v>141.42833333333334</v>
      </c>
      <c r="AL151" s="310">
        <f t="shared" si="23"/>
        <v>14.430004860053256</v>
      </c>
      <c r="AP151" s="147" t="s">
        <v>146</v>
      </c>
    </row>
    <row r="152" spans="1:42">
      <c r="A152" s="160" t="s">
        <v>202</v>
      </c>
      <c r="B152" s="195"/>
      <c r="C152">
        <v>200.1</v>
      </c>
      <c r="E152">
        <v>91.24</v>
      </c>
      <c r="F152">
        <v>26.31</v>
      </c>
      <c r="G152">
        <v>12.32</v>
      </c>
      <c r="H152">
        <v>215.46</v>
      </c>
      <c r="Q152">
        <v>91.24</v>
      </c>
      <c r="R152">
        <v>26.31</v>
      </c>
      <c r="S152">
        <v>12.32</v>
      </c>
      <c r="Z152">
        <v>0.191</v>
      </c>
      <c r="AA152">
        <v>0.17599999999999999</v>
      </c>
      <c r="AB152" s="307">
        <v>8.4228899999999989</v>
      </c>
      <c r="AC152">
        <v>0.63</v>
      </c>
      <c r="AD152" s="87">
        <f t="shared" si="16"/>
        <v>0.16666666666666666</v>
      </c>
      <c r="AE152" s="203">
        <f t="shared" si="17"/>
        <v>0.39833333333333332</v>
      </c>
      <c r="AF152" s="49">
        <f t="shared" si="18"/>
        <v>79.425836589744065</v>
      </c>
      <c r="AG152" s="49">
        <f t="shared" si="19"/>
        <v>77.92877964528185</v>
      </c>
      <c r="AH152" s="50">
        <f t="shared" si="20"/>
        <v>0.82273188038520029</v>
      </c>
      <c r="AI152" s="105">
        <f t="shared" si="21"/>
        <v>1.3945664977599159</v>
      </c>
      <c r="AJ152" s="311">
        <f>INDEX($AR$3:AS161,MATCH(COUNTA(O152:W152),$AR$3:$AR$12,0),2)</f>
        <v>1.1499999999999999</v>
      </c>
      <c r="AK152" s="108">
        <f t="shared" si="22"/>
        <v>43.29</v>
      </c>
      <c r="AL152" s="310">
        <f t="shared" si="23"/>
        <v>5.1395661109191746</v>
      </c>
      <c r="AP152" s="147" t="s">
        <v>203</v>
      </c>
    </row>
    <row r="153" spans="1:42">
      <c r="A153" s="160" t="s">
        <v>204</v>
      </c>
      <c r="B153" s="195"/>
      <c r="E153">
        <v>22.99</v>
      </c>
      <c r="Q153">
        <v>22.99</v>
      </c>
      <c r="Z153">
        <v>0.95699999999999996</v>
      </c>
      <c r="AA153">
        <v>0.17599999999999999</v>
      </c>
      <c r="AB153" s="307">
        <v>5.5259049999999998</v>
      </c>
      <c r="AC153">
        <v>0.75</v>
      </c>
      <c r="AD153" s="87">
        <f t="shared" si="16"/>
        <v>0.55555555555555558</v>
      </c>
      <c r="AE153" s="203">
        <f t="shared" si="17"/>
        <v>0.65277777777777779</v>
      </c>
      <c r="AF153" s="49">
        <f t="shared" si="18"/>
        <v>0</v>
      </c>
      <c r="AG153" s="49">
        <f t="shared" si="19"/>
        <v>0</v>
      </c>
      <c r="AH153" s="50" t="e">
        <f t="shared" si="20"/>
        <v>#NUM!</v>
      </c>
      <c r="AI153" s="105" t="e">
        <f t="shared" si="21"/>
        <v>#DIV/0!</v>
      </c>
      <c r="AJ153" s="311" t="e">
        <f>INDEX($AR$3:AS162,MATCH(COUNTA(O153:W153),$AR$3:$AR$12,0),2)</f>
        <v>#N/A</v>
      </c>
      <c r="AK153" s="108">
        <f t="shared" si="22"/>
        <v>22.99</v>
      </c>
      <c r="AL153" s="310">
        <f t="shared" si="23"/>
        <v>4.1604044948293533</v>
      </c>
      <c r="AP153" s="147" t="s">
        <v>203</v>
      </c>
    </row>
    <row r="154" spans="1:42">
      <c r="A154" s="160" t="s">
        <v>205</v>
      </c>
      <c r="B154" s="195"/>
      <c r="C154">
        <v>328.95</v>
      </c>
      <c r="E154">
        <v>89.41</v>
      </c>
      <c r="F154">
        <v>7.77</v>
      </c>
      <c r="H154">
        <v>170.81</v>
      </c>
      <c r="Q154">
        <v>89.41</v>
      </c>
      <c r="R154">
        <v>7.77</v>
      </c>
      <c r="T154">
        <v>170.81</v>
      </c>
      <c r="Z154">
        <v>0.97</v>
      </c>
      <c r="AA154">
        <v>0.17599999999999999</v>
      </c>
      <c r="AB154" s="307">
        <v>12.773300000000001</v>
      </c>
      <c r="AC154">
        <v>0.7</v>
      </c>
      <c r="AD154" s="87">
        <f t="shared" si="16"/>
        <v>0.16666666666666666</v>
      </c>
      <c r="AE154" s="203">
        <f t="shared" si="17"/>
        <v>0.43333333333333329</v>
      </c>
      <c r="AF154" s="49">
        <f t="shared" si="18"/>
        <v>74.511166814503596</v>
      </c>
      <c r="AG154" s="49">
        <f t="shared" si="19"/>
        <v>79.535862196051809</v>
      </c>
      <c r="AH154" s="50">
        <f t="shared" si="20"/>
        <v>0.49926398429833174</v>
      </c>
      <c r="AI154" s="105">
        <f t="shared" si="21"/>
        <v>1.2241434749931357</v>
      </c>
      <c r="AJ154" s="311">
        <f>INDEX($AR$3:AS163,MATCH(COUNTA(O154:W154),$AR$3:$AR$12,0),2)</f>
        <v>1.1499999999999999</v>
      </c>
      <c r="AK154" s="108">
        <f t="shared" si="22"/>
        <v>89.33</v>
      </c>
      <c r="AL154" s="310">
        <f t="shared" si="23"/>
        <v>6.9934942418952026</v>
      </c>
      <c r="AP154" s="147" t="s">
        <v>203</v>
      </c>
    </row>
    <row r="155" spans="1:42">
      <c r="A155" s="160" t="s">
        <v>206</v>
      </c>
      <c r="B155" s="195"/>
      <c r="Z155">
        <v>0.34399999999999997</v>
      </c>
      <c r="AA155">
        <v>2.3E-2</v>
      </c>
      <c r="AB155" s="307">
        <v>6.3905200000000004</v>
      </c>
      <c r="AC155">
        <v>0.55000000000000004</v>
      </c>
      <c r="AD155" s="87" t="e">
        <f t="shared" si="16"/>
        <v>#DIV/0!</v>
      </c>
      <c r="AE155" s="203" t="e">
        <f t="shared" si="17"/>
        <v>#DIV/0!</v>
      </c>
      <c r="AF155" s="49" t="e">
        <f t="shared" si="18"/>
        <v>#DIV/0!</v>
      </c>
      <c r="AG155" s="49" t="e">
        <f t="shared" si="19"/>
        <v>#DIV/0!</v>
      </c>
      <c r="AH155" s="50" t="e">
        <f t="shared" si="20"/>
        <v>#NUM!</v>
      </c>
      <c r="AI155" s="105" t="e">
        <f t="shared" si="21"/>
        <v>#DIV/0!</v>
      </c>
      <c r="AJ155" s="311" t="e">
        <f>INDEX($AR$3:AS164,MATCH(COUNTA(O155:W155),$AR$3:$AR$12,0),2)</f>
        <v>#N/A</v>
      </c>
      <c r="AK155" s="108" t="e">
        <f t="shared" si="22"/>
        <v>#DIV/0!</v>
      </c>
      <c r="AL155" s="310" t="str">
        <f t="shared" si="23"/>
        <v>n.d.</v>
      </c>
      <c r="AP155" s="147" t="s">
        <v>207</v>
      </c>
    </row>
    <row r="156" spans="1:42">
      <c r="A156" s="160" t="s">
        <v>208</v>
      </c>
      <c r="B156" s="195"/>
      <c r="Z156">
        <v>0.86199999999999999</v>
      </c>
      <c r="AA156">
        <v>2.3E-2</v>
      </c>
      <c r="AB156" s="307">
        <v>7.3049899999999992</v>
      </c>
      <c r="AC156">
        <v>0.65</v>
      </c>
      <c r="AD156" s="87" t="e">
        <f t="shared" si="16"/>
        <v>#DIV/0!</v>
      </c>
      <c r="AE156" s="203" t="e">
        <f t="shared" si="17"/>
        <v>#DIV/0!</v>
      </c>
      <c r="AF156" s="49" t="e">
        <f t="shared" si="18"/>
        <v>#DIV/0!</v>
      </c>
      <c r="AG156" s="49" t="e">
        <f t="shared" si="19"/>
        <v>#DIV/0!</v>
      </c>
      <c r="AH156" s="50" t="e">
        <f t="shared" si="20"/>
        <v>#NUM!</v>
      </c>
      <c r="AI156" s="105" t="e">
        <f t="shared" si="21"/>
        <v>#DIV/0!</v>
      </c>
      <c r="AJ156" s="311" t="e">
        <f>INDEX($AR$3:AS165,MATCH(COUNTA(O156:W156),$AR$3:$AR$12,0),2)</f>
        <v>#N/A</v>
      </c>
      <c r="AK156" s="108" t="e">
        <f t="shared" si="22"/>
        <v>#DIV/0!</v>
      </c>
      <c r="AL156" s="310" t="str">
        <f t="shared" si="23"/>
        <v>n.d.</v>
      </c>
      <c r="AP156" s="147" t="s">
        <v>207</v>
      </c>
    </row>
    <row r="157" spans="1:42">
      <c r="A157" s="160" t="s">
        <v>209</v>
      </c>
      <c r="B157" s="195"/>
      <c r="J157">
        <v>9.99</v>
      </c>
      <c r="V157">
        <v>9.99</v>
      </c>
      <c r="Z157">
        <v>1.0049999999999999</v>
      </c>
      <c r="AA157">
        <v>2.3E-2</v>
      </c>
      <c r="AB157" s="307">
        <v>8.3328150000000001</v>
      </c>
      <c r="AC157">
        <v>0.65</v>
      </c>
      <c r="AD157" s="87">
        <f t="shared" si="16"/>
        <v>0.55555555555555558</v>
      </c>
      <c r="AE157" s="203">
        <f t="shared" si="17"/>
        <v>0.60277777777777786</v>
      </c>
      <c r="AF157" s="49">
        <f t="shared" si="18"/>
        <v>0</v>
      </c>
      <c r="AG157" s="49">
        <f t="shared" si="19"/>
        <v>0</v>
      </c>
      <c r="AH157" s="50" t="e">
        <f t="shared" si="20"/>
        <v>#NUM!</v>
      </c>
      <c r="AI157" s="105" t="e">
        <f t="shared" si="21"/>
        <v>#DIV/0!</v>
      </c>
      <c r="AJ157" s="311" t="e">
        <f>INDEX($AR$3:AS166,MATCH(COUNTA(O157:W157),$AR$3:$AR$12,0),2)</f>
        <v>#N/A</v>
      </c>
      <c r="AK157" s="108">
        <f t="shared" si="22"/>
        <v>9.99</v>
      </c>
      <c r="AL157" s="310" t="str">
        <f t="shared" si="23"/>
        <v>n.d.</v>
      </c>
      <c r="AP157" s="147" t="s">
        <v>207</v>
      </c>
    </row>
    <row r="158" spans="1:42">
      <c r="A158" s="160" t="s">
        <v>210</v>
      </c>
      <c r="B158" s="195"/>
      <c r="Z158">
        <v>0.44400000000000001</v>
      </c>
      <c r="AA158">
        <v>5.8999999999999997E-2</v>
      </c>
      <c r="AB158" s="307">
        <v>5.7549900000000003</v>
      </c>
      <c r="AC158">
        <v>0.75</v>
      </c>
      <c r="AD158" s="87" t="e">
        <f t="shared" si="16"/>
        <v>#DIV/0!</v>
      </c>
      <c r="AE158" s="203" t="e">
        <f t="shared" si="17"/>
        <v>#DIV/0!</v>
      </c>
      <c r="AF158" s="49" t="e">
        <f t="shared" si="18"/>
        <v>#DIV/0!</v>
      </c>
      <c r="AG158" s="49" t="e">
        <f t="shared" si="19"/>
        <v>#DIV/0!</v>
      </c>
      <c r="AH158" s="50" t="e">
        <f t="shared" si="20"/>
        <v>#NUM!</v>
      </c>
      <c r="AI158" s="105" t="e">
        <f t="shared" si="21"/>
        <v>#DIV/0!</v>
      </c>
      <c r="AJ158" s="311" t="e">
        <f>INDEX($AR$3:AS167,MATCH(COUNTA(O158:W158),$AR$3:$AR$12,0),2)</f>
        <v>#N/A</v>
      </c>
      <c r="AK158" s="108" t="e">
        <f t="shared" si="22"/>
        <v>#DIV/0!</v>
      </c>
      <c r="AL158" s="310" t="str">
        <f t="shared" si="23"/>
        <v>n.d.</v>
      </c>
      <c r="AP158" s="147" t="s">
        <v>207</v>
      </c>
    </row>
    <row r="159" spans="1:42">
      <c r="A159" s="160" t="s">
        <v>211</v>
      </c>
      <c r="B159" s="195"/>
      <c r="E159">
        <v>40.58</v>
      </c>
      <c r="F159">
        <v>15.65</v>
      </c>
      <c r="Q159">
        <v>40.58</v>
      </c>
      <c r="R159">
        <v>15.65</v>
      </c>
      <c r="Z159">
        <v>1.101</v>
      </c>
      <c r="AA159">
        <v>5.8999999999999997E-2</v>
      </c>
      <c r="AB159" s="307">
        <v>9.8056399999999986</v>
      </c>
      <c r="AC159">
        <v>0.57999999999999996</v>
      </c>
      <c r="AD159" s="87">
        <f t="shared" si="16"/>
        <v>0.3611111111111111</v>
      </c>
      <c r="AE159" s="203">
        <f t="shared" si="17"/>
        <v>0.4705555555555555</v>
      </c>
      <c r="AF159" s="49">
        <f t="shared" si="18"/>
        <v>44.33576382713855</v>
      </c>
      <c r="AG159" s="49">
        <f t="shared" si="19"/>
        <v>44.33576382713855</v>
      </c>
      <c r="AH159" s="50">
        <f t="shared" si="20"/>
        <v>1</v>
      </c>
      <c r="AI159" s="105">
        <f t="shared" si="21"/>
        <v>0.99999999999999967</v>
      </c>
      <c r="AJ159" s="311" t="e">
        <f>INDEX($AR$3:AS168,MATCH(COUNTA(O159:W159),$AR$3:$AR$12,0),2)</f>
        <v>#N/A</v>
      </c>
      <c r="AK159" s="108">
        <f t="shared" si="22"/>
        <v>28.114999999999998</v>
      </c>
      <c r="AL159" s="310">
        <f t="shared" si="23"/>
        <v>2.8672274323756533</v>
      </c>
      <c r="AP159" s="147" t="s">
        <v>207</v>
      </c>
    </row>
    <row r="160" spans="1:42">
      <c r="A160" s="160" t="s">
        <v>212</v>
      </c>
      <c r="B160" s="195"/>
      <c r="Z160">
        <v>0.71799999999999997</v>
      </c>
      <c r="AA160">
        <v>5.8999999999999997E-2</v>
      </c>
      <c r="AB160" s="307">
        <v>5.9145799999999999</v>
      </c>
      <c r="AC160">
        <v>0.68</v>
      </c>
      <c r="AD160" s="87" t="e">
        <f t="shared" si="16"/>
        <v>#DIV/0!</v>
      </c>
      <c r="AE160" s="203" t="e">
        <f t="shared" si="17"/>
        <v>#DIV/0!</v>
      </c>
      <c r="AF160" s="49" t="e">
        <f t="shared" si="18"/>
        <v>#DIV/0!</v>
      </c>
      <c r="AG160" s="49" t="e">
        <f t="shared" si="19"/>
        <v>#DIV/0!</v>
      </c>
      <c r="AH160" s="50" t="e">
        <f t="shared" si="20"/>
        <v>#NUM!</v>
      </c>
      <c r="AI160" s="105" t="e">
        <f t="shared" si="21"/>
        <v>#DIV/0!</v>
      </c>
      <c r="AJ160" s="311" t="e">
        <f>INDEX($AR$3:AS169,MATCH(COUNTA(O160:W160),$AR$3:$AR$12,0),2)</f>
        <v>#N/A</v>
      </c>
      <c r="AK160" s="108" t="e">
        <f t="shared" si="22"/>
        <v>#DIV/0!</v>
      </c>
      <c r="AL160" s="310" t="str">
        <f t="shared" si="23"/>
        <v>n.d.</v>
      </c>
      <c r="AP160" s="147" t="s">
        <v>207</v>
      </c>
    </row>
    <row r="161" spans="1:42">
      <c r="A161" s="160" t="s">
        <v>213</v>
      </c>
      <c r="B161" s="195"/>
      <c r="E161">
        <v>20.59</v>
      </c>
      <c r="Q161">
        <v>20.59</v>
      </c>
      <c r="Z161">
        <v>0.51400000000000001</v>
      </c>
      <c r="AA161">
        <v>6.0999999999999999E-2</v>
      </c>
      <c r="AB161" s="307">
        <v>7.65665</v>
      </c>
      <c r="AC161">
        <v>0.68</v>
      </c>
      <c r="AD161" s="87">
        <f t="shared" si="16"/>
        <v>0.55555555555555558</v>
      </c>
      <c r="AE161" s="203">
        <f t="shared" si="17"/>
        <v>0.61777777777777776</v>
      </c>
      <c r="AF161" s="49">
        <f t="shared" si="18"/>
        <v>0</v>
      </c>
      <c r="AG161" s="49">
        <f t="shared" si="19"/>
        <v>0</v>
      </c>
      <c r="AH161" s="50" t="e">
        <f t="shared" si="20"/>
        <v>#NUM!</v>
      </c>
      <c r="AI161" s="105" t="e">
        <f t="shared" si="21"/>
        <v>#DIV/0!</v>
      </c>
      <c r="AJ161" s="311" t="e">
        <f>INDEX($AR$3:AS169,MATCH(COUNTA(O161:W161),$AR$3:$AR$12,0),2)</f>
        <v>#N/A</v>
      </c>
      <c r="AK161" s="108">
        <f t="shared" si="22"/>
        <v>20.59</v>
      </c>
      <c r="AL161" s="310">
        <f t="shared" si="23"/>
        <v>2.6891656272651878</v>
      </c>
      <c r="AP161" s="147" t="s">
        <v>207</v>
      </c>
    </row>
    <row r="162" spans="1:42">
      <c r="A162" s="160" t="s">
        <v>214</v>
      </c>
      <c r="B162" s="195"/>
      <c r="E162">
        <v>15.14</v>
      </c>
      <c r="Q162">
        <v>15.14</v>
      </c>
      <c r="Z162">
        <v>0.621</v>
      </c>
      <c r="AA162">
        <v>6.0999999999999999E-2</v>
      </c>
      <c r="AB162" s="307">
        <v>8.9807000000000006</v>
      </c>
      <c r="AC162">
        <v>0.68</v>
      </c>
      <c r="AD162" s="87">
        <f t="shared" si="16"/>
        <v>0.55555555555555558</v>
      </c>
      <c r="AE162" s="203">
        <f t="shared" si="17"/>
        <v>0.61777777777777776</v>
      </c>
      <c r="AF162" s="49">
        <f t="shared" si="18"/>
        <v>0</v>
      </c>
      <c r="AG162" s="49">
        <f t="shared" si="19"/>
        <v>0</v>
      </c>
      <c r="AH162" s="50" t="e">
        <f t="shared" si="20"/>
        <v>#NUM!</v>
      </c>
      <c r="AI162" s="105" t="e">
        <f t="shared" si="21"/>
        <v>#DIV/0!</v>
      </c>
      <c r="AJ162" s="311" t="e">
        <f>INDEX($AR$3:AS170,MATCH(COUNTA(O162:W162),$AR$3:$AR$12,0),2)</f>
        <v>#N/A</v>
      </c>
      <c r="AK162" s="108">
        <f t="shared" si="22"/>
        <v>15.14</v>
      </c>
      <c r="AL162" s="310">
        <f t="shared" si="23"/>
        <v>1.6858374068836504</v>
      </c>
      <c r="AP162" s="147" t="s">
        <v>207</v>
      </c>
    </row>
    <row r="163" spans="1:42">
      <c r="A163" s="160" t="s">
        <v>215</v>
      </c>
      <c r="B163" s="195"/>
      <c r="Z163">
        <v>1.1120000000000001</v>
      </c>
      <c r="AA163">
        <v>6.0999999999999999E-2</v>
      </c>
      <c r="AB163" s="307">
        <v>5.3088700000000006</v>
      </c>
      <c r="AC163">
        <v>0.57999999999999996</v>
      </c>
      <c r="AD163" s="87" t="e">
        <f t="shared" si="16"/>
        <v>#DIV/0!</v>
      </c>
      <c r="AE163" s="203" t="e">
        <f t="shared" si="17"/>
        <v>#DIV/0!</v>
      </c>
      <c r="AF163" s="49" t="e">
        <f t="shared" si="18"/>
        <v>#DIV/0!</v>
      </c>
      <c r="AG163" s="49" t="e">
        <f t="shared" si="19"/>
        <v>#DIV/0!</v>
      </c>
      <c r="AH163" s="50" t="e">
        <f t="shared" si="20"/>
        <v>#NUM!</v>
      </c>
      <c r="AI163" s="105" t="e">
        <f t="shared" si="21"/>
        <v>#DIV/0!</v>
      </c>
      <c r="AJ163" s="311" t="e">
        <f>INDEX($AR$3:AS171,MATCH(COUNTA(O163:W163),$AR$3:$AR$12,0),2)</f>
        <v>#N/A</v>
      </c>
      <c r="AK163" s="108" t="e">
        <f t="shared" si="22"/>
        <v>#DIV/0!</v>
      </c>
      <c r="AL163" s="310" t="str">
        <f t="shared" si="23"/>
        <v>n.d.</v>
      </c>
      <c r="AP163" s="147" t="s">
        <v>207</v>
      </c>
    </row>
    <row r="164" spans="1:42">
      <c r="A164" s="160" t="s">
        <v>216</v>
      </c>
      <c r="B164" s="195"/>
      <c r="C164">
        <v>232.55</v>
      </c>
      <c r="H164">
        <v>1193.1199999999999</v>
      </c>
      <c r="I164">
        <v>1256.5</v>
      </c>
      <c r="J164">
        <v>562.82000000000005</v>
      </c>
      <c r="K164">
        <v>588.96</v>
      </c>
      <c r="O164">
        <v>232.55</v>
      </c>
      <c r="V164">
        <v>562.82000000000005</v>
      </c>
      <c r="W164">
        <v>588.96</v>
      </c>
      <c r="Z164">
        <v>0.42699999999999999</v>
      </c>
      <c r="AA164">
        <v>0.17699999999999999</v>
      </c>
      <c r="AB164" s="307">
        <v>9.4334749999999996</v>
      </c>
      <c r="AC164">
        <v>0.68</v>
      </c>
      <c r="AD164" s="87">
        <f t="shared" si="16"/>
        <v>0.41666666666666663</v>
      </c>
      <c r="AE164" s="203">
        <f t="shared" si="17"/>
        <v>0.54833333333333334</v>
      </c>
      <c r="AF164" s="49">
        <f t="shared" si="18"/>
        <v>35.151327981032779</v>
      </c>
      <c r="AG164" s="49">
        <f t="shared" si="19"/>
        <v>51.516350933630086</v>
      </c>
      <c r="AH164" s="50">
        <f t="shared" si="20"/>
        <v>7.3342498807553058E-2</v>
      </c>
      <c r="AI164" s="105">
        <f t="shared" si="21"/>
        <v>0.78615257050065435</v>
      </c>
      <c r="AJ164" s="311">
        <f>INDEX($AR$3:AS172,MATCH(COUNTA(O164:W164),$AR$3:$AR$12,0),2)</f>
        <v>1.1499999999999999</v>
      </c>
      <c r="AK164" s="108">
        <f t="shared" si="22"/>
        <v>461.44333333333338</v>
      </c>
      <c r="AL164" s="310">
        <f t="shared" si="23"/>
        <v>48.915519819932044</v>
      </c>
      <c r="AP164" s="147" t="s">
        <v>42</v>
      </c>
    </row>
    <row r="165" spans="1:42">
      <c r="A165" s="160" t="s">
        <v>217</v>
      </c>
      <c r="B165" s="195"/>
      <c r="H165">
        <v>2371.63</v>
      </c>
      <c r="I165">
        <v>2494.94</v>
      </c>
      <c r="J165">
        <v>400.43</v>
      </c>
      <c r="K165">
        <v>504.56</v>
      </c>
      <c r="V165">
        <v>400.43</v>
      </c>
      <c r="W165">
        <v>504.56</v>
      </c>
      <c r="Z165">
        <v>1.0229999999999999</v>
      </c>
      <c r="AA165">
        <v>0.17699999999999999</v>
      </c>
      <c r="AB165" s="307">
        <v>12.192550000000001</v>
      </c>
      <c r="AC165">
        <v>0.88</v>
      </c>
      <c r="AD165" s="87">
        <f t="shared" si="16"/>
        <v>0.61111111111111116</v>
      </c>
      <c r="AE165" s="203">
        <f t="shared" si="17"/>
        <v>0.74555555555555553</v>
      </c>
      <c r="AF165" s="49">
        <f t="shared" si="18"/>
        <v>11.506204488447368</v>
      </c>
      <c r="AG165" s="49">
        <f t="shared" si="19"/>
        <v>68.753505308485813</v>
      </c>
      <c r="AH165" s="50">
        <f t="shared" si="20"/>
        <v>1</v>
      </c>
      <c r="AI165" s="105">
        <f t="shared" si="21"/>
        <v>1.0000000000000016</v>
      </c>
      <c r="AJ165" s="311" t="e">
        <f>INDEX($AR$3:AS173,MATCH(COUNTA(O165:W165),$AR$3:$AR$12,0),2)</f>
        <v>#N/A</v>
      </c>
      <c r="AK165" s="108">
        <f t="shared" si="22"/>
        <v>452.495</v>
      </c>
      <c r="AL165" s="310">
        <f t="shared" si="23"/>
        <v>37.112417008747144</v>
      </c>
      <c r="AP165" s="147" t="s">
        <v>42</v>
      </c>
    </row>
    <row r="166" spans="1:42">
      <c r="A166" s="160" t="s">
        <v>218</v>
      </c>
      <c r="B166" s="195"/>
      <c r="C166">
        <v>189.15</v>
      </c>
      <c r="H166">
        <v>929.33</v>
      </c>
      <c r="I166">
        <v>355.75</v>
      </c>
      <c r="J166">
        <v>896.96</v>
      </c>
      <c r="K166">
        <v>656.38</v>
      </c>
      <c r="O166">
        <v>189.15</v>
      </c>
      <c r="T166">
        <v>929.33</v>
      </c>
      <c r="U166">
        <v>355.75</v>
      </c>
      <c r="V166">
        <v>896.96</v>
      </c>
      <c r="W166">
        <v>656.38</v>
      </c>
      <c r="Z166">
        <v>0.74</v>
      </c>
      <c r="AA166">
        <v>0.17699999999999999</v>
      </c>
      <c r="AB166" s="307">
        <v>7.2366899999999994</v>
      </c>
      <c r="AC166">
        <v>0.5</v>
      </c>
      <c r="AD166" s="87">
        <f t="shared" si="16"/>
        <v>0.52777777777777779</v>
      </c>
      <c r="AE166" s="203">
        <f t="shared" si="17"/>
        <v>0.51388888888888884</v>
      </c>
      <c r="AF166" s="49">
        <f t="shared" si="18"/>
        <v>48.325525994785465</v>
      </c>
      <c r="AG166" s="49">
        <f t="shared" si="19"/>
        <v>48.325525994785465</v>
      </c>
      <c r="AH166" s="50">
        <f t="shared" si="20"/>
        <v>4.37326055824259E-2</v>
      </c>
      <c r="AI166" s="105">
        <f t="shared" si="21"/>
        <v>1.1066174778573532</v>
      </c>
      <c r="AJ166" s="311">
        <f>INDEX($AR$3:AS174,MATCH(COUNTA(O166:W166),$AR$3:$AR$12,0),2)</f>
        <v>1.75</v>
      </c>
      <c r="AK166" s="108">
        <f t="shared" si="22"/>
        <v>605.51400000000001</v>
      </c>
      <c r="AL166" s="310">
        <f t="shared" si="23"/>
        <v>83.672784104335008</v>
      </c>
      <c r="AP166" s="147" t="s">
        <v>42</v>
      </c>
    </row>
    <row r="167" spans="1:42">
      <c r="A167" s="160" t="s">
        <v>219</v>
      </c>
      <c r="B167" s="195"/>
      <c r="C167">
        <v>363.66</v>
      </c>
      <c r="E167">
        <v>341.26</v>
      </c>
      <c r="F167">
        <v>233.77</v>
      </c>
      <c r="G167">
        <v>203.21</v>
      </c>
      <c r="H167">
        <v>382.54</v>
      </c>
      <c r="I167">
        <v>365.76</v>
      </c>
      <c r="J167">
        <v>185.46</v>
      </c>
      <c r="K167">
        <v>295.02999999999997</v>
      </c>
      <c r="O167">
        <v>363.66</v>
      </c>
      <c r="Q167">
        <v>341.26</v>
      </c>
      <c r="R167">
        <v>233.77</v>
      </c>
      <c r="S167">
        <v>203.21</v>
      </c>
      <c r="T167">
        <v>382.54</v>
      </c>
      <c r="U167">
        <v>365.76</v>
      </c>
      <c r="V167">
        <v>185.46</v>
      </c>
      <c r="W167">
        <v>295.02999999999997</v>
      </c>
      <c r="AB167" s="307">
        <v>0.28799999999999998</v>
      </c>
      <c r="AC167">
        <v>0.82</v>
      </c>
      <c r="AD167" s="87">
        <f t="shared" si="16"/>
        <v>0.94444444444444442</v>
      </c>
      <c r="AE167" s="203">
        <f t="shared" si="17"/>
        <v>0.88222222222222224</v>
      </c>
      <c r="AF167" s="49">
        <f t="shared" si="18"/>
        <v>24.936168381463471</v>
      </c>
      <c r="AG167" s="49">
        <f t="shared" si="19"/>
        <v>24.936168381463471</v>
      </c>
      <c r="AH167" s="50">
        <f t="shared" si="20"/>
        <v>8.5143089100872885E-2</v>
      </c>
      <c r="AI167" s="105">
        <f t="shared" si="21"/>
        <v>1.1665722895543809</v>
      </c>
      <c r="AJ167" s="311">
        <f>INDEX($AR$3:AS175,MATCH(COUNTA(O167:W167),$AR$3:$AR$12,0),2)</f>
        <v>2.2200000000000002</v>
      </c>
      <c r="AK167" s="108">
        <f t="shared" si="22"/>
        <v>296.33624999999995</v>
      </c>
      <c r="AL167" s="310">
        <f t="shared" si="23"/>
        <v>1028.9453125</v>
      </c>
      <c r="AN167" s="203">
        <f>(AB167-0.0664978)*1000</f>
        <v>221.50219999999999</v>
      </c>
      <c r="AO167" s="309">
        <f>100*(AK167/AN167)</f>
        <v>133.78478859352185</v>
      </c>
      <c r="AP167" s="147" t="s">
        <v>64</v>
      </c>
    </row>
    <row r="168" spans="1:42">
      <c r="A168" s="160" t="s">
        <v>220</v>
      </c>
      <c r="B168" s="195"/>
      <c r="AB168" s="307">
        <v>0.15598200000000001</v>
      </c>
      <c r="AD168" s="87" t="e">
        <f t="shared" si="16"/>
        <v>#DIV/0!</v>
      </c>
      <c r="AE168" s="203" t="e">
        <f t="shared" si="17"/>
        <v>#DIV/0!</v>
      </c>
      <c r="AF168" s="49" t="e">
        <f t="shared" si="18"/>
        <v>#DIV/0!</v>
      </c>
      <c r="AG168" s="49" t="e">
        <f t="shared" si="19"/>
        <v>#DIV/0!</v>
      </c>
      <c r="AH168" s="50" t="e">
        <f t="shared" si="20"/>
        <v>#NUM!</v>
      </c>
      <c r="AI168" s="105" t="e">
        <f t="shared" si="21"/>
        <v>#DIV/0!</v>
      </c>
      <c r="AJ168" s="311" t="e">
        <f>INDEX($AR$3:AS176,MATCH(COUNTA(O168:W168),$AR$3:$AR$12,0),2)</f>
        <v>#N/A</v>
      </c>
      <c r="AK168" s="108" t="e">
        <f t="shared" si="22"/>
        <v>#DIV/0!</v>
      </c>
      <c r="AL168" s="310" t="str">
        <f t="shared" si="23"/>
        <v>n.d.</v>
      </c>
      <c r="AP168" s="147" t="s">
        <v>64</v>
      </c>
    </row>
    <row r="169" spans="1:42">
      <c r="A169" s="341" t="s">
        <v>221</v>
      </c>
      <c r="B169" s="195"/>
      <c r="AB169" s="307">
        <v>0.40368500000000002</v>
      </c>
      <c r="AD169" s="87" t="e">
        <f t="shared" si="16"/>
        <v>#DIV/0!</v>
      </c>
      <c r="AE169" s="203" t="e">
        <f t="shared" si="17"/>
        <v>#DIV/0!</v>
      </c>
      <c r="AF169" s="49" t="e">
        <f t="shared" si="18"/>
        <v>#DIV/0!</v>
      </c>
      <c r="AG169" s="49" t="e">
        <f t="shared" si="19"/>
        <v>#DIV/0!</v>
      </c>
      <c r="AH169" s="50" t="e">
        <f t="shared" si="20"/>
        <v>#NUM!</v>
      </c>
      <c r="AI169" s="105" t="e">
        <f t="shared" si="21"/>
        <v>#DIV/0!</v>
      </c>
      <c r="AJ169" s="311" t="e">
        <f>INDEX($AR$3:AS177,MATCH(COUNTA(O169:W169),$AR$3:$AR$12,0),2)</f>
        <v>#N/A</v>
      </c>
      <c r="AK169" s="108" t="e">
        <f t="shared" si="22"/>
        <v>#DIV/0!</v>
      </c>
      <c r="AL169" s="310" t="str">
        <f t="shared" si="23"/>
        <v>n.d.</v>
      </c>
      <c r="AP169" s="147" t="s">
        <v>64</v>
      </c>
    </row>
    <row r="170" spans="1:42" s="51" customFormat="1">
      <c r="A170" s="161" t="s">
        <v>222</v>
      </c>
      <c r="B170" s="196"/>
      <c r="C170" s="51">
        <v>425.98</v>
      </c>
      <c r="E170" s="51">
        <v>147.96</v>
      </c>
      <c r="F170" s="51">
        <v>18.149999999999999</v>
      </c>
      <c r="G170" s="51">
        <v>23.25</v>
      </c>
      <c r="H170" s="51">
        <v>243.67</v>
      </c>
      <c r="I170" s="51">
        <v>78.63</v>
      </c>
      <c r="J170" s="51">
        <v>83.6</v>
      </c>
      <c r="N170" s="306"/>
      <c r="R170" s="51">
        <v>18.149999999999999</v>
      </c>
      <c r="S170" s="51">
        <v>23.25</v>
      </c>
      <c r="U170" s="51">
        <v>78.63</v>
      </c>
      <c r="V170" s="51">
        <v>83.6</v>
      </c>
      <c r="Y170" s="78"/>
      <c r="Z170" s="51">
        <v>0.93100000000000005</v>
      </c>
      <c r="AA170" s="51">
        <v>0.15</v>
      </c>
      <c r="AB170" s="51">
        <v>6.3953800000000003</v>
      </c>
      <c r="AC170" s="51">
        <v>0.78</v>
      </c>
      <c r="AD170" s="89">
        <f t="shared" si="16"/>
        <v>0.47222222222222221</v>
      </c>
      <c r="AE170" s="68">
        <f t="shared" si="17"/>
        <v>0.62611111111111106</v>
      </c>
      <c r="AF170" s="69">
        <f t="shared" si="18"/>
        <v>59.543761550379813</v>
      </c>
      <c r="AG170" s="69">
        <f t="shared" si="19"/>
        <v>92.608031294238899</v>
      </c>
      <c r="AH170" s="70">
        <f t="shared" si="20"/>
        <v>7.593582887700534E-2</v>
      </c>
      <c r="AI170" s="104">
        <f t="shared" si="21"/>
        <v>1.0785247001358644</v>
      </c>
      <c r="AJ170" s="71">
        <f>INDEX($AR$3:AS178,MATCH(COUNTA(O170:W170),$AR$3:$AR$12,0),2)</f>
        <v>1.49</v>
      </c>
      <c r="AK170" s="107">
        <f t="shared" si="22"/>
        <v>50.907499999999999</v>
      </c>
      <c r="AL170" s="90">
        <f t="shared" si="23"/>
        <v>7.9600430310630479</v>
      </c>
      <c r="AO170" s="78"/>
      <c r="AP170" s="148" t="s">
        <v>42</v>
      </c>
    </row>
    <row r="171" spans="1:42">
      <c r="A171" s="161" t="s">
        <v>223</v>
      </c>
      <c r="B171" s="197"/>
      <c r="C171">
        <v>329.81</v>
      </c>
      <c r="E171">
        <v>110.45</v>
      </c>
      <c r="F171">
        <v>71.790000000000006</v>
      </c>
      <c r="G171">
        <v>49.99</v>
      </c>
      <c r="H171">
        <v>1055.7</v>
      </c>
      <c r="I171">
        <v>293.68</v>
      </c>
      <c r="J171">
        <v>238.36</v>
      </c>
      <c r="R171">
        <v>71.790000000000006</v>
      </c>
      <c r="S171">
        <v>49.99</v>
      </c>
      <c r="Z171">
        <v>0.98199999999999998</v>
      </c>
      <c r="AA171">
        <v>0.15</v>
      </c>
      <c r="AB171">
        <v>14.388500000000001</v>
      </c>
      <c r="AC171">
        <v>0.48</v>
      </c>
      <c r="AD171" s="87">
        <f t="shared" si="16"/>
        <v>0.61111111111111116</v>
      </c>
      <c r="AE171" s="203">
        <f t="shared" si="17"/>
        <v>0.54555555555555557</v>
      </c>
      <c r="AF171" s="49">
        <f t="shared" si="18"/>
        <v>17.90113319100023</v>
      </c>
      <c r="AG171" s="49">
        <f t="shared" si="19"/>
        <v>104.86112333142931</v>
      </c>
      <c r="AH171" s="50">
        <f t="shared" si="20"/>
        <v>1</v>
      </c>
      <c r="AI171" s="105">
        <f t="shared" si="21"/>
        <v>0.99999999999999689</v>
      </c>
      <c r="AJ171" s="311" t="e">
        <f>INDEX($AR$3:AS179,MATCH(COUNTA(O171:W171),$AR$3:$AR$12,0),2)</f>
        <v>#N/A</v>
      </c>
      <c r="AK171" s="108">
        <f t="shared" si="22"/>
        <v>60.89</v>
      </c>
      <c r="AL171" s="310">
        <f t="shared" si="23"/>
        <v>4.2318518261111304</v>
      </c>
      <c r="AP171" s="147" t="s">
        <v>42</v>
      </c>
    </row>
    <row r="172" spans="1:42">
      <c r="A172" s="161" t="s">
        <v>224</v>
      </c>
      <c r="B172" s="197"/>
      <c r="C172">
        <v>431.19</v>
      </c>
      <c r="E172">
        <v>121.72</v>
      </c>
      <c r="G172">
        <v>14.6</v>
      </c>
      <c r="H172">
        <v>130.29</v>
      </c>
      <c r="J172">
        <v>57.33</v>
      </c>
      <c r="K172">
        <v>41.64</v>
      </c>
      <c r="S172">
        <v>14.6</v>
      </c>
      <c r="T172">
        <v>130.29</v>
      </c>
      <c r="V172">
        <v>57.33</v>
      </c>
      <c r="W172">
        <v>41.64</v>
      </c>
      <c r="Z172">
        <v>0.24199999999999999</v>
      </c>
      <c r="AA172">
        <v>0.15</v>
      </c>
      <c r="AB172">
        <v>9.6715149999999994</v>
      </c>
      <c r="AC172">
        <v>0.8</v>
      </c>
      <c r="AD172" s="87">
        <f t="shared" si="16"/>
        <v>0.22222222222222221</v>
      </c>
      <c r="AE172" s="203">
        <f t="shared" si="17"/>
        <v>0.51111111111111107</v>
      </c>
      <c r="AF172" s="49">
        <f t="shared" si="18"/>
        <v>70.275930372919078</v>
      </c>
      <c r="AG172" s="49">
        <f t="shared" si="19"/>
        <v>105.22050620691338</v>
      </c>
      <c r="AH172" s="50">
        <f t="shared" si="20"/>
        <v>0.63065087734462788</v>
      </c>
      <c r="AI172" s="105">
        <f t="shared" si="21"/>
        <v>1.6180900832098795</v>
      </c>
      <c r="AJ172" s="311">
        <f>INDEX($AR$3:AS180,MATCH(COUNTA(O172:W172),$AR$3:$AR$12,0),2)</f>
        <v>1.49</v>
      </c>
      <c r="AK172" s="108">
        <f t="shared" si="22"/>
        <v>60.964999999999989</v>
      </c>
      <c r="AL172" s="310">
        <f t="shared" si="23"/>
        <v>6.3035625752532045</v>
      </c>
      <c r="AP172" s="147" t="s">
        <v>42</v>
      </c>
    </row>
    <row r="173" spans="1:42">
      <c r="A173" s="161" t="s">
        <v>225</v>
      </c>
      <c r="B173" s="197"/>
      <c r="C173">
        <v>594.52</v>
      </c>
      <c r="E173">
        <v>172.43</v>
      </c>
      <c r="F173">
        <v>44.94</v>
      </c>
      <c r="G173">
        <v>61.28</v>
      </c>
      <c r="H173">
        <v>184.85</v>
      </c>
      <c r="I173">
        <v>94.66</v>
      </c>
      <c r="J173">
        <v>60.68</v>
      </c>
      <c r="K173">
        <v>52.47</v>
      </c>
      <c r="Q173">
        <v>172.43</v>
      </c>
      <c r="R173">
        <v>44.94</v>
      </c>
      <c r="S173">
        <v>61.28</v>
      </c>
      <c r="T173">
        <v>184.85</v>
      </c>
      <c r="U173">
        <v>94.66</v>
      </c>
      <c r="V173">
        <v>60.68</v>
      </c>
      <c r="W173">
        <v>52.47</v>
      </c>
      <c r="AB173">
        <v>8.4091399999999989</v>
      </c>
      <c r="AC173">
        <v>0.85</v>
      </c>
      <c r="AD173" s="87">
        <f t="shared" si="16"/>
        <v>0.63888888888888884</v>
      </c>
      <c r="AE173" s="203">
        <f t="shared" si="17"/>
        <v>0.74444444444444446</v>
      </c>
      <c r="AF173" s="49">
        <f t="shared" si="18"/>
        <v>56.693467207373928</v>
      </c>
      <c r="AG173" s="49">
        <f t="shared" si="19"/>
        <v>109.06184232942373</v>
      </c>
      <c r="AH173" s="50">
        <f t="shared" si="20"/>
        <v>8.8771353012650905E-2</v>
      </c>
      <c r="AI173" s="105">
        <f t="shared" si="21"/>
        <v>1.635990897093597</v>
      </c>
      <c r="AJ173" s="311">
        <f>INDEX($AR$3:AS181,MATCH(COUNTA(O173:W173),$AR$3:$AR$12,0),2)</f>
        <v>2.1</v>
      </c>
      <c r="AK173" s="108">
        <f t="shared" si="22"/>
        <v>95.901428571428568</v>
      </c>
      <c r="AL173" s="310">
        <f t="shared" si="23"/>
        <v>11.404427631295064</v>
      </c>
      <c r="AN173" s="149">
        <v>6.6711400000000004E-2</v>
      </c>
      <c r="AO173" s="91">
        <f>100*((AK173-AVERAGE(AL171:AL172)*AB173)/(AN173*1000))</f>
        <v>77.354906720416793</v>
      </c>
      <c r="AP173" s="147" t="s">
        <v>226</v>
      </c>
    </row>
    <row r="174" spans="1:42">
      <c r="A174" s="161" t="s">
        <v>227</v>
      </c>
      <c r="B174" s="197"/>
      <c r="C174">
        <v>700.35</v>
      </c>
      <c r="F174">
        <v>55.59</v>
      </c>
      <c r="G174">
        <v>34.86</v>
      </c>
      <c r="H174">
        <v>561.67999999999995</v>
      </c>
      <c r="I174">
        <v>125.78</v>
      </c>
      <c r="J174">
        <v>90.81</v>
      </c>
      <c r="K174">
        <v>106.7</v>
      </c>
      <c r="R174">
        <v>55.59</v>
      </c>
      <c r="S174">
        <v>34.86</v>
      </c>
      <c r="U174">
        <v>125.78</v>
      </c>
      <c r="V174">
        <v>90.81</v>
      </c>
      <c r="W174">
        <v>106.7</v>
      </c>
      <c r="AB174">
        <v>11.4796</v>
      </c>
      <c r="AC174">
        <v>0.65</v>
      </c>
      <c r="AD174" s="87">
        <f t="shared" si="16"/>
        <v>0.52777777777777779</v>
      </c>
      <c r="AE174" s="203">
        <f t="shared" si="17"/>
        <v>0.58888888888888891</v>
      </c>
      <c r="AF174" s="49">
        <f t="shared" si="18"/>
        <v>40.158434612563006</v>
      </c>
      <c r="AG174" s="49">
        <f t="shared" si="19"/>
        <v>105.26880871943408</v>
      </c>
      <c r="AH174" s="50">
        <f t="shared" si="20"/>
        <v>0.20985481742190934</v>
      </c>
      <c r="AI174" s="105">
        <f t="shared" si="21"/>
        <v>1.2949626723880396</v>
      </c>
      <c r="AJ174" s="311">
        <f>INDEX($AR$3:AS182,MATCH(COUNTA(O174:W174),$AR$3:$AR$12,0),2)</f>
        <v>1.75</v>
      </c>
      <c r="AK174" s="108">
        <f t="shared" si="22"/>
        <v>82.748000000000005</v>
      </c>
      <c r="AL174" s="310">
        <f t="shared" si="23"/>
        <v>7.2082650963448209</v>
      </c>
      <c r="AP174" s="147" t="s">
        <v>226</v>
      </c>
    </row>
    <row r="175" spans="1:42">
      <c r="A175" s="161" t="s">
        <v>228</v>
      </c>
      <c r="B175" s="197"/>
      <c r="C175">
        <v>580.45000000000005</v>
      </c>
      <c r="E175">
        <v>151.97999999999999</v>
      </c>
      <c r="F175">
        <v>73.36</v>
      </c>
      <c r="G175">
        <v>28.58</v>
      </c>
      <c r="H175">
        <v>413.8</v>
      </c>
      <c r="I175">
        <v>84.01</v>
      </c>
      <c r="J175">
        <v>42.5</v>
      </c>
      <c r="Q175">
        <v>151.97999999999999</v>
      </c>
      <c r="R175">
        <v>73.36</v>
      </c>
      <c r="S175">
        <v>28.58</v>
      </c>
      <c r="U175">
        <v>84.01</v>
      </c>
      <c r="V175">
        <v>42.5</v>
      </c>
      <c r="AB175">
        <v>6.8967000000000001</v>
      </c>
      <c r="AC175">
        <v>0.63</v>
      </c>
      <c r="AD175" s="87">
        <f t="shared" si="16"/>
        <v>0.52777777777777779</v>
      </c>
      <c r="AE175" s="203">
        <f t="shared" si="17"/>
        <v>0.5788888888888889</v>
      </c>
      <c r="AF175" s="49">
        <f t="shared" si="18"/>
        <v>56.423102245589121</v>
      </c>
      <c r="AG175" s="49">
        <f t="shared" si="19"/>
        <v>101.1758074281111</v>
      </c>
      <c r="AH175" s="50">
        <f t="shared" si="20"/>
        <v>0.55081037277147482</v>
      </c>
      <c r="AI175" s="105">
        <f t="shared" si="21"/>
        <v>1.767851287870384</v>
      </c>
      <c r="AJ175" s="311">
        <f>INDEX($AR$3:AS183,MATCH(COUNTA(O175:W175),$AR$3:$AR$12,0),2)</f>
        <v>1.75</v>
      </c>
      <c r="AK175" s="108">
        <f t="shared" si="22"/>
        <v>76.085999999999984</v>
      </c>
      <c r="AL175" s="310">
        <f t="shared" si="23"/>
        <v>11.032232806994648</v>
      </c>
      <c r="AP175" s="147" t="s">
        <v>226</v>
      </c>
    </row>
    <row r="176" spans="1:42">
      <c r="A176" s="161" t="s">
        <v>229</v>
      </c>
      <c r="B176" s="197"/>
      <c r="C176">
        <v>604.76</v>
      </c>
      <c r="E176">
        <v>163.22</v>
      </c>
      <c r="F176">
        <v>21.7</v>
      </c>
      <c r="G176">
        <v>23.31</v>
      </c>
      <c r="H176">
        <v>383.84</v>
      </c>
      <c r="I176">
        <v>142.19</v>
      </c>
      <c r="J176">
        <v>100.55</v>
      </c>
      <c r="K176">
        <v>63.41</v>
      </c>
      <c r="Q176">
        <v>163.22</v>
      </c>
      <c r="R176">
        <v>21.7</v>
      </c>
      <c r="S176">
        <v>23.31</v>
      </c>
      <c r="U176">
        <v>142.19</v>
      </c>
      <c r="V176">
        <v>100.55</v>
      </c>
      <c r="W176">
        <v>63.41</v>
      </c>
      <c r="Z176">
        <v>0.70699999999999996</v>
      </c>
      <c r="AA176">
        <v>0.122</v>
      </c>
      <c r="AB176">
        <v>8.6541700000000006</v>
      </c>
      <c r="AC176">
        <v>0.78</v>
      </c>
      <c r="AD176" s="87">
        <f t="shared" si="16"/>
        <v>0.58333333333333326</v>
      </c>
      <c r="AE176" s="203">
        <f t="shared" si="17"/>
        <v>0.68166666666666664</v>
      </c>
      <c r="AF176" s="49">
        <f t="shared" si="18"/>
        <v>63.722823449903842</v>
      </c>
      <c r="AG176" s="49">
        <f t="shared" si="19"/>
        <v>101.8135608589666</v>
      </c>
      <c r="AH176" s="50">
        <f t="shared" si="20"/>
        <v>0.14860090446579988</v>
      </c>
      <c r="AI176" s="105">
        <f t="shared" si="21"/>
        <v>1.4184623953317923</v>
      </c>
      <c r="AJ176" s="311">
        <f>INDEX($AR$3:AS184,MATCH(COUNTA(O176:W176),$AR$3:$AR$12,0),2)</f>
        <v>1.94</v>
      </c>
      <c r="AK176" s="108">
        <f t="shared" si="22"/>
        <v>85.73</v>
      </c>
      <c r="AL176" s="310">
        <f t="shared" si="23"/>
        <v>9.9062070654955932</v>
      </c>
      <c r="AP176" s="147" t="s">
        <v>42</v>
      </c>
    </row>
    <row r="177" spans="1:42">
      <c r="A177" s="161" t="s">
        <v>230</v>
      </c>
      <c r="B177" s="197"/>
      <c r="C177">
        <v>212.24</v>
      </c>
      <c r="E177">
        <v>91.57</v>
      </c>
      <c r="H177">
        <v>85.71</v>
      </c>
      <c r="J177">
        <v>38.369999999999997</v>
      </c>
      <c r="O177">
        <v>212.24</v>
      </c>
      <c r="Q177">
        <v>91.57</v>
      </c>
      <c r="T177">
        <v>85.71</v>
      </c>
      <c r="V177">
        <v>38.369999999999997</v>
      </c>
      <c r="Z177">
        <v>0.70699999999999996</v>
      </c>
      <c r="AA177">
        <v>0.122</v>
      </c>
      <c r="AB177">
        <v>7.3876200000000001</v>
      </c>
      <c r="AC177">
        <v>0.78</v>
      </c>
      <c r="AD177" s="87">
        <f t="shared" si="16"/>
        <v>0.47222222222222221</v>
      </c>
      <c r="AE177" s="203">
        <f t="shared" si="17"/>
        <v>0.62611111111111106</v>
      </c>
      <c r="AF177" s="49">
        <f t="shared" si="18"/>
        <v>59.997803926940755</v>
      </c>
      <c r="AG177" s="49">
        <f t="shared" si="19"/>
        <v>59.997803926940755</v>
      </c>
      <c r="AH177" s="50">
        <f t="shared" si="20"/>
        <v>0.69402427100707431</v>
      </c>
      <c r="AI177" s="105">
        <f t="shared" si="21"/>
        <v>1.6401622388885944</v>
      </c>
      <c r="AJ177" s="311">
        <f>INDEX($AR$3:AS185,MATCH(COUNTA(O177:W177),$AR$3:$AR$12,0),2)</f>
        <v>1.49</v>
      </c>
      <c r="AK177" s="108">
        <f t="shared" si="22"/>
        <v>106.9725</v>
      </c>
      <c r="AL177" s="310">
        <f t="shared" si="23"/>
        <v>14.479967838085878</v>
      </c>
      <c r="AP177" s="147" t="s">
        <v>42</v>
      </c>
    </row>
    <row r="178" spans="1:42">
      <c r="A178" s="161" t="s">
        <v>231</v>
      </c>
      <c r="B178" s="197"/>
      <c r="G178">
        <v>12.81</v>
      </c>
      <c r="S178">
        <v>12.81</v>
      </c>
      <c r="Z178">
        <v>0.81799999999999995</v>
      </c>
      <c r="AA178">
        <v>3.5000000000000003E-2</v>
      </c>
      <c r="AB178">
        <v>7.5310050000000004</v>
      </c>
      <c r="AC178">
        <v>0.75</v>
      </c>
      <c r="AD178" s="87">
        <f t="shared" si="16"/>
        <v>0.55555555555555558</v>
      </c>
      <c r="AE178" s="203">
        <f t="shared" si="17"/>
        <v>0.65277777777777779</v>
      </c>
      <c r="AF178" s="49">
        <f t="shared" si="18"/>
        <v>0</v>
      </c>
      <c r="AG178" s="49">
        <f t="shared" si="19"/>
        <v>0</v>
      </c>
      <c r="AH178" s="50" t="e">
        <f t="shared" si="20"/>
        <v>#NUM!</v>
      </c>
      <c r="AI178" s="105" t="e">
        <f t="shared" si="21"/>
        <v>#DIV/0!</v>
      </c>
      <c r="AJ178" s="311" t="e">
        <f>INDEX($AR$3:AS186,MATCH(COUNTA(O178:W178),$AR$3:$AR$12,0),2)</f>
        <v>#N/A</v>
      </c>
      <c r="AK178" s="108">
        <f t="shared" si="22"/>
        <v>12.81</v>
      </c>
      <c r="AL178" s="310">
        <f t="shared" si="23"/>
        <v>1.7009681974716522</v>
      </c>
      <c r="AP178" s="147" t="s">
        <v>42</v>
      </c>
    </row>
    <row r="179" spans="1:42">
      <c r="A179" s="161" t="s">
        <v>232</v>
      </c>
      <c r="B179" s="197"/>
      <c r="G179">
        <v>17.37</v>
      </c>
      <c r="J179">
        <v>10.54</v>
      </c>
      <c r="K179">
        <v>12.45</v>
      </c>
      <c r="S179">
        <v>17.37</v>
      </c>
      <c r="V179">
        <v>10.54</v>
      </c>
      <c r="W179">
        <v>12.45</v>
      </c>
      <c r="Z179">
        <v>0.50800000000000001</v>
      </c>
      <c r="AA179">
        <v>3.5000000000000003E-2</v>
      </c>
      <c r="AB179">
        <v>7.2204149999999991</v>
      </c>
      <c r="AC179">
        <v>0.57999999999999996</v>
      </c>
      <c r="AD179" s="87">
        <f t="shared" si="16"/>
        <v>0.66666666666666663</v>
      </c>
      <c r="AE179" s="203">
        <f t="shared" si="17"/>
        <v>0.62333333333333329</v>
      </c>
      <c r="AF179" s="49">
        <f t="shared" si="18"/>
        <v>21.386360766304961</v>
      </c>
      <c r="AG179" s="49">
        <f t="shared" si="19"/>
        <v>21.386360766304961</v>
      </c>
      <c r="AH179" s="50">
        <f t="shared" si="20"/>
        <v>0.72035139092240119</v>
      </c>
      <c r="AI179" s="105">
        <f t="shared" si="21"/>
        <v>1.3612873863749613</v>
      </c>
      <c r="AJ179" s="311">
        <f>INDEX($AR$3:AS186,MATCH(COUNTA(O179:W179),$AR$3:$AR$12,0),2)</f>
        <v>1.1499999999999999</v>
      </c>
      <c r="AK179" s="108">
        <f t="shared" si="22"/>
        <v>13.453333333333333</v>
      </c>
      <c r="AL179" s="310">
        <f t="shared" si="23"/>
        <v>1.8632354696140505</v>
      </c>
      <c r="AP179" s="147" t="s">
        <v>42</v>
      </c>
    </row>
    <row r="180" spans="1:42">
      <c r="A180" s="161" t="s">
        <v>233</v>
      </c>
      <c r="B180" s="197"/>
      <c r="Z180">
        <v>0.86099999999999999</v>
      </c>
      <c r="AA180">
        <v>3.5000000000000003E-2</v>
      </c>
      <c r="AB180">
        <v>6.5432199999999998</v>
      </c>
      <c r="AC180">
        <v>0.75</v>
      </c>
      <c r="AD180" s="87" t="e">
        <f t="shared" si="16"/>
        <v>#DIV/0!</v>
      </c>
      <c r="AE180" s="203" t="e">
        <f t="shared" si="17"/>
        <v>#DIV/0!</v>
      </c>
      <c r="AF180" s="49" t="e">
        <f t="shared" si="18"/>
        <v>#DIV/0!</v>
      </c>
      <c r="AG180" s="49" t="e">
        <f t="shared" si="19"/>
        <v>#DIV/0!</v>
      </c>
      <c r="AH180" s="50" t="e">
        <f t="shared" si="20"/>
        <v>#NUM!</v>
      </c>
      <c r="AI180" s="105" t="e">
        <f t="shared" si="21"/>
        <v>#DIV/0!</v>
      </c>
      <c r="AJ180" s="311" t="e">
        <f>INDEX($AR$3:AS186,MATCH(COUNTA(O180:W180),$AR$3:$AR$12,0),2)</f>
        <v>#N/A</v>
      </c>
      <c r="AK180" s="108" t="e">
        <f t="shared" si="22"/>
        <v>#DIV/0!</v>
      </c>
      <c r="AL180" s="310" t="str">
        <f t="shared" si="23"/>
        <v>n.d.</v>
      </c>
      <c r="AP180" s="147" t="s">
        <v>42</v>
      </c>
    </row>
    <row r="181" spans="1:42">
      <c r="A181" s="161" t="s">
        <v>234</v>
      </c>
      <c r="B181" s="197"/>
      <c r="AB181">
        <v>6.5395599999999998</v>
      </c>
      <c r="AD181" s="87" t="e">
        <f t="shared" si="16"/>
        <v>#DIV/0!</v>
      </c>
      <c r="AE181" s="203" t="e">
        <f t="shared" si="17"/>
        <v>#DIV/0!</v>
      </c>
      <c r="AF181" s="49" t="e">
        <f t="shared" si="18"/>
        <v>#DIV/0!</v>
      </c>
      <c r="AG181" s="49" t="e">
        <f t="shared" si="19"/>
        <v>#DIV/0!</v>
      </c>
      <c r="AH181" s="50" t="e">
        <f t="shared" si="20"/>
        <v>#NUM!</v>
      </c>
      <c r="AI181" s="105" t="e">
        <f t="shared" si="21"/>
        <v>#DIV/0!</v>
      </c>
      <c r="AJ181" s="311" t="e">
        <f>INDEX($AR$3:AS187,MATCH(COUNTA(O181:W181),$AR$3:$AR$12,0),2)</f>
        <v>#N/A</v>
      </c>
      <c r="AK181" s="108" t="e">
        <f t="shared" si="22"/>
        <v>#DIV/0!</v>
      </c>
      <c r="AL181" s="310" t="str">
        <f t="shared" si="23"/>
        <v>n.d.</v>
      </c>
      <c r="AP181" s="147" t="s">
        <v>226</v>
      </c>
    </row>
    <row r="182" spans="1:42">
      <c r="A182" s="161" t="s">
        <v>235</v>
      </c>
      <c r="B182" s="197"/>
      <c r="C182">
        <v>312.77999999999997</v>
      </c>
      <c r="E182">
        <v>150.16</v>
      </c>
      <c r="F182">
        <v>22.46</v>
      </c>
      <c r="H182">
        <v>193.86</v>
      </c>
      <c r="I182">
        <v>40.72</v>
      </c>
      <c r="J182">
        <v>99.97</v>
      </c>
      <c r="K182">
        <v>107.47</v>
      </c>
      <c r="Q182">
        <v>150.16</v>
      </c>
      <c r="R182">
        <v>22.46</v>
      </c>
      <c r="T182">
        <v>193.86</v>
      </c>
      <c r="U182">
        <v>40.72</v>
      </c>
      <c r="V182">
        <v>99.97</v>
      </c>
      <c r="W182">
        <v>107.47</v>
      </c>
      <c r="Z182">
        <v>0.70699999999999996</v>
      </c>
      <c r="AA182">
        <v>0.14799999999999999</v>
      </c>
      <c r="AB182">
        <v>12.27675</v>
      </c>
      <c r="AC182">
        <v>0.81</v>
      </c>
      <c r="AD182" s="87">
        <f t="shared" si="16"/>
        <v>0.58333333333333326</v>
      </c>
      <c r="AE182" s="203">
        <f t="shared" si="17"/>
        <v>0.69666666666666666</v>
      </c>
      <c r="AF182" s="49">
        <f t="shared" si="18"/>
        <v>57.575901088766493</v>
      </c>
      <c r="AG182" s="49">
        <f t="shared" si="19"/>
        <v>69.173905534881072</v>
      </c>
      <c r="AH182" s="50">
        <f t="shared" si="20"/>
        <v>0.25495915985997675</v>
      </c>
      <c r="AI182" s="105">
        <f t="shared" si="21"/>
        <v>1.5499971640449386</v>
      </c>
      <c r="AJ182" s="311">
        <f>INDEX($AR$3:AS188,MATCH(COUNTA(O182:W182),$AR$3:$AR$12,0),2)</f>
        <v>1.94</v>
      </c>
      <c r="AK182" s="108">
        <f t="shared" si="22"/>
        <v>102.44000000000001</v>
      </c>
      <c r="AL182" s="310">
        <f t="shared" si="23"/>
        <v>8.3442279104811945</v>
      </c>
      <c r="AP182" s="147" t="s">
        <v>42</v>
      </c>
    </row>
    <row r="183" spans="1:42">
      <c r="A183" s="161" t="s">
        <v>236</v>
      </c>
      <c r="B183" s="197"/>
      <c r="C183">
        <v>292.27</v>
      </c>
      <c r="F183">
        <v>10.67</v>
      </c>
      <c r="H183">
        <v>241.36</v>
      </c>
      <c r="J183">
        <v>90.67</v>
      </c>
      <c r="O183">
        <v>292.27</v>
      </c>
      <c r="R183">
        <v>10.67</v>
      </c>
      <c r="T183">
        <v>241.36</v>
      </c>
      <c r="V183">
        <v>90.67</v>
      </c>
      <c r="Z183">
        <v>0.70699999999999996</v>
      </c>
      <c r="AA183">
        <v>0.14799999999999999</v>
      </c>
      <c r="AB183">
        <v>6.5768300000000002</v>
      </c>
      <c r="AC183">
        <v>0.51</v>
      </c>
      <c r="AD183" s="87">
        <f t="shared" si="16"/>
        <v>0.22222222222222221</v>
      </c>
      <c r="AE183" s="203">
        <f t="shared" si="17"/>
        <v>0.36611111111111111</v>
      </c>
      <c r="AF183" s="49">
        <f t="shared" si="18"/>
        <v>71.280965827632912</v>
      </c>
      <c r="AG183" s="49">
        <f t="shared" si="19"/>
        <v>71.280965827632912</v>
      </c>
      <c r="AH183" s="50">
        <f t="shared" si="20"/>
        <v>0.18078835227272719</v>
      </c>
      <c r="AI183" s="105">
        <f t="shared" si="21"/>
        <v>1.1800595575699671</v>
      </c>
      <c r="AJ183" s="311">
        <f>INDEX($AR$3:AS189,MATCH(COUNTA(O183:W183),$AR$3:$AR$12,0),2)</f>
        <v>1.49</v>
      </c>
      <c r="AK183" s="108">
        <f t="shared" si="22"/>
        <v>158.74249999999998</v>
      </c>
      <c r="AL183" s="310">
        <f t="shared" si="23"/>
        <v>24.136628132398126</v>
      </c>
      <c r="AP183" s="147" t="s">
        <v>42</v>
      </c>
    </row>
    <row r="184" spans="1:42">
      <c r="A184" s="161" t="s">
        <v>237</v>
      </c>
      <c r="B184" s="197"/>
      <c r="Z184">
        <v>0.70699999999999996</v>
      </c>
      <c r="AA184">
        <v>0.34799999999999998</v>
      </c>
      <c r="AB184">
        <v>4.1054899999999996</v>
      </c>
      <c r="AC184">
        <v>0.42</v>
      </c>
      <c r="AD184" s="87" t="e">
        <f t="shared" si="16"/>
        <v>#DIV/0!</v>
      </c>
      <c r="AE184" s="203" t="e">
        <f t="shared" si="17"/>
        <v>#DIV/0!</v>
      </c>
      <c r="AF184" s="49" t="e">
        <f t="shared" si="18"/>
        <v>#DIV/0!</v>
      </c>
      <c r="AG184" s="49" t="e">
        <f t="shared" si="19"/>
        <v>#DIV/0!</v>
      </c>
      <c r="AH184" s="50" t="e">
        <f t="shared" si="20"/>
        <v>#NUM!</v>
      </c>
      <c r="AI184" s="105" t="e">
        <f t="shared" si="21"/>
        <v>#DIV/0!</v>
      </c>
      <c r="AJ184" s="311" t="e">
        <f>INDEX($AR$3:AS190,MATCH(COUNTA(O184:W184),$AR$3:$AR$12,0),2)</f>
        <v>#N/A</v>
      </c>
      <c r="AK184" s="108" t="e">
        <f t="shared" si="22"/>
        <v>#DIV/0!</v>
      </c>
      <c r="AL184" s="310" t="str">
        <f t="shared" si="23"/>
        <v>n.d.</v>
      </c>
      <c r="AP184" s="147" t="s">
        <v>42</v>
      </c>
    </row>
    <row r="185" spans="1:42">
      <c r="A185" s="161" t="s">
        <v>238</v>
      </c>
      <c r="B185" s="197"/>
      <c r="C185">
        <v>404.8</v>
      </c>
      <c r="E185">
        <v>164.02</v>
      </c>
      <c r="F185">
        <v>58.37</v>
      </c>
      <c r="G185">
        <v>48.58</v>
      </c>
      <c r="H185">
        <v>230.23</v>
      </c>
      <c r="I185">
        <v>129.80000000000001</v>
      </c>
      <c r="J185">
        <v>111.64</v>
      </c>
      <c r="K185">
        <v>190.54</v>
      </c>
      <c r="Q185">
        <v>164.02</v>
      </c>
      <c r="R185">
        <v>58.37</v>
      </c>
      <c r="S185">
        <v>48.58</v>
      </c>
      <c r="T185">
        <v>230.23</v>
      </c>
      <c r="U185">
        <v>129.80000000000001</v>
      </c>
      <c r="V185">
        <v>111.64</v>
      </c>
      <c r="W185">
        <v>190.54</v>
      </c>
      <c r="Z185">
        <v>0.70699999999999996</v>
      </c>
      <c r="AA185">
        <v>0.34799999999999998</v>
      </c>
      <c r="AB185">
        <v>7.0180100000000003</v>
      </c>
      <c r="AC185">
        <v>0.81</v>
      </c>
      <c r="AD185" s="87">
        <f t="shared" si="16"/>
        <v>0.63888888888888884</v>
      </c>
      <c r="AE185" s="203">
        <f t="shared" si="17"/>
        <v>0.72444444444444445</v>
      </c>
      <c r="AF185" s="49">
        <f t="shared" si="18"/>
        <v>46.49117370471393</v>
      </c>
      <c r="AG185" s="49">
        <f t="shared" si="19"/>
        <v>63.903563699556841</v>
      </c>
      <c r="AH185" s="50">
        <f t="shared" si="20"/>
        <v>0.2184971098265896</v>
      </c>
      <c r="AI185" s="105">
        <f t="shared" si="21"/>
        <v>1.5637564400485304</v>
      </c>
      <c r="AJ185" s="311">
        <f>INDEX($AR$3:AS191,MATCH(COUNTA(O185:W185),$AR$3:$AR$12,0),2)</f>
        <v>2.1</v>
      </c>
      <c r="AK185" s="108">
        <f t="shared" si="22"/>
        <v>133.31142857142856</v>
      </c>
      <c r="AL185" s="310">
        <f t="shared" si="23"/>
        <v>18.995616787583455</v>
      </c>
      <c r="AP185" s="147" t="s">
        <v>42</v>
      </c>
    </row>
    <row r="186" spans="1:42">
      <c r="A186" s="342" t="s">
        <v>239</v>
      </c>
      <c r="B186" s="197"/>
      <c r="AB186">
        <v>7.1787899999999988E-2</v>
      </c>
      <c r="AD186" s="87" t="e">
        <f t="shared" si="16"/>
        <v>#DIV/0!</v>
      </c>
      <c r="AE186" s="203" t="e">
        <f t="shared" si="17"/>
        <v>#DIV/0!</v>
      </c>
      <c r="AF186" s="49" t="e">
        <f t="shared" si="18"/>
        <v>#DIV/0!</v>
      </c>
      <c r="AG186" s="49" t="e">
        <f t="shared" si="19"/>
        <v>#DIV/0!</v>
      </c>
      <c r="AH186" s="50" t="e">
        <f t="shared" si="20"/>
        <v>#NUM!</v>
      </c>
      <c r="AI186" s="105" t="e">
        <f t="shared" si="21"/>
        <v>#DIV/0!</v>
      </c>
      <c r="AJ186" s="311" t="e">
        <f>INDEX($AR$3:AS192,MATCH(COUNTA(O186:W186),$AR$3:$AR$12,0),2)</f>
        <v>#N/A</v>
      </c>
      <c r="AK186" s="108" t="e">
        <f t="shared" si="22"/>
        <v>#DIV/0!</v>
      </c>
      <c r="AL186" s="310" t="str">
        <f t="shared" si="23"/>
        <v>n.d.</v>
      </c>
      <c r="AP186" s="147" t="s">
        <v>64</v>
      </c>
    </row>
    <row r="187" spans="1:42" s="51" customFormat="1">
      <c r="A187" s="162" t="s">
        <v>240</v>
      </c>
      <c r="B187" s="198"/>
      <c r="C187" s="51">
        <v>277.68</v>
      </c>
      <c r="E187" s="51">
        <v>94.07</v>
      </c>
      <c r="G187" s="51">
        <v>22.02</v>
      </c>
      <c r="H187" s="51">
        <v>162.9</v>
      </c>
      <c r="I187" s="51">
        <v>75.37</v>
      </c>
      <c r="J187" s="51">
        <v>103.99</v>
      </c>
      <c r="K187" s="51">
        <v>99.88</v>
      </c>
      <c r="N187" s="306"/>
      <c r="Q187" s="51">
        <v>94.07</v>
      </c>
      <c r="S187" s="51">
        <v>22.02</v>
      </c>
      <c r="T187" s="51">
        <v>162.9</v>
      </c>
      <c r="U187" s="51">
        <v>75.37</v>
      </c>
      <c r="V187" s="51">
        <v>103.99</v>
      </c>
      <c r="W187" s="51">
        <v>99.88</v>
      </c>
      <c r="Y187" s="78"/>
      <c r="Z187" s="51">
        <v>0.71699999999999997</v>
      </c>
      <c r="AA187" s="51">
        <v>0.308</v>
      </c>
      <c r="AB187" s="51">
        <v>5.5142600000000002</v>
      </c>
      <c r="AC187" s="51">
        <v>0.93</v>
      </c>
      <c r="AD187" s="89">
        <f t="shared" si="16"/>
        <v>0.58333333333333326</v>
      </c>
      <c r="AE187" s="68">
        <f t="shared" si="17"/>
        <v>0.7566666666666666</v>
      </c>
      <c r="AF187" s="69">
        <f t="shared" si="18"/>
        <v>44.757682332504238</v>
      </c>
      <c r="AG187" s="69">
        <f t="shared" si="19"/>
        <v>63.00600088809464</v>
      </c>
      <c r="AH187" s="70">
        <f t="shared" si="20"/>
        <v>0.41815729699034648</v>
      </c>
      <c r="AI187" s="104">
        <f t="shared" si="21"/>
        <v>1.6776811724478136</v>
      </c>
      <c r="AJ187" s="71">
        <f>INDEX($AR$3:AS193,MATCH(COUNTA(O187:W187),$AR$3:$AR$12,0),2)</f>
        <v>1.94</v>
      </c>
      <c r="AK187" s="107">
        <f t="shared" si="22"/>
        <v>93.038333333333341</v>
      </c>
      <c r="AL187" s="90">
        <f t="shared" si="23"/>
        <v>16.872315294043688</v>
      </c>
      <c r="AO187" s="78"/>
      <c r="AP187" s="148" t="s">
        <v>146</v>
      </c>
    </row>
    <row r="188" spans="1:42">
      <c r="A188" s="162" t="s">
        <v>241</v>
      </c>
      <c r="B188" s="199"/>
      <c r="C188">
        <v>202.5</v>
      </c>
      <c r="E188">
        <v>153.91</v>
      </c>
      <c r="F188">
        <v>31.26</v>
      </c>
      <c r="G188">
        <v>34.97</v>
      </c>
      <c r="H188">
        <v>425.41</v>
      </c>
      <c r="I188">
        <v>167.14</v>
      </c>
      <c r="J188">
        <v>177.68</v>
      </c>
      <c r="K188">
        <v>168.51</v>
      </c>
      <c r="O188">
        <v>202.5</v>
      </c>
      <c r="Q188">
        <v>153.91</v>
      </c>
      <c r="R188">
        <v>31.26</v>
      </c>
      <c r="S188">
        <v>34.97</v>
      </c>
      <c r="U188">
        <v>167.14</v>
      </c>
      <c r="V188">
        <v>177.68</v>
      </c>
      <c r="W188">
        <v>168.51</v>
      </c>
      <c r="Z188">
        <v>0.63600000000000001</v>
      </c>
      <c r="AA188">
        <v>0.308</v>
      </c>
      <c r="AB188">
        <v>8.6348099999999999</v>
      </c>
      <c r="AC188">
        <v>0.63</v>
      </c>
      <c r="AD188" s="87">
        <f t="shared" si="16"/>
        <v>0.63888888888888884</v>
      </c>
      <c r="AE188" s="203">
        <f t="shared" si="17"/>
        <v>0.63444444444444437</v>
      </c>
      <c r="AF188" s="49">
        <f t="shared" si="18"/>
        <v>48.672348494797994</v>
      </c>
      <c r="AG188" s="49">
        <f t="shared" si="19"/>
        <v>67.033501802849656</v>
      </c>
      <c r="AH188" s="50">
        <f t="shared" si="20"/>
        <v>0.14494277038075212</v>
      </c>
      <c r="AI188" s="105">
        <f t="shared" si="21"/>
        <v>1.0570100551754544</v>
      </c>
      <c r="AJ188" s="311">
        <f>INDEX($AR$3:AS194,MATCH(COUNTA(O188:W188),$AR$3:$AR$12,0),2)</f>
        <v>2.1</v>
      </c>
      <c r="AK188" s="108">
        <f t="shared" si="22"/>
        <v>133.71</v>
      </c>
      <c r="AL188" s="310">
        <f t="shared" si="23"/>
        <v>15.484996195631405</v>
      </c>
      <c r="AP188" s="147" t="s">
        <v>146</v>
      </c>
    </row>
    <row r="189" spans="1:42">
      <c r="A189" s="162" t="s">
        <v>242</v>
      </c>
      <c r="B189" s="199"/>
      <c r="C189">
        <v>320.64</v>
      </c>
      <c r="E189">
        <v>145.72</v>
      </c>
      <c r="F189">
        <v>45.65</v>
      </c>
      <c r="G189">
        <v>56.97</v>
      </c>
      <c r="H189">
        <v>792.14</v>
      </c>
      <c r="I189">
        <v>237.39</v>
      </c>
      <c r="J189">
        <v>231.24</v>
      </c>
      <c r="K189">
        <v>167.42</v>
      </c>
      <c r="O189">
        <v>320.64</v>
      </c>
      <c r="Q189">
        <v>145.72</v>
      </c>
      <c r="R189">
        <v>45.65</v>
      </c>
      <c r="S189">
        <v>56.97</v>
      </c>
      <c r="U189">
        <v>237.39</v>
      </c>
      <c r="V189">
        <v>231.24</v>
      </c>
      <c r="W189">
        <v>167.42</v>
      </c>
      <c r="Z189">
        <v>0.86399999999999999</v>
      </c>
      <c r="AA189">
        <v>0.308</v>
      </c>
      <c r="AB189">
        <v>9.2441649999999989</v>
      </c>
      <c r="AC189">
        <v>0.53</v>
      </c>
      <c r="AD189" s="87">
        <f t="shared" si="16"/>
        <v>0.63888888888888884</v>
      </c>
      <c r="AE189" s="203">
        <f t="shared" si="17"/>
        <v>0.58444444444444443</v>
      </c>
      <c r="AF189" s="49">
        <f t="shared" si="18"/>
        <v>53.685090771806912</v>
      </c>
      <c r="AG189" s="49">
        <f t="shared" si="19"/>
        <v>89.135003788424754</v>
      </c>
      <c r="AH189" s="50">
        <f t="shared" si="20"/>
        <v>0.30273828139205061</v>
      </c>
      <c r="AI189" s="105">
        <f t="shared" si="21"/>
        <v>1.6067638522119501</v>
      </c>
      <c r="AJ189" s="311">
        <f>INDEX($AR$3:AS195,MATCH(COUNTA(O189:W189),$AR$3:$AR$12,0),2)</f>
        <v>2.1</v>
      </c>
      <c r="AK189" s="108">
        <f t="shared" si="22"/>
        <v>172.14714285714288</v>
      </c>
      <c r="AL189" s="310">
        <f t="shared" si="23"/>
        <v>18.622249046522093</v>
      </c>
      <c r="AP189" s="147" t="s">
        <v>146</v>
      </c>
    </row>
    <row r="190" spans="1:42">
      <c r="A190" s="162" t="s">
        <v>243</v>
      </c>
      <c r="B190" s="199"/>
      <c r="E190">
        <v>73.88</v>
      </c>
      <c r="H190">
        <v>182.73</v>
      </c>
      <c r="J190">
        <v>59.76</v>
      </c>
      <c r="K190">
        <v>53.82</v>
      </c>
      <c r="Q190">
        <v>73.88</v>
      </c>
      <c r="V190">
        <v>59.76</v>
      </c>
      <c r="W190">
        <v>53.82</v>
      </c>
      <c r="Z190">
        <v>0.52</v>
      </c>
      <c r="AA190">
        <v>5.7000000000000002E-2</v>
      </c>
      <c r="AB190">
        <v>8.5557249999999989</v>
      </c>
      <c r="AC190">
        <v>0.52</v>
      </c>
      <c r="AD190" s="87">
        <f t="shared" si="16"/>
        <v>0.66666666666666663</v>
      </c>
      <c r="AE190" s="203">
        <f t="shared" si="17"/>
        <v>0.59333333333333327</v>
      </c>
      <c r="AF190" s="49">
        <f t="shared" si="18"/>
        <v>13.464247967128099</v>
      </c>
      <c r="AG190" s="49">
        <f t="shared" si="19"/>
        <v>56.807832876410345</v>
      </c>
      <c r="AH190" s="50">
        <f t="shared" si="20"/>
        <v>0.70388833499501502</v>
      </c>
      <c r="AI190" s="105">
        <f t="shared" si="21"/>
        <v>1.3541954316428966</v>
      </c>
      <c r="AJ190" s="311">
        <f>INDEX($AR$3:AS196,MATCH(COUNTA(O190:W190),$AR$3:$AR$12,0),2)</f>
        <v>1.1499999999999999</v>
      </c>
      <c r="AK190" s="108">
        <f t="shared" si="22"/>
        <v>62.486666666666657</v>
      </c>
      <c r="AL190" s="310">
        <f t="shared" si="23"/>
        <v>7.3034917165601589</v>
      </c>
      <c r="AP190" s="147" t="s">
        <v>244</v>
      </c>
    </row>
    <row r="191" spans="1:42">
      <c r="A191" s="162" t="s">
        <v>245</v>
      </c>
      <c r="B191" s="199"/>
      <c r="C191">
        <v>363.4</v>
      </c>
      <c r="H191">
        <v>812.08</v>
      </c>
      <c r="I191">
        <v>84.62</v>
      </c>
      <c r="J191">
        <v>132.43</v>
      </c>
      <c r="U191">
        <v>84.62</v>
      </c>
      <c r="V191">
        <v>132.43</v>
      </c>
      <c r="Z191">
        <v>0.77600000000000002</v>
      </c>
      <c r="AA191">
        <v>5.7000000000000002E-2</v>
      </c>
      <c r="AB191">
        <v>12.1275</v>
      </c>
      <c r="AC191">
        <v>0.55000000000000004</v>
      </c>
      <c r="AD191" s="87">
        <f t="shared" si="16"/>
        <v>0.61111111111111116</v>
      </c>
      <c r="AE191" s="203">
        <f t="shared" si="17"/>
        <v>0.5805555555555556</v>
      </c>
      <c r="AF191" s="49">
        <f t="shared" si="18"/>
        <v>22.027182676802575</v>
      </c>
      <c r="AG191" s="49">
        <f t="shared" si="19"/>
        <v>82.686068174455045</v>
      </c>
      <c r="AH191" s="50">
        <f t="shared" si="20"/>
        <v>1</v>
      </c>
      <c r="AI191" s="105">
        <f t="shared" si="21"/>
        <v>1.0000000000000002</v>
      </c>
      <c r="AJ191" s="311" t="e">
        <f>INDEX($AR$3:AS197,MATCH(COUNTA(O191:W191),$AR$3:$AR$12,0),2)</f>
        <v>#N/A</v>
      </c>
      <c r="AK191" s="108">
        <f t="shared" si="22"/>
        <v>108.52500000000001</v>
      </c>
      <c r="AL191" s="310">
        <f t="shared" si="23"/>
        <v>8.9486703772418075</v>
      </c>
      <c r="AP191" s="147" t="s">
        <v>244</v>
      </c>
    </row>
    <row r="192" spans="1:42">
      <c r="A192" s="162" t="s">
        <v>246</v>
      </c>
      <c r="B192" s="199"/>
      <c r="C192">
        <v>278.2</v>
      </c>
      <c r="E192">
        <v>98.25</v>
      </c>
      <c r="F192">
        <v>8.76</v>
      </c>
      <c r="H192">
        <v>585.57000000000005</v>
      </c>
      <c r="J192">
        <v>117.13</v>
      </c>
      <c r="K192">
        <v>83.43</v>
      </c>
      <c r="Q192">
        <v>98.25</v>
      </c>
      <c r="R192">
        <v>8.76</v>
      </c>
      <c r="V192">
        <v>117.13</v>
      </c>
      <c r="W192">
        <v>83.43</v>
      </c>
      <c r="Z192">
        <v>0.91</v>
      </c>
      <c r="AA192">
        <v>5.7000000000000002E-2</v>
      </c>
      <c r="AB192">
        <v>7.9963800000000003</v>
      </c>
      <c r="AC192">
        <v>0.65</v>
      </c>
      <c r="AD192" s="87">
        <f t="shared" si="16"/>
        <v>0.47222222222222221</v>
      </c>
      <c r="AE192" s="203">
        <f t="shared" si="17"/>
        <v>0.56111111111111112</v>
      </c>
      <c r="AF192" s="49">
        <f t="shared" si="18"/>
        <v>53.463648103875308</v>
      </c>
      <c r="AG192" s="49">
        <f t="shared" si="19"/>
        <v>98.535556059645842</v>
      </c>
      <c r="AH192" s="50">
        <f t="shared" si="20"/>
        <v>0.17421795699916948</v>
      </c>
      <c r="AI192" s="105">
        <f t="shared" si="21"/>
        <v>0.97878750987679075</v>
      </c>
      <c r="AJ192" s="311">
        <f>INDEX($AR$3:AS198,MATCH(COUNTA(O192:W192),$AR$3:$AR$12,0),2)</f>
        <v>1.49</v>
      </c>
      <c r="AK192" s="108">
        <f t="shared" si="22"/>
        <v>76.892499999999998</v>
      </c>
      <c r="AL192" s="310">
        <f t="shared" si="23"/>
        <v>9.6159137009496796</v>
      </c>
      <c r="AP192" s="147" t="s">
        <v>244</v>
      </c>
    </row>
    <row r="193" spans="1:42">
      <c r="A193" s="162" t="s">
        <v>247</v>
      </c>
      <c r="B193" s="199"/>
      <c r="C193">
        <v>287.39</v>
      </c>
      <c r="E193">
        <v>58.3</v>
      </c>
      <c r="F193">
        <v>30.49</v>
      </c>
      <c r="H193">
        <v>389.25</v>
      </c>
      <c r="J193">
        <v>95.74</v>
      </c>
      <c r="O193">
        <v>287.39</v>
      </c>
      <c r="Q193">
        <v>58.3</v>
      </c>
      <c r="R193">
        <v>30.49</v>
      </c>
      <c r="T193">
        <v>389.25</v>
      </c>
      <c r="V193">
        <v>95.74</v>
      </c>
      <c r="Z193">
        <v>0.70699999999999996</v>
      </c>
      <c r="AA193">
        <v>4.3999999999999997E-2</v>
      </c>
      <c r="AB193">
        <v>9.1964899999999989</v>
      </c>
      <c r="AC193">
        <v>0.61</v>
      </c>
      <c r="AD193" s="87">
        <f t="shared" si="16"/>
        <v>0.27777777777777779</v>
      </c>
      <c r="AE193" s="203">
        <f t="shared" si="17"/>
        <v>0.44388888888888889</v>
      </c>
      <c r="AF193" s="49">
        <f t="shared" si="18"/>
        <v>81.81408630863568</v>
      </c>
      <c r="AG193" s="49">
        <f t="shared" si="19"/>
        <v>81.81408630863568</v>
      </c>
      <c r="AH193" s="50">
        <f t="shared" si="20"/>
        <v>0.28392239937562719</v>
      </c>
      <c r="AI193" s="105">
        <f t="shared" si="21"/>
        <v>1.5400853225568385</v>
      </c>
      <c r="AJ193" s="311">
        <f>INDEX($AR$3:AS199,MATCH(COUNTA(O193:W193),$AR$3:$AR$12,0),2)</f>
        <v>1.75</v>
      </c>
      <c r="AK193" s="108">
        <f t="shared" si="22"/>
        <v>172.23400000000001</v>
      </c>
      <c r="AL193" s="310">
        <f t="shared" si="23"/>
        <v>18.728232184235509</v>
      </c>
      <c r="AP193" s="147" t="s">
        <v>244</v>
      </c>
    </row>
    <row r="194" spans="1:42">
      <c r="A194" s="162" t="s">
        <v>248</v>
      </c>
      <c r="B194" s="199"/>
      <c r="E194">
        <v>43.01</v>
      </c>
      <c r="H194">
        <v>78.91</v>
      </c>
      <c r="J194">
        <v>53.21</v>
      </c>
      <c r="K194">
        <v>65.239999999999995</v>
      </c>
      <c r="Q194">
        <v>43.01</v>
      </c>
      <c r="T194">
        <v>78.91</v>
      </c>
      <c r="V194">
        <v>53.21</v>
      </c>
      <c r="W194">
        <v>65.239999999999995</v>
      </c>
      <c r="Z194">
        <v>0.70699999999999996</v>
      </c>
      <c r="AA194">
        <v>4.3999999999999997E-2</v>
      </c>
      <c r="AB194">
        <v>7.59185</v>
      </c>
      <c r="AC194">
        <v>0.52</v>
      </c>
      <c r="AD194" s="87">
        <f t="shared" ref="AD194:AD257" si="24">(COUNT(O194:W194)*(1/(COUNT(O194:W194)+COUNTBLANK(O194:W194)))+(IF(AF194&lt;35,1,IF(AF194&lt;70,0.5,IF(AF194&gt;70,0)))))/2</f>
        <v>0.72222222222222221</v>
      </c>
      <c r="AE194" s="203">
        <f t="shared" ref="AE194:AE257" si="25">AVERAGE(AC194:AD194)</f>
        <v>0.62111111111111117</v>
      </c>
      <c r="AF194" s="49">
        <f t="shared" ref="AF194:AF257" si="26">((_xlfn.STDEV.P(O194:W194))/(AVERAGE(O194:W194)))*100</f>
        <v>22.32278184031669</v>
      </c>
      <c r="AG194" s="49">
        <f t="shared" ref="AG194:AG257" si="27">((_xlfn.STDEV.P(C194:K194))/(AVERAGE(C194:K194)))*100</f>
        <v>22.32278184031669</v>
      </c>
      <c r="AH194" s="50">
        <f t="shared" ref="AH194:AH257" si="28">(ABS((LARGE(O194:W194,2) -MAX(O194:W194))))/(ABS(MIN(O194:W194)-MAX(O194:W194)))</f>
        <v>0.38077994428969364</v>
      </c>
      <c r="AI194" s="105">
        <f t="shared" ref="AI194:AI257" si="29">(ABS(MAX(O194:W194)-AVERAGE(O194:W194))/_xlfn.STDEV.P(O194:W194))</f>
        <v>1.4027921846307465</v>
      </c>
      <c r="AJ194" s="311">
        <f>INDEX($AR$3:AS200,MATCH(COUNTA(O194:W194),$AR$3:$AR$12,0),2)</f>
        <v>1.49</v>
      </c>
      <c r="AK194" s="108">
        <f t="shared" ref="AK194:AK217" si="30">AVERAGE(O194:W194)</f>
        <v>60.092500000000001</v>
      </c>
      <c r="AL194" s="310">
        <f t="shared" ref="AL194:AL251" si="31">IF(AND(O194="",Q194="",S194="",U194="",W194=""),"n.d.", AK194/AB194)</f>
        <v>7.915396115571304</v>
      </c>
      <c r="AP194" s="147" t="s">
        <v>244</v>
      </c>
    </row>
    <row r="195" spans="1:42">
      <c r="A195" s="162" t="s">
        <v>249</v>
      </c>
      <c r="B195" s="199"/>
      <c r="C195">
        <v>491.26</v>
      </c>
      <c r="E195">
        <v>84.02</v>
      </c>
      <c r="H195">
        <v>267.64</v>
      </c>
      <c r="J195">
        <v>132.68</v>
      </c>
      <c r="K195">
        <v>131.9</v>
      </c>
      <c r="Q195">
        <v>84.02</v>
      </c>
      <c r="V195">
        <v>132.68</v>
      </c>
      <c r="W195">
        <v>131.9</v>
      </c>
      <c r="Z195">
        <v>0.70699999999999996</v>
      </c>
      <c r="AA195">
        <v>0.17599999999999999</v>
      </c>
      <c r="AB195">
        <v>9.1481399999999997</v>
      </c>
      <c r="AC195">
        <v>0.47</v>
      </c>
      <c r="AD195" s="87">
        <f t="shared" si="24"/>
        <v>0.66666666666666663</v>
      </c>
      <c r="AE195" s="203">
        <f t="shared" si="25"/>
        <v>0.56833333333333336</v>
      </c>
      <c r="AF195" s="49">
        <f t="shared" si="26"/>
        <v>19.584272135105465</v>
      </c>
      <c r="AG195" s="49">
        <f t="shared" si="27"/>
        <v>66.877301951395822</v>
      </c>
      <c r="AH195" s="50">
        <f t="shared" si="28"/>
        <v>1.6029593094944533E-2</v>
      </c>
      <c r="AI195" s="105">
        <f t="shared" si="29"/>
        <v>0.72417519344717585</v>
      </c>
      <c r="AJ195" s="311">
        <f>INDEX($AR$3:AS201,MATCH(COUNTA(O195:W195),$AR$3:$AR$12,0),2)</f>
        <v>1.1499999999999999</v>
      </c>
      <c r="AK195" s="108">
        <f t="shared" si="30"/>
        <v>116.2</v>
      </c>
      <c r="AL195" s="310">
        <f t="shared" si="31"/>
        <v>12.702035605051957</v>
      </c>
      <c r="AP195" s="147" t="s">
        <v>244</v>
      </c>
    </row>
    <row r="196" spans="1:42">
      <c r="A196" s="162" t="s">
        <v>250</v>
      </c>
      <c r="B196" s="199"/>
      <c r="E196">
        <v>69.959999999999994</v>
      </c>
      <c r="H196">
        <v>74.959999999999994</v>
      </c>
      <c r="J196">
        <v>60.46</v>
      </c>
      <c r="K196">
        <v>95.94</v>
      </c>
      <c r="Q196">
        <v>69.959999999999994</v>
      </c>
      <c r="T196">
        <v>74.959999999999994</v>
      </c>
      <c r="V196">
        <v>60.46</v>
      </c>
      <c r="W196">
        <v>95.94</v>
      </c>
      <c r="Z196">
        <v>0.70699999999999996</v>
      </c>
      <c r="AA196">
        <v>0.17599999999999999</v>
      </c>
      <c r="AB196">
        <v>5.17957</v>
      </c>
      <c r="AC196">
        <v>0.52</v>
      </c>
      <c r="AD196" s="87">
        <f t="shared" si="24"/>
        <v>0.72222222222222221</v>
      </c>
      <c r="AE196" s="203">
        <f t="shared" si="25"/>
        <v>0.62111111111111117</v>
      </c>
      <c r="AF196" s="49">
        <f t="shared" si="26"/>
        <v>17.242879041627589</v>
      </c>
      <c r="AG196" s="49">
        <f t="shared" si="27"/>
        <v>17.242879041627589</v>
      </c>
      <c r="AH196" s="50">
        <f t="shared" si="28"/>
        <v>0.59131905298759879</v>
      </c>
      <c r="AI196" s="105">
        <f t="shared" si="29"/>
        <v>1.5867198056743892</v>
      </c>
      <c r="AJ196" s="311">
        <f>INDEX($AR$3:AS201,MATCH(COUNTA(O196:W196),$AR$3:$AR$12,0),2)</f>
        <v>1.49</v>
      </c>
      <c r="AK196" s="108">
        <f t="shared" si="30"/>
        <v>75.33</v>
      </c>
      <c r="AL196" s="310">
        <f t="shared" si="31"/>
        <v>14.543678336232544</v>
      </c>
      <c r="AP196" s="147" t="s">
        <v>244</v>
      </c>
    </row>
    <row r="197" spans="1:42">
      <c r="A197" s="162" t="s">
        <v>251</v>
      </c>
      <c r="B197" s="199"/>
      <c r="C197">
        <v>162.1</v>
      </c>
      <c r="E197">
        <v>84.01</v>
      </c>
      <c r="F197">
        <v>39.159999999999997</v>
      </c>
      <c r="H197">
        <v>90.83</v>
      </c>
      <c r="J197">
        <v>47.16</v>
      </c>
      <c r="Q197">
        <v>84.01</v>
      </c>
      <c r="R197">
        <v>39.159999999999997</v>
      </c>
      <c r="T197">
        <v>90.83</v>
      </c>
      <c r="V197">
        <v>47.16</v>
      </c>
      <c r="Z197">
        <v>0.70699999999999996</v>
      </c>
      <c r="AA197">
        <v>5.2999999999999999E-2</v>
      </c>
      <c r="AB197">
        <v>9.0249299999999995</v>
      </c>
      <c r="AC197">
        <v>0.63</v>
      </c>
      <c r="AD197" s="87">
        <f t="shared" si="24"/>
        <v>0.72222222222222221</v>
      </c>
      <c r="AE197" s="203">
        <f t="shared" si="25"/>
        <v>0.67611111111111111</v>
      </c>
      <c r="AF197" s="49">
        <f t="shared" si="26"/>
        <v>34.369644591172502</v>
      </c>
      <c r="AG197" s="49">
        <f t="shared" si="27"/>
        <v>51.524339415985366</v>
      </c>
      <c r="AH197" s="50">
        <f t="shared" si="28"/>
        <v>0.13199148442035985</v>
      </c>
      <c r="AI197" s="105">
        <f t="shared" si="29"/>
        <v>1.1381491623724345</v>
      </c>
      <c r="AJ197" s="311">
        <f>INDEX($AR$3:AS201,MATCH(COUNTA(O197:W197),$AR$3:$AR$12,0),2)</f>
        <v>1.49</v>
      </c>
      <c r="AK197" s="108">
        <f t="shared" si="30"/>
        <v>65.289999999999992</v>
      </c>
      <c r="AL197" s="310">
        <f t="shared" si="31"/>
        <v>7.2344051422005489</v>
      </c>
      <c r="AP197" s="147" t="s">
        <v>244</v>
      </c>
    </row>
    <row r="198" spans="1:42">
      <c r="A198" s="162" t="s">
        <v>252</v>
      </c>
      <c r="B198" s="199"/>
      <c r="C198">
        <v>167.34</v>
      </c>
      <c r="E198">
        <v>92.77</v>
      </c>
      <c r="F198">
        <v>18.649999999999999</v>
      </c>
      <c r="G198">
        <v>10.37</v>
      </c>
      <c r="H198">
        <v>62.58</v>
      </c>
      <c r="J198">
        <v>41.65</v>
      </c>
      <c r="K198">
        <v>75.239999999999995</v>
      </c>
      <c r="Q198">
        <v>92.77</v>
      </c>
      <c r="R198">
        <v>18.649999999999999</v>
      </c>
      <c r="S198">
        <v>10.37</v>
      </c>
      <c r="T198">
        <v>62.58</v>
      </c>
      <c r="V198">
        <v>41.65</v>
      </c>
      <c r="W198">
        <v>75.239999999999995</v>
      </c>
      <c r="Z198">
        <v>0.70699999999999996</v>
      </c>
      <c r="AA198">
        <v>5.2999999999999999E-2</v>
      </c>
      <c r="AB198">
        <v>8.3660199999999989</v>
      </c>
      <c r="AC198">
        <v>0.85</v>
      </c>
      <c r="AD198" s="87">
        <f t="shared" si="24"/>
        <v>0.58333333333333326</v>
      </c>
      <c r="AE198" s="203">
        <f t="shared" si="25"/>
        <v>0.71666666666666656</v>
      </c>
      <c r="AF198" s="49">
        <f t="shared" si="26"/>
        <v>58.898795405875383</v>
      </c>
      <c r="AG198" s="49">
        <f t="shared" si="27"/>
        <v>73.630811991631049</v>
      </c>
      <c r="AH198" s="50">
        <f t="shared" si="28"/>
        <v>0.21274271844660197</v>
      </c>
      <c r="AI198" s="105">
        <f t="shared" si="29"/>
        <v>1.4391464316492604</v>
      </c>
      <c r="AJ198" s="311">
        <f>INDEX($AR$3:AS202,MATCH(COUNTA(O198:W198),$AR$3:$AR$12,0),2)</f>
        <v>1.94</v>
      </c>
      <c r="AK198" s="108">
        <f t="shared" si="30"/>
        <v>50.21</v>
      </c>
      <c r="AL198" s="310">
        <f t="shared" si="31"/>
        <v>6.0016590923760651</v>
      </c>
      <c r="AP198" s="147" t="s">
        <v>244</v>
      </c>
    </row>
    <row r="199" spans="1:42">
      <c r="A199" s="162" t="s">
        <v>253</v>
      </c>
      <c r="B199" s="199"/>
      <c r="C199">
        <v>445.88</v>
      </c>
      <c r="E199">
        <v>108.4</v>
      </c>
      <c r="F199">
        <v>10.91</v>
      </c>
      <c r="G199">
        <v>11.8</v>
      </c>
      <c r="H199">
        <v>110.22</v>
      </c>
      <c r="J199">
        <v>88.77</v>
      </c>
      <c r="K199">
        <v>78.239999999999995</v>
      </c>
      <c r="Q199">
        <v>108.4</v>
      </c>
      <c r="R199">
        <v>10.91</v>
      </c>
      <c r="S199">
        <v>11.8</v>
      </c>
      <c r="T199">
        <v>110.22</v>
      </c>
      <c r="V199">
        <v>88.77</v>
      </c>
      <c r="W199">
        <v>78.239999999999995</v>
      </c>
      <c r="Z199">
        <v>0.67700000000000005</v>
      </c>
      <c r="AA199">
        <v>4.8000000000000001E-2</v>
      </c>
      <c r="AB199">
        <v>8.8748400000000007</v>
      </c>
      <c r="AC199">
        <v>0.75</v>
      </c>
      <c r="AD199" s="87">
        <f t="shared" si="24"/>
        <v>0.58333333333333326</v>
      </c>
      <c r="AE199" s="203">
        <f t="shared" si="25"/>
        <v>0.66666666666666663</v>
      </c>
      <c r="AF199" s="49">
        <f t="shared" si="26"/>
        <v>61.082153752793268</v>
      </c>
      <c r="AG199" s="49">
        <f t="shared" si="27"/>
        <v>112.83856984588635</v>
      </c>
      <c r="AH199" s="50">
        <f t="shared" si="28"/>
        <v>1.8326452522404522E-2</v>
      </c>
      <c r="AI199" s="105">
        <f t="shared" si="29"/>
        <v>1.0142614565129724</v>
      </c>
      <c r="AJ199" s="311">
        <f>INDEX($AR$3:AS203,MATCH(COUNTA(O199:W199),$AR$3:$AR$12,0),2)</f>
        <v>1.94</v>
      </c>
      <c r="AK199" s="108">
        <f t="shared" si="30"/>
        <v>68.056666666666672</v>
      </c>
      <c r="AL199" s="310">
        <f t="shared" si="31"/>
        <v>7.668495056436698</v>
      </c>
      <c r="AP199" s="147" t="s">
        <v>244</v>
      </c>
    </row>
    <row r="200" spans="1:42">
      <c r="A200" s="162" t="s">
        <v>254</v>
      </c>
      <c r="B200" s="199"/>
      <c r="C200">
        <v>521.21</v>
      </c>
      <c r="E200">
        <v>134.04</v>
      </c>
      <c r="F200">
        <v>62.03</v>
      </c>
      <c r="G200">
        <v>18.649999999999999</v>
      </c>
      <c r="H200">
        <v>185.42</v>
      </c>
      <c r="J200">
        <v>106.22</v>
      </c>
      <c r="K200">
        <v>43.93</v>
      </c>
      <c r="Q200">
        <v>134.04</v>
      </c>
      <c r="R200">
        <v>62.03</v>
      </c>
      <c r="S200">
        <v>18.649999999999999</v>
      </c>
      <c r="T200">
        <v>185.42</v>
      </c>
      <c r="V200">
        <v>106.22</v>
      </c>
      <c r="W200">
        <v>43.93</v>
      </c>
      <c r="Z200">
        <v>0.87</v>
      </c>
      <c r="AA200">
        <v>4.8000000000000001E-2</v>
      </c>
      <c r="AB200">
        <v>10.6442</v>
      </c>
      <c r="AC200">
        <v>0.63</v>
      </c>
      <c r="AD200" s="87">
        <f t="shared" si="24"/>
        <v>0.58333333333333326</v>
      </c>
      <c r="AE200" s="203">
        <f t="shared" si="25"/>
        <v>0.60666666666666669</v>
      </c>
      <c r="AF200" s="49">
        <f t="shared" si="26"/>
        <v>61.815838391806551</v>
      </c>
      <c r="AG200" s="49">
        <f t="shared" si="27"/>
        <v>103.99984137829428</v>
      </c>
      <c r="AH200" s="50">
        <f t="shared" si="28"/>
        <v>0.30808898482940578</v>
      </c>
      <c r="AI200" s="105">
        <f t="shared" si="29"/>
        <v>1.6528088543489661</v>
      </c>
      <c r="AJ200" s="311">
        <f>INDEX($AR$3:AS204,MATCH(COUNTA(O200:W200),$AR$3:$AR$12,0),2)</f>
        <v>1.94</v>
      </c>
      <c r="AK200" s="108">
        <f t="shared" si="30"/>
        <v>91.714999999999989</v>
      </c>
      <c r="AL200" s="310">
        <f t="shared" si="31"/>
        <v>8.6164296048552256</v>
      </c>
      <c r="AP200" s="147" t="s">
        <v>244</v>
      </c>
    </row>
    <row r="201" spans="1:42">
      <c r="A201" s="286" t="s">
        <v>255</v>
      </c>
      <c r="B201" s="199"/>
      <c r="C201">
        <v>264.05</v>
      </c>
      <c r="E201">
        <v>105.87</v>
      </c>
      <c r="F201">
        <v>20.010000000000002</v>
      </c>
      <c r="G201">
        <v>18.86</v>
      </c>
      <c r="H201">
        <v>104.34</v>
      </c>
      <c r="J201">
        <v>53.13</v>
      </c>
      <c r="K201">
        <v>43.73</v>
      </c>
      <c r="Q201">
        <v>105.87</v>
      </c>
      <c r="R201">
        <v>20.010000000000002</v>
      </c>
      <c r="S201">
        <v>18.86</v>
      </c>
      <c r="T201">
        <v>104.34</v>
      </c>
      <c r="V201">
        <v>53.13</v>
      </c>
      <c r="W201">
        <v>43.73</v>
      </c>
      <c r="Z201">
        <v>0.626</v>
      </c>
      <c r="AA201">
        <v>4.8000000000000001E-2</v>
      </c>
      <c r="AB201">
        <v>8.4144699999999997</v>
      </c>
      <c r="AC201">
        <v>0.87</v>
      </c>
      <c r="AD201" s="87">
        <f t="shared" si="24"/>
        <v>0.58333333333333326</v>
      </c>
      <c r="AE201" s="203">
        <f t="shared" si="25"/>
        <v>0.72666666666666657</v>
      </c>
      <c r="AF201" s="49">
        <f t="shared" si="26"/>
        <v>61.893205206328041</v>
      </c>
      <c r="AG201" s="49">
        <f t="shared" si="27"/>
        <v>91.139972742814805</v>
      </c>
      <c r="AH201" s="50">
        <f t="shared" si="28"/>
        <v>1.7584185725778658E-2</v>
      </c>
      <c r="AI201" s="105">
        <f t="shared" si="29"/>
        <v>1.351060055214317</v>
      </c>
      <c r="AJ201" s="311">
        <f>INDEX($AR$3:AS205,MATCH(COUNTA(O201:W201),$AR$3:$AR$12,0),2)</f>
        <v>1.94</v>
      </c>
      <c r="AK201" s="108">
        <f t="shared" si="30"/>
        <v>57.656666666666673</v>
      </c>
      <c r="AL201" s="310">
        <f t="shared" si="31"/>
        <v>6.8520853561384945</v>
      </c>
      <c r="AP201" s="147" t="s">
        <v>244</v>
      </c>
    </row>
    <row r="202" spans="1:42" s="51" customFormat="1">
      <c r="A202" s="214" t="s">
        <v>256</v>
      </c>
      <c r="B202" s="200"/>
      <c r="C202" s="51">
        <v>277.29000000000002</v>
      </c>
      <c r="E202" s="51">
        <v>128.77000000000001</v>
      </c>
      <c r="H202" s="51">
        <v>296.24</v>
      </c>
      <c r="I202" s="51">
        <v>116.82</v>
      </c>
      <c r="J202" s="51">
        <v>160.9</v>
      </c>
      <c r="K202" s="51">
        <v>137.80000000000001</v>
      </c>
      <c r="N202" s="306"/>
      <c r="O202" s="51">
        <v>277.29000000000002</v>
      </c>
      <c r="Q202" s="51">
        <v>128.77000000000001</v>
      </c>
      <c r="T202" s="51">
        <v>296.24</v>
      </c>
      <c r="U202" s="51">
        <v>116.82</v>
      </c>
      <c r="V202" s="51">
        <v>160.9</v>
      </c>
      <c r="W202" s="51">
        <v>137.80000000000001</v>
      </c>
      <c r="Y202" s="78"/>
      <c r="Z202" s="51">
        <v>0.70699999999999996</v>
      </c>
      <c r="AA202" s="51">
        <v>0.113</v>
      </c>
      <c r="AB202" s="51">
        <v>4.5994950000000001</v>
      </c>
      <c r="AC202" s="51">
        <v>0.95</v>
      </c>
      <c r="AD202" s="89">
        <f t="shared" si="24"/>
        <v>0.58333333333333326</v>
      </c>
      <c r="AE202" s="68">
        <f t="shared" si="25"/>
        <v>0.76666666666666661</v>
      </c>
      <c r="AF202" s="69">
        <f t="shared" si="26"/>
        <v>38.892236744607402</v>
      </c>
      <c r="AG202" s="69">
        <f t="shared" si="27"/>
        <v>38.892236744607402</v>
      </c>
      <c r="AH202" s="70">
        <f t="shared" si="28"/>
        <v>0.10561810277561022</v>
      </c>
      <c r="AI202" s="104">
        <f t="shared" si="29"/>
        <v>1.5172565420359065</v>
      </c>
      <c r="AJ202" s="71">
        <f>INDEX($AR$3:AS206,MATCH(COUNTA(O202:W202),$AR$3:$AR$12,0),2)</f>
        <v>1.94</v>
      </c>
      <c r="AK202" s="107">
        <f t="shared" si="30"/>
        <v>186.30333333333337</v>
      </c>
      <c r="AL202" s="90">
        <f t="shared" si="31"/>
        <v>40.505171401063237</v>
      </c>
      <c r="AO202" s="78"/>
      <c r="AP202" s="83" t="s">
        <v>146</v>
      </c>
    </row>
    <row r="203" spans="1:42">
      <c r="A203" s="214" t="s">
        <v>257</v>
      </c>
      <c r="B203" s="201"/>
      <c r="C203">
        <v>365.22</v>
      </c>
      <c r="E203">
        <v>153.30000000000001</v>
      </c>
      <c r="F203">
        <v>155.83000000000001</v>
      </c>
      <c r="G203">
        <v>47.31</v>
      </c>
      <c r="J203">
        <v>209.47</v>
      </c>
      <c r="O203">
        <v>365.22</v>
      </c>
      <c r="Q203">
        <v>153.30000000000001</v>
      </c>
      <c r="R203">
        <v>155.83000000000001</v>
      </c>
      <c r="S203">
        <v>47.31</v>
      </c>
      <c r="V203">
        <v>209.47</v>
      </c>
      <c r="Z203">
        <v>0.70699999999999996</v>
      </c>
      <c r="AA203">
        <v>0.113</v>
      </c>
      <c r="AB203">
        <v>6.10121</v>
      </c>
      <c r="AC203">
        <v>0.75</v>
      </c>
      <c r="AD203" s="87">
        <f t="shared" si="24"/>
        <v>0.52777777777777779</v>
      </c>
      <c r="AE203" s="203">
        <f t="shared" si="25"/>
        <v>0.63888888888888884</v>
      </c>
      <c r="AF203" s="49">
        <f t="shared" si="26"/>
        <v>55.745258920153319</v>
      </c>
      <c r="AG203" s="49">
        <f t="shared" si="27"/>
        <v>55.745258920153319</v>
      </c>
      <c r="AH203" s="50">
        <f t="shared" si="28"/>
        <v>0.48991853040168604</v>
      </c>
      <c r="AI203" s="105">
        <f t="shared" si="29"/>
        <v>1.7242102453838639</v>
      </c>
      <c r="AJ203" s="311">
        <f>INDEX($AR$3:AS207,MATCH(COUNTA(O203:W203),$AR$3:$AR$12,0),2)</f>
        <v>1.75</v>
      </c>
      <c r="AK203" s="108">
        <f t="shared" si="30"/>
        <v>186.22600000000003</v>
      </c>
      <c r="AL203" s="310">
        <f t="shared" si="31"/>
        <v>30.522797936802704</v>
      </c>
      <c r="AP203" s="312" t="s">
        <v>146</v>
      </c>
    </row>
    <row r="204" spans="1:42">
      <c r="A204" s="214" t="s">
        <v>258</v>
      </c>
      <c r="B204" s="201"/>
      <c r="C204">
        <v>114.47</v>
      </c>
      <c r="E204">
        <v>112.81</v>
      </c>
      <c r="F204">
        <v>39.659999999999997</v>
      </c>
      <c r="G204">
        <v>39.19</v>
      </c>
      <c r="H204">
        <v>173.43</v>
      </c>
      <c r="I204">
        <v>12.63</v>
      </c>
      <c r="J204">
        <v>82.14</v>
      </c>
      <c r="O204">
        <v>114.47</v>
      </c>
      <c r="Q204">
        <v>112.81</v>
      </c>
      <c r="R204">
        <v>39.659999999999997</v>
      </c>
      <c r="S204">
        <v>39.19</v>
      </c>
      <c r="T204">
        <v>173.43</v>
      </c>
      <c r="U204">
        <v>12.63</v>
      </c>
      <c r="V204">
        <v>82.14</v>
      </c>
      <c r="Z204">
        <v>0.70699999999999996</v>
      </c>
      <c r="AA204">
        <v>9.7000000000000003E-2</v>
      </c>
      <c r="AB204">
        <v>4.843</v>
      </c>
      <c r="AC204">
        <v>0.81</v>
      </c>
      <c r="AD204" s="87">
        <f t="shared" si="24"/>
        <v>0.63888888888888884</v>
      </c>
      <c r="AE204" s="203">
        <f t="shared" si="25"/>
        <v>0.72444444444444445</v>
      </c>
      <c r="AF204" s="49">
        <f t="shared" si="26"/>
        <v>63.164502311785419</v>
      </c>
      <c r="AG204" s="49">
        <f t="shared" si="27"/>
        <v>63.164502311785419</v>
      </c>
      <c r="AH204" s="50">
        <f t="shared" si="28"/>
        <v>0.3666666666666667</v>
      </c>
      <c r="AI204" s="105">
        <f t="shared" si="29"/>
        <v>1.763308056151645</v>
      </c>
      <c r="AJ204" s="311">
        <f>INDEX($AR$3:AS208,MATCH(COUNTA(O204:W204),$AR$3:$AR$12,0),2)</f>
        <v>2.1</v>
      </c>
      <c r="AK204" s="108">
        <f t="shared" si="30"/>
        <v>82.047142857142859</v>
      </c>
      <c r="AL204" s="310">
        <f t="shared" si="31"/>
        <v>16.94138815964131</v>
      </c>
      <c r="AP204" s="312" t="s">
        <v>146</v>
      </c>
    </row>
    <row r="205" spans="1:42">
      <c r="A205" s="214" t="s">
        <v>259</v>
      </c>
      <c r="B205" s="201"/>
      <c r="J205">
        <v>101.5</v>
      </c>
      <c r="V205">
        <v>101.5</v>
      </c>
      <c r="Z205">
        <v>0.70699999999999996</v>
      </c>
      <c r="AA205">
        <v>9.7000000000000003E-2</v>
      </c>
      <c r="AB205">
        <v>6.6468399999999992</v>
      </c>
      <c r="AC205">
        <v>0.42</v>
      </c>
      <c r="AD205" s="87">
        <f t="shared" si="24"/>
        <v>0.55555555555555558</v>
      </c>
      <c r="AE205" s="203">
        <f t="shared" si="25"/>
        <v>0.48777777777777775</v>
      </c>
      <c r="AF205" s="49">
        <f t="shared" si="26"/>
        <v>0</v>
      </c>
      <c r="AG205" s="49">
        <f t="shared" si="27"/>
        <v>0</v>
      </c>
      <c r="AH205" s="50" t="e">
        <f t="shared" si="28"/>
        <v>#NUM!</v>
      </c>
      <c r="AI205" s="105" t="e">
        <f t="shared" si="29"/>
        <v>#DIV/0!</v>
      </c>
      <c r="AJ205" s="311" t="e">
        <f>INDEX($AR$3:AS209,MATCH(COUNTA(O205:W205),$AR$3:$AR$12,0),2)</f>
        <v>#N/A</v>
      </c>
      <c r="AK205" s="108">
        <f t="shared" si="30"/>
        <v>101.5</v>
      </c>
      <c r="AL205" s="310" t="str">
        <f t="shared" si="31"/>
        <v>n.d.</v>
      </c>
      <c r="AP205" s="312" t="s">
        <v>146</v>
      </c>
    </row>
    <row r="206" spans="1:42">
      <c r="A206" s="287" t="s">
        <v>260</v>
      </c>
      <c r="B206" s="201"/>
      <c r="C206">
        <v>1053.33</v>
      </c>
      <c r="E206">
        <v>819.72</v>
      </c>
      <c r="F206">
        <v>686.71</v>
      </c>
      <c r="G206">
        <v>452.88</v>
      </c>
      <c r="H206">
        <v>1201.5</v>
      </c>
      <c r="I206">
        <v>1047.1500000000001</v>
      </c>
      <c r="J206">
        <v>400.84</v>
      </c>
      <c r="K206">
        <v>591.69000000000005</v>
      </c>
      <c r="Q206">
        <v>819.72</v>
      </c>
      <c r="R206">
        <v>686.71</v>
      </c>
      <c r="S206">
        <v>452.88</v>
      </c>
      <c r="V206">
        <v>400.84</v>
      </c>
      <c r="W206">
        <v>591.69000000000005</v>
      </c>
      <c r="AB206">
        <f>1000*0.5434</f>
        <v>543.4</v>
      </c>
      <c r="AC206">
        <v>0.82</v>
      </c>
      <c r="AD206" s="87">
        <f t="shared" si="24"/>
        <v>0.77777777777777779</v>
      </c>
      <c r="AE206" s="203">
        <f t="shared" si="25"/>
        <v>0.79888888888888887</v>
      </c>
      <c r="AF206" s="49">
        <f t="shared" si="26"/>
        <v>25.878889163284224</v>
      </c>
      <c r="AG206" s="49">
        <f t="shared" si="27"/>
        <v>35.61847175839938</v>
      </c>
      <c r="AH206" s="50">
        <f t="shared" si="28"/>
        <v>0.31753724216959506</v>
      </c>
      <c r="AI206" s="105">
        <f t="shared" si="29"/>
        <v>1.501184570171493</v>
      </c>
      <c r="AJ206" s="311">
        <f>INDEX($AR$3:AS210,MATCH(COUNTA(O206:W206),$AR$3:$AR$12,0),2)</f>
        <v>1.75</v>
      </c>
      <c r="AK206" s="108">
        <f t="shared" si="30"/>
        <v>590.36800000000005</v>
      </c>
      <c r="AL206" s="310">
        <f t="shared" si="31"/>
        <v>1.0864335664335665</v>
      </c>
      <c r="AO206" s="91">
        <f>AL206*100</f>
        <v>108.64335664335665</v>
      </c>
      <c r="AP206" s="312" t="s">
        <v>64</v>
      </c>
    </row>
    <row r="207" spans="1:42" s="51" customFormat="1">
      <c r="A207" s="214" t="s">
        <v>261</v>
      </c>
      <c r="B207" s="200"/>
      <c r="C207" s="51">
        <v>836.17</v>
      </c>
      <c r="E207" s="51">
        <v>156.61000000000001</v>
      </c>
      <c r="F207" s="51">
        <v>90.15</v>
      </c>
      <c r="G207" s="51">
        <v>108.53</v>
      </c>
      <c r="H207" s="51">
        <v>464.35</v>
      </c>
      <c r="I207" s="51">
        <v>27.88</v>
      </c>
      <c r="J207" s="51">
        <v>261.14</v>
      </c>
      <c r="K207" s="51">
        <v>311.31</v>
      </c>
      <c r="N207" s="306"/>
      <c r="Q207" s="51">
        <v>156.61000000000001</v>
      </c>
      <c r="R207" s="51">
        <v>90.15</v>
      </c>
      <c r="S207" s="51">
        <v>108.53</v>
      </c>
      <c r="T207" s="51">
        <v>464.35</v>
      </c>
      <c r="U207" s="51">
        <v>27.88</v>
      </c>
      <c r="V207" s="51">
        <v>261.14</v>
      </c>
      <c r="W207" s="51">
        <v>311.31</v>
      </c>
      <c r="Y207" s="78"/>
      <c r="AB207" s="51">
        <v>5.4117899999999999</v>
      </c>
      <c r="AC207" s="51">
        <v>0.75</v>
      </c>
      <c r="AD207" s="89">
        <f t="shared" si="24"/>
        <v>0.63888888888888884</v>
      </c>
      <c r="AE207" s="68">
        <f t="shared" si="25"/>
        <v>0.69444444444444442</v>
      </c>
      <c r="AF207" s="69">
        <f t="shared" si="26"/>
        <v>69.189807280273456</v>
      </c>
      <c r="AG207" s="69">
        <f t="shared" si="27"/>
        <v>87.652816569146538</v>
      </c>
      <c r="AH207" s="70">
        <f t="shared" si="28"/>
        <v>0.35063120031159073</v>
      </c>
      <c r="AI207" s="104">
        <f t="shared" si="29"/>
        <v>1.8631323133635682</v>
      </c>
      <c r="AJ207" s="71">
        <f>INDEX($AR$3:AS211,MATCH(COUNTA(O207:W207),$AR$3:$AR$12,0),2)</f>
        <v>2.1</v>
      </c>
      <c r="AK207" s="107">
        <f t="shared" si="30"/>
        <v>202.85285714285715</v>
      </c>
      <c r="AL207" s="90">
        <f t="shared" si="31"/>
        <v>37.483504929580995</v>
      </c>
      <c r="AN207" s="126">
        <v>0.1615</v>
      </c>
      <c r="AO207" s="93">
        <f>100*((AK207-AVERAGE(AL204)*AB207)/(AN207*1000))</f>
        <v>68.835679327796839</v>
      </c>
      <c r="AP207" s="83" t="s">
        <v>49</v>
      </c>
    </row>
    <row r="208" spans="1:42">
      <c r="A208" s="214" t="s">
        <v>262</v>
      </c>
      <c r="B208" s="201"/>
      <c r="C208">
        <v>322.63</v>
      </c>
      <c r="H208">
        <v>1260.21</v>
      </c>
      <c r="I208">
        <v>192.78</v>
      </c>
      <c r="O208">
        <v>322.63</v>
      </c>
      <c r="U208">
        <v>192.78</v>
      </c>
      <c r="AB208">
        <v>5.4577400000000003</v>
      </c>
      <c r="AC208">
        <v>0.38</v>
      </c>
      <c r="AD208" s="87">
        <f t="shared" si="24"/>
        <v>0.61111111111111116</v>
      </c>
      <c r="AE208" s="203">
        <f t="shared" si="25"/>
        <v>0.49555555555555558</v>
      </c>
      <c r="AF208" s="49">
        <f t="shared" si="26"/>
        <v>25.193535243786563</v>
      </c>
      <c r="AG208" s="49">
        <f t="shared" si="27"/>
        <v>80.346461999734885</v>
      </c>
      <c r="AH208" s="50">
        <f t="shared" si="28"/>
        <v>1</v>
      </c>
      <c r="AI208" s="105">
        <f t="shared" si="29"/>
        <v>0.99999999999999778</v>
      </c>
      <c r="AJ208" s="311" t="e">
        <f>INDEX($AR$3:AS212,MATCH(COUNTA(O208:W208),$AR$3:$AR$12,0),2)</f>
        <v>#N/A</v>
      </c>
      <c r="AK208" s="108">
        <f t="shared" si="30"/>
        <v>257.70499999999998</v>
      </c>
      <c r="AL208" s="310">
        <f t="shared" si="31"/>
        <v>47.218262504259997</v>
      </c>
      <c r="AP208" s="312" t="s">
        <v>49</v>
      </c>
    </row>
    <row r="209" spans="1:42">
      <c r="A209" s="214" t="s">
        <v>263</v>
      </c>
      <c r="B209" s="201"/>
      <c r="AD209" s="87" t="e">
        <f t="shared" si="24"/>
        <v>#DIV/0!</v>
      </c>
      <c r="AE209" s="203" t="e">
        <f t="shared" si="25"/>
        <v>#DIV/0!</v>
      </c>
      <c r="AF209" s="49" t="e">
        <f t="shared" si="26"/>
        <v>#DIV/0!</v>
      </c>
      <c r="AG209" s="49" t="e">
        <f t="shared" si="27"/>
        <v>#DIV/0!</v>
      </c>
      <c r="AH209" s="50" t="e">
        <f t="shared" si="28"/>
        <v>#NUM!</v>
      </c>
      <c r="AI209" s="105" t="e">
        <f t="shared" si="29"/>
        <v>#DIV/0!</v>
      </c>
      <c r="AJ209" s="311" t="e">
        <f>INDEX($AR$3:AS213,MATCH(COUNTA(O209:W209),$AR$3:$AR$12,0),2)</f>
        <v>#N/A</v>
      </c>
      <c r="AK209" s="108" t="e">
        <f t="shared" si="30"/>
        <v>#DIV/0!</v>
      </c>
      <c r="AL209" s="310" t="str">
        <f t="shared" si="31"/>
        <v>n.d.</v>
      </c>
      <c r="AP209" s="312" t="s">
        <v>49</v>
      </c>
    </row>
    <row r="210" spans="1:42">
      <c r="A210" s="214" t="s">
        <v>264</v>
      </c>
      <c r="B210" s="201"/>
      <c r="C210">
        <v>235.72</v>
      </c>
      <c r="E210">
        <v>85.6</v>
      </c>
      <c r="J210">
        <v>634.5</v>
      </c>
      <c r="K210">
        <v>538.36</v>
      </c>
      <c r="O210">
        <v>235.72</v>
      </c>
      <c r="Q210">
        <v>85.6</v>
      </c>
      <c r="V210">
        <v>634.5</v>
      </c>
      <c r="W210">
        <v>538.36</v>
      </c>
      <c r="Z210">
        <v>0.70699999999999996</v>
      </c>
      <c r="AA210">
        <v>0.10199999999999999</v>
      </c>
      <c r="AB210">
        <v>10.235150000000001</v>
      </c>
      <c r="AC210">
        <v>0.55000000000000004</v>
      </c>
      <c r="AD210" s="87">
        <f t="shared" si="24"/>
        <v>0.47222222222222221</v>
      </c>
      <c r="AE210" s="203">
        <f t="shared" si="25"/>
        <v>0.51111111111111107</v>
      </c>
      <c r="AF210" s="49">
        <f t="shared" si="26"/>
        <v>59.435647620980525</v>
      </c>
      <c r="AG210" s="49">
        <f t="shared" si="27"/>
        <v>59.435647620980525</v>
      </c>
      <c r="AH210" s="50">
        <f t="shared" si="28"/>
        <v>0.17515030060120237</v>
      </c>
      <c r="AI210" s="105">
        <f t="shared" si="29"/>
        <v>1.1753729608806256</v>
      </c>
      <c r="AJ210" s="311">
        <f>INDEX($AR$3:AS214,MATCH(COUNTA(O210:W210),$AR$3:$AR$12,0),2)</f>
        <v>1.49</v>
      </c>
      <c r="AK210" s="108">
        <f t="shared" si="30"/>
        <v>373.54499999999996</v>
      </c>
      <c r="AL210" s="310">
        <f t="shared" si="31"/>
        <v>36.496289746608497</v>
      </c>
      <c r="AP210" s="312" t="s">
        <v>244</v>
      </c>
    </row>
    <row r="211" spans="1:42">
      <c r="A211" s="214" t="s">
        <v>265</v>
      </c>
      <c r="B211" s="201"/>
      <c r="C211">
        <v>270.42</v>
      </c>
      <c r="O211">
        <v>270.42</v>
      </c>
      <c r="Z211">
        <v>0.70699999999999996</v>
      </c>
      <c r="AA211">
        <v>0.10199999999999999</v>
      </c>
      <c r="AB211">
        <v>8.9477550000000008</v>
      </c>
      <c r="AC211">
        <v>0.55000000000000004</v>
      </c>
      <c r="AD211" s="87">
        <f t="shared" si="24"/>
        <v>0.55555555555555558</v>
      </c>
      <c r="AE211" s="203">
        <f t="shared" si="25"/>
        <v>0.55277777777777781</v>
      </c>
      <c r="AF211" s="49">
        <f t="shared" si="26"/>
        <v>0</v>
      </c>
      <c r="AG211" s="49">
        <f t="shared" si="27"/>
        <v>0</v>
      </c>
      <c r="AH211" s="50" t="e">
        <f t="shared" si="28"/>
        <v>#NUM!</v>
      </c>
      <c r="AI211" s="105" t="e">
        <f t="shared" si="29"/>
        <v>#DIV/0!</v>
      </c>
      <c r="AJ211" s="311" t="e">
        <f>INDEX($AR$3:AS215,MATCH(COUNTA(O211:W211),$AR$3:$AR$12,0),2)</f>
        <v>#N/A</v>
      </c>
      <c r="AK211" s="108">
        <f t="shared" si="30"/>
        <v>270.42</v>
      </c>
      <c r="AL211" s="310">
        <f t="shared" si="31"/>
        <v>30.222105991949935</v>
      </c>
      <c r="AP211" s="312" t="s">
        <v>244</v>
      </c>
    </row>
    <row r="212" spans="1:42">
      <c r="A212" s="214" t="s">
        <v>266</v>
      </c>
      <c r="B212" s="201"/>
      <c r="Z212">
        <v>0.70699999999999996</v>
      </c>
      <c r="AA212">
        <v>0.96399999999999997</v>
      </c>
      <c r="AB212">
        <v>10.384600000000001</v>
      </c>
      <c r="AD212" s="87" t="e">
        <f t="shared" si="24"/>
        <v>#DIV/0!</v>
      </c>
      <c r="AE212" s="203" t="e">
        <f t="shared" si="25"/>
        <v>#DIV/0!</v>
      </c>
      <c r="AF212" s="49" t="e">
        <f t="shared" si="26"/>
        <v>#DIV/0!</v>
      </c>
      <c r="AG212" s="49" t="e">
        <f t="shared" si="27"/>
        <v>#DIV/0!</v>
      </c>
      <c r="AH212" s="50" t="e">
        <f t="shared" si="28"/>
        <v>#NUM!</v>
      </c>
      <c r="AI212" s="105" t="e">
        <f t="shared" si="29"/>
        <v>#DIV/0!</v>
      </c>
      <c r="AJ212" s="311" t="e">
        <f>INDEX($AR$3:AS216,MATCH(COUNTA(O212:W212),$AR$3:$AR$12,0),2)</f>
        <v>#N/A</v>
      </c>
      <c r="AK212" s="108" t="e">
        <f t="shared" si="30"/>
        <v>#DIV/0!</v>
      </c>
      <c r="AL212" s="310" t="str">
        <f t="shared" si="31"/>
        <v>n.d.</v>
      </c>
      <c r="AP212" s="312" t="s">
        <v>244</v>
      </c>
    </row>
    <row r="213" spans="1:42">
      <c r="A213" s="214" t="s">
        <v>267</v>
      </c>
      <c r="B213" s="201"/>
      <c r="Z213">
        <v>0.70699999999999996</v>
      </c>
      <c r="AA213">
        <v>0.96399999999999997</v>
      </c>
      <c r="AB213">
        <v>9.8753700000000002</v>
      </c>
      <c r="AD213" s="87" t="e">
        <f t="shared" si="24"/>
        <v>#DIV/0!</v>
      </c>
      <c r="AE213" s="203" t="e">
        <f t="shared" si="25"/>
        <v>#DIV/0!</v>
      </c>
      <c r="AF213" s="49" t="e">
        <f t="shared" si="26"/>
        <v>#DIV/0!</v>
      </c>
      <c r="AG213" s="49" t="e">
        <f t="shared" si="27"/>
        <v>#DIV/0!</v>
      </c>
      <c r="AH213" s="50" t="e">
        <f t="shared" si="28"/>
        <v>#NUM!</v>
      </c>
      <c r="AI213" s="105" t="e">
        <f t="shared" si="29"/>
        <v>#DIV/0!</v>
      </c>
      <c r="AJ213" s="311" t="e">
        <f>INDEX($AR$3:AS217,MATCH(COUNTA(O213:W213),$AR$3:$AR$12,0),2)</f>
        <v>#N/A</v>
      </c>
      <c r="AK213" s="108" t="e">
        <f t="shared" si="30"/>
        <v>#DIV/0!</v>
      </c>
      <c r="AL213" s="310" t="str">
        <f t="shared" si="31"/>
        <v>n.d.</v>
      </c>
      <c r="AP213" s="312" t="s">
        <v>244</v>
      </c>
    </row>
    <row r="214" spans="1:42">
      <c r="A214" s="214" t="s">
        <v>268</v>
      </c>
      <c r="B214" s="201"/>
      <c r="C214">
        <v>335.27</v>
      </c>
      <c r="G214">
        <v>12.91</v>
      </c>
      <c r="H214">
        <v>74.61</v>
      </c>
      <c r="J214">
        <v>102.66</v>
      </c>
      <c r="K214">
        <v>74.39</v>
      </c>
      <c r="S214">
        <v>12.91</v>
      </c>
      <c r="T214">
        <v>74.61</v>
      </c>
      <c r="V214">
        <v>102.66</v>
      </c>
      <c r="W214">
        <v>74.39</v>
      </c>
      <c r="AB214">
        <v>6.4336500000000001</v>
      </c>
      <c r="AC214">
        <v>0.67</v>
      </c>
      <c r="AD214" s="87">
        <f t="shared" si="24"/>
        <v>0.47222222222222221</v>
      </c>
      <c r="AE214" s="203">
        <f t="shared" si="25"/>
        <v>0.57111111111111112</v>
      </c>
      <c r="AF214" s="49">
        <f t="shared" si="26"/>
        <v>49.610561868766652</v>
      </c>
      <c r="AG214" s="49">
        <f t="shared" si="27"/>
        <v>93.008250308991663</v>
      </c>
      <c r="AH214" s="50">
        <f t="shared" si="28"/>
        <v>0.31253481894150414</v>
      </c>
      <c r="AI214" s="105">
        <f t="shared" si="29"/>
        <v>1.1128747433779256</v>
      </c>
      <c r="AJ214" s="311">
        <f>INDEX($AR$3:AS218,MATCH(COUNTA(O214:W214),$AR$3:$AR$12,0),2)</f>
        <v>1.49</v>
      </c>
      <c r="AK214" s="108">
        <f t="shared" si="30"/>
        <v>66.142499999999998</v>
      </c>
      <c r="AL214" s="310">
        <f t="shared" si="31"/>
        <v>10.280711571192091</v>
      </c>
      <c r="AP214" s="312" t="s">
        <v>269</v>
      </c>
    </row>
    <row r="215" spans="1:42">
      <c r="A215" s="343" t="s">
        <v>270</v>
      </c>
      <c r="B215" s="179"/>
      <c r="C215">
        <v>59.8</v>
      </c>
      <c r="F215">
        <v>12.89</v>
      </c>
      <c r="G215">
        <v>21.16</v>
      </c>
      <c r="K215">
        <v>52.73</v>
      </c>
      <c r="O215">
        <v>59.8</v>
      </c>
      <c r="R215">
        <v>12.89</v>
      </c>
      <c r="S215">
        <v>21.16</v>
      </c>
      <c r="W215">
        <v>52.73</v>
      </c>
      <c r="AB215">
        <v>0.232761</v>
      </c>
      <c r="AC215">
        <v>0.57999999999999996</v>
      </c>
      <c r="AD215" s="87">
        <f t="shared" si="24"/>
        <v>0.47222222222222221</v>
      </c>
      <c r="AE215" s="203">
        <f t="shared" si="25"/>
        <v>0.52611111111111108</v>
      </c>
      <c r="AF215" s="49">
        <f t="shared" si="26"/>
        <v>54.560075266952765</v>
      </c>
      <c r="AG215" s="49">
        <f t="shared" si="27"/>
        <v>54.560075266952765</v>
      </c>
      <c r="AH215" s="50">
        <f t="shared" si="28"/>
        <v>0.15071413344702625</v>
      </c>
      <c r="AI215" s="105">
        <f t="shared" si="29"/>
        <v>1.1581240983131682</v>
      </c>
      <c r="AJ215" s="311">
        <f>INDEX($AR$3:AS219,MATCH(COUNTA(O215:W215),$AR$3:$AR$12,0),2)</f>
        <v>1.49</v>
      </c>
      <c r="AK215" s="108">
        <f t="shared" si="30"/>
        <v>36.644999999999996</v>
      </c>
      <c r="AL215" s="310">
        <f t="shared" si="31"/>
        <v>157.43616843027826</v>
      </c>
      <c r="AN215" s="168">
        <v>5.2699999999999997E-2</v>
      </c>
      <c r="AO215" s="91">
        <f>100*(AK215/(AN215*1000))</f>
        <v>69.535104364326372</v>
      </c>
      <c r="AP215" s="312" t="s">
        <v>64</v>
      </c>
    </row>
    <row r="216" spans="1:42">
      <c r="A216" s="214" t="s">
        <v>271</v>
      </c>
      <c r="B216" s="201"/>
      <c r="AC216">
        <v>0.65</v>
      </c>
      <c r="AD216" s="87" t="e">
        <f t="shared" si="24"/>
        <v>#DIV/0!</v>
      </c>
      <c r="AE216" s="203" t="e">
        <f t="shared" si="25"/>
        <v>#DIV/0!</v>
      </c>
      <c r="AF216" s="49" t="e">
        <f t="shared" si="26"/>
        <v>#DIV/0!</v>
      </c>
      <c r="AG216" s="49" t="e">
        <f t="shared" si="27"/>
        <v>#DIV/0!</v>
      </c>
      <c r="AH216" s="50" t="e">
        <f t="shared" si="28"/>
        <v>#NUM!</v>
      </c>
      <c r="AI216" s="105" t="e">
        <f t="shared" si="29"/>
        <v>#DIV/0!</v>
      </c>
      <c r="AJ216" s="311" t="e">
        <f>INDEX($AR$3:AS220,MATCH(COUNTA(O216:W216),$AR$3:$AR$12,0),2)</f>
        <v>#N/A</v>
      </c>
      <c r="AK216" s="108" t="e">
        <f t="shared" si="30"/>
        <v>#DIV/0!</v>
      </c>
      <c r="AL216" s="310" t="str">
        <f t="shared" si="31"/>
        <v>n.d.</v>
      </c>
      <c r="AP216" s="312" t="s">
        <v>64</v>
      </c>
    </row>
    <row r="217" spans="1:42">
      <c r="A217" s="214" t="s">
        <v>272</v>
      </c>
      <c r="B217" s="201"/>
      <c r="AB217">
        <v>0.18177399999999999</v>
      </c>
      <c r="AD217" s="87" t="e">
        <f t="shared" si="24"/>
        <v>#DIV/0!</v>
      </c>
      <c r="AE217" s="203" t="e">
        <f t="shared" si="25"/>
        <v>#DIV/0!</v>
      </c>
      <c r="AF217" s="49" t="e">
        <f t="shared" si="26"/>
        <v>#DIV/0!</v>
      </c>
      <c r="AG217" s="49" t="e">
        <f t="shared" si="27"/>
        <v>#DIV/0!</v>
      </c>
      <c r="AH217" s="50" t="e">
        <f t="shared" si="28"/>
        <v>#NUM!</v>
      </c>
      <c r="AI217" s="105" t="e">
        <f t="shared" si="29"/>
        <v>#DIV/0!</v>
      </c>
      <c r="AJ217" s="311" t="e">
        <f>INDEX($AR$3:AS221,MATCH(COUNTA(O217:W217),$AR$3:$AR$12,0),2)</f>
        <v>#N/A</v>
      </c>
      <c r="AK217" s="108" t="e">
        <f t="shared" si="30"/>
        <v>#DIV/0!</v>
      </c>
      <c r="AL217" s="310" t="str">
        <f t="shared" si="31"/>
        <v>n.d.</v>
      </c>
      <c r="AP217" s="312" t="s">
        <v>64</v>
      </c>
    </row>
    <row r="218" spans="1:42">
      <c r="A218" s="215" t="s">
        <v>273</v>
      </c>
      <c r="B218">
        <v>168.83</v>
      </c>
      <c r="C218">
        <v>104.39</v>
      </c>
      <c r="D218">
        <v>138.59</v>
      </c>
      <c r="E218">
        <v>85.21</v>
      </c>
      <c r="F218">
        <v>114.17</v>
      </c>
      <c r="G218">
        <v>139.88</v>
      </c>
      <c r="H218">
        <v>165.47</v>
      </c>
      <c r="I218">
        <v>138.74</v>
      </c>
      <c r="J218">
        <v>67.45</v>
      </c>
      <c r="K218">
        <v>125.57</v>
      </c>
      <c r="L218">
        <v>88.44</v>
      </c>
      <c r="M218">
        <v>127.47</v>
      </c>
      <c r="N218" s="306">
        <v>168.83</v>
      </c>
      <c r="O218">
        <v>104.39</v>
      </c>
      <c r="P218">
        <v>138.59</v>
      </c>
      <c r="Q218">
        <v>85.21</v>
      </c>
      <c r="R218">
        <v>114.17</v>
      </c>
      <c r="S218">
        <v>139.88</v>
      </c>
      <c r="T218">
        <v>165.47</v>
      </c>
      <c r="U218">
        <v>138.74</v>
      </c>
      <c r="V218">
        <v>67.45</v>
      </c>
      <c r="W218">
        <v>125.57</v>
      </c>
      <c r="X218">
        <v>88.44</v>
      </c>
      <c r="Y218" s="307">
        <v>127.47</v>
      </c>
      <c r="AC218">
        <v>0.9</v>
      </c>
      <c r="AD218" s="87">
        <f t="shared" si="24"/>
        <v>1</v>
      </c>
      <c r="AE218" s="203">
        <f t="shared" si="25"/>
        <v>0.95</v>
      </c>
      <c r="AF218" s="49">
        <f t="shared" si="26"/>
        <v>23.971626589013759</v>
      </c>
      <c r="AG218" s="49">
        <f t="shared" si="27"/>
        <v>23.971626589013759</v>
      </c>
      <c r="AH218" s="50">
        <f t="shared" si="28"/>
        <v>0.26106916955723325</v>
      </c>
      <c r="AI218" s="105">
        <f t="shared" si="29"/>
        <v>1.5835124416202093</v>
      </c>
      <c r="AJ218" s="311">
        <f>INDEX($AR$3:AS222,MATCH(COUNTA(O218:W218),$AR$3:$AR$12,0),2)</f>
        <v>2.3199999999999998</v>
      </c>
      <c r="AK218" s="108">
        <f t="shared" ref="AK218:AK281" si="32">AVERAGE(N218:Y218)</f>
        <v>122.01750000000003</v>
      </c>
      <c r="AL218" s="310" t="e">
        <f t="shared" si="31"/>
        <v>#DIV/0!</v>
      </c>
    </row>
    <row r="219" spans="1:42">
      <c r="A219" s="215" t="s">
        <v>274</v>
      </c>
      <c r="B219">
        <v>16.239999999999998</v>
      </c>
      <c r="C219">
        <v>22.04</v>
      </c>
      <c r="E219">
        <v>32.29</v>
      </c>
      <c r="F219">
        <v>43.8</v>
      </c>
      <c r="G219">
        <v>53.82</v>
      </c>
      <c r="H219">
        <v>41.19</v>
      </c>
      <c r="I219">
        <v>39.74</v>
      </c>
      <c r="J219">
        <v>9.5500000000000007</v>
      </c>
      <c r="K219">
        <v>40</v>
      </c>
      <c r="L219">
        <v>44.24</v>
      </c>
      <c r="M219">
        <v>52.1</v>
      </c>
      <c r="N219" s="306">
        <v>16.239999999999998</v>
      </c>
      <c r="O219">
        <v>22.04</v>
      </c>
      <c r="Q219">
        <v>32.29</v>
      </c>
      <c r="R219">
        <v>43.8</v>
      </c>
      <c r="S219">
        <v>53.82</v>
      </c>
      <c r="T219">
        <v>41.19</v>
      </c>
      <c r="U219">
        <v>39.74</v>
      </c>
      <c r="V219">
        <v>9.5500000000000007</v>
      </c>
      <c r="W219">
        <v>40</v>
      </c>
      <c r="X219">
        <v>44.24</v>
      </c>
      <c r="Y219" s="307">
        <v>52.1</v>
      </c>
      <c r="AC219">
        <v>0.87</v>
      </c>
      <c r="AD219" s="87">
        <f t="shared" si="24"/>
        <v>0.69444444444444442</v>
      </c>
      <c r="AE219" s="203">
        <f t="shared" si="25"/>
        <v>0.78222222222222215</v>
      </c>
      <c r="AF219" s="49">
        <f t="shared" si="26"/>
        <v>36.655209609426223</v>
      </c>
      <c r="AG219" s="49">
        <f t="shared" si="27"/>
        <v>36.655209609426223</v>
      </c>
      <c r="AH219" s="50">
        <f t="shared" si="28"/>
        <v>0.22633837813417673</v>
      </c>
      <c r="AI219" s="105">
        <f t="shared" si="29"/>
        <v>1.4308578467084649</v>
      </c>
      <c r="AJ219" s="311">
        <f>INDEX($AR$3:AS223,MATCH(COUNTA(O219:W219),$AR$3:$AR$12,0),2)</f>
        <v>2.2200000000000002</v>
      </c>
      <c r="AK219" s="108">
        <f t="shared" si="32"/>
        <v>35.910000000000004</v>
      </c>
      <c r="AL219" s="310" t="e">
        <f t="shared" si="31"/>
        <v>#DIV/0!</v>
      </c>
    </row>
    <row r="220" spans="1:42">
      <c r="A220" s="215" t="s">
        <v>275</v>
      </c>
      <c r="B220">
        <v>10.77</v>
      </c>
      <c r="C220">
        <v>29.77</v>
      </c>
      <c r="D220">
        <v>27.47</v>
      </c>
      <c r="E220">
        <v>14.31</v>
      </c>
      <c r="F220">
        <v>16.68</v>
      </c>
      <c r="G220">
        <v>7.82</v>
      </c>
      <c r="K220">
        <v>23.07</v>
      </c>
      <c r="L220">
        <v>37.700000000000003</v>
      </c>
      <c r="N220" s="306">
        <v>10.77</v>
      </c>
      <c r="O220">
        <v>29.77</v>
      </c>
      <c r="P220">
        <v>27.47</v>
      </c>
      <c r="Q220">
        <v>14.31</v>
      </c>
      <c r="R220">
        <v>16.68</v>
      </c>
      <c r="S220">
        <v>7.82</v>
      </c>
      <c r="W220">
        <v>23.07</v>
      </c>
      <c r="X220">
        <v>37.700000000000003</v>
      </c>
      <c r="Z220">
        <v>0.747</v>
      </c>
      <c r="AA220">
        <v>0.02</v>
      </c>
      <c r="AB220">
        <v>9.4741699999999991</v>
      </c>
      <c r="AC220">
        <v>0.9</v>
      </c>
      <c r="AD220" s="87">
        <f t="shared" si="24"/>
        <v>0.58333333333333326</v>
      </c>
      <c r="AE220" s="203">
        <f t="shared" si="25"/>
        <v>0.7416666666666667</v>
      </c>
      <c r="AF220" s="49">
        <f t="shared" si="26"/>
        <v>38.596470398251128</v>
      </c>
      <c r="AG220" s="49">
        <f t="shared" si="27"/>
        <v>38.596470398251128</v>
      </c>
      <c r="AH220" s="50">
        <f t="shared" si="28"/>
        <v>0.1047835990888383</v>
      </c>
      <c r="AI220" s="105">
        <f t="shared" si="29"/>
        <v>1.2941502191569203</v>
      </c>
      <c r="AJ220" s="311">
        <f>INDEX($AR$3:AS224,MATCH(COUNTA(O220:W220),$AR$3:$AR$12,0),2)</f>
        <v>1.94</v>
      </c>
      <c r="AK220" s="108">
        <f t="shared" si="32"/>
        <v>20.948749999999997</v>
      </c>
      <c r="AL220" s="310">
        <f t="shared" si="31"/>
        <v>2.2111435619162418</v>
      </c>
      <c r="AP220" s="319" t="s">
        <v>244</v>
      </c>
    </row>
    <row r="221" spans="1:42">
      <c r="A221" s="215" t="s">
        <v>276</v>
      </c>
      <c r="B221">
        <v>14.84</v>
      </c>
      <c r="C221">
        <v>38.06</v>
      </c>
      <c r="F221">
        <v>17.64</v>
      </c>
      <c r="G221">
        <v>12.98</v>
      </c>
      <c r="J221">
        <v>32.340000000000003</v>
      </c>
      <c r="K221">
        <v>60.38</v>
      </c>
      <c r="N221" s="306">
        <v>14.84</v>
      </c>
      <c r="O221">
        <v>38.06</v>
      </c>
      <c r="R221">
        <v>17.64</v>
      </c>
      <c r="S221">
        <v>12.98</v>
      </c>
      <c r="V221">
        <v>32.340000000000003</v>
      </c>
      <c r="W221">
        <v>60.38</v>
      </c>
      <c r="Z221">
        <v>0.64</v>
      </c>
      <c r="AA221">
        <v>0.02</v>
      </c>
      <c r="AB221">
        <v>8.9339700000000004</v>
      </c>
      <c r="AC221">
        <v>0.82</v>
      </c>
      <c r="AD221" s="87">
        <f t="shared" si="24"/>
        <v>0.52777777777777779</v>
      </c>
      <c r="AE221" s="203">
        <f t="shared" si="25"/>
        <v>0.67388888888888887</v>
      </c>
      <c r="AF221" s="49">
        <f t="shared" si="26"/>
        <v>52.019554953470696</v>
      </c>
      <c r="AG221" s="49">
        <f t="shared" si="27"/>
        <v>52.019554953470696</v>
      </c>
      <c r="AH221" s="50">
        <f t="shared" si="28"/>
        <v>0.47088607594936704</v>
      </c>
      <c r="AI221" s="105">
        <f t="shared" si="29"/>
        <v>1.6734246482915076</v>
      </c>
      <c r="AJ221" s="311">
        <f>INDEX($AR$3:AS225,MATCH(COUNTA(O221:W221),$AR$3:$AR$12,0),2)</f>
        <v>1.75</v>
      </c>
      <c r="AK221" s="108">
        <f t="shared" si="32"/>
        <v>29.373333333333335</v>
      </c>
      <c r="AL221" s="310">
        <f t="shared" si="31"/>
        <v>3.2878253825940016</v>
      </c>
      <c r="AP221" s="319" t="s">
        <v>244</v>
      </c>
    </row>
    <row r="222" spans="1:42">
      <c r="A222" s="215" t="s">
        <v>277</v>
      </c>
      <c r="C222">
        <v>33.840000000000003</v>
      </c>
      <c r="D222">
        <v>29.41</v>
      </c>
      <c r="E222">
        <v>12.73</v>
      </c>
      <c r="F222">
        <v>30.39</v>
      </c>
      <c r="G222">
        <v>10.59</v>
      </c>
      <c r="J222">
        <v>20.56</v>
      </c>
      <c r="K222">
        <v>32.07</v>
      </c>
      <c r="L222">
        <v>44.51</v>
      </c>
      <c r="O222">
        <v>33.840000000000003</v>
      </c>
      <c r="P222">
        <v>29.41</v>
      </c>
      <c r="Q222">
        <v>12.73</v>
      </c>
      <c r="R222">
        <v>30.39</v>
      </c>
      <c r="S222">
        <v>10.59</v>
      </c>
      <c r="V222">
        <v>20.56</v>
      </c>
      <c r="W222">
        <v>32.07</v>
      </c>
      <c r="X222">
        <v>44.51</v>
      </c>
      <c r="Z222">
        <v>0.82199999999999995</v>
      </c>
      <c r="AA222">
        <v>0.02</v>
      </c>
      <c r="AB222">
        <v>10.4704</v>
      </c>
      <c r="AC222">
        <v>0.78</v>
      </c>
      <c r="AD222" s="87">
        <f t="shared" si="24"/>
        <v>0.63888888888888884</v>
      </c>
      <c r="AE222" s="203">
        <f t="shared" si="25"/>
        <v>0.70944444444444443</v>
      </c>
      <c r="AF222" s="49">
        <f t="shared" si="26"/>
        <v>36.599389857061986</v>
      </c>
      <c r="AG222" s="49">
        <f t="shared" si="27"/>
        <v>36.599389857061986</v>
      </c>
      <c r="AH222" s="50">
        <f t="shared" si="28"/>
        <v>7.6129032258064638E-2</v>
      </c>
      <c r="AI222" s="105">
        <f t="shared" si="29"/>
        <v>1.0841177191647968</v>
      </c>
      <c r="AJ222" s="311">
        <f>INDEX($AR$3:AS226,MATCH(COUNTA(O222:W222),$AR$3:$AR$12,0),2)</f>
        <v>2.1</v>
      </c>
      <c r="AK222" s="108">
        <f t="shared" si="32"/>
        <v>26.762499999999999</v>
      </c>
      <c r="AL222" s="310">
        <f t="shared" si="31"/>
        <v>2.5560150519559901</v>
      </c>
      <c r="AP222" s="319" t="s">
        <v>244</v>
      </c>
    </row>
    <row r="223" spans="1:42">
      <c r="A223" s="215" t="s">
        <v>278</v>
      </c>
      <c r="I223">
        <v>784.88</v>
      </c>
      <c r="J223">
        <v>301.02999999999997</v>
      </c>
      <c r="K223">
        <v>421.39</v>
      </c>
      <c r="U223">
        <v>784.88</v>
      </c>
      <c r="V223">
        <v>301.02999999999997</v>
      </c>
      <c r="W223">
        <v>421.39</v>
      </c>
      <c r="Z223">
        <v>0.83099999999999996</v>
      </c>
      <c r="AA223">
        <v>0.13600000000000001</v>
      </c>
      <c r="AB223">
        <v>8.854280000000001</v>
      </c>
      <c r="AC223">
        <v>0.57999999999999996</v>
      </c>
      <c r="AD223" s="87">
        <f t="shared" si="24"/>
        <v>0.41666666666666663</v>
      </c>
      <c r="AE223" s="203">
        <f t="shared" si="25"/>
        <v>0.49833333333333329</v>
      </c>
      <c r="AF223" s="49">
        <f t="shared" si="26"/>
        <v>40.935912619654665</v>
      </c>
      <c r="AG223" s="49">
        <f t="shared" si="27"/>
        <v>40.935912619654665</v>
      </c>
      <c r="AH223" s="50">
        <f t="shared" si="28"/>
        <v>0.75124522062622712</v>
      </c>
      <c r="AI223" s="105">
        <f t="shared" si="29"/>
        <v>1.373262409925972</v>
      </c>
      <c r="AJ223" s="311">
        <f>INDEX($AR$3:AS227,MATCH(COUNTA(O223:W223),$AR$3:$AR$12,0),2)</f>
        <v>1.1499999999999999</v>
      </c>
      <c r="AK223" s="108">
        <f t="shared" si="32"/>
        <v>502.43333333333322</v>
      </c>
      <c r="AL223" s="310">
        <f t="shared" si="31"/>
        <v>56.744685432732325</v>
      </c>
      <c r="AP223" s="319" t="s">
        <v>244</v>
      </c>
    </row>
    <row r="224" spans="1:42">
      <c r="A224" s="215" t="s">
        <v>279</v>
      </c>
      <c r="I224">
        <v>329.12</v>
      </c>
      <c r="J224">
        <v>138.63</v>
      </c>
      <c r="K224">
        <v>291.86</v>
      </c>
      <c r="U224">
        <v>329.12</v>
      </c>
      <c r="V224">
        <v>138.63</v>
      </c>
      <c r="W224">
        <v>291.86</v>
      </c>
      <c r="Z224">
        <v>0.29799999999999999</v>
      </c>
      <c r="AA224">
        <v>0.13600000000000001</v>
      </c>
      <c r="AB224">
        <v>8.9194449999999996</v>
      </c>
      <c r="AC224">
        <v>0.52</v>
      </c>
      <c r="AD224" s="87">
        <f t="shared" si="24"/>
        <v>0.66666666666666663</v>
      </c>
      <c r="AE224" s="203">
        <f t="shared" si="25"/>
        <v>0.59333333333333327</v>
      </c>
      <c r="AF224" s="49">
        <f t="shared" si="26"/>
        <v>32.555352512969748</v>
      </c>
      <c r="AG224" s="49">
        <f t="shared" si="27"/>
        <v>32.555352512969748</v>
      </c>
      <c r="AH224" s="50">
        <f t="shared" si="28"/>
        <v>0.19560081894062675</v>
      </c>
      <c r="AI224" s="105">
        <f t="shared" si="29"/>
        <v>0.92096963174278124</v>
      </c>
      <c r="AJ224" s="311">
        <f>INDEX($AR$3:AS228,MATCH(COUNTA(O224:W224),$AR$3:$AR$12,0),2)</f>
        <v>1.1499999999999999</v>
      </c>
      <c r="AK224" s="108">
        <f t="shared" si="32"/>
        <v>253.20333333333335</v>
      </c>
      <c r="AL224" s="310">
        <f t="shared" si="31"/>
        <v>28.387790196961063</v>
      </c>
      <c r="AP224" s="319" t="s">
        <v>244</v>
      </c>
    </row>
    <row r="225" spans="1:42">
      <c r="A225" s="215" t="s">
        <v>280</v>
      </c>
      <c r="I225">
        <v>344.25</v>
      </c>
      <c r="J225">
        <v>134.96</v>
      </c>
      <c r="K225">
        <v>234.48</v>
      </c>
      <c r="U225">
        <v>344.25</v>
      </c>
      <c r="V225">
        <v>134.96</v>
      </c>
      <c r="W225">
        <v>234.48</v>
      </c>
      <c r="Z225">
        <v>1.038</v>
      </c>
      <c r="AA225">
        <v>0.13600000000000001</v>
      </c>
      <c r="AB225">
        <v>9.8315149999999996</v>
      </c>
      <c r="AC225">
        <v>0.41</v>
      </c>
      <c r="AD225" s="87">
        <f t="shared" si="24"/>
        <v>0.41666666666666663</v>
      </c>
      <c r="AE225" s="203">
        <f t="shared" si="25"/>
        <v>0.41333333333333333</v>
      </c>
      <c r="AF225" s="49">
        <f t="shared" si="26"/>
        <v>35.930068086666047</v>
      </c>
      <c r="AG225" s="49">
        <f t="shared" si="27"/>
        <v>35.930068086666047</v>
      </c>
      <c r="AH225" s="50">
        <f t="shared" si="28"/>
        <v>0.52448755315590811</v>
      </c>
      <c r="AI225" s="105">
        <f t="shared" si="29"/>
        <v>1.2442415759712342</v>
      </c>
      <c r="AJ225" s="311">
        <f>INDEX($AR$3:AS229,MATCH(COUNTA(O225:W225),$AR$3:$AR$12,0),2)</f>
        <v>1.1499999999999999</v>
      </c>
      <c r="AK225" s="108">
        <f t="shared" si="32"/>
        <v>237.89666666666668</v>
      </c>
      <c r="AL225" s="310">
        <f t="shared" si="31"/>
        <v>24.197355816134817</v>
      </c>
      <c r="AP225" s="319" t="s">
        <v>244</v>
      </c>
    </row>
    <row r="226" spans="1:42">
      <c r="A226" s="215" t="s">
        <v>281</v>
      </c>
      <c r="C226">
        <v>147.56</v>
      </c>
      <c r="D226">
        <v>37.49</v>
      </c>
      <c r="E226">
        <v>36.47</v>
      </c>
      <c r="F226">
        <v>104.86</v>
      </c>
      <c r="G226">
        <v>86.35</v>
      </c>
      <c r="H226">
        <v>246.5</v>
      </c>
      <c r="I226">
        <v>118.24</v>
      </c>
      <c r="J226">
        <v>67.400000000000006</v>
      </c>
      <c r="K226">
        <v>149.94999999999999</v>
      </c>
      <c r="O226">
        <v>147.56</v>
      </c>
      <c r="P226">
        <v>37.49</v>
      </c>
      <c r="Q226">
        <v>36.47</v>
      </c>
      <c r="R226">
        <v>104.86</v>
      </c>
      <c r="S226">
        <v>86.35</v>
      </c>
      <c r="T226">
        <v>246.5</v>
      </c>
      <c r="U226">
        <v>118.24</v>
      </c>
      <c r="V226">
        <v>67.400000000000006</v>
      </c>
      <c r="W226">
        <v>149.94999999999999</v>
      </c>
      <c r="Z226">
        <v>0.92</v>
      </c>
      <c r="AA226">
        <v>0.113</v>
      </c>
      <c r="AB226">
        <v>8.5098400000000005</v>
      </c>
      <c r="AC226">
        <v>0.75</v>
      </c>
      <c r="AD226" s="87">
        <f t="shared" si="24"/>
        <v>0.75</v>
      </c>
      <c r="AE226" s="203">
        <f t="shared" si="25"/>
        <v>0.75</v>
      </c>
      <c r="AF226" s="49">
        <f t="shared" si="26"/>
        <v>56.230766681215968</v>
      </c>
      <c r="AG226" s="49">
        <f t="shared" si="27"/>
        <v>56.230766681215968</v>
      </c>
      <c r="AH226" s="50">
        <f t="shared" si="28"/>
        <v>0.45969623387135178</v>
      </c>
      <c r="AI226" s="105">
        <f t="shared" si="29"/>
        <v>2.1875064848604824</v>
      </c>
      <c r="AJ226" s="311">
        <f>INDEX($AR$3:AS230,MATCH(COUNTA(O226:W226),$AR$3:$AR$12,0),2)</f>
        <v>2.3199999999999998</v>
      </c>
      <c r="AK226" s="108">
        <f t="shared" si="32"/>
        <v>110.53555555555555</v>
      </c>
      <c r="AL226" s="310">
        <f t="shared" si="31"/>
        <v>12.989146159687555</v>
      </c>
      <c r="AP226" s="319" t="s">
        <v>244</v>
      </c>
    </row>
    <row r="227" spans="1:42">
      <c r="A227" s="215" t="s">
        <v>282</v>
      </c>
      <c r="C227">
        <v>145.99</v>
      </c>
      <c r="F227">
        <v>76.760000000000005</v>
      </c>
      <c r="G227">
        <v>72.34</v>
      </c>
      <c r="H227">
        <v>184.48</v>
      </c>
      <c r="I227">
        <v>93.12</v>
      </c>
      <c r="J227">
        <v>69.180000000000007</v>
      </c>
      <c r="K227">
        <v>119.08</v>
      </c>
      <c r="O227">
        <v>145.99</v>
      </c>
      <c r="R227">
        <v>76.760000000000005</v>
      </c>
      <c r="S227">
        <v>72.34</v>
      </c>
      <c r="T227">
        <v>184.48</v>
      </c>
      <c r="U227">
        <v>93.12</v>
      </c>
      <c r="V227">
        <v>69.180000000000007</v>
      </c>
      <c r="W227">
        <v>119.08</v>
      </c>
      <c r="Z227">
        <v>0.78100000000000003</v>
      </c>
      <c r="AA227">
        <v>0.113</v>
      </c>
      <c r="AB227">
        <v>8.9350749999999994</v>
      </c>
      <c r="AC227">
        <v>0.75</v>
      </c>
      <c r="AD227" s="87">
        <f t="shared" si="24"/>
        <v>0.63888888888888884</v>
      </c>
      <c r="AE227" s="203">
        <f t="shared" si="25"/>
        <v>0.69444444444444442</v>
      </c>
      <c r="AF227" s="49">
        <f t="shared" si="26"/>
        <v>37.10312248790617</v>
      </c>
      <c r="AG227" s="49">
        <f t="shared" si="27"/>
        <v>37.10312248790617</v>
      </c>
      <c r="AH227" s="50">
        <f t="shared" si="28"/>
        <v>0.33382480485689492</v>
      </c>
      <c r="AI227" s="105">
        <f t="shared" si="29"/>
        <v>1.8786467344232465</v>
      </c>
      <c r="AJ227" s="311">
        <f>INDEX($AR$3:AS231,MATCH(COUNTA(O227:W227),$AR$3:$AR$12,0),2)</f>
        <v>2.1</v>
      </c>
      <c r="AK227" s="108">
        <f t="shared" si="32"/>
        <v>108.70714285714288</v>
      </c>
      <c r="AL227" s="310">
        <f t="shared" si="31"/>
        <v>12.166338039372125</v>
      </c>
      <c r="AP227" s="319" t="s">
        <v>244</v>
      </c>
    </row>
    <row r="228" spans="1:42">
      <c r="A228" s="215" t="s">
        <v>283</v>
      </c>
      <c r="B228">
        <v>32.020000000000003</v>
      </c>
      <c r="C228">
        <v>87.86</v>
      </c>
      <c r="F228">
        <v>70.23</v>
      </c>
      <c r="G228">
        <v>75.400000000000006</v>
      </c>
      <c r="H228">
        <v>140.03</v>
      </c>
      <c r="I228">
        <v>67.91</v>
      </c>
      <c r="J228">
        <v>86.25</v>
      </c>
      <c r="K228">
        <v>115.26</v>
      </c>
      <c r="N228" s="306">
        <v>32.020000000000003</v>
      </c>
      <c r="O228">
        <v>87.86</v>
      </c>
      <c r="R228">
        <v>70.23</v>
      </c>
      <c r="S228">
        <v>75.400000000000006</v>
      </c>
      <c r="T228">
        <v>140.03</v>
      </c>
      <c r="U228">
        <v>67.91</v>
      </c>
      <c r="V228">
        <v>86.25</v>
      </c>
      <c r="W228">
        <v>115.26</v>
      </c>
      <c r="Z228">
        <v>0.502</v>
      </c>
      <c r="AA228">
        <v>0.113</v>
      </c>
      <c r="AB228">
        <v>8.0010499999999993</v>
      </c>
      <c r="AC228">
        <v>0.73</v>
      </c>
      <c r="AD228" s="87">
        <f t="shared" si="24"/>
        <v>0.88888888888888884</v>
      </c>
      <c r="AE228" s="203">
        <f t="shared" si="25"/>
        <v>0.80944444444444441</v>
      </c>
      <c r="AF228" s="49">
        <f t="shared" si="26"/>
        <v>26.75680824432914</v>
      </c>
      <c r="AG228" s="49">
        <f t="shared" si="27"/>
        <v>26.75680824432914</v>
      </c>
      <c r="AH228" s="50">
        <f t="shared" si="28"/>
        <v>0.34345535219079304</v>
      </c>
      <c r="AI228" s="105">
        <f t="shared" si="29"/>
        <v>1.9605275995305962</v>
      </c>
      <c r="AJ228" s="311">
        <f>INDEX($AR$3:AS232,MATCH(COUNTA(O228:W228),$AR$3:$AR$12,0),2)</f>
        <v>2.1</v>
      </c>
      <c r="AK228" s="108">
        <f t="shared" si="32"/>
        <v>84.36999999999999</v>
      </c>
      <c r="AL228" s="310">
        <f t="shared" si="31"/>
        <v>10.544865986339293</v>
      </c>
      <c r="AP228" s="319" t="s">
        <v>244</v>
      </c>
    </row>
    <row r="229" spans="1:42">
      <c r="A229" s="215" t="s">
        <v>284</v>
      </c>
      <c r="H229">
        <v>120.36</v>
      </c>
      <c r="I229">
        <v>81.91</v>
      </c>
      <c r="J229">
        <v>37.85</v>
      </c>
      <c r="K229">
        <v>79.37</v>
      </c>
      <c r="T229">
        <v>120.36</v>
      </c>
      <c r="U229">
        <v>81.91</v>
      </c>
      <c r="V229">
        <v>37.85</v>
      </c>
      <c r="W229">
        <v>79.37</v>
      </c>
      <c r="Z229">
        <v>0.70699999999999996</v>
      </c>
      <c r="AA229">
        <v>3.2000000000000001E-2</v>
      </c>
      <c r="AB229">
        <v>9.4548300000000012</v>
      </c>
      <c r="AC229">
        <v>0.62</v>
      </c>
      <c r="AD229" s="87">
        <f t="shared" si="24"/>
        <v>0.47222222222222221</v>
      </c>
      <c r="AE229" s="203">
        <f t="shared" si="25"/>
        <v>0.5461111111111111</v>
      </c>
      <c r="AF229" s="49">
        <f t="shared" si="26"/>
        <v>36.552755084063321</v>
      </c>
      <c r="AG229" s="49">
        <f t="shared" si="27"/>
        <v>36.552755084063321</v>
      </c>
      <c r="AH229" s="50">
        <f t="shared" si="28"/>
        <v>0.46600412071264097</v>
      </c>
      <c r="AI229" s="105">
        <f t="shared" si="29"/>
        <v>1.3867672171310395</v>
      </c>
      <c r="AJ229" s="311">
        <f>INDEX($AR$3:AS233,MATCH(COUNTA(O229:W229),$AR$3:$AR$12,0),2)</f>
        <v>1.49</v>
      </c>
      <c r="AK229" s="108">
        <f t="shared" si="32"/>
        <v>79.872500000000002</v>
      </c>
      <c r="AL229" s="310">
        <f t="shared" si="31"/>
        <v>8.4477986383679013</v>
      </c>
      <c r="AP229" s="319" t="s">
        <v>244</v>
      </c>
    </row>
    <row r="230" spans="1:42">
      <c r="A230" s="215" t="s">
        <v>285</v>
      </c>
      <c r="I230">
        <v>182.75</v>
      </c>
      <c r="U230">
        <v>182.75</v>
      </c>
      <c r="Z230">
        <v>0.70699999999999996</v>
      </c>
      <c r="AA230">
        <v>3.2000000000000001E-2</v>
      </c>
      <c r="AB230">
        <v>9.7220899999999997</v>
      </c>
      <c r="AC230">
        <v>0.65</v>
      </c>
      <c r="AD230" s="87">
        <f t="shared" si="24"/>
        <v>0.55555555555555558</v>
      </c>
      <c r="AE230" s="203">
        <f t="shared" si="25"/>
        <v>0.60277777777777786</v>
      </c>
      <c r="AF230" s="49">
        <f t="shared" si="26"/>
        <v>0</v>
      </c>
      <c r="AG230" s="49">
        <f t="shared" si="27"/>
        <v>0</v>
      </c>
      <c r="AH230" s="50" t="e">
        <f t="shared" si="28"/>
        <v>#NUM!</v>
      </c>
      <c r="AI230" s="105" t="e">
        <f t="shared" si="29"/>
        <v>#DIV/0!</v>
      </c>
      <c r="AJ230" s="311" t="e">
        <f>INDEX($AR$3:AS234,MATCH(COUNTA(O230:W230),$AR$3:$AR$12,0),2)</f>
        <v>#N/A</v>
      </c>
      <c r="AK230" s="108">
        <f t="shared" si="32"/>
        <v>182.75</v>
      </c>
      <c r="AL230" s="310">
        <f t="shared" si="31"/>
        <v>18.797398501762483</v>
      </c>
      <c r="AP230" s="319" t="s">
        <v>244</v>
      </c>
    </row>
    <row r="231" spans="1:42">
      <c r="A231" s="215" t="s">
        <v>286</v>
      </c>
      <c r="B231">
        <v>16.350000000000001</v>
      </c>
      <c r="C231">
        <v>15.9</v>
      </c>
      <c r="D231">
        <v>20.52</v>
      </c>
      <c r="E231">
        <v>9.02</v>
      </c>
      <c r="F231">
        <v>19.920000000000002</v>
      </c>
      <c r="G231">
        <v>19.47</v>
      </c>
      <c r="H231">
        <v>70.099999999999994</v>
      </c>
      <c r="I231">
        <v>25.28</v>
      </c>
      <c r="J231">
        <v>6.85</v>
      </c>
      <c r="K231">
        <v>28.15</v>
      </c>
      <c r="N231" s="306">
        <v>16.350000000000001</v>
      </c>
      <c r="O231">
        <v>15.9</v>
      </c>
      <c r="P231">
        <v>20.52</v>
      </c>
      <c r="Q231">
        <v>9.02</v>
      </c>
      <c r="R231">
        <v>19.920000000000002</v>
      </c>
      <c r="S231">
        <v>19.47</v>
      </c>
      <c r="U231">
        <v>25.28</v>
      </c>
      <c r="V231">
        <v>6.85</v>
      </c>
      <c r="W231">
        <v>28.15</v>
      </c>
      <c r="Z231">
        <v>1.1419999999999999</v>
      </c>
      <c r="AA231">
        <v>5.5E-2</v>
      </c>
      <c r="AB231">
        <v>6.5427799999999996</v>
      </c>
      <c r="AC231">
        <v>0.68</v>
      </c>
      <c r="AD231" s="87">
        <f t="shared" si="24"/>
        <v>0.69444444444444442</v>
      </c>
      <c r="AE231" s="203">
        <f t="shared" si="25"/>
        <v>0.68722222222222218</v>
      </c>
      <c r="AF231" s="49">
        <f t="shared" si="26"/>
        <v>37.867808105660679</v>
      </c>
      <c r="AG231" s="49">
        <f t="shared" si="27"/>
        <v>73.464744609969273</v>
      </c>
      <c r="AH231" s="50">
        <f t="shared" si="28"/>
        <v>0.13474178403755857</v>
      </c>
      <c r="AI231" s="105">
        <f t="shared" si="29"/>
        <v>1.4575074518931805</v>
      </c>
      <c r="AJ231" s="311">
        <f>INDEX($AR$3:AS235,MATCH(COUNTA(O231:W231),$AR$3:$AR$12,0),2)</f>
        <v>2.2200000000000002</v>
      </c>
      <c r="AK231" s="108">
        <f t="shared" si="32"/>
        <v>17.940000000000001</v>
      </c>
      <c r="AL231" s="310">
        <f t="shared" si="31"/>
        <v>2.7419537260919675</v>
      </c>
      <c r="AP231" s="319" t="s">
        <v>244</v>
      </c>
    </row>
    <row r="232" spans="1:42">
      <c r="A232" s="215" t="s">
        <v>287</v>
      </c>
      <c r="B232">
        <v>61.64</v>
      </c>
      <c r="C232">
        <v>58.33</v>
      </c>
      <c r="D232">
        <v>29.08</v>
      </c>
      <c r="F232">
        <v>66.290000000000006</v>
      </c>
      <c r="G232">
        <v>84.22</v>
      </c>
      <c r="H232">
        <v>177.45</v>
      </c>
      <c r="I232">
        <v>51.23</v>
      </c>
      <c r="J232">
        <v>66.010000000000005</v>
      </c>
      <c r="K232">
        <v>95.22</v>
      </c>
      <c r="N232" s="306">
        <v>61.64</v>
      </c>
      <c r="O232">
        <v>58.33</v>
      </c>
      <c r="P232">
        <v>29.08</v>
      </c>
      <c r="R232">
        <v>66.290000000000006</v>
      </c>
      <c r="S232">
        <v>84.22</v>
      </c>
      <c r="T232">
        <v>177.45</v>
      </c>
      <c r="U232">
        <v>51.23</v>
      </c>
      <c r="V232">
        <v>66.010000000000005</v>
      </c>
      <c r="W232">
        <v>95.22</v>
      </c>
      <c r="Z232">
        <v>0.49399999999999999</v>
      </c>
      <c r="AA232">
        <v>5.5E-2</v>
      </c>
      <c r="AB232">
        <v>9.3765300000000007</v>
      </c>
      <c r="AC232">
        <v>0.65</v>
      </c>
      <c r="AD232" s="87">
        <f t="shared" si="24"/>
        <v>0.69444444444444442</v>
      </c>
      <c r="AE232" s="203">
        <f t="shared" si="25"/>
        <v>0.67222222222222228</v>
      </c>
      <c r="AF232" s="49">
        <f t="shared" si="26"/>
        <v>53.307310312099276</v>
      </c>
      <c r="AG232" s="49">
        <f t="shared" si="27"/>
        <v>53.307310312099276</v>
      </c>
      <c r="AH232" s="50">
        <f t="shared" si="28"/>
        <v>0.55422255172878609</v>
      </c>
      <c r="AI232" s="105">
        <f t="shared" si="29"/>
        <v>2.365757405175942</v>
      </c>
      <c r="AJ232" s="311">
        <f>INDEX($AR$3:AS236,MATCH(COUNTA(O232:W232),$AR$3:$AR$12,0),2)</f>
        <v>2.2200000000000002</v>
      </c>
      <c r="AK232" s="108">
        <f t="shared" si="32"/>
        <v>76.607777777777784</v>
      </c>
      <c r="AL232" s="310">
        <f t="shared" si="31"/>
        <v>8.1701629257068209</v>
      </c>
      <c r="AP232" s="319" t="s">
        <v>244</v>
      </c>
    </row>
    <row r="233" spans="1:42">
      <c r="A233" s="215" t="s">
        <v>288</v>
      </c>
      <c r="B233">
        <v>16.59</v>
      </c>
      <c r="D233">
        <v>21.6</v>
      </c>
      <c r="E233">
        <v>22.06</v>
      </c>
      <c r="F233">
        <v>44.1</v>
      </c>
      <c r="G233">
        <v>32.26</v>
      </c>
      <c r="H233">
        <v>89.57</v>
      </c>
      <c r="I233">
        <v>31.62</v>
      </c>
      <c r="J233">
        <v>11.66</v>
      </c>
      <c r="K233">
        <v>37.909999999999997</v>
      </c>
      <c r="N233" s="306">
        <v>16.59</v>
      </c>
      <c r="P233">
        <v>21.6</v>
      </c>
      <c r="Q233">
        <v>22.06</v>
      </c>
      <c r="R233">
        <v>44.1</v>
      </c>
      <c r="S233">
        <v>32.26</v>
      </c>
      <c r="T233">
        <v>89.57</v>
      </c>
      <c r="U233">
        <v>31.62</v>
      </c>
      <c r="V233">
        <v>11.66</v>
      </c>
      <c r="W233">
        <v>37.909999999999997</v>
      </c>
      <c r="Z233">
        <v>0.65</v>
      </c>
      <c r="AA233">
        <v>5.5E-2</v>
      </c>
      <c r="AB233">
        <v>9.4145599999999998</v>
      </c>
      <c r="AC233">
        <v>0.75</v>
      </c>
      <c r="AD233" s="87">
        <f t="shared" si="24"/>
        <v>0.69444444444444442</v>
      </c>
      <c r="AE233" s="203">
        <f t="shared" si="25"/>
        <v>0.72222222222222221</v>
      </c>
      <c r="AF233" s="49">
        <f t="shared" si="26"/>
        <v>61.25196530235948</v>
      </c>
      <c r="AG233" s="49">
        <f t="shared" si="27"/>
        <v>61.25196530235948</v>
      </c>
      <c r="AH233" s="50">
        <f t="shared" si="28"/>
        <v>0.58362212809652159</v>
      </c>
      <c r="AI233" s="105">
        <f t="shared" si="29"/>
        <v>2.3905657751996578</v>
      </c>
      <c r="AJ233" s="311">
        <f>INDEX($AR$3:AS237,MATCH(COUNTA(O233:W233),$AR$3:$AR$12,0),2)</f>
        <v>2.2200000000000002</v>
      </c>
      <c r="AK233" s="108">
        <f t="shared" si="32"/>
        <v>34.152222222222221</v>
      </c>
      <c r="AL233" s="310">
        <f t="shared" si="31"/>
        <v>3.6275962150352457</v>
      </c>
      <c r="AP233" s="319" t="s">
        <v>244</v>
      </c>
    </row>
    <row r="234" spans="1:42">
      <c r="A234" s="215" t="s">
        <v>289</v>
      </c>
      <c r="B234">
        <v>9.6999999999999993</v>
      </c>
      <c r="C234">
        <v>51.91</v>
      </c>
      <c r="D234">
        <v>43.21</v>
      </c>
      <c r="E234">
        <v>40.14</v>
      </c>
      <c r="F234">
        <v>31.08</v>
      </c>
      <c r="G234">
        <v>71.31</v>
      </c>
      <c r="H234">
        <v>204.16</v>
      </c>
      <c r="I234">
        <v>84.68</v>
      </c>
      <c r="J234">
        <v>75.989999999999995</v>
      </c>
      <c r="K234">
        <v>110.54</v>
      </c>
      <c r="N234" s="306">
        <v>9.6999999999999993</v>
      </c>
      <c r="O234">
        <v>51.91</v>
      </c>
      <c r="P234">
        <v>43.21</v>
      </c>
      <c r="Q234">
        <v>40.14</v>
      </c>
      <c r="R234">
        <v>31.08</v>
      </c>
      <c r="S234">
        <v>71.31</v>
      </c>
      <c r="U234">
        <v>84.68</v>
      </c>
      <c r="V234">
        <v>75.989999999999995</v>
      </c>
      <c r="W234">
        <v>110.54</v>
      </c>
      <c r="Z234">
        <v>0.54800000000000004</v>
      </c>
      <c r="AA234">
        <v>0.16400000000000001</v>
      </c>
      <c r="AB234">
        <v>4.9484750000000002</v>
      </c>
      <c r="AC234">
        <v>0.62</v>
      </c>
      <c r="AD234" s="87">
        <f t="shared" si="24"/>
        <v>0.69444444444444442</v>
      </c>
      <c r="AE234" s="203">
        <f t="shared" si="25"/>
        <v>0.65722222222222215</v>
      </c>
      <c r="AF234" s="49">
        <f t="shared" si="26"/>
        <v>39.386054760764473</v>
      </c>
      <c r="AG234" s="49">
        <f t="shared" si="27"/>
        <v>63.225362284540324</v>
      </c>
      <c r="AH234" s="50">
        <f t="shared" si="28"/>
        <v>0.3254467656682607</v>
      </c>
      <c r="AI234" s="105">
        <f t="shared" si="29"/>
        <v>1.8733670695135267</v>
      </c>
      <c r="AJ234" s="311">
        <f>INDEX($AR$3:AS238,MATCH(COUNTA(O234:W234),$AR$3:$AR$12,0),2)</f>
        <v>2.2200000000000002</v>
      </c>
      <c r="AK234" s="108">
        <f t="shared" si="32"/>
        <v>57.617777777777775</v>
      </c>
      <c r="AL234" s="310">
        <f t="shared" si="31"/>
        <v>11.643542258529703</v>
      </c>
      <c r="AP234" s="319" t="s">
        <v>244</v>
      </c>
    </row>
    <row r="235" spans="1:42">
      <c r="A235" s="215" t="s">
        <v>290</v>
      </c>
      <c r="C235">
        <v>62.48</v>
      </c>
      <c r="D235">
        <v>52.48</v>
      </c>
      <c r="E235">
        <v>42.68</v>
      </c>
      <c r="F235">
        <v>25.49</v>
      </c>
      <c r="G235">
        <v>64.61</v>
      </c>
      <c r="H235">
        <v>156.72999999999999</v>
      </c>
      <c r="I235">
        <v>75.849999999999994</v>
      </c>
      <c r="J235">
        <v>54.63</v>
      </c>
      <c r="K235">
        <v>102.43</v>
      </c>
      <c r="O235">
        <v>62.48</v>
      </c>
      <c r="P235">
        <v>52.48</v>
      </c>
      <c r="Q235">
        <v>42.68</v>
      </c>
      <c r="R235">
        <v>25.49</v>
      </c>
      <c r="S235">
        <v>64.61</v>
      </c>
      <c r="U235">
        <v>75.849999999999994</v>
      </c>
      <c r="V235">
        <v>54.63</v>
      </c>
      <c r="W235">
        <v>102.43</v>
      </c>
      <c r="Z235">
        <v>0.82099999999999995</v>
      </c>
      <c r="AA235">
        <v>0.16400000000000001</v>
      </c>
      <c r="AB235">
        <v>5.7705900000000003</v>
      </c>
      <c r="AC235">
        <v>0.82</v>
      </c>
      <c r="AD235" s="87">
        <f t="shared" si="24"/>
        <v>0.69444444444444442</v>
      </c>
      <c r="AE235" s="203">
        <f t="shared" si="25"/>
        <v>0.75722222222222224</v>
      </c>
      <c r="AF235" s="49">
        <f t="shared" si="26"/>
        <v>35.577124238986947</v>
      </c>
      <c r="AG235" s="49">
        <f t="shared" si="27"/>
        <v>51.470359313857806</v>
      </c>
      <c r="AH235" s="50">
        <f t="shared" si="28"/>
        <v>0.34546399792045762</v>
      </c>
      <c r="AI235" s="105">
        <f t="shared" si="29"/>
        <v>1.9812112976033429</v>
      </c>
      <c r="AJ235" s="311">
        <f>INDEX($AR$3:AS239,MATCH(COUNTA(O235:W235),$AR$3:$AR$12,0),2)</f>
        <v>2.2200000000000002</v>
      </c>
      <c r="AK235" s="108">
        <f t="shared" si="32"/>
        <v>60.081250000000004</v>
      </c>
      <c r="AL235" s="310">
        <f t="shared" si="31"/>
        <v>10.411630353222113</v>
      </c>
      <c r="AP235" s="319" t="s">
        <v>244</v>
      </c>
    </row>
    <row r="236" spans="1:42">
      <c r="A236" s="215" t="s">
        <v>291</v>
      </c>
      <c r="C236">
        <v>138.99</v>
      </c>
      <c r="D236">
        <v>21.53</v>
      </c>
      <c r="E236">
        <v>35.5</v>
      </c>
      <c r="H236">
        <v>232.37</v>
      </c>
      <c r="I236">
        <v>138.07</v>
      </c>
      <c r="J236">
        <v>89.2</v>
      </c>
      <c r="K236">
        <v>185.22</v>
      </c>
      <c r="O236">
        <v>138.99</v>
      </c>
      <c r="P236">
        <v>21.53</v>
      </c>
      <c r="Q236">
        <v>35.5</v>
      </c>
      <c r="T236">
        <v>232.37</v>
      </c>
      <c r="U236">
        <v>138.07</v>
      </c>
      <c r="V236">
        <v>89.2</v>
      </c>
      <c r="W236">
        <v>185.22</v>
      </c>
      <c r="Z236">
        <v>0.79400000000000004</v>
      </c>
      <c r="AA236">
        <v>0.16400000000000001</v>
      </c>
      <c r="AB236">
        <v>7.5740399999999992</v>
      </c>
      <c r="AC236">
        <v>0.71</v>
      </c>
      <c r="AD236" s="87">
        <f t="shared" si="24"/>
        <v>0.63888888888888884</v>
      </c>
      <c r="AE236" s="203">
        <f t="shared" si="25"/>
        <v>0.6744444444444444</v>
      </c>
      <c r="AF236" s="49">
        <f t="shared" si="26"/>
        <v>59.159937580345137</v>
      </c>
      <c r="AG236" s="49">
        <f t="shared" si="27"/>
        <v>59.159937580345137</v>
      </c>
      <c r="AH236" s="50">
        <f t="shared" si="28"/>
        <v>0.22362929235439197</v>
      </c>
      <c r="AI236" s="105">
        <f t="shared" si="29"/>
        <v>1.579430609468973</v>
      </c>
      <c r="AJ236" s="311">
        <f>INDEX($AR$3:AS240,MATCH(COUNTA(O236:W236),$AR$3:$AR$12,0),2)</f>
        <v>2.1</v>
      </c>
      <c r="AK236" s="108">
        <f t="shared" si="32"/>
        <v>120.1257142857143</v>
      </c>
      <c r="AL236" s="310">
        <f t="shared" si="31"/>
        <v>15.860190108015578</v>
      </c>
      <c r="AP236" s="319" t="s">
        <v>244</v>
      </c>
    </row>
    <row r="237" spans="1:42">
      <c r="A237" s="215" t="s">
        <v>292</v>
      </c>
      <c r="B237">
        <v>17.63</v>
      </c>
      <c r="D237">
        <v>42.51</v>
      </c>
      <c r="F237">
        <v>13.46</v>
      </c>
      <c r="G237">
        <v>12.25</v>
      </c>
      <c r="H237">
        <v>36.659999999999997</v>
      </c>
      <c r="I237">
        <v>18.75</v>
      </c>
      <c r="J237">
        <v>2.35</v>
      </c>
      <c r="K237">
        <v>30.65</v>
      </c>
      <c r="N237" s="306">
        <v>17.63</v>
      </c>
      <c r="P237">
        <v>42.51</v>
      </c>
      <c r="R237">
        <v>13.46</v>
      </c>
      <c r="S237">
        <v>12.25</v>
      </c>
      <c r="T237">
        <v>36.659999999999997</v>
      </c>
      <c r="U237">
        <v>18.75</v>
      </c>
      <c r="V237">
        <v>2.35</v>
      </c>
      <c r="W237">
        <v>30.65</v>
      </c>
      <c r="Z237">
        <v>0.90600000000000003</v>
      </c>
      <c r="AA237">
        <v>0.13900000000000001</v>
      </c>
      <c r="AB237">
        <v>8.5894499999999994</v>
      </c>
      <c r="AC237">
        <v>0.53</v>
      </c>
      <c r="AD237" s="87">
        <f t="shared" si="24"/>
        <v>0.63888888888888884</v>
      </c>
      <c r="AE237" s="203">
        <f t="shared" si="25"/>
        <v>0.58444444444444443</v>
      </c>
      <c r="AF237" s="49">
        <f t="shared" si="26"/>
        <v>60.293984420494539</v>
      </c>
      <c r="AG237" s="49">
        <f t="shared" si="27"/>
        <v>60.293984420494539</v>
      </c>
      <c r="AH237" s="50">
        <f t="shared" si="28"/>
        <v>0.14566733067729087</v>
      </c>
      <c r="AI237" s="105">
        <f t="shared" si="29"/>
        <v>1.4924003246403001</v>
      </c>
      <c r="AJ237" s="311">
        <f>INDEX($AR$3:AS241,MATCH(COUNTA(O237:W237),$AR$3:$AR$12,0),2)</f>
        <v>2.1</v>
      </c>
      <c r="AK237" s="108">
        <f t="shared" si="32"/>
        <v>21.782499999999999</v>
      </c>
      <c r="AL237" s="310">
        <f t="shared" si="31"/>
        <v>2.535959811163695</v>
      </c>
      <c r="AP237" s="319" t="s">
        <v>244</v>
      </c>
    </row>
    <row r="238" spans="1:42">
      <c r="A238" s="215" t="s">
        <v>293</v>
      </c>
      <c r="B238">
        <v>33.4</v>
      </c>
      <c r="C238">
        <v>93.92</v>
      </c>
      <c r="F238">
        <v>27.39</v>
      </c>
      <c r="G238">
        <v>24.66</v>
      </c>
      <c r="H238">
        <v>81.209999999999994</v>
      </c>
      <c r="I238">
        <v>40.32</v>
      </c>
      <c r="J238">
        <v>29.26</v>
      </c>
      <c r="K238">
        <v>26.3</v>
      </c>
      <c r="N238" s="306">
        <v>33.4</v>
      </c>
      <c r="O238">
        <v>93.92</v>
      </c>
      <c r="R238">
        <v>27.39</v>
      </c>
      <c r="S238">
        <v>24.66</v>
      </c>
      <c r="T238">
        <v>81.209999999999994</v>
      </c>
      <c r="U238">
        <v>40.32</v>
      </c>
      <c r="V238">
        <v>29.26</v>
      </c>
      <c r="W238">
        <v>26.3</v>
      </c>
      <c r="Z238">
        <v>0.64600000000000002</v>
      </c>
      <c r="AA238">
        <v>0.13900000000000001</v>
      </c>
      <c r="AB238">
        <v>8.6637399999999989</v>
      </c>
      <c r="AC238">
        <v>0.56999999999999995</v>
      </c>
      <c r="AD238" s="87">
        <f t="shared" si="24"/>
        <v>0.63888888888888884</v>
      </c>
      <c r="AE238" s="203">
        <f t="shared" si="25"/>
        <v>0.60444444444444434</v>
      </c>
      <c r="AF238" s="49">
        <f t="shared" si="26"/>
        <v>58.130531699205868</v>
      </c>
      <c r="AG238" s="49">
        <f t="shared" si="27"/>
        <v>58.130531699205868</v>
      </c>
      <c r="AH238" s="50">
        <f t="shared" si="28"/>
        <v>0.18351140629511994</v>
      </c>
      <c r="AI238" s="105">
        <f t="shared" si="29"/>
        <v>1.7805444065414846</v>
      </c>
      <c r="AJ238" s="311">
        <f>INDEX($AR$3:AS242,MATCH(COUNTA(O238:W238),$AR$3:$AR$12,0),2)</f>
        <v>2.1</v>
      </c>
      <c r="AK238" s="108">
        <f t="shared" si="32"/>
        <v>44.557499999999997</v>
      </c>
      <c r="AL238" s="310">
        <f t="shared" si="31"/>
        <v>5.1429867470630475</v>
      </c>
      <c r="AP238" s="319" t="s">
        <v>244</v>
      </c>
    </row>
    <row r="239" spans="1:42">
      <c r="A239" s="215" t="s">
        <v>294</v>
      </c>
      <c r="B239">
        <v>67</v>
      </c>
      <c r="C239">
        <v>118.36</v>
      </c>
      <c r="F239">
        <v>42.21</v>
      </c>
      <c r="G239">
        <v>45.26</v>
      </c>
      <c r="H239">
        <v>110.66</v>
      </c>
      <c r="I239">
        <v>50.32</v>
      </c>
      <c r="J239">
        <v>37.36</v>
      </c>
      <c r="K239">
        <v>103.19</v>
      </c>
      <c r="N239" s="306">
        <v>67</v>
      </c>
      <c r="O239">
        <v>118.36</v>
      </c>
      <c r="R239">
        <v>42.21</v>
      </c>
      <c r="S239">
        <v>45.26</v>
      </c>
      <c r="T239">
        <v>110.66</v>
      </c>
      <c r="U239">
        <v>50.32</v>
      </c>
      <c r="V239">
        <v>37.36</v>
      </c>
      <c r="W239">
        <v>103.19</v>
      </c>
      <c r="Z239">
        <v>0.68</v>
      </c>
      <c r="AA239">
        <v>0.13900000000000001</v>
      </c>
      <c r="AB239">
        <v>9.0110200000000003</v>
      </c>
      <c r="AC239">
        <v>0.75</v>
      </c>
      <c r="AD239" s="87">
        <f t="shared" si="24"/>
        <v>0.63888888888888884</v>
      </c>
      <c r="AE239" s="203">
        <f t="shared" si="25"/>
        <v>0.69444444444444442</v>
      </c>
      <c r="AF239" s="49">
        <f t="shared" si="26"/>
        <v>46.312872252522666</v>
      </c>
      <c r="AG239" s="49">
        <f t="shared" si="27"/>
        <v>46.312872252522666</v>
      </c>
      <c r="AH239" s="50">
        <f t="shared" si="28"/>
        <v>9.5061728395061759E-2</v>
      </c>
      <c r="AI239" s="105">
        <f t="shared" si="29"/>
        <v>1.3667953998923894</v>
      </c>
      <c r="AJ239" s="311">
        <f>INDEX($AR$3:AS243,MATCH(COUNTA(O239:W239),$AR$3:$AR$12,0),2)</f>
        <v>2.1</v>
      </c>
      <c r="AK239" s="108">
        <f t="shared" si="32"/>
        <v>71.795000000000002</v>
      </c>
      <c r="AL239" s="310">
        <f t="shared" si="31"/>
        <v>7.9674665021273947</v>
      </c>
      <c r="AP239" s="319" t="s">
        <v>244</v>
      </c>
    </row>
    <row r="240" spans="1:42">
      <c r="A240" s="215" t="s">
        <v>295</v>
      </c>
      <c r="AD240" s="87" t="e">
        <f t="shared" si="24"/>
        <v>#DIV/0!</v>
      </c>
      <c r="AE240" s="203" t="e">
        <f t="shared" si="25"/>
        <v>#DIV/0!</v>
      </c>
      <c r="AF240" s="49" t="e">
        <f t="shared" si="26"/>
        <v>#DIV/0!</v>
      </c>
      <c r="AG240" s="49" t="e">
        <f t="shared" si="27"/>
        <v>#DIV/0!</v>
      </c>
      <c r="AH240" s="50" t="e">
        <f t="shared" si="28"/>
        <v>#NUM!</v>
      </c>
      <c r="AI240" s="105" t="e">
        <f t="shared" si="29"/>
        <v>#DIV/0!</v>
      </c>
      <c r="AJ240" s="311" t="e">
        <f>INDEX($AR$3:AS244,MATCH(COUNTA(O240:W240),$AR$3:$AR$12,0),2)</f>
        <v>#N/A</v>
      </c>
      <c r="AK240" s="108" t="e">
        <f t="shared" si="32"/>
        <v>#DIV/0!</v>
      </c>
      <c r="AL240" s="310" t="str">
        <f t="shared" si="31"/>
        <v>n.d.</v>
      </c>
      <c r="AP240" s="319" t="s">
        <v>64</v>
      </c>
    </row>
    <row r="241" spans="1:42">
      <c r="A241" s="215" t="s">
        <v>296</v>
      </c>
      <c r="F241">
        <v>19.48</v>
      </c>
      <c r="G241">
        <v>15.12</v>
      </c>
      <c r="H241">
        <v>10.49</v>
      </c>
      <c r="I241">
        <v>20.69</v>
      </c>
      <c r="K241">
        <v>16.45</v>
      </c>
      <c r="R241">
        <v>19.48</v>
      </c>
      <c r="S241">
        <v>15.12</v>
      </c>
      <c r="T241">
        <v>10.49</v>
      </c>
      <c r="U241">
        <v>20.69</v>
      </c>
      <c r="W241">
        <v>16.45</v>
      </c>
      <c r="AC241">
        <v>0.56999999999999995</v>
      </c>
      <c r="AD241" s="87">
        <f t="shared" si="24"/>
        <v>0.77777777777777779</v>
      </c>
      <c r="AE241" s="203">
        <f t="shared" si="25"/>
        <v>0.67388888888888887</v>
      </c>
      <c r="AF241" s="49">
        <f t="shared" si="26"/>
        <v>21.830442251787815</v>
      </c>
      <c r="AG241" s="49">
        <f t="shared" si="27"/>
        <v>21.830442251787815</v>
      </c>
      <c r="AH241" s="50">
        <f t="shared" si="28"/>
        <v>0.11862745098039222</v>
      </c>
      <c r="AI241" s="105">
        <f t="shared" si="29"/>
        <v>1.1820954763013858</v>
      </c>
      <c r="AJ241" s="311">
        <f>INDEX($AR$3:AS245,MATCH(COUNTA(O241:W241),$AR$3:$AR$12,0),2)</f>
        <v>1.75</v>
      </c>
      <c r="AK241" s="108">
        <f t="shared" si="32"/>
        <v>16.446000000000002</v>
      </c>
      <c r="AL241" s="310" t="e">
        <f t="shared" si="31"/>
        <v>#DIV/0!</v>
      </c>
      <c r="AP241" s="319" t="s">
        <v>64</v>
      </c>
    </row>
    <row r="242" spans="1:42">
      <c r="A242" s="215" t="s">
        <v>297</v>
      </c>
      <c r="AD242" s="87" t="e">
        <f t="shared" si="24"/>
        <v>#DIV/0!</v>
      </c>
      <c r="AE242" s="203" t="e">
        <f t="shared" si="25"/>
        <v>#DIV/0!</v>
      </c>
      <c r="AF242" s="49" t="e">
        <f t="shared" si="26"/>
        <v>#DIV/0!</v>
      </c>
      <c r="AG242" s="49" t="e">
        <f t="shared" si="27"/>
        <v>#DIV/0!</v>
      </c>
      <c r="AH242" s="50" t="e">
        <f t="shared" si="28"/>
        <v>#NUM!</v>
      </c>
      <c r="AI242" s="105" t="e">
        <f t="shared" si="29"/>
        <v>#DIV/0!</v>
      </c>
      <c r="AJ242" s="311" t="e">
        <f>INDEX($AR$3:AS246,MATCH(COUNTA(O242:W242),$AR$3:$AR$12,0),2)</f>
        <v>#N/A</v>
      </c>
      <c r="AK242" s="108" t="e">
        <f t="shared" si="32"/>
        <v>#DIV/0!</v>
      </c>
      <c r="AL242" s="310" t="str">
        <f t="shared" si="31"/>
        <v>n.d.</v>
      </c>
      <c r="AP242" s="319" t="s">
        <v>244</v>
      </c>
    </row>
    <row r="243" spans="1:42">
      <c r="A243" s="215" t="s">
        <v>298</v>
      </c>
      <c r="AD243" s="87" t="e">
        <f t="shared" si="24"/>
        <v>#DIV/0!</v>
      </c>
      <c r="AE243" s="203" t="e">
        <f t="shared" si="25"/>
        <v>#DIV/0!</v>
      </c>
      <c r="AF243" s="49" t="e">
        <f t="shared" si="26"/>
        <v>#DIV/0!</v>
      </c>
      <c r="AG243" s="49" t="e">
        <f t="shared" si="27"/>
        <v>#DIV/0!</v>
      </c>
      <c r="AH243" s="50" t="e">
        <f t="shared" si="28"/>
        <v>#NUM!</v>
      </c>
      <c r="AI243" s="105" t="e">
        <f t="shared" si="29"/>
        <v>#DIV/0!</v>
      </c>
      <c r="AJ243" s="311" t="e">
        <f>INDEX($AR$3:AS247,MATCH(COUNTA(O243:W243),$AR$3:$AR$12,0),2)</f>
        <v>#N/A</v>
      </c>
      <c r="AK243" s="108" t="e">
        <f t="shared" si="32"/>
        <v>#DIV/0!</v>
      </c>
      <c r="AL243" s="310" t="str">
        <f t="shared" si="31"/>
        <v>n.d.</v>
      </c>
      <c r="AP243" s="319" t="s">
        <v>244</v>
      </c>
    </row>
    <row r="244" spans="1:42">
      <c r="A244" s="215" t="s">
        <v>299</v>
      </c>
      <c r="AD244" s="87" t="e">
        <f t="shared" si="24"/>
        <v>#DIV/0!</v>
      </c>
      <c r="AE244" s="203" t="e">
        <f t="shared" si="25"/>
        <v>#DIV/0!</v>
      </c>
      <c r="AF244" s="49" t="e">
        <f t="shared" si="26"/>
        <v>#DIV/0!</v>
      </c>
      <c r="AG244" s="49" t="e">
        <f t="shared" si="27"/>
        <v>#DIV/0!</v>
      </c>
      <c r="AH244" s="50" t="e">
        <f t="shared" si="28"/>
        <v>#NUM!</v>
      </c>
      <c r="AI244" s="105" t="e">
        <f t="shared" si="29"/>
        <v>#DIV/0!</v>
      </c>
      <c r="AJ244" s="311" t="e">
        <f>INDEX($AR$3:AS248,MATCH(COUNTA(O244:W244),$AR$3:$AR$12,0),2)</f>
        <v>#N/A</v>
      </c>
      <c r="AK244" s="108" t="e">
        <f t="shared" si="32"/>
        <v>#DIV/0!</v>
      </c>
      <c r="AL244" s="310" t="str">
        <f t="shared" si="31"/>
        <v>n.d.</v>
      </c>
      <c r="AP244" s="319" t="s">
        <v>244</v>
      </c>
    </row>
    <row r="245" spans="1:42">
      <c r="A245" s="215" t="s">
        <v>300</v>
      </c>
      <c r="AB245">
        <v>6.02935</v>
      </c>
      <c r="AC245">
        <v>0.75</v>
      </c>
      <c r="AD245" s="87" t="e">
        <f t="shared" si="24"/>
        <v>#DIV/0!</v>
      </c>
      <c r="AE245" s="203" t="e">
        <f t="shared" si="25"/>
        <v>#DIV/0!</v>
      </c>
      <c r="AF245" s="49" t="e">
        <f t="shared" si="26"/>
        <v>#DIV/0!</v>
      </c>
      <c r="AG245" s="49" t="e">
        <f t="shared" si="27"/>
        <v>#DIV/0!</v>
      </c>
      <c r="AH245" s="50" t="e">
        <f t="shared" si="28"/>
        <v>#NUM!</v>
      </c>
      <c r="AI245" s="105" t="e">
        <f t="shared" si="29"/>
        <v>#DIV/0!</v>
      </c>
      <c r="AJ245" s="311" t="e">
        <f>INDEX($AR$3:AS249,MATCH(COUNTA(O245:W245),$AR$3:$AR$12,0),2)</f>
        <v>#N/A</v>
      </c>
      <c r="AK245" s="108" t="e">
        <f t="shared" si="32"/>
        <v>#DIV/0!</v>
      </c>
      <c r="AL245" s="310" t="str">
        <f t="shared" si="31"/>
        <v>n.d.</v>
      </c>
      <c r="AP245" s="319" t="s">
        <v>226</v>
      </c>
    </row>
    <row r="246" spans="1:42">
      <c r="A246" s="215" t="s">
        <v>301</v>
      </c>
      <c r="H246">
        <v>166.65</v>
      </c>
      <c r="I246">
        <v>157.5</v>
      </c>
      <c r="T246">
        <v>166.65</v>
      </c>
      <c r="U246">
        <v>157.5</v>
      </c>
      <c r="Z246">
        <v>0.82799999999999996</v>
      </c>
      <c r="AA246">
        <v>0.191</v>
      </c>
      <c r="AB246">
        <v>8.4088700000000003</v>
      </c>
      <c r="AC246">
        <v>0.75</v>
      </c>
      <c r="AD246" s="87">
        <f t="shared" si="24"/>
        <v>0.61111111111111116</v>
      </c>
      <c r="AE246" s="203">
        <f t="shared" si="25"/>
        <v>0.68055555555555558</v>
      </c>
      <c r="AF246" s="49">
        <f t="shared" si="26"/>
        <v>2.8227672373900994</v>
      </c>
      <c r="AG246" s="49">
        <f t="shared" si="27"/>
        <v>2.8227672373900994</v>
      </c>
      <c r="AH246" s="50">
        <f t="shared" si="28"/>
        <v>1</v>
      </c>
      <c r="AI246" s="105">
        <f t="shared" si="29"/>
        <v>1.0000000000000031</v>
      </c>
      <c r="AJ246" s="311" t="e">
        <f>INDEX($AR$3:AS250,MATCH(COUNTA(O246:W246),$AR$3:$AR$12,0),2)</f>
        <v>#N/A</v>
      </c>
      <c r="AK246" s="108">
        <f t="shared" si="32"/>
        <v>162.07499999999999</v>
      </c>
      <c r="AL246" s="310">
        <f t="shared" si="31"/>
        <v>19.274290124594621</v>
      </c>
      <c r="AP246" s="319" t="s">
        <v>244</v>
      </c>
    </row>
    <row r="247" spans="1:42">
      <c r="A247" s="215" t="s">
        <v>302</v>
      </c>
      <c r="Z247">
        <v>0.79200000000000004</v>
      </c>
      <c r="AA247">
        <v>0.191</v>
      </c>
      <c r="AB247">
        <v>6.7405999999999997</v>
      </c>
      <c r="AD247" s="87" t="e">
        <f t="shared" si="24"/>
        <v>#DIV/0!</v>
      </c>
      <c r="AE247" s="203" t="e">
        <f t="shared" si="25"/>
        <v>#DIV/0!</v>
      </c>
      <c r="AF247" s="49" t="e">
        <f t="shared" si="26"/>
        <v>#DIV/0!</v>
      </c>
      <c r="AG247" s="49" t="e">
        <f t="shared" si="27"/>
        <v>#DIV/0!</v>
      </c>
      <c r="AH247" s="50" t="e">
        <f t="shared" si="28"/>
        <v>#NUM!</v>
      </c>
      <c r="AI247" s="105" t="e">
        <f t="shared" si="29"/>
        <v>#DIV/0!</v>
      </c>
      <c r="AJ247" s="311" t="e">
        <f>INDEX($AR$3:AS251,MATCH(COUNTA(O247:W247),$AR$3:$AR$12,0),2)</f>
        <v>#N/A</v>
      </c>
      <c r="AK247" s="108" t="e">
        <f t="shared" si="32"/>
        <v>#DIV/0!</v>
      </c>
      <c r="AL247" s="310" t="str">
        <f t="shared" si="31"/>
        <v>n.d.</v>
      </c>
      <c r="AP247" s="319" t="s">
        <v>244</v>
      </c>
    </row>
    <row r="248" spans="1:42">
      <c r="A248" s="215" t="s">
        <v>303</v>
      </c>
      <c r="J248">
        <v>63.21</v>
      </c>
      <c r="V248">
        <v>63.21</v>
      </c>
      <c r="Z248">
        <v>0.629</v>
      </c>
      <c r="AA248">
        <v>0.191</v>
      </c>
      <c r="AB248">
        <v>7.8805199999999997</v>
      </c>
      <c r="AC248">
        <v>0.42</v>
      </c>
      <c r="AD248" s="87">
        <f t="shared" si="24"/>
        <v>0.55555555555555558</v>
      </c>
      <c r="AE248" s="203">
        <f t="shared" si="25"/>
        <v>0.48777777777777775</v>
      </c>
      <c r="AF248" s="49">
        <f t="shared" si="26"/>
        <v>0</v>
      </c>
      <c r="AG248" s="49">
        <f t="shared" si="27"/>
        <v>0</v>
      </c>
      <c r="AH248" s="50" t="e">
        <f t="shared" si="28"/>
        <v>#NUM!</v>
      </c>
      <c r="AI248" s="105" t="e">
        <f t="shared" si="29"/>
        <v>#DIV/0!</v>
      </c>
      <c r="AJ248" s="311" t="e">
        <f>INDEX($AR$3:AS252,MATCH(COUNTA(O248:W248),$AR$3:$AR$12,0),2)</f>
        <v>#N/A</v>
      </c>
      <c r="AK248" s="108">
        <f t="shared" si="32"/>
        <v>63.21</v>
      </c>
      <c r="AL248" s="310" t="str">
        <f t="shared" si="31"/>
        <v>n.d.</v>
      </c>
      <c r="AP248" s="319" t="s">
        <v>244</v>
      </c>
    </row>
    <row r="249" spans="1:42">
      <c r="A249" s="215" t="s">
        <v>304</v>
      </c>
      <c r="Z249">
        <v>0.83699999999999997</v>
      </c>
      <c r="AA249">
        <v>7.9000000000000001E-2</v>
      </c>
      <c r="AB249">
        <v>7.9408200000000004</v>
      </c>
      <c r="AD249" s="87" t="e">
        <f t="shared" si="24"/>
        <v>#DIV/0!</v>
      </c>
      <c r="AE249" s="203" t="e">
        <f t="shared" si="25"/>
        <v>#DIV/0!</v>
      </c>
      <c r="AF249" s="49" t="e">
        <f t="shared" si="26"/>
        <v>#DIV/0!</v>
      </c>
      <c r="AG249" s="49" t="e">
        <f t="shared" si="27"/>
        <v>#DIV/0!</v>
      </c>
      <c r="AH249" s="50" t="e">
        <f t="shared" si="28"/>
        <v>#NUM!</v>
      </c>
      <c r="AI249" s="105" t="e">
        <f t="shared" si="29"/>
        <v>#DIV/0!</v>
      </c>
      <c r="AJ249" s="311" t="e">
        <f>INDEX($AR$3:AS253,MATCH(COUNTA(O249:W249),$AR$3:$AR$12,0),2)</f>
        <v>#N/A</v>
      </c>
      <c r="AK249" s="108" t="e">
        <f t="shared" si="32"/>
        <v>#DIV/0!</v>
      </c>
      <c r="AL249" s="310" t="str">
        <f t="shared" si="31"/>
        <v>n.d.</v>
      </c>
      <c r="AP249" s="319" t="s">
        <v>244</v>
      </c>
    </row>
    <row r="250" spans="1:42">
      <c r="A250" s="215" t="s">
        <v>305</v>
      </c>
      <c r="Z250">
        <v>0.56399999999999995</v>
      </c>
      <c r="AA250">
        <v>7.9000000000000001E-2</v>
      </c>
      <c r="AB250">
        <v>8.8329500000000003</v>
      </c>
      <c r="AD250" s="87" t="e">
        <f t="shared" si="24"/>
        <v>#DIV/0!</v>
      </c>
      <c r="AE250" s="203" t="e">
        <f t="shared" si="25"/>
        <v>#DIV/0!</v>
      </c>
      <c r="AF250" s="49" t="e">
        <f t="shared" si="26"/>
        <v>#DIV/0!</v>
      </c>
      <c r="AG250" s="49" t="e">
        <f t="shared" si="27"/>
        <v>#DIV/0!</v>
      </c>
      <c r="AH250" s="50" t="e">
        <f t="shared" si="28"/>
        <v>#NUM!</v>
      </c>
      <c r="AI250" s="105" t="e">
        <f t="shared" si="29"/>
        <v>#DIV/0!</v>
      </c>
      <c r="AJ250" s="311" t="e">
        <f>INDEX($AR$3:AS254,MATCH(COUNTA(O250:W250),$AR$3:$AR$12,0),2)</f>
        <v>#N/A</v>
      </c>
      <c r="AK250" s="108" t="e">
        <f t="shared" si="32"/>
        <v>#DIV/0!</v>
      </c>
      <c r="AL250" s="310" t="str">
        <f t="shared" si="31"/>
        <v>n.d.</v>
      </c>
      <c r="AP250" s="319" t="s">
        <v>244</v>
      </c>
    </row>
    <row r="251" spans="1:42">
      <c r="A251" s="215" t="s">
        <v>306</v>
      </c>
      <c r="Z251">
        <v>0.82899999999999996</v>
      </c>
      <c r="AA251">
        <v>7.9000000000000001E-2</v>
      </c>
      <c r="AB251">
        <v>5.0712599999999997</v>
      </c>
      <c r="AD251" s="87" t="e">
        <f t="shared" si="24"/>
        <v>#DIV/0!</v>
      </c>
      <c r="AE251" s="203" t="e">
        <f t="shared" si="25"/>
        <v>#DIV/0!</v>
      </c>
      <c r="AF251" s="49" t="e">
        <f t="shared" si="26"/>
        <v>#DIV/0!</v>
      </c>
      <c r="AG251" s="49" t="e">
        <f t="shared" si="27"/>
        <v>#DIV/0!</v>
      </c>
      <c r="AH251" s="50" t="e">
        <f t="shared" si="28"/>
        <v>#NUM!</v>
      </c>
      <c r="AI251" s="105" t="e">
        <f t="shared" si="29"/>
        <v>#DIV/0!</v>
      </c>
      <c r="AJ251" s="311" t="e">
        <f>INDEX($AR$3:AS255,MATCH(COUNTA(O251:W251),$AR$3:$AR$12,0),2)</f>
        <v>#N/A</v>
      </c>
      <c r="AK251" s="108" t="e">
        <f t="shared" si="32"/>
        <v>#DIV/0!</v>
      </c>
      <c r="AL251" s="310" t="str">
        <f t="shared" si="31"/>
        <v>n.d.</v>
      </c>
      <c r="AP251" s="319" t="s">
        <v>244</v>
      </c>
    </row>
    <row r="252" spans="1:42">
      <c r="A252" s="215" t="s">
        <v>307</v>
      </c>
      <c r="Z252">
        <v>0.28599999999999998</v>
      </c>
      <c r="AA252">
        <v>2.7E-2</v>
      </c>
      <c r="AB252">
        <v>8.5876000000000001</v>
      </c>
      <c r="AD252" s="87" t="e">
        <f t="shared" si="24"/>
        <v>#DIV/0!</v>
      </c>
      <c r="AE252" s="203" t="e">
        <f t="shared" si="25"/>
        <v>#DIV/0!</v>
      </c>
      <c r="AF252" s="49" t="e">
        <f t="shared" si="26"/>
        <v>#DIV/0!</v>
      </c>
      <c r="AG252" s="49" t="e">
        <f t="shared" si="27"/>
        <v>#DIV/0!</v>
      </c>
      <c r="AH252" s="50" t="e">
        <f t="shared" si="28"/>
        <v>#NUM!</v>
      </c>
      <c r="AI252" s="105" t="e">
        <f t="shared" si="29"/>
        <v>#DIV/0!</v>
      </c>
      <c r="AJ252" s="311" t="e">
        <f>INDEX($AR$3:AS256,MATCH(COUNTA(O252:W252),$AR$3:$AR$12,0),2)</f>
        <v>#N/A</v>
      </c>
      <c r="AK252" s="108" t="e">
        <f t="shared" si="32"/>
        <v>#DIV/0!</v>
      </c>
      <c r="AL252" s="310">
        <v>0</v>
      </c>
      <c r="AP252" s="319" t="s">
        <v>244</v>
      </c>
    </row>
    <row r="253" spans="1:42">
      <c r="A253" s="215" t="s">
        <v>308</v>
      </c>
      <c r="Z253">
        <v>1</v>
      </c>
      <c r="AA253">
        <v>2.7E-2</v>
      </c>
      <c r="AB253">
        <v>11.023999999999999</v>
      </c>
      <c r="AD253" s="87" t="e">
        <f t="shared" si="24"/>
        <v>#DIV/0!</v>
      </c>
      <c r="AE253" s="203" t="e">
        <f t="shared" si="25"/>
        <v>#DIV/0!</v>
      </c>
      <c r="AF253" s="49" t="e">
        <f t="shared" si="26"/>
        <v>#DIV/0!</v>
      </c>
      <c r="AG253" s="49" t="e">
        <f t="shared" si="27"/>
        <v>#DIV/0!</v>
      </c>
      <c r="AH253" s="50" t="e">
        <f t="shared" si="28"/>
        <v>#NUM!</v>
      </c>
      <c r="AI253" s="105" t="e">
        <f t="shared" si="29"/>
        <v>#DIV/0!</v>
      </c>
      <c r="AJ253" s="311" t="e">
        <f>INDEX($AR$3:AS257,MATCH(COUNTA(O253:W253),$AR$3:$AR$12,0),2)</f>
        <v>#N/A</v>
      </c>
      <c r="AK253" s="108" t="e">
        <f t="shared" si="32"/>
        <v>#DIV/0!</v>
      </c>
      <c r="AL253" s="310">
        <v>0</v>
      </c>
      <c r="AP253" s="319" t="s">
        <v>244</v>
      </c>
    </row>
    <row r="254" spans="1:42">
      <c r="A254" s="215" t="s">
        <v>309</v>
      </c>
      <c r="Z254">
        <v>0.86599999999999999</v>
      </c>
      <c r="AA254">
        <v>2.7E-2</v>
      </c>
      <c r="AB254">
        <v>7.3292199999999994</v>
      </c>
      <c r="AD254" s="87" t="e">
        <f t="shared" si="24"/>
        <v>#DIV/0!</v>
      </c>
      <c r="AE254" s="203" t="e">
        <f t="shared" si="25"/>
        <v>#DIV/0!</v>
      </c>
      <c r="AF254" s="49" t="e">
        <f t="shared" si="26"/>
        <v>#DIV/0!</v>
      </c>
      <c r="AG254" s="49" t="e">
        <f t="shared" si="27"/>
        <v>#DIV/0!</v>
      </c>
      <c r="AH254" s="50" t="e">
        <f t="shared" si="28"/>
        <v>#NUM!</v>
      </c>
      <c r="AI254" s="105" t="e">
        <f t="shared" si="29"/>
        <v>#DIV/0!</v>
      </c>
      <c r="AJ254" s="311" t="e">
        <f>INDEX($AR$3:AS258,MATCH(COUNTA(O254:W254),$AR$3:$AR$12,0),2)</f>
        <v>#N/A</v>
      </c>
      <c r="AK254" s="108" t="e">
        <f t="shared" si="32"/>
        <v>#DIV/0!</v>
      </c>
      <c r="AL254" s="310">
        <v>0</v>
      </c>
      <c r="AP254" s="319" t="s">
        <v>244</v>
      </c>
    </row>
    <row r="255" spans="1:42">
      <c r="A255" s="215" t="s">
        <v>310</v>
      </c>
      <c r="AB255" s="213">
        <v>0.663636</v>
      </c>
      <c r="AD255" s="87" t="e">
        <f t="shared" si="24"/>
        <v>#DIV/0!</v>
      </c>
      <c r="AE255" s="203" t="e">
        <f t="shared" si="25"/>
        <v>#DIV/0!</v>
      </c>
      <c r="AF255" s="49" t="e">
        <f t="shared" si="26"/>
        <v>#DIV/0!</v>
      </c>
      <c r="AG255" s="49" t="e">
        <f t="shared" si="27"/>
        <v>#DIV/0!</v>
      </c>
      <c r="AH255" s="50" t="e">
        <f t="shared" si="28"/>
        <v>#NUM!</v>
      </c>
      <c r="AI255" s="105" t="e">
        <f t="shared" si="29"/>
        <v>#DIV/0!</v>
      </c>
      <c r="AJ255" s="311" t="e">
        <f>INDEX($AR$3:AS259,MATCH(COUNTA(O255:W255),$AR$3:$AR$12,0),2)</f>
        <v>#N/A</v>
      </c>
      <c r="AK255" s="108" t="e">
        <f t="shared" si="32"/>
        <v>#DIV/0!</v>
      </c>
      <c r="AL255" s="310" t="str">
        <f t="shared" ref="AL255:AL286" si="33">IF(AND(O255="",Q255="",S255="",U255="",W255=""),"n.d.", AK255/AB255)</f>
        <v>n.d.</v>
      </c>
      <c r="AP255" s="319" t="s">
        <v>186</v>
      </c>
    </row>
    <row r="256" spans="1:42">
      <c r="A256" s="215" t="s">
        <v>311</v>
      </c>
      <c r="AB256" s="213">
        <v>0.59525800000000006</v>
      </c>
      <c r="AD256" s="87" t="e">
        <f t="shared" si="24"/>
        <v>#DIV/0!</v>
      </c>
      <c r="AE256" s="203" t="e">
        <f t="shared" si="25"/>
        <v>#DIV/0!</v>
      </c>
      <c r="AF256" s="49" t="e">
        <f t="shared" si="26"/>
        <v>#DIV/0!</v>
      </c>
      <c r="AG256" s="49" t="e">
        <f t="shared" si="27"/>
        <v>#DIV/0!</v>
      </c>
      <c r="AH256" s="50" t="e">
        <f t="shared" si="28"/>
        <v>#NUM!</v>
      </c>
      <c r="AI256" s="105" t="e">
        <f t="shared" si="29"/>
        <v>#DIV/0!</v>
      </c>
      <c r="AJ256" s="311" t="e">
        <f>INDEX($AR$3:AS260,MATCH(COUNTA(O256:W256),$AR$3:$AR$12,0),2)</f>
        <v>#N/A</v>
      </c>
      <c r="AK256" s="108" t="e">
        <f t="shared" si="32"/>
        <v>#DIV/0!</v>
      </c>
      <c r="AL256" s="310" t="str">
        <f t="shared" si="33"/>
        <v>n.d.</v>
      </c>
      <c r="AP256" s="319" t="s">
        <v>186</v>
      </c>
    </row>
    <row r="257" spans="1:42">
      <c r="A257" s="215" t="s">
        <v>312</v>
      </c>
      <c r="C257">
        <v>9.81</v>
      </c>
      <c r="D257">
        <v>18.36</v>
      </c>
      <c r="E257">
        <v>12.54</v>
      </c>
      <c r="F257">
        <v>16.95</v>
      </c>
      <c r="G257">
        <v>21.51</v>
      </c>
      <c r="H257">
        <v>28.57</v>
      </c>
      <c r="I257">
        <v>31.95</v>
      </c>
      <c r="J257">
        <v>20.52</v>
      </c>
      <c r="K257">
        <v>56.99</v>
      </c>
      <c r="L257">
        <v>183.78</v>
      </c>
      <c r="M257">
        <v>93.09</v>
      </c>
      <c r="O257">
        <v>9.81</v>
      </c>
      <c r="P257">
        <v>18.36</v>
      </c>
      <c r="Q257">
        <v>12.54</v>
      </c>
      <c r="R257">
        <v>16.95</v>
      </c>
      <c r="S257">
        <v>21.51</v>
      </c>
      <c r="T257">
        <v>28.57</v>
      </c>
      <c r="U257">
        <v>31.95</v>
      </c>
      <c r="V257">
        <v>20.52</v>
      </c>
      <c r="W257">
        <v>56.99</v>
      </c>
      <c r="X257">
        <v>183.78</v>
      </c>
      <c r="Y257" s="307">
        <v>93.09</v>
      </c>
      <c r="AB257" s="213">
        <v>1.8567100000000001</v>
      </c>
      <c r="AC257">
        <v>0.68</v>
      </c>
      <c r="AD257" s="87">
        <f t="shared" si="24"/>
        <v>0.75</v>
      </c>
      <c r="AE257" s="203">
        <f t="shared" si="25"/>
        <v>0.71500000000000008</v>
      </c>
      <c r="AF257" s="49">
        <f t="shared" si="26"/>
        <v>55.331046936092811</v>
      </c>
      <c r="AG257" s="49">
        <f t="shared" si="27"/>
        <v>55.331046936092811</v>
      </c>
      <c r="AH257" s="50">
        <f t="shared" si="28"/>
        <v>0.53073336159389572</v>
      </c>
      <c r="AI257" s="105">
        <f t="shared" si="29"/>
        <v>2.4605789403737055</v>
      </c>
      <c r="AJ257" s="311">
        <f>INDEX($AR$3:AS261,MATCH(COUNTA(O257:W257),$AR$3:$AR$12,0),2)</f>
        <v>2.3199999999999998</v>
      </c>
      <c r="AK257" s="108">
        <f t="shared" si="32"/>
        <v>44.915454545454551</v>
      </c>
      <c r="AL257" s="310">
        <f t="shared" si="33"/>
        <v>24.190883091842316</v>
      </c>
      <c r="AP257" s="319" t="s">
        <v>186</v>
      </c>
    </row>
    <row r="258" spans="1:42">
      <c r="A258" s="215" t="s">
        <v>313</v>
      </c>
      <c r="H258">
        <v>42.93</v>
      </c>
      <c r="I258">
        <v>73.599999999999994</v>
      </c>
      <c r="J258">
        <v>40.5</v>
      </c>
      <c r="K258">
        <v>52.69</v>
      </c>
      <c r="T258">
        <v>42.93</v>
      </c>
      <c r="U258">
        <v>73.599999999999994</v>
      </c>
      <c r="V258">
        <v>40.5</v>
      </c>
      <c r="W258">
        <v>52.69</v>
      </c>
      <c r="AB258" s="213">
        <v>2.0060099999999998</v>
      </c>
      <c r="AC258">
        <v>0.48</v>
      </c>
      <c r="AD258" s="87">
        <f t="shared" ref="AD258:AD321" si="34">(COUNT(O258:W258)*(1/(COUNT(O258:W258)+COUNTBLANK(O258:W258)))+(IF(AF258&lt;35,1,IF(AF258&lt;70,0.5,IF(AF258&gt;70,0)))))/2</f>
        <v>0.72222222222222221</v>
      </c>
      <c r="AE258" s="203">
        <f t="shared" ref="AE258:AE321" si="35">AVERAGE(AC258:AD258)</f>
        <v>0.60111111111111115</v>
      </c>
      <c r="AF258" s="49">
        <f t="shared" ref="AF258:AF321" si="36">((_xlfn.STDEV.P(O258:W258))/(AVERAGE(O258:W258)))*100</f>
        <v>24.883046793173662</v>
      </c>
      <c r="AG258" s="49">
        <f t="shared" ref="AG258:AG321" si="37">((_xlfn.STDEV.P(C258:K258))/(AVERAGE(C258:K258)))*100</f>
        <v>24.883046793173662</v>
      </c>
      <c r="AH258" s="50">
        <f t="shared" ref="AH258:AH321" si="38">(ABS((LARGE(O258:W258,2) -MAX(O258:W258))))/(ABS(MIN(O258:W258)-MAX(O258:W258)))</f>
        <v>0.63172205438066464</v>
      </c>
      <c r="AI258" s="105">
        <f t="shared" ref="AI258:AI321" si="39">(ABS(MAX(O258:W258)-AVERAGE(O258:W258))/_xlfn.STDEV.P(O258:W258))</f>
        <v>1.6226970403292469</v>
      </c>
      <c r="AJ258" s="311">
        <f>INDEX($AR$3:AS262,MATCH(COUNTA(O258:W258),$AR$3:$AR$12,0),2)</f>
        <v>1.49</v>
      </c>
      <c r="AK258" s="108">
        <f t="shared" si="32"/>
        <v>52.43</v>
      </c>
      <c r="AL258" s="310">
        <f t="shared" si="33"/>
        <v>26.136459937886652</v>
      </c>
      <c r="AP258" s="319" t="s">
        <v>186</v>
      </c>
    </row>
    <row r="259" spans="1:42">
      <c r="A259" s="216" t="s">
        <v>314</v>
      </c>
      <c r="K259">
        <v>8.16</v>
      </c>
      <c r="W259">
        <v>8.16</v>
      </c>
      <c r="Z259">
        <v>1.0760000000000001</v>
      </c>
      <c r="AA259">
        <v>1.7000000000000001E-2</v>
      </c>
      <c r="AB259">
        <v>10.911899999999999</v>
      </c>
      <c r="AC259">
        <v>0.75</v>
      </c>
      <c r="AD259" s="87">
        <f t="shared" si="34"/>
        <v>0.55555555555555558</v>
      </c>
      <c r="AE259" s="203">
        <f t="shared" si="35"/>
        <v>0.65277777777777779</v>
      </c>
      <c r="AF259" s="49">
        <f t="shared" si="36"/>
        <v>0</v>
      </c>
      <c r="AG259" s="49">
        <f t="shared" si="37"/>
        <v>0</v>
      </c>
      <c r="AH259" s="50" t="e">
        <f t="shared" si="38"/>
        <v>#NUM!</v>
      </c>
      <c r="AI259" s="105" t="e">
        <f t="shared" si="39"/>
        <v>#DIV/0!</v>
      </c>
      <c r="AJ259" s="311" t="e">
        <f>INDEX($AR$3:AS263,MATCH(COUNTA(O259:W259),$AR$3:$AR$12,0),2)</f>
        <v>#N/A</v>
      </c>
      <c r="AK259" s="108">
        <f t="shared" si="32"/>
        <v>8.16</v>
      </c>
      <c r="AL259" s="310">
        <f t="shared" si="33"/>
        <v>0.74780743958430707</v>
      </c>
      <c r="AP259" s="319" t="s">
        <v>244</v>
      </c>
    </row>
    <row r="260" spans="1:42">
      <c r="A260" s="216" t="s">
        <v>315</v>
      </c>
      <c r="D260">
        <v>11.26</v>
      </c>
      <c r="E260">
        <v>5.97</v>
      </c>
      <c r="G260">
        <v>15.3</v>
      </c>
      <c r="J260">
        <v>4.41</v>
      </c>
      <c r="K260">
        <v>4.72</v>
      </c>
      <c r="P260">
        <v>11.26</v>
      </c>
      <c r="Q260">
        <v>5.97</v>
      </c>
      <c r="S260">
        <v>15.3</v>
      </c>
      <c r="V260">
        <v>4.41</v>
      </c>
      <c r="W260">
        <v>4.72</v>
      </c>
      <c r="Z260">
        <v>0.76800000000000002</v>
      </c>
      <c r="AA260">
        <v>1.7000000000000001E-2</v>
      </c>
      <c r="AB260">
        <v>13.8399</v>
      </c>
      <c r="AC260">
        <v>0.52</v>
      </c>
      <c r="AD260" s="87">
        <f t="shared" si="34"/>
        <v>0.52777777777777779</v>
      </c>
      <c r="AE260" s="203">
        <f t="shared" si="35"/>
        <v>0.52388888888888885</v>
      </c>
      <c r="AF260" s="49">
        <f t="shared" si="36"/>
        <v>51.239592459880612</v>
      </c>
      <c r="AG260" s="49">
        <f t="shared" si="37"/>
        <v>51.239592459880612</v>
      </c>
      <c r="AH260" s="50">
        <f t="shared" si="38"/>
        <v>0.37098255280073467</v>
      </c>
      <c r="AI260" s="105">
        <f t="shared" si="39"/>
        <v>1.6321242360854451</v>
      </c>
      <c r="AJ260" s="311">
        <f>INDEX($AR$3:AS264,MATCH(COUNTA(O260:W260),$AR$3:$AR$12,0),2)</f>
        <v>1.75</v>
      </c>
      <c r="AK260" s="108">
        <f t="shared" si="32"/>
        <v>8.331999999999999</v>
      </c>
      <c r="AL260" s="310">
        <f t="shared" si="33"/>
        <v>0.60202747129675782</v>
      </c>
      <c r="AP260" s="319" t="s">
        <v>244</v>
      </c>
    </row>
    <row r="261" spans="1:42">
      <c r="A261" s="216" t="s">
        <v>316</v>
      </c>
      <c r="D261">
        <v>8.39</v>
      </c>
      <c r="G261">
        <v>10.4</v>
      </c>
      <c r="J261">
        <v>4.4000000000000004</v>
      </c>
      <c r="K261">
        <v>7.01</v>
      </c>
      <c r="P261">
        <v>8.39</v>
      </c>
      <c r="S261">
        <v>10.4</v>
      </c>
      <c r="V261">
        <v>4.4000000000000004</v>
      </c>
      <c r="W261">
        <v>7.01</v>
      </c>
      <c r="Z261">
        <v>0.39500000000000002</v>
      </c>
      <c r="AA261">
        <v>1.7000000000000001E-2</v>
      </c>
      <c r="AB261">
        <v>13.1463</v>
      </c>
      <c r="AC261">
        <v>0.52</v>
      </c>
      <c r="AD261" s="87">
        <f t="shared" si="34"/>
        <v>0.72222222222222221</v>
      </c>
      <c r="AE261" s="203">
        <f t="shared" si="35"/>
        <v>0.62111111111111117</v>
      </c>
      <c r="AF261" s="49">
        <f t="shared" si="36"/>
        <v>28.898920070591576</v>
      </c>
      <c r="AG261" s="49">
        <f t="shared" si="37"/>
        <v>28.898920070591576</v>
      </c>
      <c r="AH261" s="50">
        <f t="shared" si="38"/>
        <v>0.33499999999999996</v>
      </c>
      <c r="AI261" s="105">
        <f t="shared" si="39"/>
        <v>1.3062198960602274</v>
      </c>
      <c r="AJ261" s="311">
        <f>INDEX($AR$3:AS265,MATCH(COUNTA(O261:W261),$AR$3:$AR$12,0),2)</f>
        <v>1.49</v>
      </c>
      <c r="AK261" s="108">
        <f t="shared" si="32"/>
        <v>7.5499999999999989</v>
      </c>
      <c r="AL261" s="310">
        <f t="shared" si="33"/>
        <v>0.5743060785163886</v>
      </c>
      <c r="AP261" s="319" t="s">
        <v>244</v>
      </c>
    </row>
    <row r="262" spans="1:42">
      <c r="A262" s="216" t="s">
        <v>317</v>
      </c>
      <c r="B262">
        <v>9.52</v>
      </c>
      <c r="C262">
        <v>18.73</v>
      </c>
      <c r="D262">
        <v>12.87</v>
      </c>
      <c r="E262">
        <v>12.86</v>
      </c>
      <c r="F262">
        <v>11.87</v>
      </c>
      <c r="G262">
        <v>11.41</v>
      </c>
      <c r="H262">
        <v>56.49</v>
      </c>
      <c r="J262">
        <v>9.61</v>
      </c>
      <c r="K262">
        <v>23.26</v>
      </c>
      <c r="N262" s="306">
        <v>9.52</v>
      </c>
      <c r="O262">
        <v>18.73</v>
      </c>
      <c r="P262">
        <v>12.87</v>
      </c>
      <c r="Q262">
        <v>12.86</v>
      </c>
      <c r="R262">
        <v>11.87</v>
      </c>
      <c r="S262">
        <v>11.41</v>
      </c>
      <c r="V262">
        <v>9.61</v>
      </c>
      <c r="W262">
        <v>23.26</v>
      </c>
      <c r="Z262">
        <v>0.996</v>
      </c>
      <c r="AA262">
        <v>8.1000000000000003E-2</v>
      </c>
      <c r="AB262">
        <v>4.4084400000000006</v>
      </c>
      <c r="AC262">
        <v>0.68</v>
      </c>
      <c r="AD262" s="87">
        <f t="shared" si="34"/>
        <v>0.88888888888888884</v>
      </c>
      <c r="AE262" s="203">
        <f t="shared" si="35"/>
        <v>0.7844444444444445</v>
      </c>
      <c r="AF262" s="49">
        <f t="shared" si="36"/>
        <v>31.141912667738897</v>
      </c>
      <c r="AG262" s="49">
        <f t="shared" si="37"/>
        <v>74.065432455073307</v>
      </c>
      <c r="AH262" s="50">
        <f t="shared" si="38"/>
        <v>0.33186813186813191</v>
      </c>
      <c r="AI262" s="105">
        <f t="shared" si="39"/>
        <v>1.9855177316478614</v>
      </c>
      <c r="AJ262" s="311">
        <f>INDEX($AR$3:AS266,MATCH(COUNTA(O262:W262),$AR$3:$AR$12,0),2)</f>
        <v>2.1</v>
      </c>
      <c r="AK262" s="108">
        <f t="shared" si="32"/>
        <v>13.766249999999999</v>
      </c>
      <c r="AL262" s="310">
        <f t="shared" si="33"/>
        <v>3.1227032691836563</v>
      </c>
      <c r="AP262" s="319" t="s">
        <v>244</v>
      </c>
    </row>
    <row r="263" spans="1:42">
      <c r="A263" s="216" t="s">
        <v>318</v>
      </c>
      <c r="B263">
        <v>14.14</v>
      </c>
      <c r="C263">
        <v>13.17</v>
      </c>
      <c r="D263">
        <v>13.86</v>
      </c>
      <c r="E263">
        <v>17.37</v>
      </c>
      <c r="F263">
        <v>13.4</v>
      </c>
      <c r="G263">
        <v>11.28</v>
      </c>
      <c r="H263">
        <v>41.11</v>
      </c>
      <c r="J263">
        <v>9.76</v>
      </c>
      <c r="K263">
        <v>28.06</v>
      </c>
      <c r="N263" s="306">
        <v>14.14</v>
      </c>
      <c r="O263">
        <v>13.17</v>
      </c>
      <c r="P263">
        <v>13.86</v>
      </c>
      <c r="Q263">
        <v>17.37</v>
      </c>
      <c r="R263">
        <v>13.4</v>
      </c>
      <c r="S263">
        <v>11.28</v>
      </c>
      <c r="V263">
        <v>9.76</v>
      </c>
      <c r="W263">
        <v>28.06</v>
      </c>
      <c r="Z263">
        <v>0.155</v>
      </c>
      <c r="AA263">
        <v>8.1000000000000003E-2</v>
      </c>
      <c r="AB263">
        <v>5.8289400000000002</v>
      </c>
      <c r="AC263">
        <v>0.72</v>
      </c>
      <c r="AD263" s="87">
        <f t="shared" si="34"/>
        <v>0.63888888888888884</v>
      </c>
      <c r="AE263" s="203">
        <f t="shared" si="35"/>
        <v>0.67944444444444441</v>
      </c>
      <c r="AF263" s="49">
        <f t="shared" si="36"/>
        <v>37.056070912131631</v>
      </c>
      <c r="AG263" s="49">
        <f t="shared" si="37"/>
        <v>54.331647431558572</v>
      </c>
      <c r="AH263" s="50">
        <f t="shared" si="38"/>
        <v>0.58415300546448079</v>
      </c>
      <c r="AI263" s="105">
        <f t="shared" si="39"/>
        <v>2.2598676200382726</v>
      </c>
      <c r="AJ263" s="311">
        <f>INDEX($AR$3:AS267,MATCH(COUNTA(O263:W263),$AR$3:$AR$12,0),2)</f>
        <v>2.1</v>
      </c>
      <c r="AK263" s="108">
        <f t="shared" si="32"/>
        <v>15.130000000000003</v>
      </c>
      <c r="AL263" s="310">
        <f t="shared" si="33"/>
        <v>2.5956691954283286</v>
      </c>
      <c r="AP263" s="319" t="s">
        <v>244</v>
      </c>
    </row>
    <row r="264" spans="1:42">
      <c r="A264" s="216" t="s">
        <v>319</v>
      </c>
      <c r="D264">
        <v>7.1</v>
      </c>
      <c r="E264">
        <v>10.1</v>
      </c>
      <c r="F264">
        <v>13.84</v>
      </c>
      <c r="G264">
        <v>18.13</v>
      </c>
      <c r="H264">
        <v>25.05</v>
      </c>
      <c r="J264">
        <v>5.81</v>
      </c>
      <c r="P264">
        <v>7.1</v>
      </c>
      <c r="Q264">
        <v>10.1</v>
      </c>
      <c r="R264">
        <v>13.84</v>
      </c>
      <c r="S264">
        <v>18.13</v>
      </c>
      <c r="T264">
        <v>25.05</v>
      </c>
      <c r="V264">
        <v>5.81</v>
      </c>
      <c r="Z264">
        <v>0.97299999999999998</v>
      </c>
      <c r="AA264">
        <v>8.1000000000000003E-2</v>
      </c>
      <c r="AB264">
        <v>7.2398100000000003</v>
      </c>
      <c r="AC264">
        <v>0.68</v>
      </c>
      <c r="AD264" s="87">
        <f t="shared" si="34"/>
        <v>0.58333333333333326</v>
      </c>
      <c r="AE264" s="203">
        <f t="shared" si="35"/>
        <v>0.6316666666666666</v>
      </c>
      <c r="AF264" s="49">
        <f t="shared" si="36"/>
        <v>49.961349590369785</v>
      </c>
      <c r="AG264" s="49">
        <f t="shared" si="37"/>
        <v>49.961349590369785</v>
      </c>
      <c r="AH264" s="50">
        <f t="shared" si="38"/>
        <v>0.35966735966735974</v>
      </c>
      <c r="AI264" s="105">
        <f t="shared" si="39"/>
        <v>1.7574499889399056</v>
      </c>
      <c r="AJ264" s="311">
        <f>INDEX($AR$3:AS268,MATCH(COUNTA(O264:W264),$AR$3:$AR$12,0),2)</f>
        <v>1.94</v>
      </c>
      <c r="AK264" s="108">
        <f t="shared" si="32"/>
        <v>13.338333333333333</v>
      </c>
      <c r="AL264" s="310">
        <f t="shared" si="33"/>
        <v>1.8423595831013979</v>
      </c>
      <c r="AP264" s="319" t="s">
        <v>244</v>
      </c>
    </row>
    <row r="265" spans="1:42">
      <c r="A265" s="216" t="s">
        <v>320</v>
      </c>
      <c r="D265">
        <v>30.14</v>
      </c>
      <c r="E265">
        <v>15.92</v>
      </c>
      <c r="F265">
        <v>24.07</v>
      </c>
      <c r="G265">
        <v>26.63</v>
      </c>
      <c r="H265">
        <v>69.790000000000006</v>
      </c>
      <c r="I265">
        <v>38.96</v>
      </c>
      <c r="J265">
        <v>26.76</v>
      </c>
      <c r="K265">
        <v>35.18</v>
      </c>
      <c r="P265">
        <v>30.14</v>
      </c>
      <c r="Q265">
        <v>15.92</v>
      </c>
      <c r="R265">
        <v>24.07</v>
      </c>
      <c r="S265">
        <v>26.63</v>
      </c>
      <c r="T265">
        <v>69.790000000000006</v>
      </c>
      <c r="U265">
        <v>38.96</v>
      </c>
      <c r="V265">
        <v>26.76</v>
      </c>
      <c r="W265">
        <v>35.18</v>
      </c>
      <c r="Z265">
        <v>0.70699999999999996</v>
      </c>
      <c r="AA265">
        <v>7.1999999999999995E-2</v>
      </c>
      <c r="AB265">
        <v>8.7419449999999994</v>
      </c>
      <c r="AC265">
        <v>0.62</v>
      </c>
      <c r="AD265" s="87">
        <f t="shared" si="34"/>
        <v>0.69444444444444442</v>
      </c>
      <c r="AE265" s="203">
        <f t="shared" si="35"/>
        <v>0.65722222222222215</v>
      </c>
      <c r="AF265" s="49">
        <f t="shared" si="36"/>
        <v>45.504993047127726</v>
      </c>
      <c r="AG265" s="49">
        <f t="shared" si="37"/>
        <v>45.504993047127726</v>
      </c>
      <c r="AH265" s="50">
        <f t="shared" si="38"/>
        <v>0.57230369407833681</v>
      </c>
      <c r="AI265" s="105">
        <f t="shared" si="39"/>
        <v>2.3899965626853832</v>
      </c>
      <c r="AJ265" s="311">
        <f>INDEX($AR$3:AS269,MATCH(COUNTA(O265:W265),$AR$3:$AR$12,0),2)</f>
        <v>2.2200000000000002</v>
      </c>
      <c r="AK265" s="108">
        <f t="shared" si="32"/>
        <v>33.431249999999999</v>
      </c>
      <c r="AL265" s="310">
        <f t="shared" si="33"/>
        <v>3.8242347669769141</v>
      </c>
      <c r="AP265" s="319" t="s">
        <v>244</v>
      </c>
    </row>
    <row r="266" spans="1:42" s="85" customFormat="1">
      <c r="A266" s="344" t="s">
        <v>321</v>
      </c>
      <c r="B266" s="224"/>
      <c r="D266" s="85">
        <v>33.25</v>
      </c>
      <c r="E266" s="85">
        <v>21.85</v>
      </c>
      <c r="F266" s="85">
        <v>30.71</v>
      </c>
      <c r="G266" s="85">
        <v>26.76</v>
      </c>
      <c r="H266" s="85">
        <v>75.98</v>
      </c>
      <c r="I266" s="85">
        <v>47.51</v>
      </c>
      <c r="J266" s="85">
        <v>27.94</v>
      </c>
      <c r="N266" s="10"/>
      <c r="P266" s="85">
        <v>33.25</v>
      </c>
      <c r="Q266" s="85">
        <v>21.85</v>
      </c>
      <c r="R266" s="85">
        <v>30.71</v>
      </c>
      <c r="S266" s="85">
        <v>26.76</v>
      </c>
      <c r="T266" s="85">
        <v>75.98</v>
      </c>
      <c r="U266" s="85">
        <v>47.51</v>
      </c>
      <c r="V266" s="85">
        <v>27.94</v>
      </c>
      <c r="Y266" s="96"/>
      <c r="Z266" s="85">
        <v>0.70699999999999996</v>
      </c>
      <c r="AA266" s="85">
        <v>7.1999999999999995E-2</v>
      </c>
      <c r="AB266" s="85">
        <v>9.5270100000000006</v>
      </c>
      <c r="AC266" s="85">
        <v>0.72</v>
      </c>
      <c r="AD266" s="97">
        <f t="shared" si="34"/>
        <v>0.63888888888888884</v>
      </c>
      <c r="AE266" s="98">
        <f t="shared" si="35"/>
        <v>0.67944444444444441</v>
      </c>
      <c r="AF266" s="99">
        <f t="shared" si="36"/>
        <v>45.886419919817818</v>
      </c>
      <c r="AG266" s="99">
        <f t="shared" si="37"/>
        <v>45.886419919817818</v>
      </c>
      <c r="AH266" s="100">
        <f t="shared" si="38"/>
        <v>0.52595603177535566</v>
      </c>
      <c r="AI266" s="106">
        <f t="shared" si="39"/>
        <v>2.2111579284114273</v>
      </c>
      <c r="AJ266" s="134">
        <f>INDEX($AR$3:AS270,MATCH(COUNTA(O266:W266),$AR$3:$AR$12,0),2)</f>
        <v>2.1</v>
      </c>
      <c r="AK266" s="108">
        <f t="shared" si="32"/>
        <v>37.714285714285715</v>
      </c>
      <c r="AL266" s="135">
        <f t="shared" si="33"/>
        <v>3.958669689050994</v>
      </c>
      <c r="AO266" s="96"/>
      <c r="AP266" s="319" t="s">
        <v>244</v>
      </c>
    </row>
    <row r="267" spans="1:42">
      <c r="A267" s="345" t="s">
        <v>322</v>
      </c>
      <c r="C267">
        <v>19.829999999999998</v>
      </c>
      <c r="D267">
        <v>12.01</v>
      </c>
      <c r="E267">
        <v>8.25</v>
      </c>
      <c r="F267">
        <v>25.28</v>
      </c>
      <c r="G267">
        <v>17.399999999999999</v>
      </c>
      <c r="H267">
        <v>36.6</v>
      </c>
      <c r="I267">
        <v>20.22</v>
      </c>
      <c r="J267">
        <v>14.91</v>
      </c>
      <c r="O267">
        <v>19.829999999999998</v>
      </c>
      <c r="P267">
        <v>12.01</v>
      </c>
      <c r="Q267">
        <v>8.25</v>
      </c>
      <c r="R267">
        <v>25.28</v>
      </c>
      <c r="S267">
        <v>17.399999999999999</v>
      </c>
      <c r="T267">
        <v>36.6</v>
      </c>
      <c r="U267">
        <v>20.22</v>
      </c>
      <c r="V267">
        <v>14.91</v>
      </c>
      <c r="Z267">
        <v>0.70699999999999996</v>
      </c>
      <c r="AA267">
        <v>0.124</v>
      </c>
      <c r="AB267">
        <v>8.6800599999999992</v>
      </c>
      <c r="AC267">
        <v>0.65</v>
      </c>
      <c r="AD267" s="87">
        <f t="shared" si="34"/>
        <v>0.69444444444444442</v>
      </c>
      <c r="AE267" s="203">
        <f t="shared" si="35"/>
        <v>0.67222222222222228</v>
      </c>
      <c r="AF267" s="49">
        <f t="shared" si="36"/>
        <v>42.316641270585933</v>
      </c>
      <c r="AG267" s="49">
        <f t="shared" si="37"/>
        <v>42.316641270585933</v>
      </c>
      <c r="AH267" s="50">
        <f t="shared" si="38"/>
        <v>0.39929453262786596</v>
      </c>
      <c r="AI267" s="105">
        <f t="shared" si="39"/>
        <v>2.1153513232397585</v>
      </c>
      <c r="AJ267" s="311">
        <f>INDEX($AR$3:AS271,MATCH(COUNTA(O267:W267),$AR$3:$AR$12,0),2)</f>
        <v>2.2200000000000002</v>
      </c>
      <c r="AK267" s="108">
        <f t="shared" si="32"/>
        <v>19.3125</v>
      </c>
      <c r="AL267" s="310">
        <f t="shared" si="33"/>
        <v>2.2249270166335258</v>
      </c>
      <c r="AP267" s="319" t="s">
        <v>323</v>
      </c>
    </row>
    <row r="268" spans="1:42">
      <c r="A268" s="229" t="s">
        <v>324</v>
      </c>
      <c r="D268">
        <v>12.17</v>
      </c>
      <c r="E268">
        <v>7.08</v>
      </c>
      <c r="F268">
        <v>14.79</v>
      </c>
      <c r="G268">
        <v>10.72</v>
      </c>
      <c r="H268">
        <v>20.260000000000002</v>
      </c>
      <c r="J268">
        <v>2.57</v>
      </c>
      <c r="K268">
        <v>11.43</v>
      </c>
      <c r="P268">
        <v>12.17</v>
      </c>
      <c r="Q268">
        <v>7.08</v>
      </c>
      <c r="R268">
        <v>14.79</v>
      </c>
      <c r="S268">
        <v>10.72</v>
      </c>
      <c r="T268">
        <v>20.260000000000002</v>
      </c>
      <c r="V268">
        <v>2.57</v>
      </c>
      <c r="W268">
        <v>11.43</v>
      </c>
      <c r="Z268">
        <v>0.70699999999999996</v>
      </c>
      <c r="AA268">
        <v>0.124</v>
      </c>
      <c r="AB268">
        <v>7.4999899999999986</v>
      </c>
      <c r="AC268">
        <v>0.56999999999999995</v>
      </c>
      <c r="AD268" s="87">
        <f t="shared" si="34"/>
        <v>0.63888888888888884</v>
      </c>
      <c r="AE268" s="203">
        <f t="shared" si="35"/>
        <v>0.60444444444444434</v>
      </c>
      <c r="AF268" s="49">
        <f t="shared" si="36"/>
        <v>45.858461675172265</v>
      </c>
      <c r="AG268" s="49">
        <f t="shared" si="37"/>
        <v>45.858461675172265</v>
      </c>
      <c r="AH268" s="50">
        <f t="shared" si="38"/>
        <v>0.30921424533634834</v>
      </c>
      <c r="AI268" s="105">
        <f t="shared" si="39"/>
        <v>1.7330182499945013</v>
      </c>
      <c r="AJ268" s="311">
        <f>INDEX($AR$3:AS272,MATCH(COUNTA(O268:W268),$AR$3:$AR$12,0),2)</f>
        <v>2.1</v>
      </c>
      <c r="AK268" s="108">
        <f t="shared" si="32"/>
        <v>11.288571428571426</v>
      </c>
      <c r="AL268" s="310">
        <f t="shared" si="33"/>
        <v>1.5051448640026759</v>
      </c>
      <c r="AP268" s="319" t="s">
        <v>323</v>
      </c>
    </row>
    <row r="269" spans="1:42">
      <c r="A269" s="229" t="s">
        <v>325</v>
      </c>
      <c r="B269">
        <v>8.4600000000000009</v>
      </c>
      <c r="E269">
        <v>9.9700000000000006</v>
      </c>
      <c r="F269">
        <v>16.45</v>
      </c>
      <c r="G269">
        <v>20.64</v>
      </c>
      <c r="H269">
        <v>28.9</v>
      </c>
      <c r="J269">
        <v>3.31</v>
      </c>
      <c r="K269">
        <v>9.9499999999999993</v>
      </c>
      <c r="M269">
        <v>2542.25</v>
      </c>
      <c r="N269" s="306">
        <v>8.4600000000000009</v>
      </c>
      <c r="Q269">
        <v>9.9700000000000006</v>
      </c>
      <c r="R269">
        <v>16.45</v>
      </c>
      <c r="S269">
        <v>20.64</v>
      </c>
      <c r="T269">
        <v>28.9</v>
      </c>
      <c r="V269">
        <v>3.31</v>
      </c>
      <c r="W269">
        <v>9.9499999999999993</v>
      </c>
      <c r="Z269">
        <v>0.70699999999999996</v>
      </c>
      <c r="AA269">
        <v>0.14499999999999999</v>
      </c>
      <c r="AB269">
        <v>5.2230249999999998</v>
      </c>
      <c r="AC269">
        <v>0.57999999999999996</v>
      </c>
      <c r="AD269" s="87">
        <f t="shared" si="34"/>
        <v>0.58333333333333326</v>
      </c>
      <c r="AE269" s="203">
        <f t="shared" si="35"/>
        <v>0.58166666666666655</v>
      </c>
      <c r="AF269" s="49">
        <f t="shared" si="36"/>
        <v>55.89401417175899</v>
      </c>
      <c r="AG269" s="49">
        <f t="shared" si="37"/>
        <v>55.89401417175899</v>
      </c>
      <c r="AH269" s="50">
        <f t="shared" si="38"/>
        <v>0.32278233685033209</v>
      </c>
      <c r="AI269" s="105">
        <f t="shared" si="39"/>
        <v>1.6880348238587237</v>
      </c>
      <c r="AJ269" s="311">
        <f>INDEX($AR$3:AS273,MATCH(COUNTA(O269:W269),$AR$3:$AR$12,0),2)</f>
        <v>1.94</v>
      </c>
      <c r="AK269" s="108">
        <f t="shared" si="32"/>
        <v>13.954285714285714</v>
      </c>
      <c r="AL269" s="310">
        <f t="shared" si="33"/>
        <v>2.6716865636840175</v>
      </c>
      <c r="AP269" s="319" t="s">
        <v>323</v>
      </c>
    </row>
    <row r="270" spans="1:42">
      <c r="A270" s="229" t="s">
        <v>326</v>
      </c>
      <c r="C270">
        <v>16.16</v>
      </c>
      <c r="D270">
        <v>9.9499999999999993</v>
      </c>
      <c r="E270">
        <v>7.94</v>
      </c>
      <c r="F270">
        <v>18.760000000000002</v>
      </c>
      <c r="G270">
        <v>16.16</v>
      </c>
      <c r="H270">
        <v>27.74</v>
      </c>
      <c r="I270">
        <v>19.600000000000001</v>
      </c>
      <c r="J270">
        <v>5.58</v>
      </c>
      <c r="K270">
        <v>13.11</v>
      </c>
      <c r="O270">
        <v>16.16</v>
      </c>
      <c r="P270">
        <v>9.9499999999999993</v>
      </c>
      <c r="Q270">
        <v>7.94</v>
      </c>
      <c r="R270">
        <v>18.760000000000002</v>
      </c>
      <c r="S270">
        <v>16.16</v>
      </c>
      <c r="T270">
        <v>27.74</v>
      </c>
      <c r="U270">
        <v>19.600000000000001</v>
      </c>
      <c r="V270">
        <v>5.58</v>
      </c>
      <c r="W270">
        <v>13.11</v>
      </c>
      <c r="Z270">
        <v>0.70699999999999996</v>
      </c>
      <c r="AA270">
        <v>0.45</v>
      </c>
      <c r="AB270">
        <v>6.5487399999999996</v>
      </c>
      <c r="AC270">
        <v>0.72</v>
      </c>
      <c r="AD270" s="87">
        <f t="shared" si="34"/>
        <v>0.75</v>
      </c>
      <c r="AE270" s="203">
        <f t="shared" si="35"/>
        <v>0.73499999999999999</v>
      </c>
      <c r="AF270" s="49">
        <f t="shared" si="36"/>
        <v>42.626775333217999</v>
      </c>
      <c r="AG270" s="49">
        <f t="shared" si="37"/>
        <v>42.626775333217999</v>
      </c>
      <c r="AH270" s="50">
        <f t="shared" si="38"/>
        <v>0.36732851985559561</v>
      </c>
      <c r="AI270" s="105">
        <f t="shared" si="39"/>
        <v>1.9924878827779136</v>
      </c>
      <c r="AJ270" s="311">
        <f>INDEX($AR$3:AS274,MATCH(COUNTA(O270:W270),$AR$3:$AR$12,0),2)</f>
        <v>2.3199999999999998</v>
      </c>
      <c r="AK270" s="108">
        <f t="shared" si="32"/>
        <v>15</v>
      </c>
      <c r="AL270" s="310">
        <f t="shared" si="33"/>
        <v>2.2905169544064967</v>
      </c>
      <c r="AP270" s="319" t="s">
        <v>323</v>
      </c>
    </row>
    <row r="271" spans="1:42">
      <c r="A271" s="229" t="s">
        <v>327</v>
      </c>
      <c r="C271">
        <v>12.86</v>
      </c>
      <c r="D271">
        <v>34.229999999999997</v>
      </c>
      <c r="E271">
        <v>13.1</v>
      </c>
      <c r="F271">
        <v>20.84</v>
      </c>
      <c r="G271">
        <v>14.98</v>
      </c>
      <c r="H271">
        <v>36.090000000000003</v>
      </c>
      <c r="J271">
        <v>9.09</v>
      </c>
      <c r="K271">
        <v>11.07</v>
      </c>
      <c r="O271">
        <v>12.86</v>
      </c>
      <c r="P271">
        <v>34.229999999999997</v>
      </c>
      <c r="Q271">
        <v>13.1</v>
      </c>
      <c r="R271">
        <v>20.84</v>
      </c>
      <c r="S271">
        <v>14.98</v>
      </c>
      <c r="T271">
        <v>36.090000000000003</v>
      </c>
      <c r="V271">
        <v>9.09</v>
      </c>
      <c r="W271">
        <v>11.07</v>
      </c>
      <c r="Z271">
        <v>0.70699999999999996</v>
      </c>
      <c r="AA271">
        <v>0.45</v>
      </c>
      <c r="AB271">
        <v>6.3243900000000002</v>
      </c>
      <c r="AC271">
        <v>0.57999999999999996</v>
      </c>
      <c r="AD271" s="87">
        <f t="shared" si="34"/>
        <v>0.69444444444444442</v>
      </c>
      <c r="AE271" s="203">
        <f t="shared" si="35"/>
        <v>0.63722222222222213</v>
      </c>
      <c r="AF271" s="49">
        <f t="shared" si="36"/>
        <v>51.786279284963854</v>
      </c>
      <c r="AG271" s="49">
        <f t="shared" si="37"/>
        <v>51.786279284963854</v>
      </c>
      <c r="AH271" s="50">
        <f t="shared" si="38"/>
        <v>6.8888888888889124E-2</v>
      </c>
      <c r="AI271" s="105">
        <f t="shared" si="39"/>
        <v>1.7306324088975926</v>
      </c>
      <c r="AJ271" s="311">
        <f>INDEX($AR$3:AS275,MATCH(COUNTA(O271:W271),$AR$3:$AR$12,0),2)</f>
        <v>2.2200000000000002</v>
      </c>
      <c r="AK271" s="108">
        <f t="shared" si="32"/>
        <v>19.032500000000002</v>
      </c>
      <c r="AL271" s="310">
        <f t="shared" si="33"/>
        <v>3.0093811418966889</v>
      </c>
      <c r="AP271" s="319" t="s">
        <v>323</v>
      </c>
    </row>
    <row r="272" spans="1:42">
      <c r="A272" s="229" t="s">
        <v>328</v>
      </c>
      <c r="B272">
        <v>37.11</v>
      </c>
      <c r="C272">
        <v>35.409999999999997</v>
      </c>
      <c r="D272">
        <v>38.700000000000003</v>
      </c>
      <c r="E272">
        <v>25.37</v>
      </c>
      <c r="F272">
        <v>46.39</v>
      </c>
      <c r="G272">
        <v>45.73</v>
      </c>
      <c r="H272">
        <v>75.14</v>
      </c>
      <c r="I272">
        <v>32.729999999999997</v>
      </c>
      <c r="J272">
        <v>25.11</v>
      </c>
      <c r="K272">
        <v>40.15</v>
      </c>
      <c r="L272">
        <v>406.6</v>
      </c>
      <c r="N272" s="306">
        <v>37.11</v>
      </c>
      <c r="O272">
        <v>35.409999999999997</v>
      </c>
      <c r="P272">
        <v>38.700000000000003</v>
      </c>
      <c r="Q272">
        <v>25.37</v>
      </c>
      <c r="R272">
        <v>46.39</v>
      </c>
      <c r="S272">
        <v>45.73</v>
      </c>
      <c r="T272">
        <v>75.14</v>
      </c>
      <c r="U272">
        <v>32.729999999999997</v>
      </c>
      <c r="V272">
        <v>25.11</v>
      </c>
      <c r="W272">
        <v>40.15</v>
      </c>
      <c r="Z272">
        <v>0.70699999999999996</v>
      </c>
      <c r="AA272">
        <v>0.14699999999999999</v>
      </c>
      <c r="AB272">
        <v>8.8096600000000009</v>
      </c>
      <c r="AC272">
        <v>0.87</v>
      </c>
      <c r="AD272" s="87">
        <f t="shared" si="34"/>
        <v>0.75</v>
      </c>
      <c r="AE272" s="203">
        <f t="shared" si="35"/>
        <v>0.81</v>
      </c>
      <c r="AF272" s="49">
        <f t="shared" si="36"/>
        <v>35.064914663750969</v>
      </c>
      <c r="AG272" s="49">
        <f t="shared" si="37"/>
        <v>35.064914663750969</v>
      </c>
      <c r="AH272" s="50">
        <f t="shared" si="38"/>
        <v>0.57465520687587446</v>
      </c>
      <c r="AI272" s="105">
        <f t="shared" si="39"/>
        <v>2.4358783876041183</v>
      </c>
      <c r="AJ272" s="311">
        <f>INDEX($AR$3:AS276,MATCH(COUNTA(O272:W272),$AR$3:$AR$12,0),2)</f>
        <v>2.3199999999999998</v>
      </c>
      <c r="AK272" s="108">
        <f t="shared" si="32"/>
        <v>40.184000000000005</v>
      </c>
      <c r="AL272" s="310">
        <f t="shared" si="33"/>
        <v>4.5613565109209659</v>
      </c>
      <c r="AP272" s="319" t="s">
        <v>244</v>
      </c>
    </row>
    <row r="273" spans="1:42">
      <c r="A273" s="229" t="s">
        <v>329</v>
      </c>
      <c r="D273">
        <v>17.91</v>
      </c>
      <c r="E273">
        <v>17.34</v>
      </c>
      <c r="F273">
        <v>35.46</v>
      </c>
      <c r="G273">
        <v>23.82</v>
      </c>
      <c r="H273">
        <v>57.4</v>
      </c>
      <c r="I273">
        <v>25.18</v>
      </c>
      <c r="J273">
        <v>17.440000000000001</v>
      </c>
      <c r="K273">
        <v>45.11</v>
      </c>
      <c r="P273">
        <v>17.91</v>
      </c>
      <c r="Q273">
        <v>17.34</v>
      </c>
      <c r="R273">
        <v>35.46</v>
      </c>
      <c r="S273">
        <v>23.82</v>
      </c>
      <c r="T273">
        <v>57.4</v>
      </c>
      <c r="U273">
        <v>25.18</v>
      </c>
      <c r="V273">
        <v>17.440000000000001</v>
      </c>
      <c r="W273">
        <v>45.11</v>
      </c>
      <c r="Z273">
        <v>0.70699999999999996</v>
      </c>
      <c r="AA273">
        <v>0.14699999999999999</v>
      </c>
      <c r="AB273">
        <v>4.2674799999999999</v>
      </c>
      <c r="AC273">
        <v>0.65</v>
      </c>
      <c r="AD273" s="87">
        <f t="shared" si="34"/>
        <v>0.69444444444444442</v>
      </c>
      <c r="AE273" s="203">
        <f t="shared" si="35"/>
        <v>0.67222222222222228</v>
      </c>
      <c r="AF273" s="49">
        <f t="shared" si="36"/>
        <v>46.230826835002887</v>
      </c>
      <c r="AG273" s="49">
        <f t="shared" si="37"/>
        <v>46.230826835002887</v>
      </c>
      <c r="AH273" s="50">
        <f t="shared" si="38"/>
        <v>0.30678981527708432</v>
      </c>
      <c r="AI273" s="105">
        <f t="shared" si="39"/>
        <v>1.9814651759519781</v>
      </c>
      <c r="AJ273" s="311">
        <f>INDEX($AR$3:AS277,MATCH(COUNTA(O273:W273),$AR$3:$AR$12,0),2)</f>
        <v>2.2200000000000002</v>
      </c>
      <c r="AK273" s="108">
        <f t="shared" si="32"/>
        <v>29.957500000000003</v>
      </c>
      <c r="AL273" s="310">
        <f t="shared" si="33"/>
        <v>7.019950884362669</v>
      </c>
      <c r="AP273" s="319" t="s">
        <v>244</v>
      </c>
    </row>
    <row r="274" spans="1:42">
      <c r="A274" s="229" t="s">
        <v>330</v>
      </c>
      <c r="B274">
        <v>57.24</v>
      </c>
      <c r="C274">
        <v>62.95</v>
      </c>
      <c r="D274">
        <v>36.729999999999997</v>
      </c>
      <c r="E274">
        <v>28.48</v>
      </c>
      <c r="F274">
        <v>35.79</v>
      </c>
      <c r="H274">
        <v>127.64</v>
      </c>
      <c r="I274">
        <v>92.66</v>
      </c>
      <c r="J274">
        <v>55.06</v>
      </c>
      <c r="N274" s="306">
        <v>57.24</v>
      </c>
      <c r="O274">
        <v>62.95</v>
      </c>
      <c r="P274">
        <v>36.729999999999997</v>
      </c>
      <c r="Q274">
        <v>28.48</v>
      </c>
      <c r="R274">
        <v>35.79</v>
      </c>
      <c r="U274">
        <v>92.66</v>
      </c>
      <c r="V274">
        <v>55.06</v>
      </c>
      <c r="Z274">
        <v>1.016</v>
      </c>
      <c r="AA274">
        <v>0.124</v>
      </c>
      <c r="AB274">
        <v>16.704599999999999</v>
      </c>
      <c r="AC274">
        <v>0.72</v>
      </c>
      <c r="AD274" s="87">
        <f t="shared" si="34"/>
        <v>0.58333333333333326</v>
      </c>
      <c r="AE274" s="203">
        <f t="shared" si="35"/>
        <v>0.65166666666666662</v>
      </c>
      <c r="AF274" s="49">
        <f t="shared" si="36"/>
        <v>41.821289135302067</v>
      </c>
      <c r="AG274" s="49">
        <f t="shared" si="37"/>
        <v>52.99406708442902</v>
      </c>
      <c r="AH274" s="50">
        <f t="shared" si="38"/>
        <v>0.4629167965098161</v>
      </c>
      <c r="AI274" s="105">
        <f t="shared" si="39"/>
        <v>1.8741885174554644</v>
      </c>
      <c r="AJ274" s="311">
        <f>INDEX($AR$3:AS278,MATCH(COUNTA(O274:W274),$AR$3:$AR$12,0),2)</f>
        <v>1.94</v>
      </c>
      <c r="AK274" s="108">
        <f t="shared" si="32"/>
        <v>52.701428571428565</v>
      </c>
      <c r="AL274" s="310">
        <f t="shared" si="33"/>
        <v>3.1549051501639411</v>
      </c>
      <c r="AP274" s="319" t="s">
        <v>244</v>
      </c>
    </row>
    <row r="275" spans="1:42">
      <c r="A275" s="229" t="s">
        <v>331</v>
      </c>
      <c r="B275">
        <v>75.349999999999994</v>
      </c>
      <c r="C275">
        <v>118.35</v>
      </c>
      <c r="D275">
        <v>15.09</v>
      </c>
      <c r="E275">
        <v>23.35</v>
      </c>
      <c r="F275">
        <v>17.86</v>
      </c>
      <c r="G275">
        <v>26.92</v>
      </c>
      <c r="H275">
        <v>113.35</v>
      </c>
      <c r="I275">
        <v>67.62</v>
      </c>
      <c r="J275">
        <v>44.85</v>
      </c>
      <c r="K275">
        <v>79.89</v>
      </c>
      <c r="N275" s="306">
        <v>75.349999999999994</v>
      </c>
      <c r="P275">
        <v>15.09</v>
      </c>
      <c r="Q275">
        <v>23.35</v>
      </c>
      <c r="R275">
        <v>17.86</v>
      </c>
      <c r="S275">
        <v>26.92</v>
      </c>
      <c r="U275">
        <v>67.62</v>
      </c>
      <c r="V275">
        <v>44.85</v>
      </c>
      <c r="W275">
        <v>79.89</v>
      </c>
      <c r="Z275">
        <v>0.22500000000000001</v>
      </c>
      <c r="AA275">
        <v>0.124</v>
      </c>
      <c r="AB275">
        <v>10.55025</v>
      </c>
      <c r="AC275">
        <v>0.92</v>
      </c>
      <c r="AD275" s="87">
        <f t="shared" si="34"/>
        <v>0.63888888888888884</v>
      </c>
      <c r="AE275" s="203">
        <f t="shared" si="35"/>
        <v>0.77944444444444438</v>
      </c>
      <c r="AF275" s="49">
        <f t="shared" si="36"/>
        <v>60.215420134531662</v>
      </c>
      <c r="AG275" s="49">
        <f t="shared" si="37"/>
        <v>67.546362838105324</v>
      </c>
      <c r="AH275" s="50">
        <f t="shared" si="38"/>
        <v>0.1893518518518518</v>
      </c>
      <c r="AI275" s="105">
        <f t="shared" si="39"/>
        <v>1.7093357320700593</v>
      </c>
      <c r="AJ275" s="311">
        <f>INDEX($AR$3:AS279,MATCH(COUNTA(O275:W275),$AR$3:$AR$12,0),2)</f>
        <v>2.1</v>
      </c>
      <c r="AK275" s="108">
        <f t="shared" si="32"/>
        <v>43.866250000000001</v>
      </c>
      <c r="AL275" s="310">
        <f t="shared" si="33"/>
        <v>4.1578398616146535</v>
      </c>
      <c r="AP275" s="319" t="s">
        <v>244</v>
      </c>
    </row>
    <row r="276" spans="1:42">
      <c r="A276" s="229" t="s">
        <v>332</v>
      </c>
      <c r="B276">
        <v>14.4</v>
      </c>
      <c r="C276">
        <v>34.61</v>
      </c>
      <c r="D276">
        <v>68.430000000000007</v>
      </c>
      <c r="E276">
        <v>19.21</v>
      </c>
      <c r="F276">
        <v>20.98</v>
      </c>
      <c r="G276">
        <v>24.33</v>
      </c>
      <c r="H276">
        <v>107.35</v>
      </c>
      <c r="I276">
        <v>44.69</v>
      </c>
      <c r="J276">
        <v>32.799999999999997</v>
      </c>
      <c r="K276">
        <v>65.290000000000006</v>
      </c>
      <c r="N276" s="306">
        <v>14.4</v>
      </c>
      <c r="O276">
        <v>34.61</v>
      </c>
      <c r="P276">
        <v>68.430000000000007</v>
      </c>
      <c r="Q276">
        <v>19.21</v>
      </c>
      <c r="R276">
        <v>20.98</v>
      </c>
      <c r="S276">
        <v>24.33</v>
      </c>
      <c r="U276">
        <v>44.69</v>
      </c>
      <c r="V276">
        <v>32.799999999999997</v>
      </c>
      <c r="W276">
        <v>65.290000000000006</v>
      </c>
      <c r="Z276">
        <v>0.90200000000000002</v>
      </c>
      <c r="AA276">
        <v>0.124</v>
      </c>
      <c r="AB276">
        <v>8.4931399999999986</v>
      </c>
      <c r="AC276">
        <v>0.79</v>
      </c>
      <c r="AD276" s="87">
        <f t="shared" si="34"/>
        <v>0.69444444444444442</v>
      </c>
      <c r="AE276" s="203">
        <f t="shared" si="35"/>
        <v>0.74222222222222223</v>
      </c>
      <c r="AF276" s="49">
        <f t="shared" si="36"/>
        <v>46.280681424410638</v>
      </c>
      <c r="AG276" s="49">
        <f t="shared" si="37"/>
        <v>59.03751566762736</v>
      </c>
      <c r="AH276" s="50">
        <f t="shared" si="38"/>
        <v>6.3795205201137753E-2</v>
      </c>
      <c r="AI276" s="105">
        <f t="shared" si="39"/>
        <v>1.650798453763459</v>
      </c>
      <c r="AJ276" s="311">
        <f>INDEX($AR$3:AS280,MATCH(COUNTA(O276:W276),$AR$3:$AR$12,0),2)</f>
        <v>2.2200000000000002</v>
      </c>
      <c r="AK276" s="108">
        <f t="shared" si="32"/>
        <v>36.082222222222221</v>
      </c>
      <c r="AL276" s="310">
        <f t="shared" si="33"/>
        <v>4.2483960257598756</v>
      </c>
      <c r="AP276" s="319" t="s">
        <v>244</v>
      </c>
    </row>
    <row r="277" spans="1:42">
      <c r="A277" s="229" t="s">
        <v>333</v>
      </c>
      <c r="H277">
        <v>12.43</v>
      </c>
      <c r="I277">
        <v>10.63</v>
      </c>
      <c r="T277">
        <v>12.43</v>
      </c>
      <c r="U277">
        <v>10.63</v>
      </c>
      <c r="Z277">
        <v>0.97099999999999997</v>
      </c>
      <c r="AA277">
        <v>9.8000000000000004E-2</v>
      </c>
      <c r="AB277">
        <v>8.8784799999999997</v>
      </c>
      <c r="AC277">
        <v>0.68</v>
      </c>
      <c r="AD277" s="87">
        <f t="shared" si="34"/>
        <v>0.61111111111111116</v>
      </c>
      <c r="AE277" s="203">
        <f t="shared" si="35"/>
        <v>0.64555555555555566</v>
      </c>
      <c r="AF277" s="49">
        <f t="shared" si="36"/>
        <v>7.8057241977450076</v>
      </c>
      <c r="AG277" s="49">
        <f t="shared" si="37"/>
        <v>7.8057241977450076</v>
      </c>
      <c r="AH277" s="50">
        <f t="shared" si="38"/>
        <v>1</v>
      </c>
      <c r="AI277" s="105">
        <f t="shared" si="39"/>
        <v>0.999999999999999</v>
      </c>
      <c r="AJ277" s="311" t="e">
        <f>INDEX($AR$3:AS281,MATCH(COUNTA(O277:W277),$AR$3:$AR$12,0),2)</f>
        <v>#N/A</v>
      </c>
      <c r="AK277" s="108">
        <f t="shared" si="32"/>
        <v>11.530000000000001</v>
      </c>
      <c r="AL277" s="310">
        <f t="shared" si="33"/>
        <v>1.298645714131248</v>
      </c>
      <c r="AP277" s="319" t="s">
        <v>203</v>
      </c>
    </row>
    <row r="278" spans="1:42">
      <c r="A278" s="229" t="s">
        <v>334</v>
      </c>
      <c r="B278">
        <v>25.9</v>
      </c>
      <c r="C278">
        <v>5.49</v>
      </c>
      <c r="D278">
        <v>22.53</v>
      </c>
      <c r="F278">
        <v>15.53</v>
      </c>
      <c r="G278">
        <v>10.45</v>
      </c>
      <c r="H278">
        <v>27.54</v>
      </c>
      <c r="I278">
        <v>19.72</v>
      </c>
      <c r="J278">
        <v>2.58</v>
      </c>
      <c r="N278" s="306">
        <v>25.9</v>
      </c>
      <c r="O278">
        <v>5.49</v>
      </c>
      <c r="P278">
        <v>22.53</v>
      </c>
      <c r="R278">
        <v>15.53</v>
      </c>
      <c r="S278">
        <v>10.45</v>
      </c>
      <c r="T278">
        <v>27.54</v>
      </c>
      <c r="U278">
        <v>19.72</v>
      </c>
      <c r="V278">
        <v>2.58</v>
      </c>
      <c r="Z278">
        <v>0.54800000000000004</v>
      </c>
      <c r="AA278">
        <v>9.8000000000000004E-2</v>
      </c>
      <c r="AB278">
        <v>13.416</v>
      </c>
      <c r="AC278">
        <v>0.78</v>
      </c>
      <c r="AD278" s="87">
        <f t="shared" si="34"/>
        <v>0.63888888888888884</v>
      </c>
      <c r="AE278" s="203">
        <f t="shared" si="35"/>
        <v>0.70944444444444443</v>
      </c>
      <c r="AF278" s="49">
        <f t="shared" si="36"/>
        <v>57.070861587361186</v>
      </c>
      <c r="AG278" s="49">
        <f t="shared" si="37"/>
        <v>57.070861587361186</v>
      </c>
      <c r="AH278" s="50">
        <f t="shared" si="38"/>
        <v>0.20072115384615377</v>
      </c>
      <c r="AI278" s="105">
        <f t="shared" si="39"/>
        <v>1.5007833973160163</v>
      </c>
      <c r="AJ278" s="311">
        <f>INDEX($AR$3:AS282,MATCH(COUNTA(O278:W278),$AR$3:$AR$12,0),2)</f>
        <v>2.1</v>
      </c>
      <c r="AK278" s="108">
        <f t="shared" si="32"/>
        <v>16.217500000000001</v>
      </c>
      <c r="AL278" s="310">
        <f t="shared" si="33"/>
        <v>1.2088178294573644</v>
      </c>
      <c r="AP278" s="319" t="s">
        <v>203</v>
      </c>
    </row>
    <row r="279" spans="1:42">
      <c r="A279" s="229" t="s">
        <v>335</v>
      </c>
      <c r="B279">
        <v>39.450000000000003</v>
      </c>
      <c r="C279">
        <v>8.73</v>
      </c>
      <c r="F279">
        <v>7.76</v>
      </c>
      <c r="G279">
        <v>14.09</v>
      </c>
      <c r="H279">
        <v>27.54</v>
      </c>
      <c r="I279">
        <v>20.21</v>
      </c>
      <c r="J279">
        <v>3.04</v>
      </c>
      <c r="N279" s="306">
        <v>39.450000000000003</v>
      </c>
      <c r="O279">
        <v>8.73</v>
      </c>
      <c r="R279">
        <v>7.76</v>
      </c>
      <c r="S279">
        <v>14.09</v>
      </c>
      <c r="T279">
        <v>27.54</v>
      </c>
      <c r="U279">
        <v>20.21</v>
      </c>
      <c r="V279">
        <v>3.04</v>
      </c>
      <c r="Z279">
        <v>0.66600000000000004</v>
      </c>
      <c r="AA279">
        <v>9.8000000000000004E-2</v>
      </c>
      <c r="AB279">
        <v>12.52145</v>
      </c>
      <c r="AC279">
        <v>0.81</v>
      </c>
      <c r="AD279" s="87">
        <f t="shared" si="34"/>
        <v>0.58333333333333326</v>
      </c>
      <c r="AE279" s="203">
        <f t="shared" si="35"/>
        <v>0.69666666666666666</v>
      </c>
      <c r="AF279" s="49">
        <f t="shared" si="36"/>
        <v>60.774218704789476</v>
      </c>
      <c r="AG279" s="49">
        <f t="shared" si="37"/>
        <v>60.774218704789476</v>
      </c>
      <c r="AH279" s="50">
        <f t="shared" si="38"/>
        <v>0.29918367346938768</v>
      </c>
      <c r="AI279" s="105">
        <f t="shared" si="39"/>
        <v>1.6959886543453275</v>
      </c>
      <c r="AJ279" s="311">
        <f>INDEX($AR$3:AS283,MATCH(COUNTA(O279:W279),$AR$3:$AR$12,0),2)</f>
        <v>1.94</v>
      </c>
      <c r="AK279" s="108">
        <f t="shared" si="32"/>
        <v>17.260000000000002</v>
      </c>
      <c r="AL279" s="310">
        <f t="shared" si="33"/>
        <v>1.378434606215734</v>
      </c>
      <c r="AP279" s="319" t="s">
        <v>203</v>
      </c>
    </row>
    <row r="280" spans="1:42">
      <c r="A280" s="229" t="s">
        <v>336</v>
      </c>
      <c r="B280">
        <v>25.57</v>
      </c>
      <c r="C280">
        <v>66.06</v>
      </c>
      <c r="D280">
        <v>45.7</v>
      </c>
      <c r="F280">
        <v>19.7</v>
      </c>
      <c r="G280">
        <v>30.62</v>
      </c>
      <c r="H280">
        <v>70.8</v>
      </c>
      <c r="I280">
        <v>45.11</v>
      </c>
      <c r="J280">
        <v>19.66</v>
      </c>
      <c r="K280">
        <v>27.69</v>
      </c>
      <c r="N280" s="306">
        <v>25.57</v>
      </c>
      <c r="O280">
        <v>66.06</v>
      </c>
      <c r="P280">
        <v>45.7</v>
      </c>
      <c r="R280">
        <v>19.7</v>
      </c>
      <c r="S280">
        <v>30.62</v>
      </c>
      <c r="T280">
        <v>70.8</v>
      </c>
      <c r="U280">
        <v>45.11</v>
      </c>
      <c r="V280">
        <v>19.66</v>
      </c>
      <c r="W280">
        <v>27.69</v>
      </c>
      <c r="Z280">
        <v>0.71199999999999997</v>
      </c>
      <c r="AA280">
        <v>0.10199999999999999</v>
      </c>
      <c r="AB280">
        <v>6.3610100000000003</v>
      </c>
      <c r="AC280">
        <v>0.65</v>
      </c>
      <c r="AD280" s="87">
        <f t="shared" si="34"/>
        <v>0.69444444444444442</v>
      </c>
      <c r="AE280" s="203">
        <f t="shared" si="35"/>
        <v>0.67222222222222228</v>
      </c>
      <c r="AF280" s="49">
        <f t="shared" si="36"/>
        <v>45.574924548670971</v>
      </c>
      <c r="AG280" s="49">
        <f t="shared" si="37"/>
        <v>45.574924548670971</v>
      </c>
      <c r="AH280" s="50">
        <f t="shared" si="38"/>
        <v>9.2686742276104711E-2</v>
      </c>
      <c r="AI280" s="105">
        <f t="shared" si="39"/>
        <v>1.6257798311954754</v>
      </c>
      <c r="AJ280" s="311">
        <f>INDEX($AR$3:AS284,MATCH(COUNTA(O280:W280),$AR$3:$AR$12,0),2)</f>
        <v>2.2200000000000002</v>
      </c>
      <c r="AK280" s="108">
        <f t="shared" si="32"/>
        <v>38.99</v>
      </c>
      <c r="AL280" s="310">
        <f t="shared" si="33"/>
        <v>6.1295297444902621</v>
      </c>
      <c r="AP280" s="319" t="s">
        <v>244</v>
      </c>
    </row>
    <row r="281" spans="1:42">
      <c r="A281" s="229" t="s">
        <v>337</v>
      </c>
      <c r="B281">
        <v>41.79</v>
      </c>
      <c r="C281">
        <v>68.510000000000005</v>
      </c>
      <c r="D281">
        <v>54.42</v>
      </c>
      <c r="F281">
        <v>19.97</v>
      </c>
      <c r="G281">
        <v>20.72</v>
      </c>
      <c r="H281">
        <v>65.36</v>
      </c>
      <c r="I281">
        <v>37.65</v>
      </c>
      <c r="J281">
        <v>9.68</v>
      </c>
      <c r="K281">
        <v>24.91</v>
      </c>
      <c r="N281" s="306">
        <v>41.79</v>
      </c>
      <c r="O281">
        <v>68.510000000000005</v>
      </c>
      <c r="P281">
        <v>54.42</v>
      </c>
      <c r="R281">
        <v>19.97</v>
      </c>
      <c r="S281">
        <v>20.72</v>
      </c>
      <c r="T281">
        <v>65.36</v>
      </c>
      <c r="U281">
        <v>37.65</v>
      </c>
      <c r="V281">
        <v>9.68</v>
      </c>
      <c r="W281">
        <v>24.91</v>
      </c>
      <c r="Z281">
        <v>0.52700000000000002</v>
      </c>
      <c r="AA281">
        <v>0.10199999999999999</v>
      </c>
      <c r="AB281">
        <v>6.8360700000000003</v>
      </c>
      <c r="AC281">
        <v>0.87</v>
      </c>
      <c r="AD281" s="87">
        <f t="shared" si="34"/>
        <v>0.69444444444444442</v>
      </c>
      <c r="AE281" s="203">
        <f t="shared" si="35"/>
        <v>0.78222222222222215</v>
      </c>
      <c r="AF281" s="49">
        <f t="shared" si="36"/>
        <v>55.909391568647948</v>
      </c>
      <c r="AG281" s="49">
        <f t="shared" si="37"/>
        <v>55.909391568647948</v>
      </c>
      <c r="AH281" s="50">
        <f t="shared" si="38"/>
        <v>5.3544110147883822E-2</v>
      </c>
      <c r="AI281" s="105">
        <f t="shared" si="39"/>
        <v>1.4658251011109795</v>
      </c>
      <c r="AJ281" s="311">
        <f>INDEX($AR$3:AS285,MATCH(COUNTA(O281:W281),$AR$3:$AR$12,0),2)</f>
        <v>2.2200000000000002</v>
      </c>
      <c r="AK281" s="108">
        <f t="shared" si="32"/>
        <v>38.112222222222229</v>
      </c>
      <c r="AL281" s="310">
        <f t="shared" si="33"/>
        <v>5.5751655881555084</v>
      </c>
      <c r="AP281" s="319" t="s">
        <v>244</v>
      </c>
    </row>
    <row r="282" spans="1:42">
      <c r="A282" s="229" t="s">
        <v>338</v>
      </c>
      <c r="B282">
        <v>28.61</v>
      </c>
      <c r="C282">
        <v>76.88</v>
      </c>
      <c r="D282">
        <v>32.6</v>
      </c>
      <c r="F282">
        <v>19.21</v>
      </c>
      <c r="G282">
        <v>30.76</v>
      </c>
      <c r="H282">
        <v>93.53</v>
      </c>
      <c r="I282">
        <v>42.49</v>
      </c>
      <c r="J282">
        <v>14.77</v>
      </c>
      <c r="N282" s="306">
        <v>28.61</v>
      </c>
      <c r="O282">
        <v>76.88</v>
      </c>
      <c r="P282">
        <v>32.6</v>
      </c>
      <c r="R282">
        <v>19.21</v>
      </c>
      <c r="S282">
        <v>30.76</v>
      </c>
      <c r="T282">
        <v>93.53</v>
      </c>
      <c r="U282">
        <v>42.49</v>
      </c>
      <c r="V282">
        <v>14.77</v>
      </c>
      <c r="Z282">
        <v>0.98899999999999999</v>
      </c>
      <c r="AA282">
        <v>0.10199999999999999</v>
      </c>
      <c r="AB282">
        <v>9.666640000000001</v>
      </c>
      <c r="AC282">
        <v>0.63</v>
      </c>
      <c r="AD282" s="87">
        <f t="shared" si="34"/>
        <v>0.63888888888888884</v>
      </c>
      <c r="AE282" s="203">
        <f t="shared" si="35"/>
        <v>0.63444444444444437</v>
      </c>
      <c r="AF282" s="49">
        <f t="shared" si="36"/>
        <v>62.144326013151129</v>
      </c>
      <c r="AG282" s="49">
        <f t="shared" si="37"/>
        <v>62.144326013151129</v>
      </c>
      <c r="AH282" s="50">
        <f t="shared" si="38"/>
        <v>0.2114017267648553</v>
      </c>
      <c r="AI282" s="105">
        <f t="shared" si="39"/>
        <v>1.7867020309836161</v>
      </c>
      <c r="AJ282" s="311">
        <f>INDEX($AR$3:AS286,MATCH(COUNTA(O282:W282),$AR$3:$AR$12,0),2)</f>
        <v>2.1</v>
      </c>
      <c r="AK282" s="108">
        <f t="shared" ref="AK282:AK345" si="40">AVERAGE(N282:Y282)</f>
        <v>42.356250000000003</v>
      </c>
      <c r="AL282" s="310">
        <f t="shared" si="33"/>
        <v>4.3816931219120603</v>
      </c>
      <c r="AP282" s="319" t="s">
        <v>244</v>
      </c>
    </row>
    <row r="283" spans="1:42">
      <c r="A283" s="229" t="s">
        <v>339</v>
      </c>
      <c r="D283">
        <v>20.78</v>
      </c>
      <c r="E283">
        <v>9.24</v>
      </c>
      <c r="F283">
        <v>28.07</v>
      </c>
      <c r="G283">
        <v>24.22</v>
      </c>
      <c r="H283">
        <v>36.36</v>
      </c>
      <c r="I283">
        <v>27.1</v>
      </c>
      <c r="J283">
        <v>4.97</v>
      </c>
      <c r="K283">
        <v>16.28</v>
      </c>
      <c r="P283">
        <v>20.78</v>
      </c>
      <c r="Q283">
        <v>9.24</v>
      </c>
      <c r="R283">
        <v>28.07</v>
      </c>
      <c r="S283">
        <v>24.22</v>
      </c>
      <c r="T283">
        <v>36.36</v>
      </c>
      <c r="U283">
        <v>27.1</v>
      </c>
      <c r="V283">
        <v>4.97</v>
      </c>
      <c r="W283">
        <v>16.28</v>
      </c>
      <c r="Z283">
        <v>0.70699999999999996</v>
      </c>
      <c r="AA283">
        <v>3.9E-2</v>
      </c>
      <c r="AB283">
        <v>7.4099700000000004</v>
      </c>
      <c r="AC283">
        <v>0.72</v>
      </c>
      <c r="AD283" s="87">
        <f t="shared" si="34"/>
        <v>0.69444444444444442</v>
      </c>
      <c r="AE283" s="203">
        <f t="shared" si="35"/>
        <v>0.7072222222222222</v>
      </c>
      <c r="AF283" s="49">
        <f t="shared" si="36"/>
        <v>46.407094829852426</v>
      </c>
      <c r="AG283" s="49">
        <f t="shared" si="37"/>
        <v>46.407094829852426</v>
      </c>
      <c r="AH283" s="50">
        <f t="shared" si="38"/>
        <v>0.26409684612934053</v>
      </c>
      <c r="AI283" s="105">
        <f t="shared" si="39"/>
        <v>1.5980052974902379</v>
      </c>
      <c r="AJ283" s="311">
        <f>INDEX($AR$3:AS287,MATCH(COUNTA(O283:W283),$AR$3:$AR$12,0),2)</f>
        <v>2.2200000000000002</v>
      </c>
      <c r="AK283" s="108">
        <f t="shared" si="40"/>
        <v>20.877500000000001</v>
      </c>
      <c r="AL283" s="310">
        <f t="shared" si="33"/>
        <v>2.8174877900990154</v>
      </c>
      <c r="AP283" s="319" t="s">
        <v>244</v>
      </c>
    </row>
    <row r="284" spans="1:42">
      <c r="A284" s="229" t="s">
        <v>340</v>
      </c>
      <c r="C284">
        <v>8.11</v>
      </c>
      <c r="D284">
        <v>17.64</v>
      </c>
      <c r="E284">
        <v>9.98</v>
      </c>
      <c r="F284">
        <v>23.27</v>
      </c>
      <c r="G284">
        <v>17.579999999999998</v>
      </c>
      <c r="H284">
        <v>30.29</v>
      </c>
      <c r="I284">
        <v>19.98</v>
      </c>
      <c r="J284">
        <v>4.93</v>
      </c>
      <c r="K284">
        <v>12.7</v>
      </c>
      <c r="L284">
        <v>168.39</v>
      </c>
      <c r="O284">
        <v>8.11</v>
      </c>
      <c r="P284">
        <v>17.64</v>
      </c>
      <c r="Q284">
        <v>9.98</v>
      </c>
      <c r="R284">
        <v>23.27</v>
      </c>
      <c r="S284">
        <v>17.579999999999998</v>
      </c>
      <c r="T284">
        <v>30.29</v>
      </c>
      <c r="U284">
        <v>19.98</v>
      </c>
      <c r="V284">
        <v>4.93</v>
      </c>
      <c r="W284">
        <v>12.7</v>
      </c>
      <c r="Z284">
        <v>0.70699999999999996</v>
      </c>
      <c r="AA284">
        <v>3.9E-2</v>
      </c>
      <c r="AB284">
        <v>8.2233499999999999</v>
      </c>
      <c r="AC284">
        <v>0.62</v>
      </c>
      <c r="AD284" s="87">
        <f t="shared" si="34"/>
        <v>0.75</v>
      </c>
      <c r="AE284" s="203">
        <f t="shared" si="35"/>
        <v>0.68500000000000005</v>
      </c>
      <c r="AF284" s="49">
        <f t="shared" si="36"/>
        <v>46.891303781950768</v>
      </c>
      <c r="AG284" s="49">
        <f t="shared" si="37"/>
        <v>46.891303781950768</v>
      </c>
      <c r="AH284" s="50">
        <f t="shared" si="38"/>
        <v>0.27681388012618297</v>
      </c>
      <c r="AI284" s="105">
        <f t="shared" si="39"/>
        <v>1.8912580300531445</v>
      </c>
      <c r="AJ284" s="311">
        <f>INDEX($AR$3:AS288,MATCH(COUNTA(O284:W284),$AR$3:$AR$12,0),2)</f>
        <v>2.3199999999999998</v>
      </c>
      <c r="AK284" s="108">
        <f t="shared" si="40"/>
        <v>16.053333333333331</v>
      </c>
      <c r="AL284" s="310">
        <f t="shared" si="33"/>
        <v>1.9521646693054937</v>
      </c>
      <c r="AP284" s="319" t="s">
        <v>244</v>
      </c>
    </row>
    <row r="285" spans="1:42">
      <c r="A285" s="346" t="s">
        <v>341</v>
      </c>
      <c r="J285">
        <v>118.93</v>
      </c>
      <c r="K285">
        <v>269.18</v>
      </c>
      <c r="V285">
        <v>118.93</v>
      </c>
      <c r="W285">
        <v>269.18</v>
      </c>
      <c r="Z285">
        <v>0.65800000000000003</v>
      </c>
      <c r="AA285">
        <v>5.3999999999999999E-2</v>
      </c>
      <c r="AB285">
        <v>12.948399999999999</v>
      </c>
      <c r="AC285">
        <v>0.82</v>
      </c>
      <c r="AD285" s="87">
        <f t="shared" si="34"/>
        <v>0.3611111111111111</v>
      </c>
      <c r="AE285" s="203">
        <f t="shared" si="35"/>
        <v>0.5905555555555555</v>
      </c>
      <c r="AF285" s="49">
        <f t="shared" si="36"/>
        <v>38.713251397799588</v>
      </c>
      <c r="AG285" s="49">
        <f t="shared" si="37"/>
        <v>38.713251397799588</v>
      </c>
      <c r="AH285" s="50">
        <f t="shared" si="38"/>
        <v>1</v>
      </c>
      <c r="AI285" s="105">
        <f t="shared" si="39"/>
        <v>1</v>
      </c>
      <c r="AJ285" s="311" t="e">
        <f>INDEX($AR$3:AS289,MATCH(COUNTA(O285:W285),$AR$3:$AR$12,0),2)</f>
        <v>#N/A</v>
      </c>
      <c r="AK285" s="108">
        <f t="shared" si="40"/>
        <v>194.05500000000001</v>
      </c>
      <c r="AL285" s="310">
        <f t="shared" si="33"/>
        <v>14.986793735133299</v>
      </c>
      <c r="AP285" s="319" t="s">
        <v>342</v>
      </c>
    </row>
    <row r="286" spans="1:42">
      <c r="A286" s="346" t="s">
        <v>343</v>
      </c>
      <c r="B286">
        <v>130.13999999999999</v>
      </c>
      <c r="C286">
        <v>83.22</v>
      </c>
      <c r="H286">
        <v>198.2</v>
      </c>
      <c r="I286">
        <v>240.95</v>
      </c>
      <c r="J286">
        <v>209.15</v>
      </c>
      <c r="K286">
        <v>249.82</v>
      </c>
      <c r="N286" s="306">
        <v>130.13999999999999</v>
      </c>
      <c r="O286">
        <v>83.22</v>
      </c>
      <c r="T286">
        <v>198.2</v>
      </c>
      <c r="U286">
        <v>240.95</v>
      </c>
      <c r="V286">
        <v>209.15</v>
      </c>
      <c r="W286">
        <v>249.82</v>
      </c>
      <c r="Z286">
        <v>0.54</v>
      </c>
      <c r="AA286">
        <v>5.3999999999999999E-2</v>
      </c>
      <c r="AB286">
        <v>12.1568</v>
      </c>
      <c r="AC286">
        <v>0.62</v>
      </c>
      <c r="AD286" s="87">
        <f t="shared" si="34"/>
        <v>0.77777777777777779</v>
      </c>
      <c r="AE286" s="203">
        <f t="shared" si="35"/>
        <v>0.69888888888888889</v>
      </c>
      <c r="AF286" s="49">
        <f t="shared" si="36"/>
        <v>30.411939098881529</v>
      </c>
      <c r="AG286" s="49">
        <f t="shared" si="37"/>
        <v>30.411939098881529</v>
      </c>
      <c r="AH286" s="50">
        <f t="shared" si="38"/>
        <v>5.324129651860747E-2</v>
      </c>
      <c r="AI286" s="105">
        <f t="shared" si="39"/>
        <v>0.8971851691939513</v>
      </c>
      <c r="AJ286" s="311">
        <f>INDEX($AR$3:AS290,MATCH(COUNTA(O286:W286),$AR$3:$AR$12,0),2)</f>
        <v>1.75</v>
      </c>
      <c r="AK286" s="108">
        <f t="shared" si="40"/>
        <v>185.24666666666667</v>
      </c>
      <c r="AL286" s="310">
        <f t="shared" si="33"/>
        <v>15.238110906378871</v>
      </c>
      <c r="AP286" s="319" t="s">
        <v>342</v>
      </c>
    </row>
    <row r="287" spans="1:42">
      <c r="A287" s="346" t="s">
        <v>344</v>
      </c>
      <c r="B287">
        <v>27.61</v>
      </c>
      <c r="C287">
        <v>88.31</v>
      </c>
      <c r="H287">
        <v>168.59</v>
      </c>
      <c r="I287">
        <v>211.16</v>
      </c>
      <c r="J287">
        <v>152.09</v>
      </c>
      <c r="K287">
        <v>172.89</v>
      </c>
      <c r="N287" s="306">
        <v>27.61</v>
      </c>
      <c r="O287">
        <v>88.31</v>
      </c>
      <c r="T287">
        <v>168.59</v>
      </c>
      <c r="U287">
        <v>211.16</v>
      </c>
      <c r="V287">
        <v>152.09</v>
      </c>
      <c r="W287">
        <v>172.89</v>
      </c>
      <c r="Z287">
        <v>1.002</v>
      </c>
      <c r="AA287">
        <v>5.3999999999999999E-2</v>
      </c>
      <c r="AB287">
        <v>10.7057</v>
      </c>
      <c r="AC287">
        <v>0.67</v>
      </c>
      <c r="AD287" s="87">
        <f t="shared" si="34"/>
        <v>0.77777777777777779</v>
      </c>
      <c r="AE287" s="203">
        <f t="shared" si="35"/>
        <v>0.72388888888888892</v>
      </c>
      <c r="AF287" s="49">
        <f t="shared" si="36"/>
        <v>25.29750228629204</v>
      </c>
      <c r="AG287" s="49">
        <f t="shared" si="37"/>
        <v>25.29750228629204</v>
      </c>
      <c r="AH287" s="50">
        <f t="shared" si="38"/>
        <v>0.3115181115181116</v>
      </c>
      <c r="AI287" s="105">
        <f t="shared" si="39"/>
        <v>1.3097442973393703</v>
      </c>
      <c r="AJ287" s="311">
        <f>INDEX($AR$3:AS291,MATCH(COUNTA(O287:W287),$AR$3:$AR$12,0),2)</f>
        <v>1.75</v>
      </c>
      <c r="AK287" s="108">
        <f t="shared" si="40"/>
        <v>136.77500000000001</v>
      </c>
      <c r="AL287" s="310">
        <f t="shared" ref="AL287:AL318" si="41">IF(AND(O287="",Q287="",S287="",U287="",W287=""),"n.d.", AK287/AB287)</f>
        <v>12.775904424745697</v>
      </c>
      <c r="AP287" s="319" t="s">
        <v>342</v>
      </c>
    </row>
    <row r="288" spans="1:42">
      <c r="A288" s="346" t="s">
        <v>345</v>
      </c>
      <c r="B288">
        <v>47.88</v>
      </c>
      <c r="C288">
        <v>50.75</v>
      </c>
      <c r="D288">
        <v>28.24</v>
      </c>
      <c r="E288">
        <v>25.42</v>
      </c>
      <c r="F288">
        <v>20.34</v>
      </c>
      <c r="H288">
        <v>168.58</v>
      </c>
      <c r="I288">
        <v>90.31</v>
      </c>
      <c r="J288">
        <v>54.96</v>
      </c>
      <c r="K288">
        <v>107.37</v>
      </c>
      <c r="N288" s="306">
        <v>47.88</v>
      </c>
      <c r="O288">
        <v>50.75</v>
      </c>
      <c r="P288">
        <v>28.24</v>
      </c>
      <c r="Q288">
        <v>25.42</v>
      </c>
      <c r="R288">
        <v>20.34</v>
      </c>
      <c r="T288">
        <v>168.58</v>
      </c>
      <c r="U288">
        <v>90.31</v>
      </c>
      <c r="V288">
        <v>54.96</v>
      </c>
      <c r="W288">
        <v>107.37</v>
      </c>
      <c r="AB288">
        <v>3.8606199999999991</v>
      </c>
      <c r="AC288">
        <v>0.9</v>
      </c>
      <c r="AD288" s="87">
        <f t="shared" si="34"/>
        <v>0.44444444444444442</v>
      </c>
      <c r="AE288" s="203">
        <f t="shared" si="35"/>
        <v>0.67222222222222228</v>
      </c>
      <c r="AF288" s="49">
        <f t="shared" si="36"/>
        <v>70.07468421888737</v>
      </c>
      <c r="AG288" s="49">
        <f t="shared" si="37"/>
        <v>70.07468421888737</v>
      </c>
      <c r="AH288" s="50">
        <f t="shared" si="38"/>
        <v>0.41291149487317863</v>
      </c>
      <c r="AI288" s="105">
        <f t="shared" si="39"/>
        <v>2.0980078186297049</v>
      </c>
      <c r="AJ288" s="311">
        <f>INDEX($AR$3:AS292,MATCH(COUNTA(O288:W288),$AR$3:$AR$12,0),2)</f>
        <v>2.2200000000000002</v>
      </c>
      <c r="AK288" s="108">
        <f t="shared" si="40"/>
        <v>65.983333333333334</v>
      </c>
      <c r="AL288" s="310">
        <f t="shared" si="41"/>
        <v>17.091382558587313</v>
      </c>
      <c r="AN288" s="115">
        <v>1.1000000000000001E-3</v>
      </c>
      <c r="AO288" s="91">
        <f>100*((AK288-AVERAGE(AL289:AL292)*AB288)/(AN288*1000))</f>
        <v>2624.3251955446144</v>
      </c>
      <c r="AP288" s="319" t="s">
        <v>342</v>
      </c>
    </row>
    <row r="289" spans="1:42">
      <c r="A289" s="346" t="s">
        <v>346</v>
      </c>
      <c r="B289">
        <v>43.84</v>
      </c>
      <c r="C289">
        <v>37.380000000000003</v>
      </c>
      <c r="D289">
        <v>7.42</v>
      </c>
      <c r="H289">
        <v>92.65</v>
      </c>
      <c r="I289">
        <v>56.37</v>
      </c>
      <c r="J289">
        <v>63.39</v>
      </c>
      <c r="N289" s="306">
        <v>43.84</v>
      </c>
      <c r="O289">
        <v>37.380000000000003</v>
      </c>
      <c r="P289">
        <v>7.42</v>
      </c>
      <c r="T289">
        <v>92.65</v>
      </c>
      <c r="U289">
        <v>56.37</v>
      </c>
      <c r="V289">
        <v>63.39</v>
      </c>
      <c r="AB289">
        <v>4.9999699999999994</v>
      </c>
      <c r="AC289">
        <v>0.63</v>
      </c>
      <c r="AD289" s="87">
        <f t="shared" si="34"/>
        <v>0.52777777777777779</v>
      </c>
      <c r="AE289" s="203">
        <f t="shared" si="35"/>
        <v>0.5788888888888889</v>
      </c>
      <c r="AF289" s="49">
        <f t="shared" si="36"/>
        <v>54.988441852414674</v>
      </c>
      <c r="AG289" s="49">
        <f t="shared" si="37"/>
        <v>54.988441852414674</v>
      </c>
      <c r="AH289" s="50">
        <f t="shared" si="38"/>
        <v>0.34330634753021239</v>
      </c>
      <c r="AI289" s="105">
        <f t="shared" si="39"/>
        <v>1.4567743232338377</v>
      </c>
      <c r="AJ289" s="311">
        <f>INDEX($AR$3:AS293,MATCH(COUNTA(O289:W289),$AR$3:$AR$12,0),2)</f>
        <v>1.75</v>
      </c>
      <c r="AK289" s="108">
        <f t="shared" si="40"/>
        <v>50.175000000000004</v>
      </c>
      <c r="AL289" s="310">
        <f t="shared" si="41"/>
        <v>10.035060210361264</v>
      </c>
      <c r="AP289" s="319" t="s">
        <v>342</v>
      </c>
    </row>
    <row r="290" spans="1:42">
      <c r="A290" s="346" t="s">
        <v>347</v>
      </c>
      <c r="C290">
        <v>29.63</v>
      </c>
      <c r="D290">
        <v>4.88</v>
      </c>
      <c r="F290">
        <v>12.08</v>
      </c>
      <c r="G290">
        <v>33.28</v>
      </c>
      <c r="H290">
        <v>127.62</v>
      </c>
      <c r="I290">
        <v>46.16</v>
      </c>
      <c r="J290">
        <v>19.21</v>
      </c>
      <c r="K290">
        <v>31.61</v>
      </c>
      <c r="O290">
        <v>29.63</v>
      </c>
      <c r="R290">
        <v>12.08</v>
      </c>
      <c r="S290">
        <v>33.28</v>
      </c>
      <c r="U290">
        <v>46.16</v>
      </c>
      <c r="V290">
        <v>19.21</v>
      </c>
      <c r="W290">
        <v>31.61</v>
      </c>
      <c r="AB290">
        <v>2.4472399999999999</v>
      </c>
      <c r="AC290">
        <v>0.65</v>
      </c>
      <c r="AD290" s="87">
        <f t="shared" si="34"/>
        <v>0.58333333333333326</v>
      </c>
      <c r="AE290" s="203">
        <f t="shared" si="35"/>
        <v>0.6166666666666667</v>
      </c>
      <c r="AF290" s="49">
        <f t="shared" si="36"/>
        <v>37.723950927686865</v>
      </c>
      <c r="AG290" s="49">
        <f t="shared" si="37"/>
        <v>94.523586905649694</v>
      </c>
      <c r="AH290" s="50">
        <f t="shared" si="38"/>
        <v>0.37793427230046939</v>
      </c>
      <c r="AI290" s="105">
        <f t="shared" si="39"/>
        <v>1.6183709464063885</v>
      </c>
      <c r="AJ290" s="311">
        <f>INDEX($AR$3:AS294,MATCH(COUNTA(O290:W290),$AR$3:$AR$12,0),2)</f>
        <v>1.94</v>
      </c>
      <c r="AK290" s="108">
        <f t="shared" si="40"/>
        <v>28.661666666666672</v>
      </c>
      <c r="AL290" s="310">
        <f t="shared" si="41"/>
        <v>11.711833194401315</v>
      </c>
      <c r="AP290" s="319" t="s">
        <v>342</v>
      </c>
    </row>
    <row r="291" spans="1:42">
      <c r="A291" s="346" t="s">
        <v>348</v>
      </c>
      <c r="B291">
        <v>25.4</v>
      </c>
      <c r="C291">
        <v>26.19</v>
      </c>
      <c r="D291">
        <v>7.93</v>
      </c>
      <c r="E291">
        <v>21.95</v>
      </c>
      <c r="F291">
        <v>18.329999999999998</v>
      </c>
      <c r="H291">
        <v>86.93</v>
      </c>
      <c r="I291">
        <v>60.27</v>
      </c>
      <c r="J291">
        <v>29.82</v>
      </c>
      <c r="N291" s="306">
        <v>25.4</v>
      </c>
      <c r="O291">
        <v>26.19</v>
      </c>
      <c r="P291">
        <v>7.93</v>
      </c>
      <c r="Q291">
        <v>21.95</v>
      </c>
      <c r="R291">
        <v>18.329999999999998</v>
      </c>
      <c r="T291">
        <v>86.93</v>
      </c>
      <c r="U291">
        <v>60.27</v>
      </c>
      <c r="V291">
        <v>29.82</v>
      </c>
      <c r="AB291">
        <v>5.4399699999999998</v>
      </c>
      <c r="AC291">
        <v>0.9</v>
      </c>
      <c r="AD291" s="87">
        <f t="shared" si="34"/>
        <v>0.38888888888888884</v>
      </c>
      <c r="AE291" s="203">
        <f t="shared" si="35"/>
        <v>0.64444444444444438</v>
      </c>
      <c r="AF291" s="49">
        <f t="shared" si="36"/>
        <v>71.487031823970028</v>
      </c>
      <c r="AG291" s="49">
        <f t="shared" si="37"/>
        <v>71.487031823970028</v>
      </c>
      <c r="AH291" s="50">
        <f t="shared" si="38"/>
        <v>0.33746835443037981</v>
      </c>
      <c r="AI291" s="105">
        <f t="shared" si="39"/>
        <v>1.9867837578565879</v>
      </c>
      <c r="AJ291" s="311">
        <f>INDEX($AR$3:AS295,MATCH(COUNTA(O291:W291),$AR$3:$AR$12,0),2)</f>
        <v>2.1</v>
      </c>
      <c r="AK291" s="108">
        <f t="shared" si="40"/>
        <v>34.602500000000006</v>
      </c>
      <c r="AL291" s="310">
        <f t="shared" si="41"/>
        <v>6.3607887543497501</v>
      </c>
      <c r="AP291" s="319" t="s">
        <v>342</v>
      </c>
    </row>
    <row r="292" spans="1:42">
      <c r="A292" s="346" t="s">
        <v>349</v>
      </c>
      <c r="B292">
        <v>23.66</v>
      </c>
      <c r="C292">
        <v>36.92</v>
      </c>
      <c r="D292">
        <v>48.91</v>
      </c>
      <c r="E292">
        <v>20.9</v>
      </c>
      <c r="F292">
        <v>21.49</v>
      </c>
      <c r="H292">
        <v>88.73</v>
      </c>
      <c r="I292">
        <v>55.69</v>
      </c>
      <c r="J292">
        <v>24.49</v>
      </c>
      <c r="N292" s="306">
        <v>23.66</v>
      </c>
      <c r="O292">
        <v>36.92</v>
      </c>
      <c r="P292">
        <v>48.91</v>
      </c>
      <c r="Q292">
        <v>20.9</v>
      </c>
      <c r="R292">
        <v>21.49</v>
      </c>
      <c r="T292">
        <v>88.73</v>
      </c>
      <c r="U292">
        <v>55.69</v>
      </c>
      <c r="V292">
        <v>24.49</v>
      </c>
      <c r="AB292">
        <v>3.875</v>
      </c>
      <c r="AC292">
        <v>0.85</v>
      </c>
      <c r="AD292" s="87">
        <f t="shared" si="34"/>
        <v>0.63888888888888884</v>
      </c>
      <c r="AE292" s="203">
        <f t="shared" si="35"/>
        <v>0.74444444444444446</v>
      </c>
      <c r="AF292" s="49">
        <f t="shared" si="36"/>
        <v>53.542760975595385</v>
      </c>
      <c r="AG292" s="49">
        <f t="shared" si="37"/>
        <v>53.542760975595385</v>
      </c>
      <c r="AH292" s="50">
        <f t="shared" si="38"/>
        <v>0.48710010319917441</v>
      </c>
      <c r="AI292" s="105">
        <f t="shared" si="39"/>
        <v>2.0364367975381392</v>
      </c>
      <c r="AJ292" s="311">
        <f>INDEX($AR$3:AS296,MATCH(COUNTA(O292:W292),$AR$3:$AR$12,0),2)</f>
        <v>2.1</v>
      </c>
      <c r="AK292" s="108">
        <f t="shared" si="40"/>
        <v>40.098750000000003</v>
      </c>
      <c r="AL292" s="310">
        <f t="shared" si="41"/>
        <v>10.348064516129034</v>
      </c>
      <c r="AP292" s="319" t="s">
        <v>342</v>
      </c>
    </row>
    <row r="293" spans="1:42">
      <c r="A293" s="230" t="s">
        <v>350</v>
      </c>
      <c r="B293">
        <v>101.08</v>
      </c>
      <c r="C293">
        <v>54.04</v>
      </c>
      <c r="D293">
        <v>115.89</v>
      </c>
      <c r="E293">
        <v>70.16</v>
      </c>
      <c r="F293">
        <v>88.62</v>
      </c>
      <c r="G293">
        <v>121.54</v>
      </c>
      <c r="H293">
        <v>61.52</v>
      </c>
      <c r="I293">
        <v>107.07</v>
      </c>
      <c r="J293">
        <v>54.52</v>
      </c>
      <c r="K293">
        <v>150.16</v>
      </c>
      <c r="N293" s="306">
        <v>101.08</v>
      </c>
      <c r="O293">
        <v>54.04</v>
      </c>
      <c r="P293">
        <v>115.89</v>
      </c>
      <c r="Q293">
        <v>70.16</v>
      </c>
      <c r="R293">
        <v>88.62</v>
      </c>
      <c r="S293">
        <v>121.54</v>
      </c>
      <c r="T293">
        <v>61.52</v>
      </c>
      <c r="U293">
        <v>107.07</v>
      </c>
      <c r="V293">
        <v>54.52</v>
      </c>
      <c r="W293">
        <v>150.16</v>
      </c>
      <c r="AB293">
        <v>4.3691700000000004</v>
      </c>
      <c r="AC293">
        <v>0.72</v>
      </c>
      <c r="AD293" s="87">
        <f t="shared" si="34"/>
        <v>0.75</v>
      </c>
      <c r="AE293" s="203">
        <f t="shared" si="35"/>
        <v>0.73499999999999999</v>
      </c>
      <c r="AF293" s="49">
        <f t="shared" si="36"/>
        <v>35.157194185336863</v>
      </c>
      <c r="AG293" s="49">
        <f t="shared" si="37"/>
        <v>35.157194185336863</v>
      </c>
      <c r="AH293" s="50">
        <f t="shared" si="38"/>
        <v>0.29775280898876394</v>
      </c>
      <c r="AI293" s="105">
        <f t="shared" si="39"/>
        <v>1.8233907894548216</v>
      </c>
      <c r="AJ293" s="311">
        <f>INDEX($AR$3:AS297,MATCH(COUNTA(O293:W293),$AR$3:$AR$12,0),2)</f>
        <v>2.3199999999999998</v>
      </c>
      <c r="AK293" s="108">
        <f t="shared" si="40"/>
        <v>92.45999999999998</v>
      </c>
      <c r="AL293" s="310">
        <f t="shared" si="41"/>
        <v>21.161914047748194</v>
      </c>
      <c r="AN293" s="313">
        <v>7.8799999999999995E-2</v>
      </c>
      <c r="AO293" s="203">
        <f>100*((AK293-AVERAGE(AL252:AL254)*AB293)/(AN293*1000))</f>
        <v>117.33502538071063</v>
      </c>
      <c r="AP293" s="319" t="s">
        <v>269</v>
      </c>
    </row>
    <row r="294" spans="1:42">
      <c r="A294" s="230" t="s">
        <v>351</v>
      </c>
      <c r="D294">
        <v>5.07</v>
      </c>
      <c r="E294">
        <v>11.95</v>
      </c>
      <c r="F294">
        <v>9.65</v>
      </c>
      <c r="G294">
        <v>13.89</v>
      </c>
      <c r="H294">
        <v>16.32</v>
      </c>
      <c r="I294">
        <v>12.02</v>
      </c>
      <c r="P294">
        <v>5.07</v>
      </c>
      <c r="Q294">
        <v>11.95</v>
      </c>
      <c r="R294">
        <v>9.65</v>
      </c>
      <c r="S294">
        <v>13.89</v>
      </c>
      <c r="T294">
        <v>16.32</v>
      </c>
      <c r="U294">
        <v>12.02</v>
      </c>
      <c r="Z294">
        <v>0.70699999999999996</v>
      </c>
      <c r="AA294">
        <v>3.9E-2</v>
      </c>
      <c r="AB294">
        <v>3.71591</v>
      </c>
      <c r="AC294">
        <v>0.62</v>
      </c>
      <c r="AD294" s="87">
        <f t="shared" si="34"/>
        <v>0.83333333333333326</v>
      </c>
      <c r="AE294" s="203">
        <f t="shared" si="35"/>
        <v>0.72666666666666657</v>
      </c>
      <c r="AF294" s="49">
        <f t="shared" si="36"/>
        <v>30.620268163061127</v>
      </c>
      <c r="AG294" s="49">
        <f t="shared" si="37"/>
        <v>30.620268163061127</v>
      </c>
      <c r="AH294" s="50">
        <f t="shared" si="38"/>
        <v>0.21599999999999997</v>
      </c>
      <c r="AI294" s="105">
        <f t="shared" si="39"/>
        <v>1.3755272435275308</v>
      </c>
      <c r="AJ294" s="311">
        <f>INDEX($AR$3:AS298,MATCH(COUNTA(O294:W294),$AR$3:$AR$12,0),2)</f>
        <v>1.94</v>
      </c>
      <c r="AK294" s="108">
        <f t="shared" si="40"/>
        <v>11.483333333333334</v>
      </c>
      <c r="AL294" s="310">
        <f t="shared" si="41"/>
        <v>3.0903152480370446</v>
      </c>
      <c r="AP294" s="319" t="s">
        <v>323</v>
      </c>
    </row>
    <row r="295" spans="1:42">
      <c r="A295" s="230" t="s">
        <v>352</v>
      </c>
      <c r="D295">
        <v>16.48</v>
      </c>
      <c r="E295">
        <v>5.6</v>
      </c>
      <c r="F295">
        <v>10.69</v>
      </c>
      <c r="G295">
        <v>14.71</v>
      </c>
      <c r="H295">
        <v>18.68</v>
      </c>
      <c r="I295">
        <v>19.829999999999998</v>
      </c>
      <c r="P295">
        <v>16.48</v>
      </c>
      <c r="Q295">
        <v>5.6</v>
      </c>
      <c r="R295">
        <v>10.69</v>
      </c>
      <c r="S295">
        <v>14.71</v>
      </c>
      <c r="T295">
        <v>18.68</v>
      </c>
      <c r="U295">
        <v>19.829999999999998</v>
      </c>
      <c r="Z295">
        <v>0.70699999999999996</v>
      </c>
      <c r="AA295">
        <v>3.9E-2</v>
      </c>
      <c r="AB295">
        <v>3.9680499999999999</v>
      </c>
      <c r="AC295">
        <v>0.68</v>
      </c>
      <c r="AD295" s="87">
        <f t="shared" si="34"/>
        <v>0.83333333333333326</v>
      </c>
      <c r="AE295" s="203">
        <f t="shared" si="35"/>
        <v>0.7566666666666666</v>
      </c>
      <c r="AF295" s="49">
        <f t="shared" si="36"/>
        <v>34.111836685395311</v>
      </c>
      <c r="AG295" s="49">
        <f t="shared" si="37"/>
        <v>34.111836685395311</v>
      </c>
      <c r="AH295" s="50">
        <f t="shared" si="38"/>
        <v>8.0815179198875528E-2</v>
      </c>
      <c r="AI295" s="105">
        <f t="shared" si="39"/>
        <v>1.1246807525503191</v>
      </c>
      <c r="AJ295" s="311">
        <f>INDEX($AR$3:AS299,MATCH(COUNTA(O295:W295),$AR$3:$AR$12,0),2)</f>
        <v>1.94</v>
      </c>
      <c r="AK295" s="108">
        <f t="shared" si="40"/>
        <v>14.331666666666665</v>
      </c>
      <c r="AL295" s="310">
        <f t="shared" si="41"/>
        <v>3.61176564475414</v>
      </c>
      <c r="AP295" s="319" t="s">
        <v>323</v>
      </c>
    </row>
    <row r="296" spans="1:42">
      <c r="A296" s="230" t="s">
        <v>353</v>
      </c>
      <c r="Z296">
        <v>0.70699999999999996</v>
      </c>
      <c r="AA296">
        <v>2.492</v>
      </c>
      <c r="AB296">
        <v>1.542055</v>
      </c>
      <c r="AD296" s="87" t="e">
        <f t="shared" si="34"/>
        <v>#DIV/0!</v>
      </c>
      <c r="AE296" s="203" t="e">
        <f t="shared" si="35"/>
        <v>#DIV/0!</v>
      </c>
      <c r="AF296" s="49" t="e">
        <f t="shared" si="36"/>
        <v>#DIV/0!</v>
      </c>
      <c r="AG296" s="49" t="e">
        <f t="shared" si="37"/>
        <v>#DIV/0!</v>
      </c>
      <c r="AH296" s="50" t="e">
        <f t="shared" si="38"/>
        <v>#NUM!</v>
      </c>
      <c r="AI296" s="105" t="e">
        <f t="shared" si="39"/>
        <v>#DIV/0!</v>
      </c>
      <c r="AJ296" s="311" t="e">
        <f>INDEX($AR$3:AS300,MATCH(COUNTA(O296:W296),$AR$3:$AR$12,0),2)</f>
        <v>#N/A</v>
      </c>
      <c r="AK296" s="108" t="e">
        <f t="shared" si="40"/>
        <v>#DIV/0!</v>
      </c>
      <c r="AL296" s="310" t="str">
        <f t="shared" si="41"/>
        <v>n.d.</v>
      </c>
      <c r="AP296" s="319" t="s">
        <v>354</v>
      </c>
    </row>
    <row r="297" spans="1:42">
      <c r="A297" s="230" t="s">
        <v>355</v>
      </c>
      <c r="Z297">
        <v>0.70699999999999996</v>
      </c>
      <c r="AA297">
        <v>2.492</v>
      </c>
      <c r="AB297">
        <v>0.66962800000000011</v>
      </c>
      <c r="AD297" s="87" t="e">
        <f t="shared" si="34"/>
        <v>#DIV/0!</v>
      </c>
      <c r="AE297" s="203" t="e">
        <f t="shared" si="35"/>
        <v>#DIV/0!</v>
      </c>
      <c r="AF297" s="49" t="e">
        <f t="shared" si="36"/>
        <v>#DIV/0!</v>
      </c>
      <c r="AG297" s="49" t="e">
        <f t="shared" si="37"/>
        <v>#DIV/0!</v>
      </c>
      <c r="AH297" s="50" t="e">
        <f t="shared" si="38"/>
        <v>#NUM!</v>
      </c>
      <c r="AI297" s="105" t="e">
        <f t="shared" si="39"/>
        <v>#DIV/0!</v>
      </c>
      <c r="AJ297" s="311" t="e">
        <f>INDEX($AR$3:AS301,MATCH(COUNTA(O297:W297),$AR$3:$AR$12,0),2)</f>
        <v>#N/A</v>
      </c>
      <c r="AK297" s="108" t="e">
        <f t="shared" si="40"/>
        <v>#DIV/0!</v>
      </c>
      <c r="AL297" s="310" t="str">
        <f t="shared" si="41"/>
        <v>n.d.</v>
      </c>
      <c r="AP297" s="319" t="s">
        <v>354</v>
      </c>
    </row>
    <row r="298" spans="1:42">
      <c r="A298" s="230" t="s">
        <v>356</v>
      </c>
      <c r="B298">
        <v>84.95</v>
      </c>
      <c r="C298">
        <v>81.61</v>
      </c>
      <c r="H298">
        <v>275.63</v>
      </c>
      <c r="I298">
        <v>147.31</v>
      </c>
      <c r="J298">
        <v>70.47</v>
      </c>
      <c r="N298" s="306">
        <v>84.95</v>
      </c>
      <c r="O298">
        <v>81.61</v>
      </c>
      <c r="V298">
        <v>70.47</v>
      </c>
      <c r="Z298">
        <v>0.749</v>
      </c>
      <c r="AA298">
        <v>2.9000000000000001E-2</v>
      </c>
      <c r="AB298">
        <v>6.9847100000000006</v>
      </c>
      <c r="AC298">
        <v>0.71</v>
      </c>
      <c r="AD298" s="87">
        <f t="shared" si="34"/>
        <v>0.61111111111111116</v>
      </c>
      <c r="AE298" s="203">
        <f t="shared" si="35"/>
        <v>0.66055555555555556</v>
      </c>
      <c r="AF298" s="49">
        <f t="shared" si="36"/>
        <v>7.3250920568122044</v>
      </c>
      <c r="AG298" s="49">
        <f t="shared" si="37"/>
        <v>56.765487034183558</v>
      </c>
      <c r="AH298" s="50">
        <f t="shared" si="38"/>
        <v>1</v>
      </c>
      <c r="AI298" s="105">
        <f t="shared" si="39"/>
        <v>1.0000000000000013</v>
      </c>
      <c r="AJ298" s="311" t="e">
        <f>INDEX($AR$3:AS302,MATCH(COUNTA(O298:W298),$AR$3:$AR$12,0),2)</f>
        <v>#N/A</v>
      </c>
      <c r="AK298" s="108">
        <f t="shared" si="40"/>
        <v>79.010000000000005</v>
      </c>
      <c r="AL298" s="310">
        <f t="shared" si="41"/>
        <v>11.311851172060114</v>
      </c>
      <c r="AP298" s="319" t="s">
        <v>244</v>
      </c>
    </row>
    <row r="299" spans="1:42">
      <c r="A299" s="230" t="s">
        <v>357</v>
      </c>
      <c r="B299">
        <v>36.5</v>
      </c>
      <c r="C299">
        <v>35.799999999999997</v>
      </c>
      <c r="D299">
        <v>25.95</v>
      </c>
      <c r="E299">
        <v>23.16</v>
      </c>
      <c r="H299">
        <v>102.41</v>
      </c>
      <c r="I299">
        <v>59.73</v>
      </c>
      <c r="J299">
        <v>30.22</v>
      </c>
      <c r="N299" s="306">
        <v>36.5</v>
      </c>
      <c r="O299">
        <v>35.799999999999997</v>
      </c>
      <c r="P299">
        <v>25.95</v>
      </c>
      <c r="Q299">
        <v>23.16</v>
      </c>
      <c r="U299">
        <v>59.73</v>
      </c>
      <c r="V299">
        <v>30.22</v>
      </c>
      <c r="Z299">
        <v>0.59899999999999998</v>
      </c>
      <c r="AA299">
        <v>2.9000000000000001E-2</v>
      </c>
      <c r="AB299">
        <v>7.3604950000000002</v>
      </c>
      <c r="AC299">
        <v>0.77</v>
      </c>
      <c r="AD299" s="87">
        <f t="shared" si="34"/>
        <v>0.52777777777777779</v>
      </c>
      <c r="AE299" s="203">
        <f t="shared" si="35"/>
        <v>0.64888888888888885</v>
      </c>
      <c r="AF299" s="49">
        <f t="shared" si="36"/>
        <v>37.438789450264622</v>
      </c>
      <c r="AG299" s="49">
        <f t="shared" si="37"/>
        <v>60.22285687571356</v>
      </c>
      <c r="AH299" s="50">
        <f t="shared" si="38"/>
        <v>0.65436149849603509</v>
      </c>
      <c r="AI299" s="105">
        <f t="shared" si="39"/>
        <v>1.8909205911556537</v>
      </c>
      <c r="AJ299" s="311">
        <f>INDEX($AR$3:AS303,MATCH(COUNTA(O299:W299),$AR$3:$AR$12,0),2)</f>
        <v>1.75</v>
      </c>
      <c r="AK299" s="108">
        <f t="shared" si="40"/>
        <v>35.226666666666667</v>
      </c>
      <c r="AL299" s="310">
        <f t="shared" si="41"/>
        <v>4.7859100055997139</v>
      </c>
      <c r="AP299" s="319" t="s">
        <v>244</v>
      </c>
    </row>
    <row r="300" spans="1:42">
      <c r="A300" s="230" t="s">
        <v>358</v>
      </c>
      <c r="B300">
        <v>98.29</v>
      </c>
      <c r="C300">
        <v>52.92</v>
      </c>
      <c r="H300">
        <v>76.510000000000005</v>
      </c>
      <c r="I300">
        <v>75.2</v>
      </c>
      <c r="J300">
        <v>58.19</v>
      </c>
      <c r="N300" s="63">
        <v>98.29</v>
      </c>
      <c r="O300" s="51">
        <v>52.92</v>
      </c>
      <c r="P300" s="51"/>
      <c r="Q300" s="51"/>
      <c r="R300" s="51"/>
      <c r="S300" s="51"/>
      <c r="T300" s="51">
        <v>76.510000000000005</v>
      </c>
      <c r="U300" s="51">
        <v>75.2</v>
      </c>
      <c r="V300" s="51">
        <v>58.19</v>
      </c>
      <c r="W300" s="51"/>
      <c r="X300" s="51"/>
      <c r="Y300" s="78"/>
      <c r="Z300">
        <v>0.88700000000000001</v>
      </c>
      <c r="AA300">
        <v>2.9000000000000001E-2</v>
      </c>
      <c r="AB300">
        <v>7.2579799999999999</v>
      </c>
      <c r="AC300">
        <v>0.63</v>
      </c>
      <c r="AD300" s="87">
        <f t="shared" si="34"/>
        <v>0.72222222222222221</v>
      </c>
      <c r="AE300" s="203">
        <f t="shared" si="35"/>
        <v>0.67611111111111111</v>
      </c>
      <c r="AF300" s="49">
        <f t="shared" si="36"/>
        <v>15.721766515860336</v>
      </c>
      <c r="AG300" s="49">
        <f t="shared" si="37"/>
        <v>15.721766515860336</v>
      </c>
      <c r="AH300" s="50">
        <f t="shared" si="38"/>
        <v>5.5532005086901315E-2</v>
      </c>
      <c r="AI300" s="105">
        <f t="shared" si="39"/>
        <v>1.0459839228300734</v>
      </c>
      <c r="AJ300" s="311">
        <f>INDEX($AR$3:AS304,MATCH(COUNTA(O300:W300),$AR$3:$AR$12,0),2)</f>
        <v>1.49</v>
      </c>
      <c r="AK300" s="108">
        <f t="shared" si="40"/>
        <v>72.222000000000008</v>
      </c>
      <c r="AL300" s="310">
        <f t="shared" si="41"/>
        <v>9.9507025370695441</v>
      </c>
      <c r="AP300" s="319" t="s">
        <v>244</v>
      </c>
    </row>
    <row r="301" spans="1:42">
      <c r="A301" s="230" t="s">
        <v>359</v>
      </c>
      <c r="C301">
        <v>23.11</v>
      </c>
      <c r="D301">
        <v>10.53</v>
      </c>
      <c r="E301">
        <v>10.91</v>
      </c>
      <c r="F301">
        <v>10.93</v>
      </c>
      <c r="G301">
        <v>7.69</v>
      </c>
      <c r="H301">
        <v>26.87</v>
      </c>
      <c r="I301">
        <v>19.059999999999999</v>
      </c>
      <c r="O301">
        <v>23.11</v>
      </c>
      <c r="P301">
        <v>10.53</v>
      </c>
      <c r="Q301">
        <v>10.91</v>
      </c>
      <c r="R301">
        <v>10.93</v>
      </c>
      <c r="S301">
        <v>7.69</v>
      </c>
      <c r="T301">
        <v>26.87</v>
      </c>
      <c r="U301">
        <v>19.059999999999999</v>
      </c>
      <c r="AB301">
        <v>7.8634899999999996</v>
      </c>
      <c r="AC301">
        <v>0.7</v>
      </c>
      <c r="AD301" s="87">
        <f t="shared" si="34"/>
        <v>0.63888888888888884</v>
      </c>
      <c r="AE301" s="203">
        <f t="shared" si="35"/>
        <v>0.6694444444444444</v>
      </c>
      <c r="AF301" s="49">
        <f t="shared" si="36"/>
        <v>43.883794732323246</v>
      </c>
      <c r="AG301" s="49">
        <f t="shared" si="37"/>
        <v>43.883794732323246</v>
      </c>
      <c r="AH301" s="50">
        <f t="shared" si="38"/>
        <v>0.19603753910323263</v>
      </c>
      <c r="AI301" s="105">
        <f t="shared" si="39"/>
        <v>1.6498451646235208</v>
      </c>
      <c r="AJ301" s="311">
        <f>INDEX($AR$3:AS305,MATCH(COUNTA(O301:W301),$AR$3:$AR$12,0),2)</f>
        <v>2.1</v>
      </c>
      <c r="AK301" s="108">
        <f t="shared" si="40"/>
        <v>15.585714285714285</v>
      </c>
      <c r="AL301" s="310">
        <f t="shared" si="41"/>
        <v>1.9820352395328646</v>
      </c>
      <c r="AP301" s="319" t="s">
        <v>269</v>
      </c>
    </row>
    <row r="302" spans="1:42">
      <c r="A302" s="232" t="s">
        <v>360</v>
      </c>
      <c r="B302">
        <v>47.97</v>
      </c>
      <c r="C302">
        <v>90.57</v>
      </c>
      <c r="D302">
        <v>122.78</v>
      </c>
      <c r="F302">
        <v>192.45</v>
      </c>
      <c r="G302">
        <v>258.5</v>
      </c>
      <c r="H302">
        <v>360.18</v>
      </c>
      <c r="I302">
        <v>402.83</v>
      </c>
      <c r="J302">
        <v>440.46</v>
      </c>
      <c r="K302">
        <v>1799.82</v>
      </c>
      <c r="N302" s="306">
        <v>47.97</v>
      </c>
      <c r="O302">
        <v>90.57</v>
      </c>
      <c r="P302">
        <v>122.78</v>
      </c>
      <c r="R302">
        <v>192.45</v>
      </c>
      <c r="S302">
        <v>258.5</v>
      </c>
      <c r="T302">
        <v>360.18</v>
      </c>
      <c r="U302">
        <v>402.83</v>
      </c>
      <c r="V302">
        <v>440.46</v>
      </c>
      <c r="Z302">
        <v>0.54</v>
      </c>
      <c r="AA302">
        <v>5.3999999999999999E-2</v>
      </c>
      <c r="AB302">
        <v>12.1568</v>
      </c>
      <c r="AC302">
        <v>0.73</v>
      </c>
      <c r="AD302" s="87">
        <f t="shared" si="34"/>
        <v>0.63888888888888884</v>
      </c>
      <c r="AE302" s="203">
        <f t="shared" si="35"/>
        <v>0.68444444444444441</v>
      </c>
      <c r="AF302" s="49">
        <f t="shared" si="36"/>
        <v>47.990330960104984</v>
      </c>
      <c r="AG302" s="49">
        <f t="shared" si="37"/>
        <v>113.63274583604681</v>
      </c>
      <c r="AH302" s="50">
        <f t="shared" si="38"/>
        <v>0.10754808654148446</v>
      </c>
      <c r="AI302" s="105">
        <f t="shared" si="39"/>
        <v>1.3560008365025877</v>
      </c>
      <c r="AJ302" s="311">
        <f>INDEX($AR$3:AS306,MATCH(COUNTA(O302:W302),$AR$3:$AR$12,0),2)</f>
        <v>2.1</v>
      </c>
      <c r="AK302" s="108">
        <f t="shared" si="40"/>
        <v>239.4675</v>
      </c>
      <c r="AL302" s="310">
        <f t="shared" si="41"/>
        <v>19.698234732824428</v>
      </c>
      <c r="AP302" s="319" t="s">
        <v>342</v>
      </c>
    </row>
    <row r="303" spans="1:42">
      <c r="A303" s="232" t="s">
        <v>361</v>
      </c>
      <c r="B303">
        <v>46.49</v>
      </c>
      <c r="C303">
        <v>57.58</v>
      </c>
      <c r="D303">
        <v>54.05</v>
      </c>
      <c r="F303">
        <v>72.97</v>
      </c>
      <c r="G303">
        <v>105.79</v>
      </c>
      <c r="H303">
        <v>125.89</v>
      </c>
      <c r="I303">
        <v>153.47</v>
      </c>
      <c r="J303">
        <v>90.61</v>
      </c>
      <c r="K303">
        <v>292.01</v>
      </c>
      <c r="N303" s="306">
        <v>46.49</v>
      </c>
      <c r="O303">
        <v>57.58</v>
      </c>
      <c r="P303">
        <v>54.05</v>
      </c>
      <c r="R303">
        <v>72.97</v>
      </c>
      <c r="S303">
        <v>105.79</v>
      </c>
      <c r="T303">
        <v>125.89</v>
      </c>
      <c r="U303">
        <v>153.47</v>
      </c>
      <c r="V303">
        <v>90.61</v>
      </c>
      <c r="Z303">
        <v>1.002</v>
      </c>
      <c r="AA303">
        <v>5.3999999999999999E-2</v>
      </c>
      <c r="AB303">
        <v>10.7057</v>
      </c>
      <c r="AC303">
        <v>0.77</v>
      </c>
      <c r="AD303" s="87">
        <f t="shared" si="34"/>
        <v>0.63888888888888884</v>
      </c>
      <c r="AE303" s="203">
        <f t="shared" si="35"/>
        <v>0.70444444444444443</v>
      </c>
      <c r="AF303" s="49">
        <f t="shared" si="36"/>
        <v>35.987535253913556</v>
      </c>
      <c r="AG303" s="49">
        <f t="shared" si="37"/>
        <v>61.051333449047895</v>
      </c>
      <c r="AH303" s="50">
        <f t="shared" si="38"/>
        <v>0.27740897203781933</v>
      </c>
      <c r="AI303" s="105">
        <f t="shared" si="39"/>
        <v>1.7417829752114731</v>
      </c>
      <c r="AJ303" s="311">
        <f>INDEX($AR$3:AS307,MATCH(COUNTA(O303:W303),$AR$3:$AR$12,0),2)</f>
        <v>2.1</v>
      </c>
      <c r="AK303" s="108">
        <f t="shared" si="40"/>
        <v>88.356250000000003</v>
      </c>
      <c r="AL303" s="310">
        <f t="shared" si="41"/>
        <v>8.2531968951119499</v>
      </c>
      <c r="AP303" s="319" t="s">
        <v>342</v>
      </c>
    </row>
    <row r="304" spans="1:42">
      <c r="A304" s="232" t="s">
        <v>362</v>
      </c>
      <c r="B304">
        <v>29.23</v>
      </c>
      <c r="C304">
        <v>43.51</v>
      </c>
      <c r="D304">
        <v>19.86</v>
      </c>
      <c r="E304">
        <v>14.99</v>
      </c>
      <c r="F304">
        <v>20.34</v>
      </c>
      <c r="G304">
        <v>32.270000000000003</v>
      </c>
      <c r="H304">
        <v>115.19</v>
      </c>
      <c r="I304">
        <v>90.31</v>
      </c>
      <c r="J304">
        <v>33.94</v>
      </c>
      <c r="K304">
        <v>46.84</v>
      </c>
      <c r="N304" s="306">
        <v>29.23</v>
      </c>
      <c r="O304">
        <v>43.51</v>
      </c>
      <c r="P304">
        <v>19.86</v>
      </c>
      <c r="Q304">
        <v>14.99</v>
      </c>
      <c r="R304">
        <v>20.34</v>
      </c>
      <c r="S304">
        <v>32.270000000000003</v>
      </c>
      <c r="T304">
        <v>115.19</v>
      </c>
      <c r="U304">
        <v>90.31</v>
      </c>
      <c r="V304">
        <v>33.94</v>
      </c>
      <c r="W304">
        <v>46.84</v>
      </c>
      <c r="AB304">
        <v>3.8606199999999991</v>
      </c>
      <c r="AC304">
        <v>0.85</v>
      </c>
      <c r="AD304" s="87">
        <f t="shared" si="34"/>
        <v>0.75</v>
      </c>
      <c r="AE304" s="203">
        <f t="shared" si="35"/>
        <v>0.8</v>
      </c>
      <c r="AF304" s="49">
        <f t="shared" si="36"/>
        <v>69.685544814800096</v>
      </c>
      <c r="AG304" s="49">
        <f t="shared" si="37"/>
        <v>69.685544814800096</v>
      </c>
      <c r="AH304" s="50">
        <f t="shared" si="38"/>
        <v>0.24830339321357281</v>
      </c>
      <c r="AI304" s="105">
        <f t="shared" si="39"/>
        <v>2.1304641130547877</v>
      </c>
      <c r="AJ304" s="311">
        <f>INDEX($AR$3:AS308,MATCH(COUNTA(O304:W304),$AR$3:$AR$12,0),2)</f>
        <v>2.3199999999999998</v>
      </c>
      <c r="AK304" s="108">
        <f t="shared" si="40"/>
        <v>44.648000000000003</v>
      </c>
      <c r="AL304" s="310">
        <f t="shared" si="41"/>
        <v>11.564981790489615</v>
      </c>
      <c r="AN304" s="115">
        <v>1.1000000000000001E-3</v>
      </c>
      <c r="AO304" s="91">
        <f>100*((AK304-AVERAGE(AL305:AL308)*AB304)/(AN304*1000))</f>
        <v>323.84779561807744</v>
      </c>
      <c r="AP304" s="319" t="s">
        <v>342</v>
      </c>
    </row>
    <row r="305" spans="1:42">
      <c r="A305" s="232" t="s">
        <v>363</v>
      </c>
      <c r="B305">
        <v>44.33</v>
      </c>
      <c r="C305">
        <v>49.72</v>
      </c>
      <c r="D305">
        <v>23.37</v>
      </c>
      <c r="E305">
        <v>19.07</v>
      </c>
      <c r="H305">
        <v>102.04</v>
      </c>
      <c r="I305">
        <v>61.73</v>
      </c>
      <c r="N305" s="306">
        <v>44.33</v>
      </c>
      <c r="O305">
        <v>49.72</v>
      </c>
      <c r="P305">
        <v>23.37</v>
      </c>
      <c r="Q305">
        <v>19.07</v>
      </c>
      <c r="T305">
        <v>102.04</v>
      </c>
      <c r="U305">
        <v>61.73</v>
      </c>
      <c r="AB305">
        <v>4.9999699999999994</v>
      </c>
      <c r="AC305">
        <v>0.75</v>
      </c>
      <c r="AD305" s="87">
        <f t="shared" si="34"/>
        <v>0.52777777777777779</v>
      </c>
      <c r="AE305" s="203">
        <f t="shared" si="35"/>
        <v>0.63888888888888884</v>
      </c>
      <c r="AF305" s="49">
        <f t="shared" si="36"/>
        <v>58.639865939422918</v>
      </c>
      <c r="AG305" s="49">
        <f t="shared" si="37"/>
        <v>58.639865939422918</v>
      </c>
      <c r="AH305" s="50">
        <f t="shared" si="38"/>
        <v>0.48583825479088838</v>
      </c>
      <c r="AI305" s="105">
        <f t="shared" si="39"/>
        <v>1.694263510885393</v>
      </c>
      <c r="AJ305" s="311">
        <f>INDEX($AR$3:AS308,MATCH(COUNTA(O305:W305),$AR$3:$AR$12,0),2)</f>
        <v>1.75</v>
      </c>
      <c r="AK305" s="108">
        <f t="shared" si="40"/>
        <v>50.043333333333344</v>
      </c>
      <c r="AL305" s="310">
        <f t="shared" si="41"/>
        <v>10.008726719026985</v>
      </c>
      <c r="AP305" s="319" t="s">
        <v>342</v>
      </c>
    </row>
    <row r="306" spans="1:42">
      <c r="A306" s="232" t="s">
        <v>364</v>
      </c>
      <c r="B306">
        <v>10.92</v>
      </c>
      <c r="C306">
        <v>28.99</v>
      </c>
      <c r="D306">
        <v>22.84</v>
      </c>
      <c r="E306">
        <v>13.71</v>
      </c>
      <c r="G306">
        <v>37.229999999999997</v>
      </c>
      <c r="H306">
        <v>127.3</v>
      </c>
      <c r="I306">
        <v>49.43</v>
      </c>
      <c r="N306" s="306">
        <v>10.92</v>
      </c>
      <c r="O306">
        <v>28.99</v>
      </c>
      <c r="P306">
        <v>22.84</v>
      </c>
      <c r="Q306">
        <v>13.71</v>
      </c>
      <c r="S306">
        <v>37.229999999999997</v>
      </c>
      <c r="T306">
        <v>127.3</v>
      </c>
      <c r="U306">
        <v>49.43</v>
      </c>
      <c r="AB306">
        <v>2.4472399999999999</v>
      </c>
      <c r="AC306">
        <v>0.55000000000000004</v>
      </c>
      <c r="AD306" s="87">
        <f t="shared" si="34"/>
        <v>0.33333333333333331</v>
      </c>
      <c r="AE306" s="203">
        <f t="shared" si="35"/>
        <v>0.44166666666666665</v>
      </c>
      <c r="AF306" s="49">
        <f t="shared" si="36"/>
        <v>81.105403176697209</v>
      </c>
      <c r="AG306" s="49">
        <f t="shared" si="37"/>
        <v>81.105403176697209</v>
      </c>
      <c r="AH306" s="50">
        <f t="shared" si="38"/>
        <v>0.68553569856501451</v>
      </c>
      <c r="AI306" s="105">
        <f t="shared" si="39"/>
        <v>2.1364014757888414</v>
      </c>
      <c r="AJ306" s="311">
        <f>INDEX($AR$3:AS308,MATCH(COUNTA(O306:W306),$AR$3:$AR$12,0),2)</f>
        <v>1.94</v>
      </c>
      <c r="AK306" s="108">
        <f t="shared" si="40"/>
        <v>41.488571428571433</v>
      </c>
      <c r="AL306" s="310">
        <f t="shared" si="41"/>
        <v>16.953209096194666</v>
      </c>
      <c r="AP306" s="319" t="s">
        <v>342</v>
      </c>
    </row>
    <row r="307" spans="1:42">
      <c r="A307" s="232" t="s">
        <v>365</v>
      </c>
      <c r="B307">
        <v>16.21</v>
      </c>
      <c r="C307">
        <v>20.83</v>
      </c>
      <c r="D307">
        <v>11.7</v>
      </c>
      <c r="E307">
        <v>9.14</v>
      </c>
      <c r="F307">
        <v>17.21</v>
      </c>
      <c r="G307">
        <v>22.55</v>
      </c>
      <c r="H307">
        <v>70.959999999999994</v>
      </c>
      <c r="I307">
        <v>60.27</v>
      </c>
      <c r="N307" s="306">
        <v>16.21</v>
      </c>
      <c r="O307">
        <v>20.83</v>
      </c>
      <c r="P307">
        <v>11.7</v>
      </c>
      <c r="Q307">
        <v>9.14</v>
      </c>
      <c r="R307">
        <v>17.21</v>
      </c>
      <c r="S307">
        <v>22.55</v>
      </c>
      <c r="T307">
        <v>70.959999999999994</v>
      </c>
      <c r="U307">
        <v>60.27</v>
      </c>
      <c r="AB307">
        <v>5.4399699999999998</v>
      </c>
      <c r="AC307">
        <v>0.83</v>
      </c>
      <c r="AD307" s="87">
        <f t="shared" si="34"/>
        <v>0.38888888888888884</v>
      </c>
      <c r="AE307" s="203">
        <f t="shared" si="35"/>
        <v>0.60944444444444446</v>
      </c>
      <c r="AF307" s="49">
        <f t="shared" si="36"/>
        <v>75.33046072935916</v>
      </c>
      <c r="AG307" s="49">
        <f t="shared" si="37"/>
        <v>75.33046072935916</v>
      </c>
      <c r="AH307" s="50">
        <f t="shared" si="38"/>
        <v>0.17292138466515677</v>
      </c>
      <c r="AI307" s="105">
        <f t="shared" si="39"/>
        <v>1.7731833698795598</v>
      </c>
      <c r="AJ307" s="311">
        <f>INDEX($AR$3:AS308,MATCH(COUNTA(O307:W307),$AR$3:$AR$12,0),2)</f>
        <v>2.1</v>
      </c>
      <c r="AK307" s="108">
        <f t="shared" si="40"/>
        <v>28.608750000000001</v>
      </c>
      <c r="AL307" s="310">
        <f t="shared" si="41"/>
        <v>5.2589903988441113</v>
      </c>
      <c r="AP307" s="319" t="s">
        <v>342</v>
      </c>
    </row>
    <row r="308" spans="1:42">
      <c r="A308" s="288" t="s">
        <v>366</v>
      </c>
      <c r="B308">
        <v>23.66</v>
      </c>
      <c r="C308">
        <v>36.92</v>
      </c>
      <c r="D308">
        <v>48.91</v>
      </c>
      <c r="E308">
        <v>20.9</v>
      </c>
      <c r="F308">
        <v>21.49</v>
      </c>
      <c r="H308">
        <v>88.73</v>
      </c>
      <c r="I308">
        <v>55.69</v>
      </c>
      <c r="J308">
        <v>24.49</v>
      </c>
      <c r="N308" s="306">
        <v>23.66</v>
      </c>
      <c r="O308">
        <v>36.92</v>
      </c>
      <c r="P308">
        <v>48.91</v>
      </c>
      <c r="Q308">
        <v>20.9</v>
      </c>
      <c r="R308">
        <v>21.49</v>
      </c>
      <c r="T308">
        <v>88.73</v>
      </c>
      <c r="U308">
        <v>55.69</v>
      </c>
      <c r="V308">
        <v>24.49</v>
      </c>
      <c r="AB308">
        <v>3.875</v>
      </c>
      <c r="AC308">
        <v>0.85</v>
      </c>
      <c r="AD308" s="87">
        <f t="shared" si="34"/>
        <v>0.63888888888888884</v>
      </c>
      <c r="AE308" s="203">
        <f t="shared" si="35"/>
        <v>0.74444444444444446</v>
      </c>
      <c r="AF308" s="49">
        <f t="shared" si="36"/>
        <v>53.542760975595385</v>
      </c>
      <c r="AG308" s="49">
        <f t="shared" si="37"/>
        <v>53.542760975595385</v>
      </c>
      <c r="AH308" s="50">
        <f t="shared" si="38"/>
        <v>0.48710010319917441</v>
      </c>
      <c r="AI308" s="105">
        <f t="shared" si="39"/>
        <v>2.0364367975381392</v>
      </c>
      <c r="AJ308" s="311">
        <f>INDEX($AR$3:AS308,MATCH(COUNTA(O308:W308),$AR$3:$AR$12,0),2)</f>
        <v>2.1</v>
      </c>
      <c r="AK308" s="108">
        <f t="shared" si="40"/>
        <v>40.098750000000003</v>
      </c>
      <c r="AL308" s="310">
        <f t="shared" si="41"/>
        <v>10.348064516129034</v>
      </c>
      <c r="AP308" s="319" t="s">
        <v>342</v>
      </c>
    </row>
    <row r="309" spans="1:42" s="51" customFormat="1">
      <c r="A309" s="253" t="s">
        <v>367</v>
      </c>
      <c r="B309" s="51">
        <v>9.73</v>
      </c>
      <c r="D309" s="51">
        <v>12.21</v>
      </c>
      <c r="E309" s="51">
        <v>6.43</v>
      </c>
      <c r="F309" s="51">
        <v>8.74</v>
      </c>
      <c r="G309" s="51">
        <v>10.08</v>
      </c>
      <c r="H309" s="51">
        <v>15.36</v>
      </c>
      <c r="I309" s="51">
        <v>13.82</v>
      </c>
      <c r="K309" s="51">
        <v>10.75</v>
      </c>
      <c r="N309" s="63">
        <v>9.73</v>
      </c>
      <c r="P309" s="51">
        <v>12.21</v>
      </c>
      <c r="Q309" s="51">
        <v>6.43</v>
      </c>
      <c r="R309" s="51">
        <v>8.74</v>
      </c>
      <c r="S309" s="51">
        <v>10.08</v>
      </c>
      <c r="T309" s="51">
        <v>15.36</v>
      </c>
      <c r="U309" s="51">
        <v>13.82</v>
      </c>
      <c r="W309" s="51">
        <v>10.75</v>
      </c>
      <c r="Y309" s="78"/>
      <c r="Z309" s="51">
        <v>1.091</v>
      </c>
      <c r="AA309" s="51">
        <v>6.7000000000000004E-2</v>
      </c>
      <c r="AB309" s="51">
        <v>9.286525000000001</v>
      </c>
      <c r="AC309" s="51">
        <v>0.75</v>
      </c>
      <c r="AD309" s="89">
        <f t="shared" si="34"/>
        <v>0.88888888888888884</v>
      </c>
      <c r="AE309" s="68">
        <f t="shared" si="35"/>
        <v>0.81944444444444442</v>
      </c>
      <c r="AF309" s="69">
        <f t="shared" si="36"/>
        <v>25.42432318886015</v>
      </c>
      <c r="AG309" s="69">
        <f t="shared" si="37"/>
        <v>25.42432318886015</v>
      </c>
      <c r="AH309" s="70">
        <f t="shared" si="38"/>
        <v>0.17245240761478153</v>
      </c>
      <c r="AI309" s="104">
        <f t="shared" si="39"/>
        <v>1.5313162262549382</v>
      </c>
      <c r="AJ309" s="71">
        <f>INDEX($AR$3:AS309,MATCH(COUNTA(O309:W309),$AR$3:$AR$12,0),2)</f>
        <v>2.1</v>
      </c>
      <c r="AK309" s="108">
        <f t="shared" si="40"/>
        <v>10.89</v>
      </c>
      <c r="AL309" s="90">
        <f t="shared" si="41"/>
        <v>1.1726668479328919</v>
      </c>
      <c r="AO309" s="78"/>
      <c r="AP309" s="293" t="s">
        <v>123</v>
      </c>
    </row>
    <row r="310" spans="1:42">
      <c r="A310" s="253" t="s">
        <v>368</v>
      </c>
      <c r="B310">
        <v>24.63</v>
      </c>
      <c r="C310">
        <v>10.46</v>
      </c>
      <c r="D310">
        <v>22.34</v>
      </c>
      <c r="E310">
        <v>12.53</v>
      </c>
      <c r="F310">
        <v>14.2</v>
      </c>
      <c r="G310">
        <v>15.07</v>
      </c>
      <c r="H310">
        <v>21.16</v>
      </c>
      <c r="I310">
        <v>29.14</v>
      </c>
      <c r="J310">
        <v>7.22</v>
      </c>
      <c r="K310">
        <v>34.58</v>
      </c>
      <c r="N310" s="306">
        <v>24.63</v>
      </c>
      <c r="O310">
        <v>10.46</v>
      </c>
      <c r="P310">
        <v>22.34</v>
      </c>
      <c r="Q310">
        <v>12.53</v>
      </c>
      <c r="R310">
        <v>14.2</v>
      </c>
      <c r="S310">
        <v>15.07</v>
      </c>
      <c r="T310">
        <v>21.16</v>
      </c>
      <c r="U310">
        <v>29.14</v>
      </c>
      <c r="V310">
        <v>7.22</v>
      </c>
      <c r="W310">
        <v>34.58</v>
      </c>
      <c r="Z310">
        <v>0.60099999999999998</v>
      </c>
      <c r="AA310">
        <v>6.7000000000000004E-2</v>
      </c>
      <c r="AB310">
        <v>12.251099999999999</v>
      </c>
      <c r="AC310">
        <v>0.85</v>
      </c>
      <c r="AD310" s="87">
        <f t="shared" si="34"/>
        <v>0.75</v>
      </c>
      <c r="AE310" s="203">
        <f t="shared" si="35"/>
        <v>0.8</v>
      </c>
      <c r="AF310" s="49">
        <f t="shared" si="36"/>
        <v>45.930275413245461</v>
      </c>
      <c r="AG310" s="49">
        <f t="shared" si="37"/>
        <v>45.930275413245461</v>
      </c>
      <c r="AH310" s="50">
        <f t="shared" si="38"/>
        <v>0.19883040935672508</v>
      </c>
      <c r="AI310" s="105">
        <f t="shared" si="39"/>
        <v>1.8875275684235342</v>
      </c>
      <c r="AJ310" s="311">
        <f>INDEX($AR$3:AS310,MATCH(COUNTA(O310:W310),$AR$3:$AR$12,0),2)</f>
        <v>2.3199999999999998</v>
      </c>
      <c r="AK310" s="108">
        <f t="shared" si="40"/>
        <v>19.133000000000003</v>
      </c>
      <c r="AL310" s="310">
        <f t="shared" si="41"/>
        <v>1.5617373133841046</v>
      </c>
      <c r="AP310" s="319" t="s">
        <v>123</v>
      </c>
    </row>
    <row r="311" spans="1:42">
      <c r="A311" s="253" t="s">
        <v>369</v>
      </c>
      <c r="B311">
        <v>21.76</v>
      </c>
      <c r="C311">
        <v>9.42</v>
      </c>
      <c r="D311">
        <v>24.59</v>
      </c>
      <c r="E311">
        <v>14.51</v>
      </c>
      <c r="F311">
        <v>18.55</v>
      </c>
      <c r="G311">
        <v>16.809999999999999</v>
      </c>
      <c r="H311">
        <v>21.35</v>
      </c>
      <c r="I311">
        <v>26.03</v>
      </c>
      <c r="J311">
        <v>6.06</v>
      </c>
      <c r="K311">
        <v>43.77</v>
      </c>
      <c r="N311" s="306">
        <v>21.76</v>
      </c>
      <c r="O311">
        <v>9.42</v>
      </c>
      <c r="P311">
        <v>24.59</v>
      </c>
      <c r="Q311">
        <v>14.51</v>
      </c>
      <c r="R311">
        <v>18.55</v>
      </c>
      <c r="S311">
        <v>16.809999999999999</v>
      </c>
      <c r="T311">
        <v>21.35</v>
      </c>
      <c r="U311">
        <v>26.03</v>
      </c>
      <c r="V311">
        <v>6.06</v>
      </c>
      <c r="W311">
        <v>43.77</v>
      </c>
      <c r="Z311">
        <v>0.51500000000000001</v>
      </c>
      <c r="AA311">
        <v>6.7000000000000004E-2</v>
      </c>
      <c r="AB311">
        <v>12.615600000000001</v>
      </c>
      <c r="AC311">
        <v>0.85</v>
      </c>
      <c r="AD311" s="87">
        <f t="shared" si="34"/>
        <v>0.75</v>
      </c>
      <c r="AE311" s="203">
        <f t="shared" si="35"/>
        <v>0.8</v>
      </c>
      <c r="AF311" s="49">
        <f t="shared" si="36"/>
        <v>51.670307031665985</v>
      </c>
      <c r="AG311" s="49">
        <f t="shared" si="37"/>
        <v>51.670307031665985</v>
      </c>
      <c r="AH311" s="50">
        <f t="shared" si="38"/>
        <v>0.4704322460885707</v>
      </c>
      <c r="AI311" s="105">
        <f t="shared" si="39"/>
        <v>2.2746665404119644</v>
      </c>
      <c r="AJ311" s="311">
        <f>INDEX($AR$3:AS311,MATCH(COUNTA(O311:W311),$AR$3:$AR$12,0),2)</f>
        <v>2.3199999999999998</v>
      </c>
      <c r="AK311" s="108">
        <f t="shared" si="40"/>
        <v>20.285000000000004</v>
      </c>
      <c r="AL311" s="310">
        <f t="shared" si="41"/>
        <v>1.6079298646120679</v>
      </c>
      <c r="AP311" s="319" t="s">
        <v>123</v>
      </c>
    </row>
    <row r="312" spans="1:42">
      <c r="A312" s="253" t="s">
        <v>370</v>
      </c>
      <c r="D312">
        <v>5.73</v>
      </c>
      <c r="E312">
        <v>7.79</v>
      </c>
      <c r="F312">
        <v>10.25</v>
      </c>
      <c r="G312">
        <v>9.77</v>
      </c>
      <c r="H312">
        <v>14.7</v>
      </c>
      <c r="I312">
        <v>23.48</v>
      </c>
      <c r="J312">
        <v>3.79</v>
      </c>
      <c r="K312">
        <v>24.54</v>
      </c>
      <c r="P312">
        <v>5.73</v>
      </c>
      <c r="Q312">
        <v>7.79</v>
      </c>
      <c r="R312">
        <v>10.25</v>
      </c>
      <c r="S312">
        <v>9.77</v>
      </c>
      <c r="T312">
        <v>14.7</v>
      </c>
      <c r="U312">
        <v>23.48</v>
      </c>
      <c r="V312">
        <v>3.79</v>
      </c>
      <c r="W312">
        <v>24.54</v>
      </c>
      <c r="Z312">
        <v>0.97199999999999998</v>
      </c>
      <c r="AA312">
        <v>0.105</v>
      </c>
      <c r="AB312">
        <v>7.857660000000001</v>
      </c>
      <c r="AC312">
        <v>0.72</v>
      </c>
      <c r="AD312" s="87">
        <f t="shared" si="34"/>
        <v>0.69444444444444442</v>
      </c>
      <c r="AE312" s="203">
        <f t="shared" si="35"/>
        <v>0.7072222222222222</v>
      </c>
      <c r="AF312" s="49">
        <f t="shared" si="36"/>
        <v>58.400804731982547</v>
      </c>
      <c r="AG312" s="49">
        <f t="shared" si="37"/>
        <v>58.400804731982547</v>
      </c>
      <c r="AH312" s="50">
        <f t="shared" si="38"/>
        <v>5.1084337349397525E-2</v>
      </c>
      <c r="AI312" s="105">
        <f t="shared" si="39"/>
        <v>1.6476123830324105</v>
      </c>
      <c r="AJ312" s="311">
        <f>INDEX($AR$3:AS312,MATCH(COUNTA(O312:W312),$AR$3:$AR$12,0),2)</f>
        <v>2.2200000000000002</v>
      </c>
      <c r="AK312" s="108">
        <f t="shared" si="40"/>
        <v>12.506250000000001</v>
      </c>
      <c r="AL312" s="310">
        <f t="shared" si="41"/>
        <v>1.5915997892502347</v>
      </c>
      <c r="AP312" s="319" t="s">
        <v>123</v>
      </c>
    </row>
    <row r="313" spans="1:42">
      <c r="A313" s="253" t="s">
        <v>371</v>
      </c>
      <c r="B313">
        <v>31.69</v>
      </c>
      <c r="C313">
        <v>76.72</v>
      </c>
      <c r="D313">
        <v>49.69</v>
      </c>
      <c r="E313">
        <v>34.6</v>
      </c>
      <c r="F313">
        <v>29.96</v>
      </c>
      <c r="G313">
        <v>45.47</v>
      </c>
      <c r="H313">
        <v>71.67</v>
      </c>
      <c r="I313">
        <v>79.78</v>
      </c>
      <c r="J313">
        <v>41.73</v>
      </c>
      <c r="K313">
        <v>62.27</v>
      </c>
      <c r="N313" s="306">
        <v>31.69</v>
      </c>
      <c r="O313">
        <v>76.72</v>
      </c>
      <c r="P313">
        <v>49.69</v>
      </c>
      <c r="Q313">
        <v>34.6</v>
      </c>
      <c r="R313">
        <v>29.96</v>
      </c>
      <c r="S313">
        <v>45.47</v>
      </c>
      <c r="T313">
        <v>71.67</v>
      </c>
      <c r="U313">
        <v>79.78</v>
      </c>
      <c r="V313">
        <v>41.73</v>
      </c>
      <c r="W313">
        <v>62.27</v>
      </c>
      <c r="Z313">
        <v>0.99399999999999999</v>
      </c>
      <c r="AA313">
        <v>0.105</v>
      </c>
      <c r="AB313">
        <v>14.188499999999999</v>
      </c>
      <c r="AC313">
        <v>0.83</v>
      </c>
      <c r="AD313" s="87">
        <f t="shared" si="34"/>
        <v>1</v>
      </c>
      <c r="AE313" s="203">
        <f t="shared" si="35"/>
        <v>0.91500000000000004</v>
      </c>
      <c r="AF313" s="49">
        <f t="shared" si="36"/>
        <v>32.004802775255506</v>
      </c>
      <c r="AG313" s="49">
        <f t="shared" si="37"/>
        <v>32.004802775255506</v>
      </c>
      <c r="AH313" s="50">
        <f t="shared" si="38"/>
        <v>6.1421116017663632E-2</v>
      </c>
      <c r="AI313" s="105">
        <f t="shared" si="39"/>
        <v>1.4363988009357358</v>
      </c>
      <c r="AJ313" s="311">
        <f>INDEX($AR$3:AS313,MATCH(COUNTA(O313:W313),$AR$3:$AR$12,0),2)</f>
        <v>2.3199999999999998</v>
      </c>
      <c r="AK313" s="108">
        <f t="shared" si="40"/>
        <v>52.358000000000004</v>
      </c>
      <c r="AL313" s="310">
        <f t="shared" si="41"/>
        <v>3.6901716178595345</v>
      </c>
      <c r="AP313" s="319" t="s">
        <v>123</v>
      </c>
    </row>
    <row r="314" spans="1:42">
      <c r="A314" s="253" t="s">
        <v>372</v>
      </c>
      <c r="B314">
        <v>14.32</v>
      </c>
      <c r="C314">
        <v>29.48</v>
      </c>
      <c r="D314">
        <v>24.24</v>
      </c>
      <c r="E314">
        <v>12.39</v>
      </c>
      <c r="F314">
        <v>17.059999999999999</v>
      </c>
      <c r="G314">
        <v>19.600000000000001</v>
      </c>
      <c r="H314">
        <v>31.56</v>
      </c>
      <c r="I314">
        <v>34.64</v>
      </c>
      <c r="J314">
        <v>14.36</v>
      </c>
      <c r="K314">
        <v>38.03</v>
      </c>
      <c r="N314" s="306">
        <v>14.32</v>
      </c>
      <c r="O314">
        <v>29.48</v>
      </c>
      <c r="P314">
        <v>24.24</v>
      </c>
      <c r="Q314">
        <v>12.39</v>
      </c>
      <c r="R314">
        <v>17.059999999999999</v>
      </c>
      <c r="S314">
        <v>19.600000000000001</v>
      </c>
      <c r="T314">
        <v>31.56</v>
      </c>
      <c r="U314">
        <v>34.64</v>
      </c>
      <c r="V314">
        <v>14.36</v>
      </c>
      <c r="W314">
        <v>38.03</v>
      </c>
      <c r="Z314">
        <v>0.1</v>
      </c>
      <c r="AA314">
        <v>0.105</v>
      </c>
      <c r="AB314">
        <v>11.1106</v>
      </c>
      <c r="AC314">
        <v>0.85</v>
      </c>
      <c r="AD314" s="87">
        <f t="shared" si="34"/>
        <v>0.75</v>
      </c>
      <c r="AE314" s="203">
        <f t="shared" si="35"/>
        <v>0.8</v>
      </c>
      <c r="AF314" s="49">
        <f t="shared" si="36"/>
        <v>35.582830637305705</v>
      </c>
      <c r="AG314" s="49">
        <f t="shared" si="37"/>
        <v>35.582830637305705</v>
      </c>
      <c r="AH314" s="50">
        <f t="shared" si="38"/>
        <v>0.13221528861154447</v>
      </c>
      <c r="AI314" s="105">
        <f t="shared" si="39"/>
        <v>1.5350501962484961</v>
      </c>
      <c r="AJ314" s="311">
        <f>INDEX($AR$3:AS314,MATCH(COUNTA(O314:W314),$AR$3:$AR$12,0),2)</f>
        <v>2.3199999999999998</v>
      </c>
      <c r="AK314" s="108">
        <f t="shared" si="40"/>
        <v>23.568000000000005</v>
      </c>
      <c r="AL314" s="310">
        <f t="shared" si="41"/>
        <v>2.121217576008497</v>
      </c>
      <c r="AP314" s="319" t="s">
        <v>123</v>
      </c>
    </row>
    <row r="315" spans="1:42">
      <c r="A315" s="253" t="s">
        <v>373</v>
      </c>
      <c r="D315">
        <v>4.7699999999999996</v>
      </c>
      <c r="E315">
        <v>6.93</v>
      </c>
      <c r="F315">
        <v>8.7899999999999991</v>
      </c>
      <c r="G315">
        <v>7</v>
      </c>
      <c r="H315">
        <v>12.02</v>
      </c>
      <c r="I315">
        <v>16.2</v>
      </c>
      <c r="K315">
        <v>13.4</v>
      </c>
      <c r="P315">
        <v>4.7699999999999996</v>
      </c>
      <c r="Q315">
        <v>6.93</v>
      </c>
      <c r="R315">
        <v>8.7899999999999991</v>
      </c>
      <c r="S315">
        <v>7</v>
      </c>
      <c r="T315">
        <v>12.02</v>
      </c>
      <c r="U315">
        <v>16.2</v>
      </c>
      <c r="W315">
        <v>13.4</v>
      </c>
      <c r="Z315">
        <v>0.41</v>
      </c>
      <c r="AA315">
        <v>2.1000000000000001E-2</v>
      </c>
      <c r="AB315">
        <v>7.3926399999999992</v>
      </c>
      <c r="AC315">
        <v>0.72</v>
      </c>
      <c r="AD315" s="87">
        <f t="shared" si="34"/>
        <v>0.63888888888888884</v>
      </c>
      <c r="AE315" s="203">
        <f t="shared" si="35"/>
        <v>0.67944444444444441</v>
      </c>
      <c r="AF315" s="49">
        <f t="shared" si="36"/>
        <v>38.513944519086621</v>
      </c>
      <c r="AG315" s="49">
        <f t="shared" si="37"/>
        <v>38.513944519086621</v>
      </c>
      <c r="AH315" s="50">
        <f t="shared" si="38"/>
        <v>0.24496937882764647</v>
      </c>
      <c r="AI315" s="105">
        <f t="shared" si="39"/>
        <v>1.6639749609871017</v>
      </c>
      <c r="AJ315" s="311">
        <f>INDEX($AR$3:AS315,MATCH(COUNTA(O315:W315),$AR$3:$AR$12,0),2)</f>
        <v>2.1</v>
      </c>
      <c r="AK315" s="108">
        <f t="shared" si="40"/>
        <v>9.8728571428571428</v>
      </c>
      <c r="AL315" s="310">
        <f t="shared" si="41"/>
        <v>1.335498163424317</v>
      </c>
      <c r="AP315" s="319" t="s">
        <v>123</v>
      </c>
    </row>
    <row r="316" spans="1:42">
      <c r="A316" s="253" t="s">
        <v>374</v>
      </c>
      <c r="D316">
        <v>4.22</v>
      </c>
      <c r="E316">
        <v>5.47</v>
      </c>
      <c r="F316">
        <v>6.94</v>
      </c>
      <c r="G316">
        <v>5.72</v>
      </c>
      <c r="H316">
        <v>9.48</v>
      </c>
      <c r="I316">
        <v>14.57</v>
      </c>
      <c r="K316">
        <v>4.41</v>
      </c>
      <c r="P316">
        <v>4.22</v>
      </c>
      <c r="Q316">
        <v>5.47</v>
      </c>
      <c r="R316">
        <v>6.94</v>
      </c>
      <c r="S316">
        <v>5.72</v>
      </c>
      <c r="T316">
        <v>9.48</v>
      </c>
      <c r="U316">
        <v>14.57</v>
      </c>
      <c r="W316">
        <v>4.41</v>
      </c>
      <c r="Z316">
        <v>0.96</v>
      </c>
      <c r="AA316">
        <v>2.1000000000000001E-2</v>
      </c>
      <c r="AB316">
        <v>6.2162100000000002</v>
      </c>
      <c r="AC316">
        <v>0.72</v>
      </c>
      <c r="AD316" s="87">
        <f t="shared" si="34"/>
        <v>0.63888888888888884</v>
      </c>
      <c r="AE316" s="203">
        <f t="shared" si="35"/>
        <v>0.67944444444444441</v>
      </c>
      <c r="AF316" s="49">
        <f t="shared" si="36"/>
        <v>46.981822743705543</v>
      </c>
      <c r="AG316" s="49">
        <f t="shared" si="37"/>
        <v>46.981822743705543</v>
      </c>
      <c r="AH316" s="50">
        <f t="shared" si="38"/>
        <v>0.4917874396135265</v>
      </c>
      <c r="AI316" s="105">
        <f t="shared" si="39"/>
        <v>2.1439824431485963</v>
      </c>
      <c r="AJ316" s="311">
        <f>INDEX($AR$3:AS316,MATCH(COUNTA(O316:W316),$AR$3:$AR$12,0),2)</f>
        <v>2.1</v>
      </c>
      <c r="AK316" s="108">
        <f t="shared" si="40"/>
        <v>7.2585714285714289</v>
      </c>
      <c r="AL316" s="310">
        <f t="shared" si="41"/>
        <v>1.1676843974980622</v>
      </c>
      <c r="AP316" s="319" t="s">
        <v>123</v>
      </c>
    </row>
    <row r="317" spans="1:42">
      <c r="A317" s="253" t="s">
        <v>375</v>
      </c>
      <c r="D317">
        <v>3.66</v>
      </c>
      <c r="E317">
        <v>7.92</v>
      </c>
      <c r="F317">
        <v>11.03</v>
      </c>
      <c r="G317">
        <v>8.65</v>
      </c>
      <c r="H317">
        <v>13.27</v>
      </c>
      <c r="I317">
        <v>17.14</v>
      </c>
      <c r="P317">
        <v>3.66</v>
      </c>
      <c r="Q317">
        <v>7.92</v>
      </c>
      <c r="R317">
        <v>11.03</v>
      </c>
      <c r="S317">
        <v>8.65</v>
      </c>
      <c r="T317">
        <v>13.27</v>
      </c>
      <c r="U317">
        <v>17.14</v>
      </c>
      <c r="Z317">
        <v>0.84199999999999997</v>
      </c>
      <c r="AA317">
        <v>2.1000000000000001E-2</v>
      </c>
      <c r="AB317">
        <v>7.15618</v>
      </c>
      <c r="AC317">
        <v>0.72</v>
      </c>
      <c r="AD317" s="87">
        <f t="shared" si="34"/>
        <v>0.58333333333333326</v>
      </c>
      <c r="AE317" s="203">
        <f t="shared" si="35"/>
        <v>0.65166666666666662</v>
      </c>
      <c r="AF317" s="49">
        <f t="shared" si="36"/>
        <v>41.394510195362102</v>
      </c>
      <c r="AG317" s="49">
        <f t="shared" si="37"/>
        <v>41.394510195362102</v>
      </c>
      <c r="AH317" s="50">
        <f t="shared" si="38"/>
        <v>0.28709198813056386</v>
      </c>
      <c r="AI317" s="105">
        <f t="shared" si="39"/>
        <v>1.6127393047201091</v>
      </c>
      <c r="AJ317" s="311">
        <f>INDEX($AR$3:AS317,MATCH(COUNTA(O317:W317),$AR$3:$AR$12,0),2)</f>
        <v>1.94</v>
      </c>
      <c r="AK317" s="108">
        <f t="shared" si="40"/>
        <v>10.278333333333334</v>
      </c>
      <c r="AL317" s="310">
        <f t="shared" si="41"/>
        <v>1.4362877028433234</v>
      </c>
      <c r="AP317" s="319" t="s">
        <v>123</v>
      </c>
    </row>
    <row r="318" spans="1:42">
      <c r="A318" s="253" t="s">
        <v>376</v>
      </c>
      <c r="E318">
        <v>3.25</v>
      </c>
      <c r="F318">
        <v>6.75</v>
      </c>
      <c r="G318">
        <v>7.61</v>
      </c>
      <c r="H318">
        <v>8.25</v>
      </c>
      <c r="I318">
        <v>11.66</v>
      </c>
      <c r="Q318">
        <v>3.25</v>
      </c>
      <c r="R318">
        <v>6.75</v>
      </c>
      <c r="S318">
        <v>7.61</v>
      </c>
      <c r="T318">
        <v>8.25</v>
      </c>
      <c r="U318">
        <v>11.66</v>
      </c>
      <c r="Z318">
        <v>0.374</v>
      </c>
      <c r="AA318">
        <v>4.5999999999999999E-2</v>
      </c>
      <c r="AB318">
        <v>8.03186</v>
      </c>
      <c r="AC318">
        <v>0.75</v>
      </c>
      <c r="AD318" s="87">
        <f t="shared" si="34"/>
        <v>0.52777777777777779</v>
      </c>
      <c r="AE318" s="203">
        <f t="shared" si="35"/>
        <v>0.63888888888888884</v>
      </c>
      <c r="AF318" s="49">
        <f t="shared" si="36"/>
        <v>36.008005200933766</v>
      </c>
      <c r="AG318" s="49">
        <f t="shared" si="37"/>
        <v>36.008005200933766</v>
      </c>
      <c r="AH318" s="50">
        <f t="shared" si="38"/>
        <v>0.40546967895362662</v>
      </c>
      <c r="AI318" s="105">
        <f t="shared" si="39"/>
        <v>1.5380967371036769</v>
      </c>
      <c r="AJ318" s="311">
        <f>INDEX($AR$3:AS318,MATCH(COUNTA(O318:W318),$AR$3:$AR$12,0),2)</f>
        <v>1.75</v>
      </c>
      <c r="AK318" s="108">
        <f t="shared" si="40"/>
        <v>7.5039999999999996</v>
      </c>
      <c r="AL318" s="310">
        <f t="shared" si="41"/>
        <v>0.93427923295475768</v>
      </c>
      <c r="AP318" s="319" t="s">
        <v>123</v>
      </c>
    </row>
    <row r="319" spans="1:42">
      <c r="A319" s="253" t="s">
        <v>377</v>
      </c>
      <c r="E319">
        <v>5.13</v>
      </c>
      <c r="F319">
        <v>6.14</v>
      </c>
      <c r="G319">
        <v>9.89</v>
      </c>
      <c r="H319">
        <v>11.12</v>
      </c>
      <c r="I319">
        <v>15.19</v>
      </c>
      <c r="Q319">
        <v>5.13</v>
      </c>
      <c r="R319">
        <v>6.14</v>
      </c>
      <c r="S319">
        <v>9.89</v>
      </c>
      <c r="T319">
        <v>11.12</v>
      </c>
      <c r="U319">
        <v>15.19</v>
      </c>
      <c r="Z319">
        <v>0.74099999999999999</v>
      </c>
      <c r="AA319">
        <v>4.5999999999999999E-2</v>
      </c>
      <c r="AB319">
        <v>8.0254700000000003</v>
      </c>
      <c r="AC319">
        <v>0.65</v>
      </c>
      <c r="AD319" s="87">
        <f t="shared" si="34"/>
        <v>0.52777777777777779</v>
      </c>
      <c r="AE319" s="203">
        <f t="shared" si="35"/>
        <v>0.58888888888888891</v>
      </c>
      <c r="AF319" s="49">
        <f t="shared" si="36"/>
        <v>38.134267675837016</v>
      </c>
      <c r="AG319" s="49">
        <f t="shared" si="37"/>
        <v>38.134267675837016</v>
      </c>
      <c r="AH319" s="50">
        <f t="shared" si="38"/>
        <v>0.4045725646123261</v>
      </c>
      <c r="AI319" s="105">
        <f t="shared" si="39"/>
        <v>1.5732775393177119</v>
      </c>
      <c r="AJ319" s="311">
        <f>INDEX($AR$3:AS319,MATCH(COUNTA(O319:W319),$AR$3:$AR$12,0),2)</f>
        <v>1.75</v>
      </c>
      <c r="AK319" s="108">
        <f t="shared" si="40"/>
        <v>9.4939999999999998</v>
      </c>
      <c r="AL319" s="310">
        <f t="shared" ref="AL319:AL350" si="42">IF(AND(O319="",Q319="",S319="",U319="",W319=""),"n.d.", AK319/AB319)</f>
        <v>1.1829836757224186</v>
      </c>
      <c r="AP319" s="319" t="s">
        <v>123</v>
      </c>
    </row>
    <row r="320" spans="1:42">
      <c r="A320" s="253" t="s">
        <v>378</v>
      </c>
      <c r="F320">
        <v>5.33</v>
      </c>
      <c r="G320">
        <v>8.11</v>
      </c>
      <c r="H320">
        <v>6.15</v>
      </c>
      <c r="I320">
        <v>11.4</v>
      </c>
      <c r="R320">
        <v>5.33</v>
      </c>
      <c r="S320">
        <v>8.11</v>
      </c>
      <c r="T320">
        <v>6.15</v>
      </c>
      <c r="U320">
        <v>11.4</v>
      </c>
      <c r="Z320">
        <v>1.087</v>
      </c>
      <c r="AA320">
        <v>4.5999999999999999E-2</v>
      </c>
      <c r="AB320">
        <v>6.2082499999999996</v>
      </c>
      <c r="AC320">
        <v>0.62</v>
      </c>
      <c r="AD320" s="87">
        <f t="shared" si="34"/>
        <v>0.72222222222222221</v>
      </c>
      <c r="AE320" s="203">
        <f t="shared" si="35"/>
        <v>0.6711111111111111</v>
      </c>
      <c r="AF320" s="49">
        <f t="shared" si="36"/>
        <v>30.179891123593659</v>
      </c>
      <c r="AG320" s="49">
        <f t="shared" si="37"/>
        <v>30.179891123593659</v>
      </c>
      <c r="AH320" s="50">
        <f t="shared" si="38"/>
        <v>0.54200988467874811</v>
      </c>
      <c r="AI320" s="105">
        <f t="shared" si="39"/>
        <v>1.5621076923166399</v>
      </c>
      <c r="AJ320" s="311">
        <f>INDEX($AR$3:AS320,MATCH(COUNTA(O320:W320),$AR$3:$AR$12,0),2)</f>
        <v>1.49</v>
      </c>
      <c r="AK320" s="108">
        <f t="shared" si="40"/>
        <v>7.7475000000000005</v>
      </c>
      <c r="AL320" s="310">
        <f t="shared" si="42"/>
        <v>1.2479362139089116</v>
      </c>
      <c r="AP320" s="319" t="s">
        <v>123</v>
      </c>
    </row>
    <row r="321" spans="1:42">
      <c r="A321" s="253" t="s">
        <v>379</v>
      </c>
      <c r="AB321">
        <v>3.4387300000000003E-2</v>
      </c>
      <c r="AD321" s="87" t="e">
        <f t="shared" si="34"/>
        <v>#DIV/0!</v>
      </c>
      <c r="AE321" s="203" t="e">
        <f t="shared" si="35"/>
        <v>#DIV/0!</v>
      </c>
      <c r="AF321" s="49" t="e">
        <f t="shared" si="36"/>
        <v>#DIV/0!</v>
      </c>
      <c r="AG321" s="49" t="e">
        <f t="shared" si="37"/>
        <v>#DIV/0!</v>
      </c>
      <c r="AH321" s="50" t="e">
        <f t="shared" si="38"/>
        <v>#NUM!</v>
      </c>
      <c r="AI321" s="105" t="e">
        <f t="shared" si="39"/>
        <v>#DIV/0!</v>
      </c>
      <c r="AJ321" s="311" t="e">
        <f>INDEX($AR$3:AS321,MATCH(COUNTA(O321:W321),$AR$3:$AR$12,0),2)</f>
        <v>#N/A</v>
      </c>
      <c r="AK321" s="108" t="e">
        <f t="shared" si="40"/>
        <v>#DIV/0!</v>
      </c>
      <c r="AL321" s="310" t="str">
        <f t="shared" si="42"/>
        <v>n.d.</v>
      </c>
      <c r="AP321" s="319" t="s">
        <v>64</v>
      </c>
    </row>
    <row r="322" spans="1:42">
      <c r="A322" s="253" t="s">
        <v>380</v>
      </c>
      <c r="D322">
        <v>47.39</v>
      </c>
      <c r="E322">
        <v>29</v>
      </c>
      <c r="F322">
        <v>29.81</v>
      </c>
      <c r="G322">
        <v>32.159999999999997</v>
      </c>
      <c r="H322">
        <v>52.76</v>
      </c>
      <c r="I322">
        <v>33.950000000000003</v>
      </c>
      <c r="J322">
        <v>11.34</v>
      </c>
      <c r="P322">
        <v>47.39</v>
      </c>
      <c r="Q322">
        <v>29</v>
      </c>
      <c r="R322">
        <v>29.81</v>
      </c>
      <c r="S322">
        <v>32.159999999999997</v>
      </c>
      <c r="T322">
        <v>52.76</v>
      </c>
      <c r="U322">
        <v>33.950000000000003</v>
      </c>
      <c r="V322">
        <v>11.34</v>
      </c>
      <c r="Z322">
        <v>0.70699999999999996</v>
      </c>
      <c r="AA322">
        <v>1.1599999999999999</v>
      </c>
      <c r="AB322">
        <v>42.268900000000002</v>
      </c>
      <c r="AC322">
        <v>0.72</v>
      </c>
      <c r="AD322" s="87">
        <f t="shared" ref="AD322:AD385" si="43">(COUNT(O322:W322)*(1/(COUNT(O322:W322)+COUNTBLANK(O322:W322)))+(IF(AF322&lt;35,1,IF(AF322&lt;70,0.5,IF(AF322&gt;70,0)))))/2</f>
        <v>0.63888888888888884</v>
      </c>
      <c r="AE322" s="203">
        <f t="shared" ref="AE322:AE385" si="44">AVERAGE(AC322:AD322)</f>
        <v>0.67944444444444441</v>
      </c>
      <c r="AF322" s="49">
        <f t="shared" ref="AF322:AF385" si="45">((_xlfn.STDEV.P(O322:W322))/(AVERAGE(O322:W322)))*100</f>
        <v>36.953353911031023</v>
      </c>
      <c r="AG322" s="49">
        <f t="shared" ref="AG322:AG385" si="46">((_xlfn.STDEV.P(C322:K322))/(AVERAGE(C322:K322)))*100</f>
        <v>36.953353911031023</v>
      </c>
      <c r="AH322" s="50">
        <f t="shared" ref="AH322:AH385" si="47">(ABS((LARGE(O322:W322,2) -MAX(O322:W322))))/(ABS(MIN(O322:W322)-MAX(O322:W322)))</f>
        <v>0.12964751327860929</v>
      </c>
      <c r="AI322" s="105">
        <f t="shared" ref="AI322:AI385" si="48">(ABS(MAX(O322:W322)-AVERAGE(O322:W322))/_xlfn.STDEV.P(O322:W322))</f>
        <v>1.5213808789197634</v>
      </c>
      <c r="AJ322" s="311">
        <f>INDEX($AR$3:AS322,MATCH(COUNTA(O322:W322),$AR$3:$AR$12,0),2)</f>
        <v>2.1</v>
      </c>
      <c r="AK322" s="108">
        <f t="shared" si="40"/>
        <v>33.772857142857141</v>
      </c>
      <c r="AL322" s="310">
        <f t="shared" si="42"/>
        <v>0.79900014296225219</v>
      </c>
      <c r="AP322" s="319" t="s">
        <v>381</v>
      </c>
    </row>
    <row r="323" spans="1:42">
      <c r="A323" s="253" t="s">
        <v>382</v>
      </c>
      <c r="D323">
        <v>2.82</v>
      </c>
      <c r="E323">
        <v>5.49</v>
      </c>
      <c r="G323">
        <v>11.58</v>
      </c>
      <c r="H323">
        <v>16.84</v>
      </c>
      <c r="I323">
        <v>13.87</v>
      </c>
      <c r="P323">
        <v>2.82</v>
      </c>
      <c r="Q323">
        <v>5.49</v>
      </c>
      <c r="S323">
        <v>11.58</v>
      </c>
      <c r="T323">
        <v>16.84</v>
      </c>
      <c r="U323">
        <v>13.87</v>
      </c>
      <c r="Z323">
        <v>0.70699999999999996</v>
      </c>
      <c r="AA323">
        <v>1.1599999999999999</v>
      </c>
      <c r="AB323">
        <v>8.3740100000000002</v>
      </c>
      <c r="AC323">
        <v>0.68</v>
      </c>
      <c r="AD323" s="87">
        <f t="shared" si="43"/>
        <v>0.52777777777777779</v>
      </c>
      <c r="AE323" s="203">
        <f t="shared" si="44"/>
        <v>0.60388888888888892</v>
      </c>
      <c r="AF323" s="49">
        <f t="shared" si="45"/>
        <v>51.550238414257535</v>
      </c>
      <c r="AG323" s="49">
        <f t="shared" si="46"/>
        <v>51.550238414257535</v>
      </c>
      <c r="AH323" s="50">
        <f t="shared" si="47"/>
        <v>0.21184022824536383</v>
      </c>
      <c r="AI323" s="105">
        <f t="shared" si="48"/>
        <v>1.2881252172244166</v>
      </c>
      <c r="AJ323" s="311">
        <f>INDEX($AR$3:AS323,MATCH(COUNTA(O323:W323),$AR$3:$AR$12,0),2)</f>
        <v>1.75</v>
      </c>
      <c r="AK323" s="108">
        <f t="shared" si="40"/>
        <v>10.120000000000001</v>
      </c>
      <c r="AL323" s="310">
        <f t="shared" si="42"/>
        <v>1.2085010646034577</v>
      </c>
      <c r="AP323" s="319" t="s">
        <v>381</v>
      </c>
    </row>
    <row r="324" spans="1:42">
      <c r="A324" s="253" t="s">
        <v>383</v>
      </c>
      <c r="C324">
        <v>30.32</v>
      </c>
      <c r="D324">
        <v>60.85</v>
      </c>
      <c r="F324">
        <v>74.36</v>
      </c>
      <c r="H324">
        <v>101.24</v>
      </c>
      <c r="I324">
        <v>121.46</v>
      </c>
      <c r="J324">
        <v>123.37</v>
      </c>
      <c r="L324">
        <v>156.85</v>
      </c>
      <c r="M324">
        <v>649.36</v>
      </c>
      <c r="O324">
        <v>30.32</v>
      </c>
      <c r="P324">
        <v>60.85</v>
      </c>
      <c r="R324">
        <v>74.36</v>
      </c>
      <c r="T324">
        <v>101.24</v>
      </c>
      <c r="U324">
        <v>121.46</v>
      </c>
      <c r="V324">
        <v>123.37</v>
      </c>
      <c r="X324">
        <v>156.85</v>
      </c>
      <c r="Z324">
        <v>0.878</v>
      </c>
      <c r="AA324">
        <v>5.1999999999999998E-2</v>
      </c>
      <c r="AB324">
        <v>10.1844</v>
      </c>
      <c r="AC324">
        <v>0.75</v>
      </c>
      <c r="AD324" s="87">
        <f t="shared" si="43"/>
        <v>0.58333333333333326</v>
      </c>
      <c r="AE324" s="203">
        <f t="shared" si="44"/>
        <v>0.66666666666666663</v>
      </c>
      <c r="AF324" s="49">
        <f t="shared" si="45"/>
        <v>39.340209446149046</v>
      </c>
      <c r="AG324" s="49">
        <f t="shared" si="46"/>
        <v>39.340209446149046</v>
      </c>
      <c r="AH324" s="50">
        <f t="shared" si="47"/>
        <v>2.0526598602901781E-2</v>
      </c>
      <c r="AI324" s="105">
        <f t="shared" si="48"/>
        <v>1.1359180923950416</v>
      </c>
      <c r="AJ324" s="311">
        <f>INDEX($AR$3:AS324,MATCH(COUNTA(O324:W324),$AR$3:$AR$12,0),2)</f>
        <v>1.94</v>
      </c>
      <c r="AK324" s="108">
        <f t="shared" si="40"/>
        <v>95.492857142857133</v>
      </c>
      <c r="AL324" s="310">
        <f t="shared" si="42"/>
        <v>9.3763851717192104</v>
      </c>
      <c r="AP324" s="319" t="s">
        <v>244</v>
      </c>
    </row>
    <row r="325" spans="1:42">
      <c r="A325" s="253" t="s">
        <v>384</v>
      </c>
      <c r="B325">
        <v>13.8</v>
      </c>
      <c r="C325">
        <v>72.739999999999995</v>
      </c>
      <c r="D325">
        <v>54.85</v>
      </c>
      <c r="F325">
        <v>41.08</v>
      </c>
      <c r="H325">
        <v>91.7</v>
      </c>
      <c r="I325">
        <v>130.37</v>
      </c>
      <c r="J325">
        <v>113.59</v>
      </c>
      <c r="L325">
        <v>125.09</v>
      </c>
      <c r="M325">
        <v>477.71</v>
      </c>
      <c r="N325" s="306">
        <v>13.8</v>
      </c>
      <c r="O325">
        <v>72.739999999999995</v>
      </c>
      <c r="P325">
        <v>54.85</v>
      </c>
      <c r="R325">
        <v>41.08</v>
      </c>
      <c r="T325">
        <v>91.7</v>
      </c>
      <c r="U325">
        <v>130.37</v>
      </c>
      <c r="V325">
        <v>113.59</v>
      </c>
      <c r="X325">
        <v>125.09</v>
      </c>
      <c r="Z325">
        <v>0.90200000000000002</v>
      </c>
      <c r="AA325">
        <v>5.1999999999999998E-2</v>
      </c>
      <c r="AB325">
        <v>6.6312749999999996</v>
      </c>
      <c r="AC325">
        <v>0.63</v>
      </c>
      <c r="AD325" s="87">
        <f t="shared" si="43"/>
        <v>0.58333333333333326</v>
      </c>
      <c r="AE325" s="203">
        <f t="shared" si="44"/>
        <v>0.60666666666666669</v>
      </c>
      <c r="AF325" s="49">
        <f t="shared" si="45"/>
        <v>37.318248015386793</v>
      </c>
      <c r="AG325" s="49">
        <f t="shared" si="46"/>
        <v>37.318248015386793</v>
      </c>
      <c r="AH325" s="50">
        <f t="shared" si="47"/>
        <v>0.18792697950498377</v>
      </c>
      <c r="AI325" s="105">
        <f t="shared" si="48"/>
        <v>1.476511620182452</v>
      </c>
      <c r="AJ325" s="311">
        <f>INDEX($AR$3:AS325,MATCH(COUNTA(O325:W325),$AR$3:$AR$12,0),2)</f>
        <v>1.94</v>
      </c>
      <c r="AK325" s="108">
        <f t="shared" si="40"/>
        <v>80.402500000000003</v>
      </c>
      <c r="AL325" s="310">
        <f t="shared" si="42"/>
        <v>12.124742225288502</v>
      </c>
      <c r="AP325" s="319" t="s">
        <v>244</v>
      </c>
    </row>
    <row r="326" spans="1:42">
      <c r="A326" s="347" t="s">
        <v>385</v>
      </c>
      <c r="C326">
        <v>49.77</v>
      </c>
      <c r="D326">
        <v>55.11</v>
      </c>
      <c r="F326">
        <v>41.98</v>
      </c>
      <c r="H326">
        <v>68.64</v>
      </c>
      <c r="I326">
        <v>79.25</v>
      </c>
      <c r="J326">
        <v>44.73</v>
      </c>
      <c r="K326">
        <v>130.72999999999999</v>
      </c>
      <c r="L326">
        <v>36.57</v>
      </c>
      <c r="M326">
        <v>170.31</v>
      </c>
      <c r="O326">
        <v>49.77</v>
      </c>
      <c r="P326">
        <v>55.11</v>
      </c>
      <c r="R326">
        <v>41.98</v>
      </c>
      <c r="T326">
        <v>68.64</v>
      </c>
      <c r="U326">
        <v>79.25</v>
      </c>
      <c r="V326">
        <v>44.73</v>
      </c>
      <c r="W326">
        <v>130.72999999999999</v>
      </c>
      <c r="X326">
        <v>36.57</v>
      </c>
      <c r="Z326">
        <v>0.44700000000000001</v>
      </c>
      <c r="AA326">
        <v>5.1999999999999998E-2</v>
      </c>
      <c r="AB326">
        <v>7.7322649999999999</v>
      </c>
      <c r="AC326">
        <v>0.68</v>
      </c>
      <c r="AD326" s="87">
        <f t="shared" si="43"/>
        <v>0.63888888888888884</v>
      </c>
      <c r="AE326" s="203">
        <f t="shared" si="44"/>
        <v>0.6594444444444445</v>
      </c>
      <c r="AF326" s="49">
        <f t="shared" si="45"/>
        <v>42.756791327975328</v>
      </c>
      <c r="AG326" s="49">
        <f t="shared" si="46"/>
        <v>42.756791327975328</v>
      </c>
      <c r="AH326" s="50">
        <f t="shared" si="47"/>
        <v>0.58005633802816892</v>
      </c>
      <c r="AI326" s="105">
        <f t="shared" si="48"/>
        <v>2.2129185964402764</v>
      </c>
      <c r="AJ326" s="311">
        <f>INDEX($AR$3:AS326,MATCH(COUNTA(O326:W326),$AR$3:$AR$12,0),2)</f>
        <v>2.1</v>
      </c>
      <c r="AK326" s="108">
        <f t="shared" si="40"/>
        <v>63.347500000000004</v>
      </c>
      <c r="AL326" s="310">
        <f t="shared" si="42"/>
        <v>8.1926188510093745</v>
      </c>
      <c r="AP326" s="319" t="s">
        <v>244</v>
      </c>
    </row>
    <row r="327" spans="1:42" s="51" customFormat="1">
      <c r="A327" s="266" t="s">
        <v>386</v>
      </c>
      <c r="B327" s="51">
        <v>69.900000000000006</v>
      </c>
      <c r="C327" s="51">
        <v>128.07</v>
      </c>
      <c r="D327" s="51">
        <v>125.97</v>
      </c>
      <c r="E327" s="51">
        <v>29.72</v>
      </c>
      <c r="G327" s="51">
        <v>42.19</v>
      </c>
      <c r="H327" s="51">
        <v>305.62</v>
      </c>
      <c r="I327" s="51">
        <v>150.72</v>
      </c>
      <c r="J327" s="51">
        <v>114.33</v>
      </c>
      <c r="K327" s="51">
        <v>189.37</v>
      </c>
      <c r="L327" s="51">
        <v>135.30000000000001</v>
      </c>
      <c r="M327" s="51">
        <v>140.91</v>
      </c>
      <c r="N327" s="63"/>
      <c r="O327" s="51">
        <v>128.07</v>
      </c>
      <c r="P327" s="51">
        <v>125.97</v>
      </c>
      <c r="S327" s="51">
        <v>42.19</v>
      </c>
      <c r="T327" s="51">
        <v>305.62</v>
      </c>
      <c r="U327" s="51">
        <v>150.72</v>
      </c>
      <c r="V327" s="51">
        <v>114.33</v>
      </c>
      <c r="W327" s="51">
        <v>189.37</v>
      </c>
      <c r="X327" s="51">
        <v>135.30000000000001</v>
      </c>
      <c r="Y327" s="78">
        <v>140.91</v>
      </c>
      <c r="AB327" s="51">
        <v>6.8653399999999998</v>
      </c>
      <c r="AC327" s="51">
        <v>0.68</v>
      </c>
      <c r="AD327" s="89">
        <f t="shared" si="43"/>
        <v>0.63888888888888884</v>
      </c>
      <c r="AE327" s="68">
        <f t="shared" si="44"/>
        <v>0.6594444444444445</v>
      </c>
      <c r="AF327" s="69">
        <f t="shared" si="45"/>
        <v>49.918081817855182</v>
      </c>
      <c r="AG327" s="69">
        <f t="shared" si="46"/>
        <v>59.712413612783621</v>
      </c>
      <c r="AH327" s="70">
        <f t="shared" si="47"/>
        <v>0.44129370231180959</v>
      </c>
      <c r="AI327" s="104">
        <f t="shared" si="48"/>
        <v>2.0541099803960474</v>
      </c>
      <c r="AJ327" s="269">
        <f>INDEX($AR$3:AS327,MATCH(COUNTA(O327:W327),$AR$3:$AR$12,0),2)</f>
        <v>2.1</v>
      </c>
      <c r="AK327" s="108">
        <f t="shared" si="40"/>
        <v>148.05333333333334</v>
      </c>
      <c r="AL327" s="93">
        <f t="shared" si="42"/>
        <v>21.565331554348852</v>
      </c>
      <c r="AN327">
        <v>0.2099</v>
      </c>
      <c r="AO327" s="68">
        <f>((AK327-AVERAGE(AL285:AL287)*AB327)/(AN327*1000))*100</f>
        <v>23.653299267120417</v>
      </c>
      <c r="AP327" s="293" t="s">
        <v>342</v>
      </c>
    </row>
    <row r="328" spans="1:42">
      <c r="A328" s="266" t="s">
        <v>387</v>
      </c>
      <c r="B328">
        <v>18.760000000000002</v>
      </c>
      <c r="E328">
        <v>8.33</v>
      </c>
      <c r="F328">
        <v>13.31</v>
      </c>
      <c r="G328">
        <v>17.27</v>
      </c>
      <c r="H328">
        <v>13.31</v>
      </c>
      <c r="I328">
        <v>24.74</v>
      </c>
      <c r="J328">
        <v>12.37</v>
      </c>
      <c r="K328">
        <v>36.83</v>
      </c>
      <c r="N328" s="306">
        <v>18.760000000000002</v>
      </c>
      <c r="Q328">
        <v>8.33</v>
      </c>
      <c r="R328">
        <v>13.31</v>
      </c>
      <c r="S328">
        <v>17.27</v>
      </c>
      <c r="T328">
        <v>13.31</v>
      </c>
      <c r="U328">
        <v>24.74</v>
      </c>
      <c r="V328">
        <v>12.37</v>
      </c>
      <c r="W328">
        <v>36.83</v>
      </c>
      <c r="AB328">
        <v>5.2691300000000014</v>
      </c>
      <c r="AC328">
        <v>0.62</v>
      </c>
      <c r="AD328" s="87">
        <f t="shared" si="43"/>
        <v>0.63888888888888884</v>
      </c>
      <c r="AE328" s="203">
        <f t="shared" si="44"/>
        <v>0.62944444444444447</v>
      </c>
      <c r="AF328" s="49">
        <f t="shared" si="45"/>
        <v>50.056386934822129</v>
      </c>
      <c r="AG328" s="49">
        <f t="shared" si="46"/>
        <v>50.056386934822129</v>
      </c>
      <c r="AH328" s="50">
        <f t="shared" si="47"/>
        <v>0.42421052631578948</v>
      </c>
      <c r="AI328" s="105">
        <f t="shared" si="48"/>
        <v>2.0846813640418769</v>
      </c>
      <c r="AJ328" s="270">
        <f>INDEX($AR$3:AS328,MATCH(COUNTA(O328:W328),$AR$3:$AR$12,0),2)</f>
        <v>2.1</v>
      </c>
      <c r="AK328" s="108">
        <f t="shared" si="40"/>
        <v>18.115000000000002</v>
      </c>
      <c r="AL328" s="91">
        <f t="shared" si="42"/>
        <v>3.4379489593158636</v>
      </c>
      <c r="AN328" s="313">
        <v>1.7299999999999999E-2</v>
      </c>
      <c r="AO328" s="309">
        <f>((AK328-AVERAGE(AL252:AL254)*AB328)/(AN328*1000))*100</f>
        <v>104.71098265895955</v>
      </c>
      <c r="AP328" s="319" t="s">
        <v>269</v>
      </c>
    </row>
    <row r="329" spans="1:42">
      <c r="A329" s="266" t="s">
        <v>388</v>
      </c>
      <c r="C329">
        <v>5.91</v>
      </c>
      <c r="E329">
        <v>3.55</v>
      </c>
      <c r="F329">
        <v>7.74</v>
      </c>
      <c r="G329">
        <v>5.93</v>
      </c>
      <c r="H329">
        <v>28.44</v>
      </c>
      <c r="I329">
        <v>21.85</v>
      </c>
      <c r="J329">
        <v>3.48</v>
      </c>
      <c r="K329">
        <v>18.91</v>
      </c>
      <c r="R329">
        <v>7.74</v>
      </c>
      <c r="S329">
        <v>5.93</v>
      </c>
      <c r="T329">
        <v>28.44</v>
      </c>
      <c r="U329">
        <v>21.85</v>
      </c>
      <c r="W329">
        <v>18.91</v>
      </c>
      <c r="Z329">
        <v>0.70699999999999996</v>
      </c>
      <c r="AA329">
        <v>0.09</v>
      </c>
      <c r="AB329">
        <v>7.6058300000000001</v>
      </c>
      <c r="AC329">
        <v>0.75</v>
      </c>
      <c r="AD329" s="87">
        <f t="shared" si="43"/>
        <v>0.52777777777777779</v>
      </c>
      <c r="AE329" s="203">
        <f t="shared" si="44"/>
        <v>0.63888888888888884</v>
      </c>
      <c r="AF329" s="49">
        <f t="shared" si="45"/>
        <v>51.58095257118174</v>
      </c>
      <c r="AG329" s="49">
        <f t="shared" si="46"/>
        <v>75.329034158008284</v>
      </c>
      <c r="AH329" s="50">
        <f t="shared" si="47"/>
        <v>0.29275877387827631</v>
      </c>
      <c r="AI329" s="105">
        <f t="shared" si="48"/>
        <v>1.3879941998245537</v>
      </c>
      <c r="AJ329" s="270">
        <f>INDEX($AR$3:AS329,MATCH(COUNTA(O329:W329),$AR$3:$AR$12,0),2)</f>
        <v>1.75</v>
      </c>
      <c r="AK329" s="108">
        <f t="shared" si="40"/>
        <v>16.574000000000002</v>
      </c>
      <c r="AL329" s="91">
        <f t="shared" si="42"/>
        <v>2.17911786090407</v>
      </c>
      <c r="AP329" s="319" t="s">
        <v>244</v>
      </c>
    </row>
    <row r="330" spans="1:42">
      <c r="A330" s="266" t="s">
        <v>389</v>
      </c>
      <c r="C330">
        <v>6.67</v>
      </c>
      <c r="E330">
        <v>2.97</v>
      </c>
      <c r="F330">
        <v>7.63</v>
      </c>
      <c r="G330">
        <v>7.62</v>
      </c>
      <c r="H330">
        <v>23.39</v>
      </c>
      <c r="I330">
        <v>18.329999999999998</v>
      </c>
      <c r="J330">
        <v>3.26</v>
      </c>
      <c r="K330">
        <v>16.600000000000001</v>
      </c>
      <c r="R330">
        <v>7.63</v>
      </c>
      <c r="S330">
        <v>7.62</v>
      </c>
      <c r="T330">
        <v>23.39</v>
      </c>
      <c r="U330">
        <v>18.329999999999998</v>
      </c>
      <c r="W330">
        <v>16.600000000000001</v>
      </c>
      <c r="Z330">
        <v>0.70699999999999996</v>
      </c>
      <c r="AA330">
        <v>0.09</v>
      </c>
      <c r="AB330">
        <v>7.6572449999999996</v>
      </c>
      <c r="AC330">
        <v>0.75</v>
      </c>
      <c r="AD330" s="87">
        <f t="shared" si="43"/>
        <v>0.52777777777777779</v>
      </c>
      <c r="AE330" s="203">
        <f t="shared" si="44"/>
        <v>0.63888888888888884</v>
      </c>
      <c r="AF330" s="49">
        <f t="shared" si="45"/>
        <v>42.160117514001286</v>
      </c>
      <c r="AG330" s="49">
        <f t="shared" si="46"/>
        <v>65.764608754837425</v>
      </c>
      <c r="AH330" s="50">
        <f t="shared" si="47"/>
        <v>0.32086239695624619</v>
      </c>
      <c r="AI330" s="105">
        <f t="shared" si="48"/>
        <v>1.3985789226859124</v>
      </c>
      <c r="AJ330" s="270">
        <f>INDEX($AR$3:AS330,MATCH(COUNTA(O330:W330),$AR$3:$AR$12,0),2)</f>
        <v>1.75</v>
      </c>
      <c r="AK330" s="108">
        <f t="shared" si="40"/>
        <v>14.713999999999999</v>
      </c>
      <c r="AL330" s="91">
        <f t="shared" si="42"/>
        <v>1.9215788446105615</v>
      </c>
      <c r="AP330" s="319" t="s">
        <v>244</v>
      </c>
    </row>
    <row r="331" spans="1:42">
      <c r="A331" s="267" t="s">
        <v>390</v>
      </c>
      <c r="B331">
        <v>52.93</v>
      </c>
      <c r="C331">
        <v>47.98</v>
      </c>
      <c r="E331">
        <v>18.22</v>
      </c>
      <c r="F331">
        <v>19.23</v>
      </c>
      <c r="G331">
        <v>25.01</v>
      </c>
      <c r="H331">
        <v>98.79</v>
      </c>
      <c r="I331">
        <v>51.25</v>
      </c>
      <c r="J331">
        <v>59.41</v>
      </c>
      <c r="K331">
        <v>62.13</v>
      </c>
      <c r="N331" s="306">
        <v>52.93</v>
      </c>
      <c r="O331">
        <v>47.98</v>
      </c>
      <c r="Q331">
        <v>18.22</v>
      </c>
      <c r="R331">
        <v>19.23</v>
      </c>
      <c r="S331">
        <v>25.01</v>
      </c>
      <c r="U331">
        <v>51.25</v>
      </c>
      <c r="V331">
        <v>59.41</v>
      </c>
      <c r="W331">
        <v>62.13</v>
      </c>
      <c r="Z331">
        <v>0.67300000000000004</v>
      </c>
      <c r="AA331">
        <v>3.9E-2</v>
      </c>
      <c r="AB331">
        <v>8.7565600000000003</v>
      </c>
      <c r="AC331">
        <v>0.83</v>
      </c>
      <c r="AD331" s="87">
        <f t="shared" si="43"/>
        <v>0.63888888888888884</v>
      </c>
      <c r="AE331" s="203">
        <f t="shared" si="44"/>
        <v>0.73444444444444446</v>
      </c>
      <c r="AF331" s="49">
        <f t="shared" si="45"/>
        <v>43.672186213356355</v>
      </c>
      <c r="AG331" s="49">
        <f t="shared" si="46"/>
        <v>53.197957129567584</v>
      </c>
      <c r="AH331" s="50">
        <f t="shared" si="47"/>
        <v>6.1944887269414842E-2</v>
      </c>
      <c r="AI331" s="105">
        <f t="shared" si="48"/>
        <v>1.2262644401686507</v>
      </c>
      <c r="AJ331" s="270">
        <f>INDEX($AR$3:AS331,MATCH(COUNTA(O331:W331),$AR$3:$AR$12,0),2)</f>
        <v>2.1</v>
      </c>
      <c r="AK331" s="108">
        <f t="shared" si="40"/>
        <v>42.019999999999996</v>
      </c>
      <c r="AL331" s="91">
        <f t="shared" si="42"/>
        <v>4.7986880692874818</v>
      </c>
      <c r="AP331" s="319" t="s">
        <v>203</v>
      </c>
    </row>
    <row r="332" spans="1:42">
      <c r="A332" s="267" t="s">
        <v>391</v>
      </c>
      <c r="B332">
        <v>70.45</v>
      </c>
      <c r="C332">
        <v>54.05</v>
      </c>
      <c r="D332">
        <v>10.35</v>
      </c>
      <c r="E332">
        <v>16.93</v>
      </c>
      <c r="F332">
        <v>17.82</v>
      </c>
      <c r="G332">
        <v>30.71</v>
      </c>
      <c r="H332">
        <v>107.95</v>
      </c>
      <c r="I332">
        <v>69.569999999999993</v>
      </c>
      <c r="J332">
        <v>59.1</v>
      </c>
      <c r="K332">
        <v>58.76</v>
      </c>
      <c r="N332" s="306">
        <v>70.45</v>
      </c>
      <c r="O332">
        <v>54.05</v>
      </c>
      <c r="P332">
        <v>10.35</v>
      </c>
      <c r="Q332">
        <v>16.93</v>
      </c>
      <c r="R332">
        <v>17.82</v>
      </c>
      <c r="S332">
        <v>30.71</v>
      </c>
      <c r="U332">
        <v>69.569999999999993</v>
      </c>
      <c r="V332">
        <v>59.1</v>
      </c>
      <c r="W332">
        <v>58.76</v>
      </c>
      <c r="Z332">
        <v>0.89800000000000002</v>
      </c>
      <c r="AA332">
        <v>3.9E-2</v>
      </c>
      <c r="AB332">
        <v>9.4032400000000003</v>
      </c>
      <c r="AC332">
        <v>0.63</v>
      </c>
      <c r="AD332" s="87">
        <f t="shared" si="43"/>
        <v>0.69444444444444442</v>
      </c>
      <c r="AE332" s="203">
        <f t="shared" si="44"/>
        <v>0.66222222222222227</v>
      </c>
      <c r="AF332" s="49">
        <f t="shared" si="45"/>
        <v>54.786656856330318</v>
      </c>
      <c r="AG332" s="49">
        <f t="shared" si="46"/>
        <v>62.793715795540017</v>
      </c>
      <c r="AH332" s="50">
        <f t="shared" si="47"/>
        <v>0.17679837892603839</v>
      </c>
      <c r="AI332" s="105">
        <f t="shared" si="48"/>
        <v>1.3764393022767152</v>
      </c>
      <c r="AJ332" s="270">
        <f>INDEX($AR$3:AS332,MATCH(COUNTA(O332:W332),$AR$3:$AR$12,0),2)</f>
        <v>2.2200000000000002</v>
      </c>
      <c r="AK332" s="108">
        <f t="shared" si="40"/>
        <v>43.082222222222221</v>
      </c>
      <c r="AL332" s="91">
        <f t="shared" si="42"/>
        <v>4.5816359278527639</v>
      </c>
      <c r="AP332" s="319" t="s">
        <v>203</v>
      </c>
    </row>
    <row r="333" spans="1:42">
      <c r="A333" s="267" t="s">
        <v>392</v>
      </c>
      <c r="B333">
        <v>59.42</v>
      </c>
      <c r="C333">
        <v>50.94</v>
      </c>
      <c r="E333">
        <v>17.3</v>
      </c>
      <c r="F333">
        <v>24.87</v>
      </c>
      <c r="G333">
        <v>38.700000000000003</v>
      </c>
      <c r="H333">
        <v>122.32</v>
      </c>
      <c r="I333">
        <v>81.22</v>
      </c>
      <c r="J333">
        <v>59.56</v>
      </c>
      <c r="K333">
        <v>68.64</v>
      </c>
      <c r="N333" s="306">
        <v>59.42</v>
      </c>
      <c r="O333">
        <v>50.94</v>
      </c>
      <c r="Q333">
        <v>17.3</v>
      </c>
      <c r="R333">
        <v>24.87</v>
      </c>
      <c r="S333">
        <v>38.700000000000003</v>
      </c>
      <c r="V333">
        <v>59.56</v>
      </c>
      <c r="W333">
        <v>68.64</v>
      </c>
      <c r="Z333">
        <v>0.65100000000000002</v>
      </c>
      <c r="AA333">
        <v>3.9E-2</v>
      </c>
      <c r="AB333">
        <v>8.4645399999999995</v>
      </c>
      <c r="AC333">
        <v>0.82</v>
      </c>
      <c r="AD333" s="87">
        <f t="shared" si="43"/>
        <v>0.58333333333333326</v>
      </c>
      <c r="AE333" s="203">
        <f t="shared" si="44"/>
        <v>0.70166666666666666</v>
      </c>
      <c r="AF333" s="49">
        <f t="shared" si="45"/>
        <v>42.14868422952128</v>
      </c>
      <c r="AG333" s="49">
        <f t="shared" si="46"/>
        <v>54.46661765485922</v>
      </c>
      <c r="AH333" s="50">
        <f t="shared" si="47"/>
        <v>0.17686014803272299</v>
      </c>
      <c r="AI333" s="105">
        <f t="shared" si="48"/>
        <v>1.3854265914597317</v>
      </c>
      <c r="AJ333" s="270">
        <f>INDEX($AR$3:AS333,MATCH(COUNTA(O333:W333),$AR$3:$AR$12,0),2)</f>
        <v>1.94</v>
      </c>
      <c r="AK333" s="108">
        <f t="shared" si="40"/>
        <v>45.632857142857141</v>
      </c>
      <c r="AL333" s="91">
        <f t="shared" si="42"/>
        <v>5.3910616693709459</v>
      </c>
      <c r="AP333" s="319" t="s">
        <v>203</v>
      </c>
    </row>
    <row r="334" spans="1:42">
      <c r="A334" s="271" t="s">
        <v>393</v>
      </c>
      <c r="H334">
        <v>8.7100000000000009</v>
      </c>
      <c r="T334">
        <v>8.7100000000000009</v>
      </c>
      <c r="AB334">
        <v>0.15474299999999999</v>
      </c>
      <c r="AC334">
        <v>0.52</v>
      </c>
      <c r="AD334" s="87">
        <f t="shared" si="43"/>
        <v>0.55555555555555558</v>
      </c>
      <c r="AE334" s="203">
        <f t="shared" si="44"/>
        <v>0.5377777777777778</v>
      </c>
      <c r="AF334" s="49">
        <f t="shared" si="45"/>
        <v>0</v>
      </c>
      <c r="AG334" s="49">
        <f t="shared" si="46"/>
        <v>0</v>
      </c>
      <c r="AH334" s="50" t="e">
        <f t="shared" si="47"/>
        <v>#NUM!</v>
      </c>
      <c r="AI334" s="105" t="e">
        <f t="shared" si="48"/>
        <v>#DIV/0!</v>
      </c>
      <c r="AJ334" s="270" t="e">
        <f>INDEX($AR$3:AS334,MATCH(COUNTA(O334:W334),$AR$3:$AR$12,0),2)</f>
        <v>#N/A</v>
      </c>
      <c r="AK334" s="108">
        <f t="shared" si="40"/>
        <v>8.7100000000000009</v>
      </c>
      <c r="AL334" s="91" t="str">
        <f t="shared" si="42"/>
        <v>n.d.</v>
      </c>
      <c r="AP334" s="319" t="s">
        <v>186</v>
      </c>
    </row>
    <row r="335" spans="1:42">
      <c r="A335" s="271" t="s">
        <v>394</v>
      </c>
      <c r="AB335">
        <v>0.34290399999999999</v>
      </c>
      <c r="AD335" s="87" t="e">
        <f t="shared" si="43"/>
        <v>#DIV/0!</v>
      </c>
      <c r="AE335" s="203" t="e">
        <f t="shared" si="44"/>
        <v>#DIV/0!</v>
      </c>
      <c r="AF335" s="49" t="e">
        <f t="shared" si="45"/>
        <v>#DIV/0!</v>
      </c>
      <c r="AG335" s="49" t="e">
        <f t="shared" si="46"/>
        <v>#DIV/0!</v>
      </c>
      <c r="AH335" s="50" t="e">
        <f t="shared" si="47"/>
        <v>#NUM!</v>
      </c>
      <c r="AI335" s="105" t="e">
        <f t="shared" si="48"/>
        <v>#DIV/0!</v>
      </c>
      <c r="AJ335" s="270" t="e">
        <f>INDEX($AR$3:AS335,MATCH(COUNTA(O335:W335),$AR$3:$AR$12,0),2)</f>
        <v>#N/A</v>
      </c>
      <c r="AK335" s="108" t="e">
        <f t="shared" si="40"/>
        <v>#DIV/0!</v>
      </c>
      <c r="AL335" s="91" t="str">
        <f t="shared" si="42"/>
        <v>n.d.</v>
      </c>
      <c r="AP335" s="319" t="s">
        <v>186</v>
      </c>
    </row>
    <row r="336" spans="1:42">
      <c r="A336" s="271" t="s">
        <v>395</v>
      </c>
      <c r="Z336">
        <v>1478.98</v>
      </c>
      <c r="AA336">
        <v>1483</v>
      </c>
      <c r="AB336">
        <f>Z336-AA336</f>
        <v>-4.0199999999999818</v>
      </c>
      <c r="AC336">
        <v>0.52</v>
      </c>
      <c r="AD336" s="87" t="e">
        <f t="shared" si="43"/>
        <v>#DIV/0!</v>
      </c>
      <c r="AE336" s="203" t="e">
        <f t="shared" si="44"/>
        <v>#DIV/0!</v>
      </c>
      <c r="AF336" s="49" t="e">
        <f t="shared" si="45"/>
        <v>#DIV/0!</v>
      </c>
      <c r="AG336" s="49" t="e">
        <f t="shared" si="46"/>
        <v>#DIV/0!</v>
      </c>
      <c r="AH336" s="50" t="e">
        <f t="shared" si="47"/>
        <v>#NUM!</v>
      </c>
      <c r="AI336" s="105" t="e">
        <f t="shared" si="48"/>
        <v>#DIV/0!</v>
      </c>
      <c r="AJ336" s="270" t="e">
        <f>INDEX($AR$3:AS336,MATCH(COUNTA(O336:W336),$AR$3:$AR$12,0),2)</f>
        <v>#N/A</v>
      </c>
      <c r="AK336" s="108" t="e">
        <f t="shared" si="40"/>
        <v>#DIV/0!</v>
      </c>
      <c r="AL336" s="91" t="str">
        <f t="shared" si="42"/>
        <v>n.d.</v>
      </c>
      <c r="AP336" s="319" t="s">
        <v>186</v>
      </c>
    </row>
    <row r="337" spans="1:42">
      <c r="A337" s="271" t="s">
        <v>396</v>
      </c>
      <c r="Z337">
        <v>1465.51</v>
      </c>
      <c r="AA337">
        <v>1465</v>
      </c>
      <c r="AB337">
        <f>Z337-AA337</f>
        <v>0.50999999999999091</v>
      </c>
      <c r="AD337" s="87" t="e">
        <f t="shared" si="43"/>
        <v>#DIV/0!</v>
      </c>
      <c r="AE337" s="203" t="e">
        <f t="shared" si="44"/>
        <v>#DIV/0!</v>
      </c>
      <c r="AF337" s="49" t="e">
        <f t="shared" si="45"/>
        <v>#DIV/0!</v>
      </c>
      <c r="AG337" s="49" t="e">
        <f t="shared" si="46"/>
        <v>#DIV/0!</v>
      </c>
      <c r="AH337" s="50" t="e">
        <f t="shared" si="47"/>
        <v>#NUM!</v>
      </c>
      <c r="AI337" s="105" t="e">
        <f t="shared" si="48"/>
        <v>#DIV/0!</v>
      </c>
      <c r="AJ337" s="270" t="e">
        <f>INDEX($AR$3:AS337,MATCH(COUNTA(O337:W337),$AR$3:$AR$12,0),2)</f>
        <v>#N/A</v>
      </c>
      <c r="AK337" s="108" t="e">
        <f t="shared" si="40"/>
        <v>#DIV/0!</v>
      </c>
      <c r="AL337" s="91" t="str">
        <f t="shared" si="42"/>
        <v>n.d.</v>
      </c>
      <c r="AP337" s="319" t="s">
        <v>186</v>
      </c>
    </row>
    <row r="338" spans="1:42">
      <c r="A338" s="271" t="s">
        <v>397</v>
      </c>
      <c r="H338">
        <v>5.45</v>
      </c>
      <c r="I338">
        <v>7.97</v>
      </c>
      <c r="T338">
        <v>5.45</v>
      </c>
      <c r="U338">
        <v>7.97</v>
      </c>
      <c r="Z338">
        <v>1455.08</v>
      </c>
      <c r="AA338">
        <v>1454.1</v>
      </c>
      <c r="AB338">
        <f>Z338-AA338</f>
        <v>0.98000000000001819</v>
      </c>
      <c r="AC338">
        <v>0.68</v>
      </c>
      <c r="AD338" s="87">
        <f t="shared" si="43"/>
        <v>0.61111111111111116</v>
      </c>
      <c r="AE338" s="203">
        <f t="shared" si="44"/>
        <v>0.64555555555555566</v>
      </c>
      <c r="AF338" s="49">
        <f t="shared" si="45"/>
        <v>18.777943368107312</v>
      </c>
      <c r="AG338" s="49">
        <f t="shared" si="46"/>
        <v>18.777943368107312</v>
      </c>
      <c r="AH338" s="50">
        <f t="shared" si="47"/>
        <v>1</v>
      </c>
      <c r="AI338" s="105">
        <f t="shared" si="48"/>
        <v>0.99999999999999933</v>
      </c>
      <c r="AJ338" s="270" t="e">
        <f>INDEX($AR$3:AS338,MATCH(COUNTA(O338:W338),$AR$3:$AR$12,0),2)</f>
        <v>#N/A</v>
      </c>
      <c r="AK338" s="108">
        <f t="shared" si="40"/>
        <v>6.71</v>
      </c>
      <c r="AL338" s="91">
        <f t="shared" si="42"/>
        <v>6.8469387755100772</v>
      </c>
      <c r="AP338" s="319" t="s">
        <v>186</v>
      </c>
    </row>
    <row r="339" spans="1:42">
      <c r="A339" s="271" t="s">
        <v>398</v>
      </c>
      <c r="D339">
        <v>4.9800000000000004</v>
      </c>
      <c r="E339">
        <v>3.94</v>
      </c>
      <c r="F339">
        <v>10.74</v>
      </c>
      <c r="G339">
        <v>8.2899999999999991</v>
      </c>
      <c r="H339">
        <v>28.12</v>
      </c>
      <c r="I339">
        <v>15.89</v>
      </c>
      <c r="P339">
        <v>4.9800000000000004</v>
      </c>
      <c r="Q339">
        <v>3.94</v>
      </c>
      <c r="R339">
        <v>10.74</v>
      </c>
      <c r="S339">
        <v>8.2899999999999991</v>
      </c>
      <c r="T339">
        <v>28.12</v>
      </c>
      <c r="U339">
        <v>15.89</v>
      </c>
      <c r="Z339">
        <v>1471.17</v>
      </c>
      <c r="AA339">
        <v>1459.5</v>
      </c>
      <c r="AB339">
        <f>Z339-AA339</f>
        <v>11.670000000000073</v>
      </c>
      <c r="AC339">
        <v>0.62</v>
      </c>
      <c r="AD339" s="87">
        <f t="shared" si="43"/>
        <v>0.58333333333333326</v>
      </c>
      <c r="AE339" s="203">
        <f t="shared" si="44"/>
        <v>0.60166666666666657</v>
      </c>
      <c r="AF339" s="49">
        <f t="shared" si="45"/>
        <v>68.468011227178863</v>
      </c>
      <c r="AG339" s="49">
        <f t="shared" si="46"/>
        <v>68.468011227178863</v>
      </c>
      <c r="AH339" s="50">
        <f t="shared" si="47"/>
        <v>0.50578990901571552</v>
      </c>
      <c r="AI339" s="105">
        <f t="shared" si="48"/>
        <v>1.9638892451201804</v>
      </c>
      <c r="AJ339" s="270">
        <f>INDEX($AR$3:AS339,MATCH(COUNTA(O339:W339),$AR$3:$AR$12,0),2)</f>
        <v>1.94</v>
      </c>
      <c r="AK339" s="108">
        <f t="shared" si="40"/>
        <v>11.993333333333334</v>
      </c>
      <c r="AL339" s="91">
        <f t="shared" si="42"/>
        <v>1.0277063696086768</v>
      </c>
      <c r="AP339" s="319" t="s">
        <v>186</v>
      </c>
    </row>
    <row r="340" spans="1:42">
      <c r="A340" s="271" t="s">
        <v>399</v>
      </c>
      <c r="H340">
        <v>5.07</v>
      </c>
      <c r="I340">
        <v>7.05</v>
      </c>
      <c r="T340">
        <v>5.07</v>
      </c>
      <c r="U340">
        <v>7.05</v>
      </c>
      <c r="Z340">
        <v>1468.48</v>
      </c>
      <c r="AA340">
        <v>1467.5</v>
      </c>
      <c r="AB340">
        <f>Z340-AA340</f>
        <v>0.98000000000001819</v>
      </c>
      <c r="AC340">
        <v>0.75</v>
      </c>
      <c r="AD340" s="87">
        <f t="shared" si="43"/>
        <v>0.61111111111111116</v>
      </c>
      <c r="AE340" s="203">
        <f t="shared" si="44"/>
        <v>0.68055555555555558</v>
      </c>
      <c r="AF340" s="49">
        <f t="shared" si="45"/>
        <v>16.336633663366278</v>
      </c>
      <c r="AG340" s="49">
        <f t="shared" si="46"/>
        <v>16.336633663366278</v>
      </c>
      <c r="AH340" s="50">
        <f t="shared" si="47"/>
        <v>1</v>
      </c>
      <c r="AI340" s="105">
        <f t="shared" si="48"/>
        <v>1.0000000000000029</v>
      </c>
      <c r="AJ340" s="270" t="e">
        <f>INDEX($AR$3:AS340,MATCH(COUNTA(O340:W340),$AR$3:$AR$12,0),2)</f>
        <v>#N/A</v>
      </c>
      <c r="AK340" s="108">
        <f t="shared" si="40"/>
        <v>6.0600000000000005</v>
      </c>
      <c r="AL340" s="91">
        <f t="shared" si="42"/>
        <v>6.1836734693876405</v>
      </c>
      <c r="AP340" s="319" t="s">
        <v>186</v>
      </c>
    </row>
    <row r="341" spans="1:42">
      <c r="A341" s="276" t="s">
        <v>400</v>
      </c>
      <c r="B341">
        <v>41.19</v>
      </c>
      <c r="C341">
        <v>14.05</v>
      </c>
      <c r="D341">
        <v>5.49</v>
      </c>
      <c r="E341">
        <v>6.4</v>
      </c>
      <c r="F341">
        <v>17.899999999999999</v>
      </c>
      <c r="G341">
        <v>16.190000000000001</v>
      </c>
      <c r="H341">
        <v>39.01</v>
      </c>
      <c r="I341">
        <v>23.58</v>
      </c>
      <c r="J341">
        <v>17.39</v>
      </c>
      <c r="K341">
        <v>25.16</v>
      </c>
      <c r="N341" s="306">
        <v>41.19</v>
      </c>
      <c r="O341">
        <v>14.05</v>
      </c>
      <c r="P341">
        <v>5.49</v>
      </c>
      <c r="Q341">
        <v>6.4</v>
      </c>
      <c r="R341">
        <v>17.899999999999999</v>
      </c>
      <c r="S341">
        <v>16.190000000000001</v>
      </c>
      <c r="T341">
        <v>39.01</v>
      </c>
      <c r="U341">
        <v>23.58</v>
      </c>
      <c r="V341">
        <v>17.39</v>
      </c>
      <c r="W341">
        <v>25.16</v>
      </c>
      <c r="Z341">
        <v>0.56200000000000006</v>
      </c>
      <c r="AA341">
        <v>5.6000000000000001E-2</v>
      </c>
      <c r="AB341">
        <v>5.7561650000000002</v>
      </c>
      <c r="AC341">
        <v>0.72</v>
      </c>
      <c r="AD341" s="87">
        <f t="shared" si="43"/>
        <v>0.75</v>
      </c>
      <c r="AE341" s="203">
        <f t="shared" si="44"/>
        <v>0.73499999999999999</v>
      </c>
      <c r="AF341" s="49">
        <f t="shared" si="45"/>
        <v>52.422708649241557</v>
      </c>
      <c r="AG341" s="49">
        <f t="shared" si="46"/>
        <v>52.422708649241557</v>
      </c>
      <c r="AH341" s="50">
        <f t="shared" si="47"/>
        <v>0.41318615751789972</v>
      </c>
      <c r="AI341" s="105">
        <f t="shared" si="48"/>
        <v>2.1472147657135667</v>
      </c>
      <c r="AJ341" s="270">
        <f>INDEX($AR$3:AS341,MATCH(COUNTA(O341:W341),$AR$3:$AR$12,0),2)</f>
        <v>2.3199999999999998</v>
      </c>
      <c r="AK341" s="108">
        <f t="shared" si="40"/>
        <v>20.635999999999999</v>
      </c>
      <c r="AL341" s="91">
        <f t="shared" si="42"/>
        <v>3.585025794083387</v>
      </c>
      <c r="AP341" s="319" t="s">
        <v>203</v>
      </c>
    </row>
    <row r="342" spans="1:42">
      <c r="A342" s="276" t="s">
        <v>401</v>
      </c>
      <c r="C342">
        <v>7.31</v>
      </c>
      <c r="D342">
        <v>11.21</v>
      </c>
      <c r="E342">
        <v>5.34</v>
      </c>
      <c r="F342">
        <v>9.44</v>
      </c>
      <c r="G342">
        <v>11.16</v>
      </c>
      <c r="H342">
        <v>33.89</v>
      </c>
      <c r="I342">
        <v>22.68</v>
      </c>
      <c r="J342">
        <v>6.36</v>
      </c>
      <c r="K342">
        <v>15.88</v>
      </c>
      <c r="O342">
        <v>7.31</v>
      </c>
      <c r="P342">
        <v>11.21</v>
      </c>
      <c r="R342">
        <v>9.44</v>
      </c>
      <c r="S342">
        <v>11.16</v>
      </c>
      <c r="T342">
        <v>33.89</v>
      </c>
      <c r="U342">
        <v>22.68</v>
      </c>
      <c r="V342">
        <v>6.36</v>
      </c>
      <c r="W342">
        <v>15.88</v>
      </c>
      <c r="Z342">
        <v>0.85599999999999998</v>
      </c>
      <c r="AA342">
        <v>5.6000000000000001E-2</v>
      </c>
      <c r="AB342">
        <v>4.7628300000000001</v>
      </c>
      <c r="AC342">
        <v>0.68</v>
      </c>
      <c r="AD342" s="87">
        <f t="shared" si="43"/>
        <v>0.69444444444444442</v>
      </c>
      <c r="AE342" s="203">
        <f t="shared" si="44"/>
        <v>0.68722222222222218</v>
      </c>
      <c r="AF342" s="49">
        <f t="shared" si="45"/>
        <v>59.22929784311215</v>
      </c>
      <c r="AG342" s="49">
        <f t="shared" si="46"/>
        <v>63.854616586952119</v>
      </c>
      <c r="AH342" s="50">
        <f t="shared" si="47"/>
        <v>0.40719215401380315</v>
      </c>
      <c r="AI342" s="105">
        <f t="shared" si="48"/>
        <v>2.1931560462894408</v>
      </c>
      <c r="AJ342" s="270">
        <f>INDEX($AR$3:AS342,MATCH(COUNTA(O342:W342),$AR$3:$AR$12,0),2)</f>
        <v>2.2200000000000002</v>
      </c>
      <c r="AK342" s="108">
        <f t="shared" si="40"/>
        <v>14.741249999999999</v>
      </c>
      <c r="AL342" s="91">
        <f t="shared" si="42"/>
        <v>3.0950611296225139</v>
      </c>
      <c r="AP342" s="319" t="s">
        <v>203</v>
      </c>
    </row>
    <row r="343" spans="1:42">
      <c r="A343" s="276" t="s">
        <v>402</v>
      </c>
      <c r="B343">
        <v>15.78</v>
      </c>
      <c r="C343">
        <v>33.92</v>
      </c>
      <c r="D343">
        <v>15.58</v>
      </c>
      <c r="E343">
        <v>10.199999999999999</v>
      </c>
      <c r="F343">
        <v>19.97</v>
      </c>
      <c r="G343">
        <v>17.28</v>
      </c>
      <c r="H343">
        <v>70.19</v>
      </c>
      <c r="I343">
        <v>39.159999999999997</v>
      </c>
      <c r="J343">
        <v>28.15</v>
      </c>
      <c r="K343">
        <v>37.549999999999997</v>
      </c>
      <c r="N343" s="306">
        <v>15.78</v>
      </c>
      <c r="O343">
        <v>33.92</v>
      </c>
      <c r="P343">
        <v>15.58</v>
      </c>
      <c r="Q343">
        <v>10.199999999999999</v>
      </c>
      <c r="R343">
        <v>19.97</v>
      </c>
      <c r="S343">
        <v>17.28</v>
      </c>
      <c r="U343">
        <v>39.159999999999997</v>
      </c>
      <c r="V343">
        <v>28.15</v>
      </c>
      <c r="W343">
        <v>37.549999999999997</v>
      </c>
      <c r="Z343">
        <v>0.76500000000000001</v>
      </c>
      <c r="AA343">
        <v>5.6000000000000001E-2</v>
      </c>
      <c r="AB343">
        <v>6.4529300000000003</v>
      </c>
      <c r="AC343">
        <v>0.82</v>
      </c>
      <c r="AD343" s="87">
        <f t="shared" si="43"/>
        <v>0.69444444444444442</v>
      </c>
      <c r="AE343" s="203">
        <f t="shared" si="44"/>
        <v>0.75722222222222224</v>
      </c>
      <c r="AF343" s="49">
        <f t="shared" si="45"/>
        <v>40.614464122861349</v>
      </c>
      <c r="AG343" s="49">
        <f t="shared" si="46"/>
        <v>56.636478915489064</v>
      </c>
      <c r="AH343" s="50">
        <f t="shared" si="47"/>
        <v>5.5593922651933685E-2</v>
      </c>
      <c r="AI343" s="105">
        <f t="shared" si="48"/>
        <v>1.3599864811093323</v>
      </c>
      <c r="AJ343" s="270">
        <f>INDEX($AR$3:AS343,MATCH(COUNTA(O343:W343),$AR$3:$AR$12,0),2)</f>
        <v>2.2200000000000002</v>
      </c>
      <c r="AK343" s="108">
        <f t="shared" si="40"/>
        <v>24.176666666666662</v>
      </c>
      <c r="AL343" s="91">
        <f t="shared" si="42"/>
        <v>3.7466184611744837</v>
      </c>
      <c r="AP343" s="319" t="s">
        <v>203</v>
      </c>
    </row>
    <row r="344" spans="1:42">
      <c r="A344" s="276" t="s">
        <v>403</v>
      </c>
      <c r="B344">
        <v>9.94</v>
      </c>
      <c r="D344">
        <v>9.61</v>
      </c>
      <c r="E344">
        <v>9.19</v>
      </c>
      <c r="F344">
        <v>8.7200000000000006</v>
      </c>
      <c r="G344">
        <v>7.22</v>
      </c>
      <c r="H344">
        <v>12.54</v>
      </c>
      <c r="I344">
        <v>15.78</v>
      </c>
      <c r="N344" s="306">
        <v>9.94</v>
      </c>
      <c r="P344">
        <v>9.61</v>
      </c>
      <c r="Q344">
        <v>9.19</v>
      </c>
      <c r="R344">
        <v>8.7200000000000006</v>
      </c>
      <c r="S344">
        <v>7.22</v>
      </c>
      <c r="T344">
        <v>12.54</v>
      </c>
      <c r="U344">
        <v>15.78</v>
      </c>
      <c r="Z344">
        <v>1.071</v>
      </c>
      <c r="AA344">
        <v>2.4E-2</v>
      </c>
      <c r="AB344">
        <v>10.1638</v>
      </c>
      <c r="AC344">
        <v>0.68</v>
      </c>
      <c r="AD344" s="87">
        <f t="shared" si="43"/>
        <v>0.83333333333333326</v>
      </c>
      <c r="AE344" s="203">
        <f t="shared" si="44"/>
        <v>0.7566666666666666</v>
      </c>
      <c r="AF344" s="49">
        <f t="shared" si="45"/>
        <v>27.044432951557635</v>
      </c>
      <c r="AG344" s="49">
        <f t="shared" si="46"/>
        <v>27.044432951557635</v>
      </c>
      <c r="AH344" s="50">
        <f t="shared" si="47"/>
        <v>0.37850467289719636</v>
      </c>
      <c r="AI344" s="105">
        <f t="shared" si="48"/>
        <v>1.8540866176674535</v>
      </c>
      <c r="AJ344" s="270">
        <f>INDEX($AR$3:AS344,MATCH(COUNTA(O344:W344),$AR$3:$AR$12,0),2)</f>
        <v>1.94</v>
      </c>
      <c r="AK344" s="108">
        <f t="shared" si="40"/>
        <v>10.428571428571427</v>
      </c>
      <c r="AL344" s="91">
        <f t="shared" si="42"/>
        <v>1.0260504367039323</v>
      </c>
      <c r="AP344" s="319" t="s">
        <v>123</v>
      </c>
    </row>
    <row r="345" spans="1:42">
      <c r="A345" s="276" t="s">
        <v>404</v>
      </c>
      <c r="B345">
        <v>23.87</v>
      </c>
      <c r="C345">
        <v>5.35</v>
      </c>
      <c r="D345">
        <v>13.98</v>
      </c>
      <c r="E345">
        <v>9.9499999999999993</v>
      </c>
      <c r="F345">
        <v>12.29</v>
      </c>
      <c r="G345">
        <v>16.88</v>
      </c>
      <c r="H345">
        <v>28.46</v>
      </c>
      <c r="I345">
        <v>29.58</v>
      </c>
      <c r="J345">
        <v>4.59</v>
      </c>
      <c r="K345">
        <v>16.91</v>
      </c>
      <c r="N345" s="306">
        <v>23.87</v>
      </c>
      <c r="O345">
        <v>5.35</v>
      </c>
      <c r="P345">
        <v>13.98</v>
      </c>
      <c r="Q345">
        <v>9.9499999999999993</v>
      </c>
      <c r="R345">
        <v>12.29</v>
      </c>
      <c r="S345">
        <v>16.88</v>
      </c>
      <c r="T345">
        <v>28.46</v>
      </c>
      <c r="U345">
        <v>29.58</v>
      </c>
      <c r="V345">
        <v>4.59</v>
      </c>
      <c r="W345">
        <v>16.91</v>
      </c>
      <c r="Z345">
        <v>0.83</v>
      </c>
      <c r="AA345">
        <v>2.4E-2</v>
      </c>
      <c r="AB345">
        <v>9.1895349999999993</v>
      </c>
      <c r="AC345">
        <v>0.85</v>
      </c>
      <c r="AD345" s="87">
        <f t="shared" si="43"/>
        <v>0.75</v>
      </c>
      <c r="AE345" s="203">
        <f t="shared" si="44"/>
        <v>0.8</v>
      </c>
      <c r="AF345" s="49">
        <f t="shared" si="45"/>
        <v>54.798429399781377</v>
      </c>
      <c r="AG345" s="49">
        <f t="shared" si="46"/>
        <v>54.798429399781377</v>
      </c>
      <c r="AH345" s="50">
        <f t="shared" si="47"/>
        <v>4.4817927170868251E-2</v>
      </c>
      <c r="AI345" s="105">
        <f t="shared" si="48"/>
        <v>1.6957972101612842</v>
      </c>
      <c r="AJ345" s="270">
        <f>INDEX($AR$3:AS345,MATCH(COUNTA(O345:W345),$AR$3:$AR$12,0),2)</f>
        <v>2.3199999999999998</v>
      </c>
      <c r="AK345" s="108">
        <f t="shared" si="40"/>
        <v>16.186</v>
      </c>
      <c r="AL345" s="91">
        <f t="shared" si="42"/>
        <v>1.7613513632626678</v>
      </c>
      <c r="AP345" s="319" t="s">
        <v>123</v>
      </c>
    </row>
    <row r="346" spans="1:42">
      <c r="A346" s="276" t="s">
        <v>405</v>
      </c>
      <c r="E346">
        <v>3.95</v>
      </c>
      <c r="F346">
        <v>6.67</v>
      </c>
      <c r="G346">
        <v>5.84</v>
      </c>
      <c r="H346">
        <v>12.68</v>
      </c>
      <c r="I346">
        <v>11.38</v>
      </c>
      <c r="K346">
        <v>4.3499999999999996</v>
      </c>
      <c r="Q346">
        <v>3.95</v>
      </c>
      <c r="R346">
        <v>6.67</v>
      </c>
      <c r="S346">
        <v>5.84</v>
      </c>
      <c r="T346">
        <v>12.68</v>
      </c>
      <c r="U346">
        <v>11.38</v>
      </c>
      <c r="W346">
        <v>4.3499999999999996</v>
      </c>
      <c r="Z346">
        <v>1.127</v>
      </c>
      <c r="AA346">
        <v>0.122</v>
      </c>
      <c r="AB346">
        <v>8.6095749999999995</v>
      </c>
      <c r="AC346">
        <v>0.72</v>
      </c>
      <c r="AD346" s="87">
        <f t="shared" si="43"/>
        <v>0.58333333333333326</v>
      </c>
      <c r="AE346" s="203">
        <f t="shared" si="44"/>
        <v>0.65166666666666662</v>
      </c>
      <c r="AF346" s="49">
        <f t="shared" si="45"/>
        <v>44.968213003339621</v>
      </c>
      <c r="AG346" s="49">
        <f t="shared" si="46"/>
        <v>44.968213003339621</v>
      </c>
      <c r="AH346" s="50">
        <f t="shared" si="47"/>
        <v>0.14891179839633434</v>
      </c>
      <c r="AI346" s="105">
        <f t="shared" si="48"/>
        <v>1.5467925429994378</v>
      </c>
      <c r="AJ346" s="270">
        <f>INDEX($AR$3:AS346,MATCH(COUNTA(O346:W346),$AR$3:$AR$12,0),2)</f>
        <v>1.94</v>
      </c>
      <c r="AK346" s="108">
        <f t="shared" ref="AK346:AK409" si="49">AVERAGE(N346:Y346)</f>
        <v>7.4783333333333344</v>
      </c>
      <c r="AL346" s="91">
        <f t="shared" si="42"/>
        <v>0.86860656110590062</v>
      </c>
      <c r="AP346" s="319" t="s">
        <v>123</v>
      </c>
    </row>
    <row r="347" spans="1:42">
      <c r="A347" s="276" t="s">
        <v>406</v>
      </c>
      <c r="F347">
        <v>3.87</v>
      </c>
      <c r="G347">
        <v>3.75</v>
      </c>
      <c r="H347">
        <v>4.41</v>
      </c>
      <c r="I347">
        <v>7.9</v>
      </c>
      <c r="R347">
        <v>3.87</v>
      </c>
      <c r="S347">
        <v>3.75</v>
      </c>
      <c r="T347">
        <v>4.41</v>
      </c>
      <c r="U347">
        <v>7.9</v>
      </c>
      <c r="Z347">
        <v>0.71899999999999997</v>
      </c>
      <c r="AA347">
        <v>0.122</v>
      </c>
      <c r="AB347">
        <v>5.6536</v>
      </c>
      <c r="AC347">
        <v>0.75</v>
      </c>
      <c r="AD347" s="87">
        <f t="shared" si="43"/>
        <v>0.72222222222222221</v>
      </c>
      <c r="AE347" s="203">
        <f t="shared" si="44"/>
        <v>0.73611111111111116</v>
      </c>
      <c r="AF347" s="49">
        <f t="shared" si="45"/>
        <v>34.172908985927641</v>
      </c>
      <c r="AG347" s="49">
        <f t="shared" si="46"/>
        <v>34.172908985927641</v>
      </c>
      <c r="AH347" s="50">
        <f t="shared" si="47"/>
        <v>0.84096385542168672</v>
      </c>
      <c r="AI347" s="105">
        <f t="shared" si="48"/>
        <v>1.7134901310905666</v>
      </c>
      <c r="AJ347" s="270">
        <f>INDEX($AR$3:AS347,MATCH(COUNTA(O347:W347),$AR$3:$AR$12,0),2)</f>
        <v>1.49</v>
      </c>
      <c r="AK347" s="108">
        <f t="shared" si="49"/>
        <v>4.9824999999999999</v>
      </c>
      <c r="AL347" s="91">
        <f t="shared" si="42"/>
        <v>0.88129687278901936</v>
      </c>
      <c r="AP347" s="319" t="s">
        <v>123</v>
      </c>
    </row>
    <row r="348" spans="1:42">
      <c r="A348" s="276" t="s">
        <v>407</v>
      </c>
      <c r="F348">
        <v>5.66</v>
      </c>
      <c r="G348">
        <v>6.59</v>
      </c>
      <c r="H348">
        <v>8.0399999999999991</v>
      </c>
      <c r="I348">
        <v>8.31</v>
      </c>
      <c r="R348">
        <v>5.66</v>
      </c>
      <c r="S348">
        <v>6.59</v>
      </c>
      <c r="T348">
        <v>8.0399999999999991</v>
      </c>
      <c r="U348">
        <v>8.31</v>
      </c>
      <c r="Z348">
        <v>0.41699999999999998</v>
      </c>
      <c r="AA348">
        <v>0.122</v>
      </c>
      <c r="AB348">
        <v>7.3856149999999996</v>
      </c>
      <c r="AC348">
        <v>0.75</v>
      </c>
      <c r="AD348" s="87">
        <f t="shared" si="43"/>
        <v>0.72222222222222221</v>
      </c>
      <c r="AE348" s="203">
        <f t="shared" si="44"/>
        <v>0.73611111111111116</v>
      </c>
      <c r="AF348" s="49">
        <f t="shared" si="45"/>
        <v>15.114280948207526</v>
      </c>
      <c r="AG348" s="49">
        <f t="shared" si="46"/>
        <v>15.114280948207526</v>
      </c>
      <c r="AH348" s="50">
        <f t="shared" si="47"/>
        <v>0.10188679245283068</v>
      </c>
      <c r="AI348" s="105">
        <f t="shared" si="48"/>
        <v>1.0734070829681301</v>
      </c>
      <c r="AJ348" s="270">
        <f>INDEX($AR$3:AS348,MATCH(COUNTA(O348:W348),$AR$3:$AR$12,0),2)</f>
        <v>1.49</v>
      </c>
      <c r="AK348" s="108">
        <f t="shared" si="49"/>
        <v>7.15</v>
      </c>
      <c r="AL348" s="91">
        <f t="shared" si="42"/>
        <v>0.96809812046796384</v>
      </c>
      <c r="AP348" s="319" t="s">
        <v>123</v>
      </c>
    </row>
    <row r="349" spans="1:42">
      <c r="A349" s="276" t="s">
        <v>408</v>
      </c>
      <c r="D349">
        <v>11.99</v>
      </c>
      <c r="E349">
        <v>30.91</v>
      </c>
      <c r="F349">
        <v>16.66</v>
      </c>
      <c r="G349">
        <v>35.200000000000003</v>
      </c>
      <c r="H349">
        <v>82.62</v>
      </c>
      <c r="I349">
        <v>65.63</v>
      </c>
      <c r="J349">
        <v>36.58</v>
      </c>
      <c r="K349">
        <v>93.7</v>
      </c>
      <c r="P349">
        <v>11.99</v>
      </c>
      <c r="Q349">
        <v>30.91</v>
      </c>
      <c r="R349">
        <v>16.66</v>
      </c>
      <c r="S349">
        <v>35.200000000000003</v>
      </c>
      <c r="T349">
        <v>82.62</v>
      </c>
      <c r="U349">
        <v>65.63</v>
      </c>
      <c r="V349">
        <v>36.58</v>
      </c>
      <c r="W349">
        <v>93.7</v>
      </c>
      <c r="Z349">
        <v>0.34599999999999997</v>
      </c>
      <c r="AA349">
        <v>8.4000000000000005E-2</v>
      </c>
      <c r="AB349">
        <v>5.9841899999999999</v>
      </c>
      <c r="AC349">
        <v>0.65</v>
      </c>
      <c r="AD349" s="87">
        <f t="shared" si="43"/>
        <v>0.69444444444444442</v>
      </c>
      <c r="AE349" s="203">
        <f t="shared" si="44"/>
        <v>0.67222222222222228</v>
      </c>
      <c r="AF349" s="49">
        <f t="shared" si="45"/>
        <v>60.846629406146931</v>
      </c>
      <c r="AG349" s="49">
        <f t="shared" si="46"/>
        <v>60.846629406146931</v>
      </c>
      <c r="AH349" s="50">
        <f t="shared" si="47"/>
        <v>0.13560151756210986</v>
      </c>
      <c r="AI349" s="105">
        <f t="shared" si="48"/>
        <v>1.6567725025971454</v>
      </c>
      <c r="AJ349" s="270">
        <f>INDEX($AR$3:AS349,MATCH(COUNTA(O349:W349),$AR$3:$AR$12,0),2)</f>
        <v>2.2200000000000002</v>
      </c>
      <c r="AK349" s="108">
        <f t="shared" si="49"/>
        <v>46.661249999999995</v>
      </c>
      <c r="AL349" s="91">
        <f t="shared" si="42"/>
        <v>7.797421204874845</v>
      </c>
      <c r="AP349" s="319" t="s">
        <v>409</v>
      </c>
    </row>
    <row r="350" spans="1:42">
      <c r="A350" s="276" t="s">
        <v>410</v>
      </c>
      <c r="C350">
        <v>12.08</v>
      </c>
      <c r="D350">
        <v>6.75</v>
      </c>
      <c r="E350">
        <v>8.82</v>
      </c>
      <c r="H350">
        <v>53.88</v>
      </c>
      <c r="I350">
        <v>41.39</v>
      </c>
      <c r="J350">
        <v>21.63</v>
      </c>
      <c r="K350">
        <v>44.09</v>
      </c>
      <c r="O350">
        <v>12.08</v>
      </c>
      <c r="P350">
        <v>6.75</v>
      </c>
      <c r="Q350">
        <v>8.82</v>
      </c>
      <c r="T350">
        <v>53.88</v>
      </c>
      <c r="U350">
        <v>41.39</v>
      </c>
      <c r="V350">
        <v>21.63</v>
      </c>
      <c r="W350">
        <v>44.09</v>
      </c>
      <c r="Z350">
        <v>0.79300000000000004</v>
      </c>
      <c r="AA350">
        <v>8.4000000000000005E-2</v>
      </c>
      <c r="AB350">
        <v>5.4765100000000002</v>
      </c>
      <c r="AC350">
        <v>0.75</v>
      </c>
      <c r="AD350" s="87">
        <f t="shared" si="43"/>
        <v>0.63888888888888884</v>
      </c>
      <c r="AE350" s="203">
        <f t="shared" si="44"/>
        <v>0.69444444444444442</v>
      </c>
      <c r="AF350" s="49">
        <f t="shared" si="45"/>
        <v>65.989082855967339</v>
      </c>
      <c r="AG350" s="49">
        <f t="shared" si="46"/>
        <v>65.989082855967339</v>
      </c>
      <c r="AH350" s="50">
        <f t="shared" si="47"/>
        <v>0.20772331848079775</v>
      </c>
      <c r="AI350" s="105">
        <f t="shared" si="48"/>
        <v>1.5144381834579577</v>
      </c>
      <c r="AJ350" s="270">
        <f>INDEX($AR$3:AS350,MATCH(COUNTA(O350:W350),$AR$3:$AR$12,0),2)</f>
        <v>2.1</v>
      </c>
      <c r="AK350" s="108">
        <f t="shared" si="49"/>
        <v>26.94857142857143</v>
      </c>
      <c r="AL350" s="91">
        <f t="shared" si="42"/>
        <v>4.9207563628243953</v>
      </c>
      <c r="AP350" s="319" t="s">
        <v>409</v>
      </c>
    </row>
    <row r="351" spans="1:42">
      <c r="A351" s="348" t="s">
        <v>411</v>
      </c>
      <c r="B351">
        <v>46.92</v>
      </c>
      <c r="C351">
        <v>43.16</v>
      </c>
      <c r="D351">
        <v>90.55</v>
      </c>
      <c r="I351">
        <v>95.21</v>
      </c>
      <c r="J351">
        <v>65.03</v>
      </c>
      <c r="N351" s="306">
        <v>46.92</v>
      </c>
      <c r="O351">
        <v>43.16</v>
      </c>
      <c r="P351">
        <v>90.55</v>
      </c>
      <c r="U351">
        <v>95.21</v>
      </c>
      <c r="V351">
        <v>65.03</v>
      </c>
      <c r="Z351">
        <v>1.1040000000000001</v>
      </c>
      <c r="AA351">
        <v>8.4000000000000005E-2</v>
      </c>
      <c r="AB351">
        <v>10.23</v>
      </c>
      <c r="AC351">
        <v>0.73</v>
      </c>
      <c r="AD351" s="87">
        <f t="shared" si="43"/>
        <v>0.72222222222222221</v>
      </c>
      <c r="AE351" s="203">
        <f t="shared" si="44"/>
        <v>0.72611111111111115</v>
      </c>
      <c r="AF351" s="49">
        <f t="shared" si="45"/>
        <v>28.497469241064731</v>
      </c>
      <c r="AG351" s="49">
        <f t="shared" si="46"/>
        <v>28.497469241064731</v>
      </c>
      <c r="AH351" s="50">
        <f t="shared" si="47"/>
        <v>8.9529298751200706E-2</v>
      </c>
      <c r="AI351" s="105">
        <f t="shared" si="48"/>
        <v>1.0372657528223568</v>
      </c>
      <c r="AJ351" s="270">
        <f>INDEX($AR$3:AS351,MATCH(COUNTA(O351:W351),$AR$3:$AR$12,0),2)</f>
        <v>1.49</v>
      </c>
      <c r="AK351" s="108">
        <f t="shared" si="49"/>
        <v>68.174000000000007</v>
      </c>
      <c r="AL351" s="91">
        <f t="shared" ref="AL351:AL382" si="50">IF(AND(O351="",Q351="",S351="",U351="",W351=""),"n.d.", AK351/AB351)</f>
        <v>6.6641251221896383</v>
      </c>
      <c r="AP351" s="319" t="s">
        <v>409</v>
      </c>
    </row>
    <row r="352" spans="1:42" s="51" customFormat="1">
      <c r="A352" s="279" t="s">
        <v>412</v>
      </c>
      <c r="C352" s="51">
        <v>14.1</v>
      </c>
      <c r="E352" s="51">
        <v>4.9800000000000004</v>
      </c>
      <c r="F352" s="51">
        <v>10.97</v>
      </c>
      <c r="G352" s="51">
        <v>10.93</v>
      </c>
      <c r="H352" s="51">
        <v>35.01</v>
      </c>
      <c r="I352" s="51">
        <v>24.05</v>
      </c>
      <c r="J352" s="51">
        <v>5.79</v>
      </c>
      <c r="N352" s="63"/>
      <c r="O352" s="51">
        <v>14.1</v>
      </c>
      <c r="Q352" s="51">
        <v>4.9800000000000004</v>
      </c>
      <c r="R352" s="51">
        <v>10.97</v>
      </c>
      <c r="S352" s="51">
        <v>10.93</v>
      </c>
      <c r="T352" s="51">
        <v>35.01</v>
      </c>
      <c r="U352" s="51">
        <v>24.05</v>
      </c>
      <c r="V352" s="51">
        <v>5.79</v>
      </c>
      <c r="Y352" s="78"/>
      <c r="Z352" s="51">
        <v>0.90100000000000002</v>
      </c>
      <c r="AA352" s="51">
        <v>7.0999999999999994E-2</v>
      </c>
      <c r="AB352" s="51">
        <v>6.1057800000000002</v>
      </c>
      <c r="AC352" s="51">
        <v>0.65</v>
      </c>
      <c r="AD352" s="89">
        <f t="shared" si="43"/>
        <v>0.63888888888888884</v>
      </c>
      <c r="AE352" s="68">
        <f t="shared" si="44"/>
        <v>0.64444444444444438</v>
      </c>
      <c r="AF352" s="69">
        <f t="shared" si="45"/>
        <v>66.193144494923629</v>
      </c>
      <c r="AG352" s="69">
        <f t="shared" si="46"/>
        <v>66.193144494923629</v>
      </c>
      <c r="AH352" s="70">
        <f t="shared" si="47"/>
        <v>0.36496836496836493</v>
      </c>
      <c r="AI352" s="104">
        <f t="shared" si="48"/>
        <v>1.987660493482124</v>
      </c>
      <c r="AJ352" s="269">
        <f>INDEX($AR$3:AS352,MATCH(COUNTA(O352:W352),$AR$3:$AR$12,0),2)</f>
        <v>2.1</v>
      </c>
      <c r="AK352" s="107">
        <f t="shared" si="49"/>
        <v>15.118571428571428</v>
      </c>
      <c r="AL352" s="93">
        <f t="shared" si="50"/>
        <v>2.4761081186304499</v>
      </c>
      <c r="AO352" s="78"/>
      <c r="AP352" s="293" t="s">
        <v>146</v>
      </c>
    </row>
    <row r="353" spans="1:42">
      <c r="A353" s="279" t="s">
        <v>413</v>
      </c>
      <c r="D353">
        <v>4.8499999999999996</v>
      </c>
      <c r="E353">
        <v>2.74</v>
      </c>
      <c r="F353">
        <v>6.86</v>
      </c>
      <c r="H353">
        <v>18.239999999999998</v>
      </c>
      <c r="I353">
        <v>12.58</v>
      </c>
      <c r="P353">
        <v>4.8499999999999996</v>
      </c>
      <c r="Q353">
        <v>2.74</v>
      </c>
      <c r="R353">
        <v>6.86</v>
      </c>
      <c r="T353">
        <v>18.239999999999998</v>
      </c>
      <c r="U353">
        <v>12.58</v>
      </c>
      <c r="Z353">
        <v>0.878</v>
      </c>
      <c r="AA353">
        <v>7.0999999999999994E-2</v>
      </c>
      <c r="AB353">
        <v>4.3622800000000002</v>
      </c>
      <c r="AC353">
        <v>0.62</v>
      </c>
      <c r="AD353" s="87">
        <f t="shared" si="43"/>
        <v>0.52777777777777779</v>
      </c>
      <c r="AE353" s="203">
        <f t="shared" si="44"/>
        <v>0.57388888888888889</v>
      </c>
      <c r="AF353" s="49">
        <f t="shared" si="45"/>
        <v>62.316623691580631</v>
      </c>
      <c r="AG353" s="49">
        <f t="shared" si="46"/>
        <v>62.316623691580631</v>
      </c>
      <c r="AH353" s="50">
        <f t="shared" si="47"/>
        <v>0.3651612903225806</v>
      </c>
      <c r="AI353" s="105">
        <f t="shared" si="48"/>
        <v>1.6281035964640003</v>
      </c>
      <c r="AJ353" s="270">
        <f>INDEX($AR$3:AS353,MATCH(COUNTA(O353:W353),$AR$3:$AR$12,0),2)</f>
        <v>1.75</v>
      </c>
      <c r="AK353" s="108">
        <f t="shared" si="49"/>
        <v>9.0539999999999985</v>
      </c>
      <c r="AL353" s="91">
        <f t="shared" si="50"/>
        <v>2.0755201408437784</v>
      </c>
      <c r="AP353" s="319" t="s">
        <v>146</v>
      </c>
    </row>
    <row r="354" spans="1:42">
      <c r="A354" s="279" t="s">
        <v>414</v>
      </c>
      <c r="B354">
        <v>8.9700000000000006</v>
      </c>
      <c r="C354">
        <v>29.9</v>
      </c>
      <c r="D354">
        <v>16.36</v>
      </c>
      <c r="E354">
        <v>7.67</v>
      </c>
      <c r="F354">
        <v>17.149999999999999</v>
      </c>
      <c r="G354">
        <v>12.85</v>
      </c>
      <c r="H354">
        <v>49.25</v>
      </c>
      <c r="I354">
        <v>27.44</v>
      </c>
      <c r="J354">
        <v>13.57</v>
      </c>
      <c r="N354" s="306">
        <v>8.9700000000000006</v>
      </c>
      <c r="O354">
        <v>29.9</v>
      </c>
      <c r="P354">
        <v>16.36</v>
      </c>
      <c r="Q354">
        <v>7.67</v>
      </c>
      <c r="R354">
        <v>17.149999999999999</v>
      </c>
      <c r="S354">
        <v>12.85</v>
      </c>
      <c r="U354">
        <v>27.44</v>
      </c>
      <c r="V354">
        <v>13.57</v>
      </c>
      <c r="Z354">
        <v>0.44</v>
      </c>
      <c r="AA354">
        <v>7.0999999999999994E-2</v>
      </c>
      <c r="AB354">
        <v>5.0663900000000002</v>
      </c>
      <c r="AC354">
        <v>0.73</v>
      </c>
      <c r="AD354" s="87">
        <f t="shared" si="43"/>
        <v>0.63888888888888884</v>
      </c>
      <c r="AE354" s="203">
        <f t="shared" si="44"/>
        <v>0.68444444444444441</v>
      </c>
      <c r="AF354" s="49">
        <f t="shared" si="45"/>
        <v>41.649369016516218</v>
      </c>
      <c r="AG354" s="49">
        <f t="shared" si="46"/>
        <v>57.399964621824573</v>
      </c>
      <c r="AH354" s="50">
        <f t="shared" si="47"/>
        <v>0.11066126855600529</v>
      </c>
      <c r="AI354" s="105">
        <f t="shared" si="48"/>
        <v>1.6211628505086577</v>
      </c>
      <c r="AJ354" s="270">
        <f>INDEX($AR$3:AS354,MATCH(COUNTA(O354:W354),$AR$3:$AR$12,0),2)</f>
        <v>2.1</v>
      </c>
      <c r="AK354" s="108">
        <f t="shared" si="49"/>
        <v>16.73875</v>
      </c>
      <c r="AL354" s="91">
        <f t="shared" si="50"/>
        <v>3.3038810671898529</v>
      </c>
      <c r="AP354" s="319" t="s">
        <v>146</v>
      </c>
    </row>
    <row r="355" spans="1:42">
      <c r="A355" s="279" t="s">
        <v>415</v>
      </c>
      <c r="D355">
        <v>12.7</v>
      </c>
      <c r="E355">
        <v>3.92</v>
      </c>
      <c r="H355">
        <v>9.34</v>
      </c>
      <c r="I355">
        <v>13.07</v>
      </c>
      <c r="P355">
        <v>12.7</v>
      </c>
      <c r="Q355">
        <v>3.92</v>
      </c>
      <c r="T355">
        <v>9.34</v>
      </c>
      <c r="U355">
        <v>13.07</v>
      </c>
      <c r="AB355">
        <v>1.5123</v>
      </c>
      <c r="AC355">
        <v>0.65</v>
      </c>
      <c r="AD355" s="87">
        <f t="shared" si="43"/>
        <v>0.47222222222222221</v>
      </c>
      <c r="AE355" s="203">
        <f t="shared" si="44"/>
        <v>0.56111111111111112</v>
      </c>
      <c r="AF355" s="49">
        <f t="shared" si="45"/>
        <v>37.614213767218722</v>
      </c>
      <c r="AG355" s="49">
        <f t="shared" si="46"/>
        <v>37.614213767218722</v>
      </c>
      <c r="AH355" s="50">
        <f t="shared" si="47"/>
        <v>4.0437158469945465E-2</v>
      </c>
      <c r="AI355" s="105">
        <f t="shared" si="48"/>
        <v>0.90253767232471682</v>
      </c>
      <c r="AJ355" s="270">
        <f>INDEX($AR$3:AS355,MATCH(COUNTA(O355:W355),$AR$3:$AR$12,0),2)</f>
        <v>1.49</v>
      </c>
      <c r="AK355" s="108">
        <f t="shared" si="49"/>
        <v>9.7575000000000003</v>
      </c>
      <c r="AL355" s="91">
        <f t="shared" si="50"/>
        <v>6.4520928387224759</v>
      </c>
      <c r="AP355" s="319" t="s">
        <v>49</v>
      </c>
    </row>
    <row r="356" spans="1:42">
      <c r="A356" s="279" t="s">
        <v>416</v>
      </c>
      <c r="B356">
        <v>27.03</v>
      </c>
      <c r="D356">
        <v>10.91</v>
      </c>
      <c r="E356">
        <v>7.27</v>
      </c>
      <c r="F356">
        <v>9.52</v>
      </c>
      <c r="G356">
        <v>12.26</v>
      </c>
      <c r="H356">
        <v>15.24</v>
      </c>
      <c r="I356">
        <v>14.88</v>
      </c>
      <c r="N356" s="306">
        <v>27.03</v>
      </c>
      <c r="P356">
        <v>10.91</v>
      </c>
      <c r="Q356">
        <v>7.27</v>
      </c>
      <c r="R356">
        <v>9.52</v>
      </c>
      <c r="S356">
        <v>12.26</v>
      </c>
      <c r="T356">
        <v>15.24</v>
      </c>
      <c r="U356">
        <v>14.88</v>
      </c>
      <c r="Z356">
        <v>0.52600000000000002</v>
      </c>
      <c r="AA356">
        <v>0.10299999999999999</v>
      </c>
      <c r="AB356">
        <v>9.3551099999999998</v>
      </c>
      <c r="AC356">
        <v>0.82</v>
      </c>
      <c r="AD356" s="87">
        <f t="shared" si="43"/>
        <v>0.83333333333333326</v>
      </c>
      <c r="AE356" s="203">
        <f t="shared" si="44"/>
        <v>0.82666666666666666</v>
      </c>
      <c r="AF356" s="49">
        <f t="shared" si="45"/>
        <v>24.205035537814783</v>
      </c>
      <c r="AG356" s="49">
        <f t="shared" si="46"/>
        <v>24.205035537814783</v>
      </c>
      <c r="AH356" s="50">
        <f t="shared" si="47"/>
        <v>4.5169385194479224E-2</v>
      </c>
      <c r="AI356" s="105">
        <f t="shared" si="48"/>
        <v>1.2592194713855063</v>
      </c>
      <c r="AJ356" s="270">
        <f>INDEX($AR$3:AS356,MATCH(COUNTA(O356:W356),$AR$3:$AR$12,0),2)</f>
        <v>1.94</v>
      </c>
      <c r="AK356" s="108">
        <f t="shared" si="49"/>
        <v>13.872857142857141</v>
      </c>
      <c r="AL356" s="91">
        <f t="shared" si="50"/>
        <v>1.4829175865229955</v>
      </c>
      <c r="AP356" s="319" t="s">
        <v>123</v>
      </c>
    </row>
    <row r="357" spans="1:42">
      <c r="A357" s="279" t="s">
        <v>417</v>
      </c>
      <c r="F357">
        <v>4.59</v>
      </c>
      <c r="G357">
        <v>4.0999999999999996</v>
      </c>
      <c r="H357">
        <v>7.21</v>
      </c>
      <c r="I357">
        <v>8.61</v>
      </c>
      <c r="R357">
        <v>4.59</v>
      </c>
      <c r="S357">
        <v>4.0999999999999996</v>
      </c>
      <c r="T357">
        <v>7.21</v>
      </c>
      <c r="U357">
        <v>8.61</v>
      </c>
      <c r="Z357">
        <v>1.1419999999999999</v>
      </c>
      <c r="AA357">
        <v>0.10299999999999999</v>
      </c>
      <c r="AB357">
        <v>4.7532649999999999</v>
      </c>
      <c r="AC357">
        <v>0.65</v>
      </c>
      <c r="AD357" s="87">
        <f t="shared" si="43"/>
        <v>0.72222222222222221</v>
      </c>
      <c r="AE357" s="203">
        <f t="shared" si="44"/>
        <v>0.68611111111111112</v>
      </c>
      <c r="AF357" s="49">
        <f t="shared" si="45"/>
        <v>30.322997042422472</v>
      </c>
      <c r="AG357" s="49">
        <f t="shared" si="46"/>
        <v>30.322997042422472</v>
      </c>
      <c r="AH357" s="50">
        <f t="shared" si="47"/>
        <v>0.31042128603104202</v>
      </c>
      <c r="AI357" s="105">
        <f t="shared" si="48"/>
        <v>1.3360841552275626</v>
      </c>
      <c r="AJ357" s="270">
        <f>INDEX($AR$3:AS357,MATCH(COUNTA(O357:W357),$AR$3:$AR$12,0),2)</f>
        <v>1.49</v>
      </c>
      <c r="AK357" s="108">
        <f t="shared" si="49"/>
        <v>6.1274999999999995</v>
      </c>
      <c r="AL357" s="91">
        <f t="shared" si="50"/>
        <v>1.2891139038113801</v>
      </c>
      <c r="AP357" s="319" t="s">
        <v>123</v>
      </c>
    </row>
    <row r="358" spans="1:42">
      <c r="A358" s="279" t="s">
        <v>418</v>
      </c>
      <c r="B358">
        <v>33.25</v>
      </c>
      <c r="D358">
        <v>14.18</v>
      </c>
      <c r="E358">
        <v>10.72</v>
      </c>
      <c r="F358">
        <v>9.8800000000000008</v>
      </c>
      <c r="G358">
        <v>11.55</v>
      </c>
      <c r="H358">
        <v>22.24</v>
      </c>
      <c r="I358">
        <v>24.3</v>
      </c>
      <c r="N358" s="306">
        <v>33.25</v>
      </c>
      <c r="P358">
        <v>14.18</v>
      </c>
      <c r="Q358">
        <v>10.72</v>
      </c>
      <c r="R358">
        <v>9.8800000000000008</v>
      </c>
      <c r="S358">
        <v>11.55</v>
      </c>
      <c r="T358">
        <v>22.24</v>
      </c>
      <c r="U358">
        <v>24.3</v>
      </c>
      <c r="Z358">
        <v>0.622</v>
      </c>
      <c r="AA358">
        <v>0.10299999999999999</v>
      </c>
      <c r="AB358">
        <v>11.220549999999999</v>
      </c>
      <c r="AC358">
        <v>0.8</v>
      </c>
      <c r="AD358" s="87">
        <f t="shared" si="43"/>
        <v>0.58333333333333326</v>
      </c>
      <c r="AE358" s="203">
        <f t="shared" si="44"/>
        <v>0.69166666666666665</v>
      </c>
      <c r="AF358" s="49">
        <f t="shared" si="45"/>
        <v>36.797557964390194</v>
      </c>
      <c r="AG358" s="49">
        <f t="shared" si="46"/>
        <v>36.797557964390194</v>
      </c>
      <c r="AH358" s="50">
        <f t="shared" si="47"/>
        <v>0.14285714285714302</v>
      </c>
      <c r="AI358" s="105">
        <f t="shared" si="48"/>
        <v>1.5488431892312446</v>
      </c>
      <c r="AJ358" s="270">
        <f>INDEX($AR$3:AS358,MATCH(COUNTA(O358:W358),$AR$3:$AR$12,0),2)</f>
        <v>1.94</v>
      </c>
      <c r="AK358" s="108">
        <f t="shared" si="49"/>
        <v>18.017142857142854</v>
      </c>
      <c r="AL358" s="91">
        <f t="shared" si="50"/>
        <v>1.6057272466272023</v>
      </c>
      <c r="AP358" s="319" t="s">
        <v>123</v>
      </c>
    </row>
    <row r="359" spans="1:42">
      <c r="A359" s="279" t="s">
        <v>419</v>
      </c>
      <c r="C359">
        <v>67.67</v>
      </c>
      <c r="H359">
        <v>106.15</v>
      </c>
      <c r="I359">
        <v>174.01</v>
      </c>
      <c r="J359">
        <v>94.46</v>
      </c>
      <c r="O359">
        <v>67.67</v>
      </c>
      <c r="T359">
        <v>106.15</v>
      </c>
      <c r="U359">
        <v>174.01</v>
      </c>
      <c r="V359">
        <v>94.46</v>
      </c>
      <c r="Z359">
        <v>0.57799999999999996</v>
      </c>
      <c r="AA359">
        <v>22.041</v>
      </c>
      <c r="AB359">
        <v>9.23292</v>
      </c>
      <c r="AC359">
        <v>0.6</v>
      </c>
      <c r="AD359" s="87">
        <f t="shared" si="43"/>
        <v>0.47222222222222221</v>
      </c>
      <c r="AE359" s="203">
        <f t="shared" si="44"/>
        <v>0.53611111111111109</v>
      </c>
      <c r="AF359" s="49">
        <f t="shared" si="45"/>
        <v>35.44479263773804</v>
      </c>
      <c r="AG359" s="49">
        <f t="shared" si="46"/>
        <v>35.44479263773804</v>
      </c>
      <c r="AH359" s="50">
        <f t="shared" si="47"/>
        <v>0.63814180929095343</v>
      </c>
      <c r="AI359" s="105">
        <f t="shared" si="48"/>
        <v>1.6186259199810131</v>
      </c>
      <c r="AJ359" s="270">
        <f>INDEX($AR$3:AS359,MATCH(COUNTA(O359:W359),$AR$3:$AR$12,0),2)</f>
        <v>1.49</v>
      </c>
      <c r="AK359" s="108">
        <f t="shared" si="49"/>
        <v>110.57249999999999</v>
      </c>
      <c r="AL359" s="91">
        <f t="shared" si="50"/>
        <v>11.975897115971977</v>
      </c>
      <c r="AP359" s="319" t="s">
        <v>244</v>
      </c>
    </row>
    <row r="360" spans="1:42">
      <c r="A360" s="279" t="s">
        <v>420</v>
      </c>
      <c r="B360">
        <v>57.13</v>
      </c>
      <c r="C360">
        <v>42.37</v>
      </c>
      <c r="D360">
        <v>13.37</v>
      </c>
      <c r="E360">
        <v>35.83</v>
      </c>
      <c r="H360">
        <v>69.89</v>
      </c>
      <c r="I360">
        <v>127.97</v>
      </c>
      <c r="J360">
        <v>70.42</v>
      </c>
      <c r="K360">
        <v>102.89</v>
      </c>
      <c r="L360">
        <v>78.83</v>
      </c>
      <c r="M360">
        <v>206.58</v>
      </c>
      <c r="N360" s="306">
        <v>57.13</v>
      </c>
      <c r="O360">
        <v>42.37</v>
      </c>
      <c r="P360">
        <v>13.37</v>
      </c>
      <c r="Q360">
        <v>35.83</v>
      </c>
      <c r="T360">
        <v>69.89</v>
      </c>
      <c r="U360">
        <v>127.97</v>
      </c>
      <c r="V360">
        <v>70.42</v>
      </c>
      <c r="W360">
        <v>102.89</v>
      </c>
      <c r="X360">
        <v>78.83</v>
      </c>
      <c r="Z360">
        <v>1.1539999999999999</v>
      </c>
      <c r="AA360">
        <v>22.041</v>
      </c>
      <c r="AB360">
        <v>-99.239099999999993</v>
      </c>
      <c r="AC360">
        <v>0.7</v>
      </c>
      <c r="AD360" s="87">
        <f t="shared" si="43"/>
        <v>0.63888888888888884</v>
      </c>
      <c r="AE360" s="203">
        <f t="shared" si="44"/>
        <v>0.6694444444444444</v>
      </c>
      <c r="AF360" s="49">
        <f t="shared" si="45"/>
        <v>55.652510983118688</v>
      </c>
      <c r="AG360" s="49">
        <f t="shared" si="46"/>
        <v>55.652510983118688</v>
      </c>
      <c r="AH360" s="50">
        <f t="shared" si="47"/>
        <v>0.218848167539267</v>
      </c>
      <c r="AI360" s="105">
        <f t="shared" si="48"/>
        <v>1.6815749790728265</v>
      </c>
      <c r="AJ360" s="270">
        <f>INDEX($AR$3:AS360,MATCH(COUNTA(O360:W360),$AR$3:$AR$12,0),2)</f>
        <v>2.1</v>
      </c>
      <c r="AK360" s="108">
        <f t="shared" si="49"/>
        <v>66.522222222222226</v>
      </c>
      <c r="AL360" s="91">
        <f t="shared" si="50"/>
        <v>-0.67032270770515079</v>
      </c>
      <c r="AP360" s="319" t="s">
        <v>244</v>
      </c>
    </row>
    <row r="361" spans="1:42">
      <c r="A361" s="279" t="s">
        <v>421</v>
      </c>
      <c r="C361">
        <v>39.18</v>
      </c>
      <c r="D361">
        <v>16.600000000000001</v>
      </c>
      <c r="E361">
        <v>43.33</v>
      </c>
      <c r="F361">
        <v>101.63</v>
      </c>
      <c r="G361">
        <v>85.53</v>
      </c>
      <c r="H361">
        <v>162.46</v>
      </c>
      <c r="I361">
        <v>116.83</v>
      </c>
      <c r="J361">
        <v>76.790000000000006</v>
      </c>
      <c r="K361">
        <v>88.34</v>
      </c>
      <c r="L361">
        <v>118.5</v>
      </c>
      <c r="O361">
        <v>39.18</v>
      </c>
      <c r="P361">
        <v>16.600000000000001</v>
      </c>
      <c r="Q361">
        <v>43.33</v>
      </c>
      <c r="R361">
        <v>101.63</v>
      </c>
      <c r="S361">
        <v>85.53</v>
      </c>
      <c r="T361">
        <v>162.46</v>
      </c>
      <c r="U361">
        <v>116.83</v>
      </c>
      <c r="V361">
        <v>76.790000000000006</v>
      </c>
      <c r="W361">
        <v>88.34</v>
      </c>
      <c r="X361">
        <v>118.5</v>
      </c>
      <c r="Z361">
        <v>0.57699999999999996</v>
      </c>
      <c r="AA361">
        <v>22.041</v>
      </c>
      <c r="AB361">
        <v>8.4308049999999994</v>
      </c>
      <c r="AC361">
        <v>0.67</v>
      </c>
      <c r="AD361" s="87">
        <f t="shared" si="43"/>
        <v>0.75</v>
      </c>
      <c r="AE361" s="203">
        <f t="shared" si="44"/>
        <v>0.71</v>
      </c>
      <c r="AF361" s="49">
        <f t="shared" si="45"/>
        <v>51.529864710373531</v>
      </c>
      <c r="AG361" s="49">
        <f t="shared" si="46"/>
        <v>51.529864710373531</v>
      </c>
      <c r="AH361" s="50">
        <f t="shared" si="47"/>
        <v>0.31283422459893051</v>
      </c>
      <c r="AI361" s="105">
        <f t="shared" si="48"/>
        <v>1.9426406772005382</v>
      </c>
      <c r="AJ361" s="270">
        <f>INDEX($AR$3:AS361,MATCH(COUNTA(O361:W361),$AR$3:$AR$12,0),2)</f>
        <v>2.3199999999999998</v>
      </c>
      <c r="AK361" s="108">
        <f t="shared" si="49"/>
        <v>84.919000000000011</v>
      </c>
      <c r="AL361" s="91">
        <f t="shared" si="50"/>
        <v>10.07246638962709</v>
      </c>
      <c r="AP361" s="319" t="s">
        <v>244</v>
      </c>
    </row>
    <row r="362" spans="1:42">
      <c r="A362" s="279" t="s">
        <v>422</v>
      </c>
      <c r="F362">
        <v>33.659999999999997</v>
      </c>
      <c r="G362">
        <v>53.09</v>
      </c>
      <c r="H362">
        <v>126.37</v>
      </c>
      <c r="I362">
        <v>77.67</v>
      </c>
      <c r="J362">
        <v>103.07</v>
      </c>
      <c r="K362">
        <v>188.96</v>
      </c>
      <c r="R362">
        <v>33.659999999999997</v>
      </c>
      <c r="S362">
        <v>53.09</v>
      </c>
      <c r="T362">
        <v>126.37</v>
      </c>
      <c r="U362">
        <v>77.67</v>
      </c>
      <c r="V362">
        <v>103.07</v>
      </c>
      <c r="W362">
        <v>188.96</v>
      </c>
      <c r="Z362">
        <v>0.67400000000000004</v>
      </c>
      <c r="AA362">
        <v>5.5E-2</v>
      </c>
      <c r="AB362">
        <v>11.3706</v>
      </c>
      <c r="AC362">
        <v>0.55000000000000004</v>
      </c>
      <c r="AD362" s="87">
        <f t="shared" si="43"/>
        <v>0.58333333333333326</v>
      </c>
      <c r="AE362" s="203">
        <f t="shared" si="44"/>
        <v>0.56666666666666665</v>
      </c>
      <c r="AF362" s="49">
        <f t="shared" si="45"/>
        <v>52.610329252662339</v>
      </c>
      <c r="AG362" s="49">
        <f t="shared" si="46"/>
        <v>52.610329252662339</v>
      </c>
      <c r="AH362" s="50">
        <f t="shared" si="47"/>
        <v>0.403026400515132</v>
      </c>
      <c r="AI362" s="105">
        <f t="shared" si="48"/>
        <v>1.7967962741161696</v>
      </c>
      <c r="AJ362" s="270">
        <f>INDEX($AR$3:AS362,MATCH(COUNTA(O362:W362),$AR$3:$AR$12,0),2)</f>
        <v>1.94</v>
      </c>
      <c r="AK362" s="108">
        <f t="shared" si="49"/>
        <v>97.13666666666667</v>
      </c>
      <c r="AL362" s="91">
        <f t="shared" si="50"/>
        <v>8.5427916439472558</v>
      </c>
      <c r="AP362" s="319" t="s">
        <v>150</v>
      </c>
    </row>
    <row r="363" spans="1:42">
      <c r="A363" s="279" t="s">
        <v>423</v>
      </c>
      <c r="H363">
        <v>92.01</v>
      </c>
      <c r="I363">
        <v>148.22999999999999</v>
      </c>
      <c r="J363">
        <v>140.35</v>
      </c>
      <c r="K363">
        <v>147.51</v>
      </c>
      <c r="T363">
        <v>92.01</v>
      </c>
      <c r="U363">
        <v>148.22999999999999</v>
      </c>
      <c r="V363">
        <v>140.35</v>
      </c>
      <c r="W363">
        <v>147.51</v>
      </c>
      <c r="Z363">
        <v>0.98299999999999998</v>
      </c>
      <c r="AA363">
        <v>5.5E-2</v>
      </c>
      <c r="AB363">
        <v>13.849550000000001</v>
      </c>
      <c r="AC363">
        <v>0.52</v>
      </c>
      <c r="AD363" s="87">
        <f t="shared" si="43"/>
        <v>0.72222222222222221</v>
      </c>
      <c r="AE363" s="203">
        <f t="shared" si="44"/>
        <v>0.62111111111111117</v>
      </c>
      <c r="AF363" s="49">
        <f t="shared" si="45"/>
        <v>17.653588886015431</v>
      </c>
      <c r="AG363" s="49">
        <f t="shared" si="46"/>
        <v>17.653588886015431</v>
      </c>
      <c r="AH363" s="50">
        <f t="shared" si="47"/>
        <v>1.2806830309498382E-2</v>
      </c>
      <c r="AI363" s="105">
        <f t="shared" si="48"/>
        <v>0.69528018203413355</v>
      </c>
      <c r="AJ363" s="270">
        <f>INDEX($AR$3:AS363,MATCH(COUNTA(O363:W363),$AR$3:$AR$12,0),2)</f>
        <v>1.49</v>
      </c>
      <c r="AK363" s="108">
        <f t="shared" si="49"/>
        <v>132.02500000000001</v>
      </c>
      <c r="AL363" s="91">
        <f t="shared" si="50"/>
        <v>9.5328007047160384</v>
      </c>
      <c r="AP363" s="319" t="s">
        <v>150</v>
      </c>
    </row>
    <row r="364" spans="1:42">
      <c r="A364" s="279" t="s">
        <v>424</v>
      </c>
      <c r="C364">
        <v>42.6</v>
      </c>
      <c r="F364">
        <v>54.4</v>
      </c>
      <c r="H364">
        <v>98.06</v>
      </c>
      <c r="I364">
        <v>145.09</v>
      </c>
      <c r="J364">
        <v>114.96</v>
      </c>
      <c r="K364">
        <v>121.77</v>
      </c>
      <c r="O364">
        <v>42.6</v>
      </c>
      <c r="R364">
        <v>54.4</v>
      </c>
      <c r="T364">
        <v>98.06</v>
      </c>
      <c r="U364">
        <v>145.09</v>
      </c>
      <c r="V364">
        <v>114.96</v>
      </c>
      <c r="W364">
        <v>121.77</v>
      </c>
      <c r="Z364">
        <v>0.56200000000000006</v>
      </c>
      <c r="AA364">
        <v>5.5E-2</v>
      </c>
      <c r="AB364">
        <v>11.058949999999999</v>
      </c>
      <c r="AC364">
        <v>0.62</v>
      </c>
      <c r="AD364" s="87">
        <f t="shared" si="43"/>
        <v>0.58333333333333326</v>
      </c>
      <c r="AE364" s="203">
        <f t="shared" si="44"/>
        <v>0.60166666666666657</v>
      </c>
      <c r="AF364" s="49">
        <f t="shared" si="45"/>
        <v>38.024849313178251</v>
      </c>
      <c r="AG364" s="49">
        <f t="shared" si="46"/>
        <v>38.024849313178251</v>
      </c>
      <c r="AH364" s="50">
        <f t="shared" si="47"/>
        <v>0.22753439359937561</v>
      </c>
      <c r="AI364" s="105">
        <f t="shared" si="48"/>
        <v>1.3387263456111234</v>
      </c>
      <c r="AJ364" s="270">
        <f>INDEX($AR$3:AS364,MATCH(COUNTA(O364:W364),$AR$3:$AR$12,0),2)</f>
        <v>1.94</v>
      </c>
      <c r="AK364" s="108">
        <f t="shared" si="49"/>
        <v>96.146666666666661</v>
      </c>
      <c r="AL364" s="91">
        <f t="shared" si="50"/>
        <v>8.694014048952809</v>
      </c>
      <c r="AP364" s="319" t="s">
        <v>150</v>
      </c>
    </row>
    <row r="365" spans="1:42">
      <c r="A365" s="279" t="s">
        <v>425</v>
      </c>
      <c r="B365">
        <v>86.58</v>
      </c>
      <c r="C365">
        <v>120.95</v>
      </c>
      <c r="D365">
        <v>64.53</v>
      </c>
      <c r="E365">
        <v>100.51</v>
      </c>
      <c r="F365">
        <v>85.03</v>
      </c>
      <c r="G365">
        <v>116.69</v>
      </c>
      <c r="H365">
        <v>116.13</v>
      </c>
      <c r="I365">
        <v>110.86</v>
      </c>
      <c r="J365">
        <v>48.99</v>
      </c>
      <c r="K365">
        <v>121.28</v>
      </c>
      <c r="L365">
        <v>45.57</v>
      </c>
      <c r="M365">
        <v>62.98</v>
      </c>
      <c r="N365" s="306">
        <v>86.58</v>
      </c>
      <c r="O365">
        <v>120.95</v>
      </c>
      <c r="P365">
        <v>64.53</v>
      </c>
      <c r="Q365">
        <v>100.51</v>
      </c>
      <c r="R365">
        <v>85.03</v>
      </c>
      <c r="S365">
        <v>116.69</v>
      </c>
      <c r="T365">
        <v>116.13</v>
      </c>
      <c r="U365">
        <v>110.86</v>
      </c>
      <c r="V365">
        <v>48.99</v>
      </c>
      <c r="W365">
        <v>121.28</v>
      </c>
      <c r="X365">
        <v>45.57</v>
      </c>
      <c r="Y365" s="307">
        <v>62.98</v>
      </c>
      <c r="Z365">
        <v>0.52800000000000002</v>
      </c>
      <c r="AA365">
        <v>4.5999999999999999E-2</v>
      </c>
      <c r="AB365">
        <v>5.7891599999999999</v>
      </c>
      <c r="AC365">
        <v>0.75</v>
      </c>
      <c r="AD365" s="87">
        <f t="shared" si="43"/>
        <v>1</v>
      </c>
      <c r="AE365" s="203">
        <f t="shared" si="44"/>
        <v>0.875</v>
      </c>
      <c r="AF365" s="49">
        <f t="shared" si="45"/>
        <v>25.385724386144155</v>
      </c>
      <c r="AG365" s="49">
        <f t="shared" si="46"/>
        <v>25.385724386144155</v>
      </c>
      <c r="AH365" s="50">
        <f t="shared" si="47"/>
        <v>4.564946742287984E-3</v>
      </c>
      <c r="AI365" s="105">
        <f t="shared" si="48"/>
        <v>0.91940548453973081</v>
      </c>
      <c r="AJ365" s="270">
        <f>INDEX($AR$3:AS365,MATCH(COUNTA(O365:W365),$AR$3:$AR$12,0),2)</f>
        <v>2.3199999999999998</v>
      </c>
      <c r="AK365" s="108">
        <f t="shared" si="49"/>
        <v>90.008333333333326</v>
      </c>
      <c r="AL365" s="91">
        <f t="shared" si="50"/>
        <v>15.547736344017668</v>
      </c>
      <c r="AP365" s="319" t="s">
        <v>150</v>
      </c>
    </row>
    <row r="366" spans="1:42">
      <c r="A366" s="279" t="s">
        <v>426</v>
      </c>
      <c r="B366">
        <v>152.91999999999999</v>
      </c>
      <c r="C366">
        <v>192.6</v>
      </c>
      <c r="D366">
        <v>10.36</v>
      </c>
      <c r="E366">
        <v>24.59</v>
      </c>
      <c r="F366">
        <v>119.2</v>
      </c>
      <c r="G366">
        <v>204.8</v>
      </c>
      <c r="H366">
        <v>213.9</v>
      </c>
      <c r="I366">
        <v>198.82</v>
      </c>
      <c r="J366">
        <v>105.26</v>
      </c>
      <c r="K366">
        <v>250.9</v>
      </c>
      <c r="L366">
        <v>203.84</v>
      </c>
      <c r="M366">
        <v>152.77000000000001</v>
      </c>
      <c r="N366" s="306">
        <v>152.91999999999999</v>
      </c>
      <c r="O366">
        <v>192.6</v>
      </c>
      <c r="P366">
        <v>10.36</v>
      </c>
      <c r="Q366">
        <v>24.59</v>
      </c>
      <c r="R366">
        <v>119.2</v>
      </c>
      <c r="S366">
        <v>204.8</v>
      </c>
      <c r="T366">
        <v>213.9</v>
      </c>
      <c r="U366">
        <v>198.82</v>
      </c>
      <c r="V366">
        <v>105.26</v>
      </c>
      <c r="W366">
        <v>250.9</v>
      </c>
      <c r="X366">
        <v>203.84</v>
      </c>
      <c r="Y366" s="307">
        <v>152.77000000000001</v>
      </c>
      <c r="Z366">
        <v>0.86</v>
      </c>
      <c r="AA366">
        <v>4.5999999999999999E-2</v>
      </c>
      <c r="AB366">
        <v>6.0298299999999996</v>
      </c>
      <c r="AC366">
        <v>0.73</v>
      </c>
      <c r="AD366" s="87">
        <f t="shared" si="43"/>
        <v>0.75</v>
      </c>
      <c r="AE366" s="203">
        <f t="shared" si="44"/>
        <v>0.74</v>
      </c>
      <c r="AF366" s="49">
        <f t="shared" si="45"/>
        <v>55.44084595303169</v>
      </c>
      <c r="AG366" s="49">
        <f t="shared" si="46"/>
        <v>55.44084595303169</v>
      </c>
      <c r="AH366" s="50">
        <f t="shared" si="47"/>
        <v>0.15382057038330421</v>
      </c>
      <c r="AI366" s="105">
        <f t="shared" si="48"/>
        <v>1.2808692217583595</v>
      </c>
      <c r="AJ366" s="270">
        <f>INDEX($AR$3:AS366,MATCH(COUNTA(O366:W366),$AR$3:$AR$12,0),2)</f>
        <v>2.3199999999999998</v>
      </c>
      <c r="AK366" s="108">
        <f t="shared" si="49"/>
        <v>152.49666666666667</v>
      </c>
      <c r="AL366" s="91">
        <f t="shared" si="50"/>
        <v>25.290375792794602</v>
      </c>
      <c r="AP366" s="319" t="s">
        <v>150</v>
      </c>
    </row>
    <row r="367" spans="1:42">
      <c r="A367" s="279" t="s">
        <v>427</v>
      </c>
      <c r="B367">
        <v>136.07</v>
      </c>
      <c r="C367">
        <v>177.42</v>
      </c>
      <c r="D367">
        <v>159.76</v>
      </c>
      <c r="E367">
        <v>69.150000000000006</v>
      </c>
      <c r="F367">
        <v>106.22</v>
      </c>
      <c r="G367">
        <v>167.4</v>
      </c>
      <c r="H367">
        <v>181.06</v>
      </c>
      <c r="I367">
        <v>168.7</v>
      </c>
      <c r="J367">
        <v>79.489999999999995</v>
      </c>
      <c r="K367">
        <v>196.12</v>
      </c>
      <c r="L367">
        <v>193.49</v>
      </c>
      <c r="M367">
        <v>183.68</v>
      </c>
      <c r="N367" s="306">
        <v>136.07</v>
      </c>
      <c r="O367">
        <v>177.42</v>
      </c>
      <c r="P367">
        <v>159.76</v>
      </c>
      <c r="Q367">
        <v>69.150000000000006</v>
      </c>
      <c r="R367">
        <v>106.22</v>
      </c>
      <c r="S367">
        <v>167.4</v>
      </c>
      <c r="T367">
        <v>181.06</v>
      </c>
      <c r="U367">
        <v>168.7</v>
      </c>
      <c r="V367">
        <v>79.489999999999995</v>
      </c>
      <c r="W367">
        <v>196.12</v>
      </c>
      <c r="X367">
        <v>193.49</v>
      </c>
      <c r="Y367" s="307">
        <v>183.68</v>
      </c>
      <c r="Z367">
        <v>0.80300000000000005</v>
      </c>
      <c r="AA367">
        <v>4.5999999999999999E-2</v>
      </c>
      <c r="AB367">
        <v>6.4604200000000001</v>
      </c>
      <c r="AC367">
        <v>0.83</v>
      </c>
      <c r="AD367" s="87">
        <f t="shared" si="43"/>
        <v>1</v>
      </c>
      <c r="AE367" s="203">
        <f t="shared" si="44"/>
        <v>0.91500000000000004</v>
      </c>
      <c r="AF367" s="49">
        <f t="shared" si="45"/>
        <v>30.658323130963016</v>
      </c>
      <c r="AG367" s="49">
        <f t="shared" si="46"/>
        <v>30.658323130963016</v>
      </c>
      <c r="AH367" s="50">
        <f t="shared" si="47"/>
        <v>0.1186106954398677</v>
      </c>
      <c r="AI367" s="105">
        <f t="shared" si="48"/>
        <v>1.1488565233889727</v>
      </c>
      <c r="AJ367" s="270">
        <f>INDEX($AR$3:AS367,MATCH(COUNTA(O367:W367),$AR$3:$AR$12,0),2)</f>
        <v>2.3199999999999998</v>
      </c>
      <c r="AK367" s="108">
        <f t="shared" si="49"/>
        <v>151.54666666666665</v>
      </c>
      <c r="AL367" s="91">
        <f t="shared" si="50"/>
        <v>23.457711211758159</v>
      </c>
      <c r="AP367" s="319" t="s">
        <v>150</v>
      </c>
    </row>
    <row r="368" spans="1:42">
      <c r="A368" s="279" t="s">
        <v>428</v>
      </c>
      <c r="AB368">
        <v>9.5863199999999996E-2</v>
      </c>
      <c r="AD368" s="87" t="e">
        <f t="shared" si="43"/>
        <v>#DIV/0!</v>
      </c>
      <c r="AE368" s="203" t="e">
        <f t="shared" si="44"/>
        <v>#DIV/0!</v>
      </c>
      <c r="AF368" s="49" t="e">
        <f t="shared" si="45"/>
        <v>#DIV/0!</v>
      </c>
      <c r="AG368" s="49" t="e">
        <f t="shared" si="46"/>
        <v>#DIV/0!</v>
      </c>
      <c r="AH368" s="50" t="e">
        <f t="shared" si="47"/>
        <v>#NUM!</v>
      </c>
      <c r="AI368" s="105" t="e">
        <f t="shared" si="48"/>
        <v>#DIV/0!</v>
      </c>
      <c r="AJ368" s="270" t="e">
        <f>INDEX($AR$3:AS368,MATCH(COUNTA(O368:W368),$AR$3:$AR$12,0),2)</f>
        <v>#N/A</v>
      </c>
      <c r="AK368" s="108" t="e">
        <f t="shared" si="49"/>
        <v>#DIV/0!</v>
      </c>
      <c r="AL368" s="91" t="str">
        <f t="shared" si="50"/>
        <v>n.d.</v>
      </c>
      <c r="AP368" s="319" t="s">
        <v>429</v>
      </c>
    </row>
    <row r="369" spans="1:42">
      <c r="A369" s="279" t="s">
        <v>430</v>
      </c>
      <c r="AB369">
        <v>3.9970099999999988E-2</v>
      </c>
      <c r="AD369" s="87" t="e">
        <f t="shared" si="43"/>
        <v>#DIV/0!</v>
      </c>
      <c r="AE369" s="203" t="e">
        <f t="shared" si="44"/>
        <v>#DIV/0!</v>
      </c>
      <c r="AF369" s="49" t="e">
        <f t="shared" si="45"/>
        <v>#DIV/0!</v>
      </c>
      <c r="AG369" s="49" t="e">
        <f t="shared" si="46"/>
        <v>#DIV/0!</v>
      </c>
      <c r="AH369" s="50" t="e">
        <f t="shared" si="47"/>
        <v>#NUM!</v>
      </c>
      <c r="AI369" s="105" t="e">
        <f t="shared" si="48"/>
        <v>#DIV/0!</v>
      </c>
      <c r="AJ369" s="270" t="e">
        <f>INDEX($AR$3:AS369,MATCH(COUNTA(O369:W369),$AR$3:$AR$12,0),2)</f>
        <v>#N/A</v>
      </c>
      <c r="AK369" s="108" t="e">
        <f t="shared" si="49"/>
        <v>#DIV/0!</v>
      </c>
      <c r="AL369" s="91" t="str">
        <f t="shared" si="50"/>
        <v>n.d.</v>
      </c>
      <c r="AP369" s="319" t="s">
        <v>64</v>
      </c>
    </row>
    <row r="370" spans="1:42">
      <c r="A370" s="279" t="s">
        <v>431</v>
      </c>
      <c r="E370">
        <v>11.55</v>
      </c>
      <c r="F370">
        <v>25.33</v>
      </c>
      <c r="G370">
        <v>21.14</v>
      </c>
      <c r="H370">
        <v>52.62</v>
      </c>
      <c r="I370">
        <v>39.090000000000003</v>
      </c>
      <c r="J370">
        <v>20.87</v>
      </c>
      <c r="K370">
        <v>35.56</v>
      </c>
      <c r="Q370">
        <v>11.55</v>
      </c>
      <c r="R370">
        <v>25.33</v>
      </c>
      <c r="S370">
        <v>21.14</v>
      </c>
      <c r="T370">
        <v>52.62</v>
      </c>
      <c r="U370">
        <v>39.090000000000003</v>
      </c>
      <c r="V370">
        <v>20.87</v>
      </c>
      <c r="W370">
        <v>35.56</v>
      </c>
      <c r="Z370">
        <v>0.70699999999999996</v>
      </c>
      <c r="AA370">
        <v>4.1000000000000002E-2</v>
      </c>
      <c r="AB370">
        <v>12.188499999999999</v>
      </c>
      <c r="AC370">
        <v>0.62</v>
      </c>
      <c r="AD370" s="87">
        <f t="shared" si="43"/>
        <v>0.63888888888888884</v>
      </c>
      <c r="AE370" s="203">
        <f t="shared" si="44"/>
        <v>0.62944444444444447</v>
      </c>
      <c r="AF370" s="49">
        <f t="shared" si="45"/>
        <v>43.466836053094035</v>
      </c>
      <c r="AG370" s="49">
        <f t="shared" si="46"/>
        <v>43.466836053094035</v>
      </c>
      <c r="AH370" s="50">
        <f t="shared" si="47"/>
        <v>0.32943754565376177</v>
      </c>
      <c r="AI370" s="105">
        <f t="shared" si="48"/>
        <v>1.8098178256796538</v>
      </c>
      <c r="AJ370" s="270">
        <f>INDEX($AR$3:AS370,MATCH(COUNTA(O370:W370),$AR$3:$AR$12,0),2)</f>
        <v>2.1</v>
      </c>
      <c r="AK370" s="108">
        <f t="shared" si="49"/>
        <v>29.451428571428572</v>
      </c>
      <c r="AL370" s="91">
        <f t="shared" si="50"/>
        <v>2.4163292096179654</v>
      </c>
      <c r="AP370" s="319" t="s">
        <v>381</v>
      </c>
    </row>
    <row r="371" spans="1:42">
      <c r="A371" s="279" t="s">
        <v>432</v>
      </c>
      <c r="F371">
        <v>17.91</v>
      </c>
      <c r="G371">
        <v>17.07</v>
      </c>
      <c r="H371">
        <v>25.79</v>
      </c>
      <c r="I371">
        <v>19.940000000000001</v>
      </c>
      <c r="J371">
        <v>2.54</v>
      </c>
      <c r="K371">
        <v>9.8699999999999992</v>
      </c>
      <c r="R371">
        <v>17.91</v>
      </c>
      <c r="S371">
        <v>17.07</v>
      </c>
      <c r="T371">
        <v>25.79</v>
      </c>
      <c r="U371">
        <v>19.940000000000001</v>
      </c>
      <c r="V371">
        <v>2.54</v>
      </c>
      <c r="W371">
        <v>9.8699999999999992</v>
      </c>
      <c r="Z371">
        <v>0.70699999999999996</v>
      </c>
      <c r="AA371">
        <v>4.1000000000000002E-2</v>
      </c>
      <c r="AB371">
        <v>17.268799999999999</v>
      </c>
      <c r="AC371">
        <v>0.75</v>
      </c>
      <c r="AD371" s="87">
        <f t="shared" si="43"/>
        <v>0.58333333333333326</v>
      </c>
      <c r="AE371" s="203">
        <f t="shared" si="44"/>
        <v>0.66666666666666663</v>
      </c>
      <c r="AF371" s="49">
        <f t="shared" si="45"/>
        <v>48.039449963440241</v>
      </c>
      <c r="AG371" s="49">
        <f t="shared" si="46"/>
        <v>48.039449963440241</v>
      </c>
      <c r="AH371" s="50">
        <f t="shared" si="47"/>
        <v>0.25161290322580637</v>
      </c>
      <c r="AI371" s="105">
        <f t="shared" si="48"/>
        <v>1.3774654052602788</v>
      </c>
      <c r="AJ371" s="270">
        <f>INDEX($AR$3:AS371,MATCH(COUNTA(O371:W371),$AR$3:$AR$12,0),2)</f>
        <v>1.94</v>
      </c>
      <c r="AK371" s="108">
        <f t="shared" si="49"/>
        <v>15.520000000000003</v>
      </c>
      <c r="AL371" s="91">
        <f t="shared" si="50"/>
        <v>0.89873065876030789</v>
      </c>
      <c r="AP371" s="319" t="s">
        <v>381</v>
      </c>
    </row>
    <row r="372" spans="1:42">
      <c r="A372" s="279" t="s">
        <v>433</v>
      </c>
      <c r="C372">
        <v>6.56</v>
      </c>
      <c r="F372">
        <v>17.559999999999999</v>
      </c>
      <c r="G372">
        <v>20.52</v>
      </c>
      <c r="H372">
        <v>28.29</v>
      </c>
      <c r="I372">
        <v>21.11</v>
      </c>
      <c r="J372">
        <v>4.5199999999999996</v>
      </c>
      <c r="K372">
        <v>10.74</v>
      </c>
      <c r="O372">
        <v>6.56</v>
      </c>
      <c r="R372">
        <v>17.559999999999999</v>
      </c>
      <c r="S372">
        <v>20.52</v>
      </c>
      <c r="T372">
        <v>28.29</v>
      </c>
      <c r="U372">
        <v>21.11</v>
      </c>
      <c r="V372">
        <v>4.5199999999999996</v>
      </c>
      <c r="W372">
        <v>10.74</v>
      </c>
      <c r="Z372">
        <v>0.70699999999999996</v>
      </c>
      <c r="AA372">
        <v>6.3E-2</v>
      </c>
      <c r="AB372">
        <v>6.0078950000000004</v>
      </c>
      <c r="AC372">
        <v>0.68</v>
      </c>
      <c r="AD372" s="87">
        <f t="shared" si="43"/>
        <v>0.63888888888888884</v>
      </c>
      <c r="AE372" s="203">
        <f t="shared" si="44"/>
        <v>0.6594444444444445</v>
      </c>
      <c r="AF372" s="49">
        <f t="shared" si="45"/>
        <v>51.209415516706159</v>
      </c>
      <c r="AG372" s="49">
        <f t="shared" si="46"/>
        <v>51.209415516706159</v>
      </c>
      <c r="AH372" s="50">
        <f t="shared" si="47"/>
        <v>0.30206142196045432</v>
      </c>
      <c r="AI372" s="105">
        <f t="shared" si="48"/>
        <v>1.5852599967855139</v>
      </c>
      <c r="AJ372" s="270">
        <f>INDEX($AR$3:AS372,MATCH(COUNTA(O372:W372),$AR$3:$AR$12,0),2)</f>
        <v>2.1</v>
      </c>
      <c r="AK372" s="108">
        <f t="shared" si="49"/>
        <v>15.614285714285714</v>
      </c>
      <c r="AL372" s="91">
        <f t="shared" si="50"/>
        <v>2.5989611526642382</v>
      </c>
      <c r="AP372" s="319" t="s">
        <v>244</v>
      </c>
    </row>
    <row r="373" spans="1:42">
      <c r="A373" s="349" t="s">
        <v>434</v>
      </c>
      <c r="C373">
        <v>6.05</v>
      </c>
      <c r="F373">
        <v>14.41</v>
      </c>
      <c r="G373">
        <v>17.57</v>
      </c>
      <c r="H373">
        <v>28.51</v>
      </c>
      <c r="I373">
        <v>16.38</v>
      </c>
      <c r="K373">
        <v>4.84</v>
      </c>
      <c r="O373">
        <v>6.05</v>
      </c>
      <c r="R373">
        <v>14.41</v>
      </c>
      <c r="S373">
        <v>17.57</v>
      </c>
      <c r="T373">
        <v>28.51</v>
      </c>
      <c r="U373">
        <v>16.38</v>
      </c>
      <c r="W373">
        <v>4.84</v>
      </c>
      <c r="Z373">
        <v>0.70699999999999996</v>
      </c>
      <c r="AA373">
        <v>6.3E-2</v>
      </c>
      <c r="AB373">
        <v>5.5313149999999993</v>
      </c>
      <c r="AC373">
        <v>0.57999999999999996</v>
      </c>
      <c r="AD373" s="87">
        <f t="shared" si="43"/>
        <v>0.58333333333333326</v>
      </c>
      <c r="AE373" s="203">
        <f t="shared" si="44"/>
        <v>0.58166666666666655</v>
      </c>
      <c r="AF373" s="49">
        <f t="shared" si="45"/>
        <v>53.968324156691907</v>
      </c>
      <c r="AG373" s="49">
        <f t="shared" si="46"/>
        <v>53.968324156691907</v>
      </c>
      <c r="AH373" s="50">
        <f t="shared" si="47"/>
        <v>0.46218842416561051</v>
      </c>
      <c r="AI373" s="105">
        <f t="shared" si="48"/>
        <v>1.7587716415257111</v>
      </c>
      <c r="AJ373" s="270">
        <f>INDEX($AR$3:AS373,MATCH(COUNTA(O373:W373),$AR$3:$AR$12,0),2)</f>
        <v>1.94</v>
      </c>
      <c r="AK373" s="108">
        <f t="shared" si="49"/>
        <v>14.626666666666667</v>
      </c>
      <c r="AL373" s="91">
        <f t="shared" si="50"/>
        <v>2.6443380401706773</v>
      </c>
      <c r="AP373" s="319" t="s">
        <v>244</v>
      </c>
    </row>
    <row r="374" spans="1:42" s="51" customFormat="1">
      <c r="A374" s="283" t="s">
        <v>435</v>
      </c>
      <c r="B374" s="51">
        <v>48.15</v>
      </c>
      <c r="C374" s="51">
        <v>52.53</v>
      </c>
      <c r="D374" s="51">
        <v>51.06</v>
      </c>
      <c r="E374" s="51">
        <v>14.82</v>
      </c>
      <c r="F374" s="51">
        <v>12.8</v>
      </c>
      <c r="G374" s="51">
        <v>25</v>
      </c>
      <c r="H374" s="51">
        <v>70.53</v>
      </c>
      <c r="I374" s="51">
        <v>42.13</v>
      </c>
      <c r="J374" s="51">
        <v>16</v>
      </c>
      <c r="K374" s="51">
        <v>28.16</v>
      </c>
      <c r="N374" s="63">
        <v>48.15</v>
      </c>
      <c r="O374" s="51">
        <v>52.53</v>
      </c>
      <c r="P374" s="51">
        <v>51.06</v>
      </c>
      <c r="Q374" s="51">
        <v>14.82</v>
      </c>
      <c r="R374" s="51">
        <v>12.8</v>
      </c>
      <c r="S374" s="51">
        <v>25</v>
      </c>
      <c r="T374" s="51">
        <v>70.53</v>
      </c>
      <c r="U374" s="51">
        <v>42.13</v>
      </c>
      <c r="V374" s="51">
        <v>16</v>
      </c>
      <c r="W374" s="51">
        <v>28.16</v>
      </c>
      <c r="Y374" s="78"/>
      <c r="Z374" s="51">
        <v>0.14699999999999999</v>
      </c>
      <c r="AA374" s="51">
        <v>0.29299999999999998</v>
      </c>
      <c r="AB374" s="51">
        <v>26.531649999999999</v>
      </c>
      <c r="AC374" s="51">
        <v>0.9</v>
      </c>
      <c r="AD374" s="89">
        <f t="shared" si="43"/>
        <v>0.75</v>
      </c>
      <c r="AE374" s="68">
        <f t="shared" si="44"/>
        <v>0.82499999999999996</v>
      </c>
      <c r="AF374" s="69">
        <f t="shared" si="45"/>
        <v>54.936428509239541</v>
      </c>
      <c r="AG374" s="69">
        <f t="shared" si="46"/>
        <v>54.936428509239541</v>
      </c>
      <c r="AH374" s="70">
        <f t="shared" si="47"/>
        <v>0.31179629308851547</v>
      </c>
      <c r="AI374" s="104">
        <f t="shared" si="48"/>
        <v>1.8709348915007464</v>
      </c>
      <c r="AJ374" s="269">
        <f>INDEX($AR$3:AS374,MATCH(COUNTA(O374:W374),$AR$3:$AR$12,0),2)</f>
        <v>2.3199999999999998</v>
      </c>
      <c r="AK374" s="107">
        <f t="shared" si="49"/>
        <v>36.118000000000002</v>
      </c>
      <c r="AL374" s="93">
        <f t="shared" si="50"/>
        <v>1.3613175207723607</v>
      </c>
      <c r="AO374" s="78"/>
      <c r="AP374" s="293" t="s">
        <v>146</v>
      </c>
    </row>
    <row r="375" spans="1:42">
      <c r="A375" s="283" t="s">
        <v>436</v>
      </c>
      <c r="B375">
        <v>84.96</v>
      </c>
      <c r="C375">
        <v>63.21</v>
      </c>
      <c r="D375">
        <v>42.24</v>
      </c>
      <c r="E375">
        <v>36.54</v>
      </c>
      <c r="F375">
        <v>39.840000000000003</v>
      </c>
      <c r="G375">
        <v>49.92</v>
      </c>
      <c r="H375">
        <v>97.78</v>
      </c>
      <c r="I375">
        <v>78.62</v>
      </c>
      <c r="J375">
        <v>45.03</v>
      </c>
      <c r="K375">
        <v>60.8</v>
      </c>
      <c r="N375" s="306">
        <v>84.96</v>
      </c>
      <c r="O375">
        <v>63.21</v>
      </c>
      <c r="P375">
        <v>42.24</v>
      </c>
      <c r="Q375">
        <v>36.54</v>
      </c>
      <c r="R375">
        <v>39.840000000000003</v>
      </c>
      <c r="S375">
        <v>49.92</v>
      </c>
      <c r="U375">
        <v>78.62</v>
      </c>
      <c r="V375">
        <v>45.03</v>
      </c>
      <c r="W375">
        <v>60.8</v>
      </c>
      <c r="Z375">
        <v>0.92200000000000004</v>
      </c>
      <c r="AA375">
        <v>0.29299999999999998</v>
      </c>
      <c r="AB375">
        <v>29.1462</v>
      </c>
      <c r="AC375">
        <v>0.85</v>
      </c>
      <c r="AD375" s="87">
        <f t="shared" si="43"/>
        <v>0.94444444444444442</v>
      </c>
      <c r="AE375" s="203">
        <f t="shared" si="44"/>
        <v>0.89722222222222214</v>
      </c>
      <c r="AF375" s="49">
        <f t="shared" si="45"/>
        <v>25.848896319203519</v>
      </c>
      <c r="AG375" s="49">
        <f t="shared" si="46"/>
        <v>33.568835207397974</v>
      </c>
      <c r="AH375" s="50">
        <f t="shared" si="47"/>
        <v>0.36620722433460079</v>
      </c>
      <c r="AI375" s="105">
        <f t="shared" si="48"/>
        <v>1.9776339144707109</v>
      </c>
      <c r="AJ375" s="270">
        <f>INDEX($AR$3:AS375,MATCH(COUNTA(O375:W375),$AR$3:$AR$12,0),2)</f>
        <v>2.2200000000000002</v>
      </c>
      <c r="AK375" s="108">
        <f t="shared" si="49"/>
        <v>55.684444444444445</v>
      </c>
      <c r="AL375" s="91">
        <f t="shared" si="50"/>
        <v>1.9105215926756984</v>
      </c>
      <c r="AP375" s="319" t="s">
        <v>146</v>
      </c>
    </row>
    <row r="376" spans="1:42">
      <c r="A376" s="283" t="s">
        <v>437</v>
      </c>
      <c r="D376">
        <v>29.16</v>
      </c>
      <c r="E376">
        <v>7.37</v>
      </c>
      <c r="F376">
        <v>10.64</v>
      </c>
      <c r="G376">
        <v>8.2100000000000009</v>
      </c>
      <c r="H376">
        <v>24.97</v>
      </c>
      <c r="I376">
        <v>19.989999999999998</v>
      </c>
      <c r="J376">
        <v>5.93</v>
      </c>
      <c r="P376">
        <v>29.16</v>
      </c>
      <c r="Q376">
        <v>7.37</v>
      </c>
      <c r="R376">
        <v>10.64</v>
      </c>
      <c r="S376">
        <v>8.2100000000000009</v>
      </c>
      <c r="T376">
        <v>24.97</v>
      </c>
      <c r="U376">
        <v>19.989999999999998</v>
      </c>
      <c r="V376">
        <v>5.93</v>
      </c>
      <c r="Z376">
        <v>1.0509999999999999</v>
      </c>
      <c r="AA376">
        <v>0.29299999999999998</v>
      </c>
      <c r="AB376">
        <v>16.288900000000002</v>
      </c>
      <c r="AC376">
        <v>0.68</v>
      </c>
      <c r="AD376" s="87">
        <f t="shared" si="43"/>
        <v>0.63888888888888884</v>
      </c>
      <c r="AE376" s="203">
        <f t="shared" si="44"/>
        <v>0.6594444444444445</v>
      </c>
      <c r="AF376" s="49">
        <f t="shared" si="45"/>
        <v>57.325335414565906</v>
      </c>
      <c r="AG376" s="49">
        <f t="shared" si="46"/>
        <v>57.325335414565906</v>
      </c>
      <c r="AH376" s="50">
        <f t="shared" si="47"/>
        <v>0.18037021093413694</v>
      </c>
      <c r="AI376" s="105">
        <f t="shared" si="48"/>
        <v>1.6062145102225462</v>
      </c>
      <c r="AJ376" s="270">
        <f>INDEX($AR$3:AS376,MATCH(COUNTA(O376:W376),$AR$3:$AR$12,0),2)</f>
        <v>2.1</v>
      </c>
      <c r="AK376" s="108">
        <f t="shared" si="49"/>
        <v>15.181428571428569</v>
      </c>
      <c r="AL376" s="91">
        <f t="shared" si="50"/>
        <v>0.93201066808861044</v>
      </c>
      <c r="AP376" s="319" t="s">
        <v>146</v>
      </c>
    </row>
    <row r="377" spans="1:42">
      <c r="A377" s="283" t="s">
        <v>438</v>
      </c>
      <c r="F377">
        <v>5.74</v>
      </c>
      <c r="G377">
        <v>5.76</v>
      </c>
      <c r="H377">
        <v>22.69</v>
      </c>
      <c r="I377">
        <v>18.510000000000002</v>
      </c>
      <c r="J377">
        <v>2.21</v>
      </c>
      <c r="R377">
        <v>5.74</v>
      </c>
      <c r="S377">
        <v>5.76</v>
      </c>
      <c r="T377">
        <v>22.69</v>
      </c>
      <c r="U377">
        <v>18.510000000000002</v>
      </c>
      <c r="V377">
        <v>2.21</v>
      </c>
      <c r="Z377">
        <v>0.998</v>
      </c>
      <c r="AA377">
        <v>0.246</v>
      </c>
      <c r="AB377">
        <v>3.7278199999999999</v>
      </c>
      <c r="AC377">
        <v>0.68</v>
      </c>
      <c r="AD377" s="87">
        <f t="shared" si="43"/>
        <v>0.27777777777777779</v>
      </c>
      <c r="AE377" s="203">
        <f t="shared" si="44"/>
        <v>0.47888888888888892</v>
      </c>
      <c r="AF377" s="49">
        <f t="shared" si="45"/>
        <v>73.463499576542034</v>
      </c>
      <c r="AG377" s="49">
        <f t="shared" si="46"/>
        <v>73.463499576542034</v>
      </c>
      <c r="AH377" s="50">
        <f t="shared" si="47"/>
        <v>0.20410156249999997</v>
      </c>
      <c r="AI377" s="105">
        <f t="shared" si="48"/>
        <v>1.4512079919445611</v>
      </c>
      <c r="AJ377" s="270">
        <f>INDEX($AR$3:AS377,MATCH(COUNTA(O377:W377),$AR$3:$AR$12,0),2)</f>
        <v>1.75</v>
      </c>
      <c r="AK377" s="108">
        <f t="shared" si="49"/>
        <v>10.982000000000001</v>
      </c>
      <c r="AL377" s="91">
        <f t="shared" si="50"/>
        <v>2.9459576910902352</v>
      </c>
      <c r="AP377" s="319" t="s">
        <v>146</v>
      </c>
    </row>
    <row r="378" spans="1:42">
      <c r="A378" s="283" t="s">
        <v>439</v>
      </c>
      <c r="B378">
        <v>45.62</v>
      </c>
      <c r="C378">
        <v>51.85</v>
      </c>
      <c r="D378">
        <v>20.64</v>
      </c>
      <c r="F378">
        <v>13.2</v>
      </c>
      <c r="H378">
        <v>95.26</v>
      </c>
      <c r="I378">
        <v>34.549999999999997</v>
      </c>
      <c r="J378">
        <v>23.35</v>
      </c>
      <c r="K378">
        <v>26.18</v>
      </c>
      <c r="N378" s="306">
        <v>45.62</v>
      </c>
      <c r="O378">
        <v>51.85</v>
      </c>
      <c r="P378">
        <v>20.64</v>
      </c>
      <c r="R378">
        <v>13.2</v>
      </c>
      <c r="U378">
        <v>34.549999999999997</v>
      </c>
      <c r="V378">
        <v>23.35</v>
      </c>
      <c r="W378">
        <v>26.18</v>
      </c>
      <c r="Z378">
        <v>0.65900000000000003</v>
      </c>
      <c r="AA378">
        <v>0.246</v>
      </c>
      <c r="AB378">
        <v>6.7965999999999998</v>
      </c>
      <c r="AC378">
        <v>0.56999999999999995</v>
      </c>
      <c r="AD378" s="87">
        <f t="shared" si="43"/>
        <v>0.58333333333333326</v>
      </c>
      <c r="AE378" s="203">
        <f t="shared" si="44"/>
        <v>0.57666666666666666</v>
      </c>
      <c r="AF378" s="49">
        <f t="shared" si="45"/>
        <v>43.509047848309947</v>
      </c>
      <c r="AG378" s="49">
        <f t="shared" si="46"/>
        <v>68.823989040101239</v>
      </c>
      <c r="AH378" s="50">
        <f t="shared" si="47"/>
        <v>0.44760672703751619</v>
      </c>
      <c r="AI378" s="105">
        <f t="shared" si="48"/>
        <v>1.9133474019394778</v>
      </c>
      <c r="AJ378" s="270">
        <f>INDEX($AR$3:AS378,MATCH(COUNTA(O378:W378),$AR$3:$AR$12,0),2)</f>
        <v>1.94</v>
      </c>
      <c r="AK378" s="108">
        <f t="shared" si="49"/>
        <v>30.770000000000003</v>
      </c>
      <c r="AL378" s="91">
        <f t="shared" si="50"/>
        <v>4.5272636318159085</v>
      </c>
      <c r="AP378" s="319" t="s">
        <v>146</v>
      </c>
    </row>
    <row r="379" spans="1:42">
      <c r="A379" s="283" t="s">
        <v>440</v>
      </c>
      <c r="C379">
        <v>63.41</v>
      </c>
      <c r="F379">
        <v>8.6199999999999992</v>
      </c>
      <c r="G379">
        <v>8.9</v>
      </c>
      <c r="H379">
        <v>46.5</v>
      </c>
      <c r="I379">
        <v>22.98</v>
      </c>
      <c r="J379">
        <v>7.93</v>
      </c>
      <c r="K379">
        <v>18.39</v>
      </c>
      <c r="O379">
        <v>63.41</v>
      </c>
      <c r="R379">
        <v>8.6199999999999992</v>
      </c>
      <c r="S379">
        <v>8.9</v>
      </c>
      <c r="T379">
        <v>46.5</v>
      </c>
      <c r="U379">
        <v>22.98</v>
      </c>
      <c r="V379">
        <v>7.93</v>
      </c>
      <c r="W379">
        <v>18.39</v>
      </c>
      <c r="Z379">
        <v>0.51400000000000001</v>
      </c>
      <c r="AA379">
        <v>0.246</v>
      </c>
      <c r="AB379">
        <v>5.0972499999999998</v>
      </c>
      <c r="AC379">
        <v>0.52</v>
      </c>
      <c r="AD379" s="87">
        <f t="shared" si="43"/>
        <v>0.38888888888888884</v>
      </c>
      <c r="AE379" s="203">
        <f t="shared" si="44"/>
        <v>0.45444444444444443</v>
      </c>
      <c r="AF379" s="49">
        <f t="shared" si="45"/>
        <v>79.270936446207031</v>
      </c>
      <c r="AG379" s="49">
        <f t="shared" si="46"/>
        <v>79.270936446207031</v>
      </c>
      <c r="AH379" s="50">
        <f t="shared" si="47"/>
        <v>0.30479452054794515</v>
      </c>
      <c r="AI379" s="105">
        <f t="shared" si="48"/>
        <v>1.9068417647791416</v>
      </c>
      <c r="AJ379" s="270">
        <f>INDEX($AR$3:AS379,MATCH(COUNTA(O379:W379),$AR$3:$AR$12,0),2)</f>
        <v>2.1</v>
      </c>
      <c r="AK379" s="108">
        <f t="shared" si="49"/>
        <v>25.247142857142858</v>
      </c>
      <c r="AL379" s="91">
        <f t="shared" si="50"/>
        <v>4.9530909524043079</v>
      </c>
      <c r="AP379" s="319" t="s">
        <v>146</v>
      </c>
    </row>
    <row r="380" spans="1:42">
      <c r="A380" s="283" t="s">
        <v>441</v>
      </c>
      <c r="D380">
        <v>3.1</v>
      </c>
      <c r="E380">
        <v>3.16</v>
      </c>
      <c r="F380">
        <v>5.88</v>
      </c>
      <c r="G380">
        <v>6.14</v>
      </c>
      <c r="H380">
        <v>9.81</v>
      </c>
      <c r="I380">
        <v>10.54</v>
      </c>
      <c r="P380">
        <v>3.1</v>
      </c>
      <c r="Q380">
        <v>3.16</v>
      </c>
      <c r="R380">
        <v>5.88</v>
      </c>
      <c r="S380">
        <v>6.14</v>
      </c>
      <c r="T380">
        <v>9.81</v>
      </c>
      <c r="U380">
        <v>10.54</v>
      </c>
      <c r="Z380">
        <v>0.51400000000000001</v>
      </c>
      <c r="AA380">
        <v>6.4000000000000001E-2</v>
      </c>
      <c r="AB380">
        <v>10.3285</v>
      </c>
      <c r="AC380">
        <v>0.68</v>
      </c>
      <c r="AD380" s="87">
        <f t="shared" si="43"/>
        <v>0.58333333333333326</v>
      </c>
      <c r="AE380" s="203">
        <f t="shared" si="44"/>
        <v>0.6316666666666666</v>
      </c>
      <c r="AF380" s="49">
        <f t="shared" si="45"/>
        <v>45.053639017472591</v>
      </c>
      <c r="AG380" s="49">
        <f t="shared" si="46"/>
        <v>45.053639017472591</v>
      </c>
      <c r="AH380" s="50">
        <f t="shared" si="47"/>
        <v>9.8118279569892303E-2</v>
      </c>
      <c r="AI380" s="105">
        <f t="shared" si="48"/>
        <v>1.4140248132934139</v>
      </c>
      <c r="AJ380" s="270">
        <f>INDEX($AR$3:AS380,MATCH(COUNTA(O380:W380),$AR$3:$AR$12,0),2)</f>
        <v>1.94</v>
      </c>
      <c r="AK380" s="108">
        <f t="shared" si="49"/>
        <v>6.4383333333333335</v>
      </c>
      <c r="AL380" s="91">
        <f t="shared" si="50"/>
        <v>0.62335608591115199</v>
      </c>
      <c r="AP380" s="319" t="s">
        <v>123</v>
      </c>
    </row>
    <row r="381" spans="1:42">
      <c r="A381" s="283" t="s">
        <v>442</v>
      </c>
      <c r="B381">
        <v>20.04</v>
      </c>
      <c r="D381">
        <v>11.34</v>
      </c>
      <c r="E381">
        <v>5.81</v>
      </c>
      <c r="F381">
        <v>7.83</v>
      </c>
      <c r="G381">
        <v>9.9499999999999993</v>
      </c>
      <c r="H381">
        <v>14.43</v>
      </c>
      <c r="I381">
        <v>14.05</v>
      </c>
      <c r="N381" s="306">
        <v>20.04</v>
      </c>
      <c r="P381">
        <v>11.34</v>
      </c>
      <c r="Q381">
        <v>5.81</v>
      </c>
      <c r="R381">
        <v>7.83</v>
      </c>
      <c r="S381">
        <v>9.9499999999999993</v>
      </c>
      <c r="T381">
        <v>14.43</v>
      </c>
      <c r="U381">
        <v>14.05</v>
      </c>
      <c r="Z381">
        <v>0.63700000000000001</v>
      </c>
      <c r="AA381">
        <v>6.4000000000000001E-2</v>
      </c>
      <c r="AB381">
        <v>9.8335849999999994</v>
      </c>
      <c r="AC381">
        <v>0.78</v>
      </c>
      <c r="AD381" s="87">
        <f t="shared" si="43"/>
        <v>0.83333333333333326</v>
      </c>
      <c r="AE381" s="203">
        <f t="shared" si="44"/>
        <v>0.80666666666666664</v>
      </c>
      <c r="AF381" s="49">
        <f t="shared" si="45"/>
        <v>29.457915004141949</v>
      </c>
      <c r="AG381" s="49">
        <f t="shared" si="46"/>
        <v>29.457915004141949</v>
      </c>
      <c r="AH381" s="50">
        <f t="shared" si="47"/>
        <v>4.4083526682134451E-2</v>
      </c>
      <c r="AI381" s="105">
        <f t="shared" si="48"/>
        <v>1.2404129048619281</v>
      </c>
      <c r="AJ381" s="270">
        <f>INDEX($AR$3:AS381,MATCH(COUNTA(O381:W381),$AR$3:$AR$12,0),2)</f>
        <v>1.94</v>
      </c>
      <c r="AK381" s="108">
        <f t="shared" si="49"/>
        <v>11.921428571428573</v>
      </c>
      <c r="AL381" s="91">
        <f t="shared" si="50"/>
        <v>1.2123176411683607</v>
      </c>
      <c r="AP381" s="319" t="s">
        <v>123</v>
      </c>
    </row>
    <row r="382" spans="1:42">
      <c r="A382" s="283" t="s">
        <v>443</v>
      </c>
      <c r="B382">
        <v>47.96</v>
      </c>
      <c r="C382">
        <v>13.12</v>
      </c>
      <c r="D382">
        <v>11.25</v>
      </c>
      <c r="F382">
        <v>14.38</v>
      </c>
      <c r="G382">
        <v>15.63</v>
      </c>
      <c r="H382">
        <v>34.65</v>
      </c>
      <c r="I382">
        <v>20.51</v>
      </c>
      <c r="O382">
        <v>13.12</v>
      </c>
      <c r="P382">
        <v>11.25</v>
      </c>
      <c r="R382">
        <v>14.38</v>
      </c>
      <c r="S382">
        <v>15.63</v>
      </c>
      <c r="T382">
        <v>34.65</v>
      </c>
      <c r="U382">
        <v>20.51</v>
      </c>
      <c r="Z382">
        <v>1.1459999999999999</v>
      </c>
      <c r="AA382">
        <v>6.4000000000000001E-2</v>
      </c>
      <c r="AB382">
        <v>16.5566</v>
      </c>
      <c r="AC382">
        <v>0.78</v>
      </c>
      <c r="AD382" s="87">
        <f t="shared" si="43"/>
        <v>0.58333333333333326</v>
      </c>
      <c r="AE382" s="203">
        <f t="shared" si="44"/>
        <v>0.68166666666666664</v>
      </c>
      <c r="AF382" s="49">
        <f t="shared" si="45"/>
        <v>43.084574528582522</v>
      </c>
      <c r="AG382" s="49">
        <f t="shared" si="46"/>
        <v>43.084574528582522</v>
      </c>
      <c r="AH382" s="50">
        <f t="shared" si="47"/>
        <v>0.60427350427350424</v>
      </c>
      <c r="AI382" s="105">
        <f t="shared" si="48"/>
        <v>2.0841260162248227</v>
      </c>
      <c r="AJ382" s="270">
        <f>INDEX($AR$3:AS382,MATCH(COUNTA(O382:W382),$AR$3:$AR$12,0),2)</f>
        <v>1.94</v>
      </c>
      <c r="AK382" s="108">
        <f t="shared" si="49"/>
        <v>18.256666666666668</v>
      </c>
      <c r="AL382" s="91">
        <f t="shared" si="50"/>
        <v>1.1026821126720865</v>
      </c>
      <c r="AN382">
        <v>8.7615999999999999E-2</v>
      </c>
      <c r="AO382" s="309">
        <f>((AK383-AVERAGE(AL380:AL382)*AB383)/(AN382*1000))*100</f>
        <v>73.863287212845776</v>
      </c>
      <c r="AP382" s="319" t="s">
        <v>123</v>
      </c>
    </row>
    <row r="383" spans="1:42">
      <c r="A383" s="283" t="s">
        <v>444</v>
      </c>
      <c r="B383">
        <v>84.06</v>
      </c>
      <c r="C383">
        <v>70.06</v>
      </c>
      <c r="D383">
        <v>89.09</v>
      </c>
      <c r="E383">
        <v>54.59</v>
      </c>
      <c r="F383">
        <v>58.24</v>
      </c>
      <c r="G383">
        <v>86.12</v>
      </c>
      <c r="H383">
        <v>73.989999999999995</v>
      </c>
      <c r="I383">
        <v>80.92</v>
      </c>
      <c r="J383">
        <v>28.53</v>
      </c>
      <c r="K383">
        <v>75.260000000000005</v>
      </c>
      <c r="N383" s="306">
        <v>84.06</v>
      </c>
      <c r="O383">
        <v>70.06</v>
      </c>
      <c r="P383">
        <v>89.09</v>
      </c>
      <c r="Q383">
        <v>54.59</v>
      </c>
      <c r="R383">
        <v>58.24</v>
      </c>
      <c r="S383">
        <v>86.12</v>
      </c>
      <c r="T383">
        <v>73.989999999999995</v>
      </c>
      <c r="U383">
        <v>80.92</v>
      </c>
      <c r="W383">
        <v>75.260000000000005</v>
      </c>
      <c r="AB383">
        <v>10.1968</v>
      </c>
      <c r="AC383">
        <v>0.92</v>
      </c>
      <c r="AD383" s="87">
        <f t="shared" si="43"/>
        <v>0.94444444444444442</v>
      </c>
      <c r="AE383" s="203">
        <f t="shared" si="44"/>
        <v>0.93222222222222229</v>
      </c>
      <c r="AF383" s="49">
        <f t="shared" si="45"/>
        <v>15.675890655907107</v>
      </c>
      <c r="AG383" s="49">
        <f t="shared" si="46"/>
        <v>26.02611325014702</v>
      </c>
      <c r="AH383" s="50">
        <f t="shared" si="47"/>
        <v>8.6086956521739103E-2</v>
      </c>
      <c r="AI383" s="105">
        <f t="shared" si="48"/>
        <v>1.3495406611661684</v>
      </c>
      <c r="AJ383" s="270">
        <f>INDEX($AR$3:AS383,MATCH(COUNTA(O383:W383),$AR$3:$AR$12,0),2)</f>
        <v>2.2200000000000002</v>
      </c>
      <c r="AK383" s="108">
        <f t="shared" si="49"/>
        <v>74.703333333333319</v>
      </c>
      <c r="AL383" s="91">
        <f t="shared" ref="AL383:AL414" si="51">IF(AND(O383="",Q383="",S383="",U383="",W383=""),"n.d.", AK383/AB383)</f>
        <v>7.3261546105967872</v>
      </c>
      <c r="AP383" s="319" t="s">
        <v>127</v>
      </c>
    </row>
    <row r="384" spans="1:42">
      <c r="A384" s="283" t="s">
        <v>445</v>
      </c>
      <c r="AB384">
        <v>0.53195800000000004</v>
      </c>
      <c r="AD384" s="87" t="e">
        <f t="shared" si="43"/>
        <v>#DIV/0!</v>
      </c>
      <c r="AE384" s="203" t="e">
        <f t="shared" si="44"/>
        <v>#DIV/0!</v>
      </c>
      <c r="AF384" s="49" t="e">
        <f t="shared" si="45"/>
        <v>#DIV/0!</v>
      </c>
      <c r="AG384" s="49" t="e">
        <f t="shared" si="46"/>
        <v>#DIV/0!</v>
      </c>
      <c r="AH384" s="50" t="e">
        <f t="shared" si="47"/>
        <v>#NUM!</v>
      </c>
      <c r="AI384" s="105" t="e">
        <f t="shared" si="48"/>
        <v>#DIV/0!</v>
      </c>
      <c r="AJ384" s="270" t="e">
        <f>INDEX($AR$3:AS384,MATCH(COUNTA(O384:W384),$AR$3:$AR$12,0),2)</f>
        <v>#N/A</v>
      </c>
      <c r="AK384" s="108" t="e">
        <f t="shared" si="49"/>
        <v>#DIV/0!</v>
      </c>
      <c r="AL384" s="91" t="str">
        <f t="shared" si="51"/>
        <v>n.d.</v>
      </c>
      <c r="AP384" s="319" t="s">
        <v>64</v>
      </c>
    </row>
    <row r="385" spans="1:42">
      <c r="A385" s="283" t="s">
        <v>446</v>
      </c>
      <c r="AB385">
        <v>0.137437</v>
      </c>
      <c r="AD385" s="87" t="e">
        <f t="shared" si="43"/>
        <v>#DIV/0!</v>
      </c>
      <c r="AE385" s="203" t="e">
        <f t="shared" si="44"/>
        <v>#DIV/0!</v>
      </c>
      <c r="AF385" s="49" t="e">
        <f t="shared" si="45"/>
        <v>#DIV/0!</v>
      </c>
      <c r="AG385" s="49" t="e">
        <f t="shared" si="46"/>
        <v>#DIV/0!</v>
      </c>
      <c r="AH385" s="50" t="e">
        <f t="shared" si="47"/>
        <v>#NUM!</v>
      </c>
      <c r="AI385" s="105" t="e">
        <f t="shared" si="48"/>
        <v>#DIV/0!</v>
      </c>
      <c r="AJ385" s="270" t="e">
        <f>INDEX($AR$3:AS385,MATCH(COUNTA(O385:W385),$AR$3:$AR$12,0),2)</f>
        <v>#N/A</v>
      </c>
      <c r="AK385" s="108" t="e">
        <f t="shared" si="49"/>
        <v>#DIV/0!</v>
      </c>
      <c r="AL385" s="91" t="str">
        <f t="shared" si="51"/>
        <v>n.d.</v>
      </c>
      <c r="AP385" s="319" t="s">
        <v>64</v>
      </c>
    </row>
    <row r="386" spans="1:42">
      <c r="A386" s="283" t="s">
        <v>447</v>
      </c>
      <c r="B386">
        <v>23.2</v>
      </c>
      <c r="C386">
        <v>25.54</v>
      </c>
      <c r="D386">
        <v>55.37</v>
      </c>
      <c r="E386">
        <v>25.11</v>
      </c>
      <c r="F386">
        <v>34.93</v>
      </c>
      <c r="G386">
        <v>40.98</v>
      </c>
      <c r="H386">
        <v>50.56</v>
      </c>
      <c r="I386">
        <v>32.909999999999997</v>
      </c>
      <c r="J386">
        <v>12.3</v>
      </c>
      <c r="K386">
        <v>23.37</v>
      </c>
      <c r="N386" s="306">
        <v>23.2</v>
      </c>
      <c r="O386">
        <v>25.54</v>
      </c>
      <c r="P386">
        <v>55.37</v>
      </c>
      <c r="Q386">
        <v>25.11</v>
      </c>
      <c r="R386">
        <v>34.93</v>
      </c>
      <c r="S386">
        <v>40.98</v>
      </c>
      <c r="T386">
        <v>50.56</v>
      </c>
      <c r="U386">
        <v>32.909999999999997</v>
      </c>
      <c r="V386">
        <v>12.3</v>
      </c>
      <c r="W386">
        <v>23.37</v>
      </c>
      <c r="Z386">
        <v>0.70699999999999996</v>
      </c>
      <c r="AA386">
        <v>1.056</v>
      </c>
      <c r="AB386">
        <v>35.156500000000001</v>
      </c>
      <c r="AC386">
        <v>0.78</v>
      </c>
      <c r="AD386" s="87">
        <f t="shared" ref="AD386:AD449" si="52">(COUNT(O386:W386)*(1/(COUNT(O386:W386)+COUNTBLANK(O386:W386)))+(IF(AF386&lt;35,1,IF(AF386&lt;70,0.5,IF(AF386&gt;70,0)))))/2</f>
        <v>0.75</v>
      </c>
      <c r="AE386" s="203">
        <f t="shared" ref="AE386:AE449" si="53">AVERAGE(AC386:AD386)</f>
        <v>0.76500000000000001</v>
      </c>
      <c r="AF386" s="49">
        <f t="shared" ref="AF386:AF449" si="54">((_xlfn.STDEV.P(O386:W386))/(AVERAGE(O386:W386)))*100</f>
        <v>38.765130298924106</v>
      </c>
      <c r="AG386" s="49">
        <f t="shared" ref="AG386:AG449" si="55">((_xlfn.STDEV.P(C386:K386))/(AVERAGE(C386:K386)))*100</f>
        <v>38.765130298924106</v>
      </c>
      <c r="AH386" s="50">
        <f t="shared" ref="AH386:AH449" si="56">(ABS((LARGE(O386:W386,2) -MAX(O386:W386))))/(ABS(MIN(O386:W386)-MAX(O386:W386)))</f>
        <v>0.11167866264221026</v>
      </c>
      <c r="AI386" s="105">
        <f t="shared" ref="AI386:AI449" si="57">(ABS(MAX(O386:W386)-AVERAGE(O386:W386))/_xlfn.STDEV.P(O386:W386))</f>
        <v>1.6901696470148031</v>
      </c>
      <c r="AJ386" s="270">
        <f>INDEX($AR$3:AS386,MATCH(COUNTA(O386:W386),$AR$3:$AR$12,0),2)</f>
        <v>2.3199999999999998</v>
      </c>
      <c r="AK386" s="108">
        <f t="shared" si="49"/>
        <v>32.427</v>
      </c>
      <c r="AL386" s="91">
        <f t="shared" si="51"/>
        <v>0.92236144098530848</v>
      </c>
      <c r="AP386" s="319" t="s">
        <v>381</v>
      </c>
    </row>
    <row r="387" spans="1:42">
      <c r="A387" s="350" t="s">
        <v>448</v>
      </c>
      <c r="B387">
        <v>8.3699999999999992</v>
      </c>
      <c r="C387">
        <v>10.43</v>
      </c>
      <c r="D387">
        <v>33.590000000000003</v>
      </c>
      <c r="E387">
        <v>23.94</v>
      </c>
      <c r="F387">
        <v>30.81</v>
      </c>
      <c r="G387">
        <v>28.01</v>
      </c>
      <c r="H387">
        <v>41.24</v>
      </c>
      <c r="I387">
        <v>22.79</v>
      </c>
      <c r="J387">
        <v>7.78</v>
      </c>
      <c r="N387" s="306">
        <v>8.3699999999999992</v>
      </c>
      <c r="O387">
        <v>10.43</v>
      </c>
      <c r="P387">
        <v>33.590000000000003</v>
      </c>
      <c r="Q387">
        <v>23.94</v>
      </c>
      <c r="R387">
        <v>30.81</v>
      </c>
      <c r="S387">
        <v>28.01</v>
      </c>
      <c r="T387">
        <v>41.24</v>
      </c>
      <c r="U387">
        <v>22.79</v>
      </c>
      <c r="V387">
        <v>7.78</v>
      </c>
      <c r="Z387">
        <v>0.70699999999999996</v>
      </c>
      <c r="AA387">
        <v>1.056</v>
      </c>
      <c r="AB387">
        <v>42.128500000000003</v>
      </c>
      <c r="AC387">
        <v>0.89</v>
      </c>
      <c r="AD387" s="87">
        <f t="shared" si="52"/>
        <v>0.69444444444444442</v>
      </c>
      <c r="AE387" s="203">
        <f t="shared" si="53"/>
        <v>0.79222222222222216</v>
      </c>
      <c r="AF387" s="49">
        <f t="shared" si="54"/>
        <v>42.606745575793134</v>
      </c>
      <c r="AG387" s="49">
        <f t="shared" si="55"/>
        <v>42.606745575793134</v>
      </c>
      <c r="AH387" s="50">
        <f t="shared" si="56"/>
        <v>0.22863120143454865</v>
      </c>
      <c r="AI387" s="105">
        <f t="shared" si="57"/>
        <v>1.5521304019706585</v>
      </c>
      <c r="AJ387" s="270">
        <f>INDEX($AR$3:AS387,MATCH(COUNTA(O387:W387),$AR$3:$AR$12,0),2)</f>
        <v>2.2200000000000002</v>
      </c>
      <c r="AK387" s="108">
        <f t="shared" si="49"/>
        <v>22.995555555555555</v>
      </c>
      <c r="AL387" s="91">
        <f t="shared" si="51"/>
        <v>0.54584320722445745</v>
      </c>
      <c r="AP387" s="319" t="s">
        <v>381</v>
      </c>
    </row>
    <row r="388" spans="1:42" s="51" customFormat="1">
      <c r="A388" s="289" t="s">
        <v>449</v>
      </c>
      <c r="B388" s="51">
        <v>149.19</v>
      </c>
      <c r="C388" s="51">
        <v>84.05</v>
      </c>
      <c r="D388" s="51">
        <v>101.94</v>
      </c>
      <c r="E388" s="51">
        <v>67.17</v>
      </c>
      <c r="F388" s="51">
        <v>105.55</v>
      </c>
      <c r="G388" s="51">
        <v>154.62</v>
      </c>
      <c r="H388" s="51">
        <v>98.94</v>
      </c>
      <c r="I388" s="51">
        <v>102.88</v>
      </c>
      <c r="J388" s="51">
        <v>41.13</v>
      </c>
      <c r="K388" s="51">
        <v>114.54</v>
      </c>
      <c r="L388" s="51">
        <v>156.28</v>
      </c>
      <c r="M388" s="51">
        <v>158.9</v>
      </c>
      <c r="N388" s="63">
        <v>149.19</v>
      </c>
      <c r="O388" s="51">
        <v>84.05</v>
      </c>
      <c r="P388" s="51">
        <v>101.94</v>
      </c>
      <c r="Q388" s="51">
        <v>67.17</v>
      </c>
      <c r="R388" s="51">
        <v>105.55</v>
      </c>
      <c r="S388" s="51">
        <v>154.62</v>
      </c>
      <c r="T388" s="51">
        <v>98.94</v>
      </c>
      <c r="U388" s="51">
        <v>102.88</v>
      </c>
      <c r="V388" s="51">
        <v>41.13</v>
      </c>
      <c r="W388" s="51">
        <v>114.54</v>
      </c>
      <c r="X388" s="51">
        <v>156.28</v>
      </c>
      <c r="Y388" s="78">
        <v>158.9</v>
      </c>
      <c r="Z388" s="51">
        <v>1.069</v>
      </c>
      <c r="AA388" s="51">
        <v>0.15</v>
      </c>
      <c r="AB388" s="51">
        <v>18.248699999999999</v>
      </c>
      <c r="AC388" s="51">
        <v>0.82</v>
      </c>
      <c r="AD388" s="87">
        <f t="shared" si="52"/>
        <v>1</v>
      </c>
      <c r="AE388" s="203">
        <f t="shared" si="53"/>
        <v>0.90999999999999992</v>
      </c>
      <c r="AF388" s="49">
        <f t="shared" si="54"/>
        <v>30.701412568269891</v>
      </c>
      <c r="AG388" s="49">
        <f t="shared" si="55"/>
        <v>30.701412568269891</v>
      </c>
      <c r="AH388" s="50">
        <f t="shared" si="56"/>
        <v>0.35315886862278612</v>
      </c>
      <c r="AI388" s="105">
        <f t="shared" si="57"/>
        <v>1.9478291713652318</v>
      </c>
      <c r="AJ388" s="270">
        <f>INDEX($AR$3:AS388,MATCH(COUNTA(O388:W388),$AR$3:$AR$12,0),2)</f>
        <v>2.3199999999999998</v>
      </c>
      <c r="AK388" s="108">
        <f t="shared" si="49"/>
        <v>111.26583333333333</v>
      </c>
      <c r="AL388" s="91">
        <f t="shared" si="51"/>
        <v>6.0971923114157907</v>
      </c>
      <c r="AO388" s="78"/>
      <c r="AP388" s="293" t="s">
        <v>49</v>
      </c>
    </row>
    <row r="389" spans="1:42">
      <c r="A389" s="289" t="s">
        <v>450</v>
      </c>
      <c r="B389">
        <v>77.010000000000005</v>
      </c>
      <c r="C389">
        <v>42.39</v>
      </c>
      <c r="D389">
        <v>31.05</v>
      </c>
      <c r="E389">
        <v>28.91</v>
      </c>
      <c r="F389">
        <v>54.64</v>
      </c>
      <c r="G389">
        <v>75.55</v>
      </c>
      <c r="H389">
        <v>58.19</v>
      </c>
      <c r="I389">
        <v>58.92</v>
      </c>
      <c r="J389">
        <v>20.09</v>
      </c>
      <c r="K389">
        <v>67.39</v>
      </c>
      <c r="L389">
        <v>121.33</v>
      </c>
      <c r="M389">
        <v>115.29</v>
      </c>
      <c r="N389" s="306">
        <v>77.010000000000005</v>
      </c>
      <c r="O389">
        <v>42.39</v>
      </c>
      <c r="P389">
        <v>31.05</v>
      </c>
      <c r="Q389">
        <v>28.91</v>
      </c>
      <c r="R389">
        <v>54.64</v>
      </c>
      <c r="S389">
        <v>75.55</v>
      </c>
      <c r="T389">
        <v>58.19</v>
      </c>
      <c r="U389">
        <v>58.92</v>
      </c>
      <c r="V389">
        <v>20.09</v>
      </c>
      <c r="W389">
        <v>67.39</v>
      </c>
      <c r="X389">
        <v>121.33</v>
      </c>
      <c r="Y389" s="307">
        <v>115.29</v>
      </c>
      <c r="Z389">
        <v>0.439</v>
      </c>
      <c r="AA389">
        <v>0.15</v>
      </c>
      <c r="AB389">
        <v>10.1747</v>
      </c>
      <c r="AC389">
        <v>0.87</v>
      </c>
      <c r="AD389" s="87">
        <f t="shared" si="52"/>
        <v>0.75</v>
      </c>
      <c r="AE389" s="203">
        <f t="shared" si="53"/>
        <v>0.81</v>
      </c>
      <c r="AF389" s="49">
        <f t="shared" si="54"/>
        <v>36.71127156232528</v>
      </c>
      <c r="AG389" s="49">
        <f t="shared" si="55"/>
        <v>36.71127156232528</v>
      </c>
      <c r="AH389" s="50">
        <f t="shared" si="56"/>
        <v>0.14713306887847091</v>
      </c>
      <c r="AI389" s="105">
        <f t="shared" si="57"/>
        <v>1.5131236332770519</v>
      </c>
      <c r="AJ389" s="270">
        <f>INDEX($AR$3:AS389,MATCH(COUNTA(O389:W389),$AR$3:$AR$12,0),2)</f>
        <v>2.3199999999999998</v>
      </c>
      <c r="AK389" s="108">
        <f t="shared" si="49"/>
        <v>62.563333333333333</v>
      </c>
      <c r="AL389" s="91">
        <f t="shared" si="51"/>
        <v>6.1489118434286354</v>
      </c>
      <c r="AP389" s="319" t="s">
        <v>49</v>
      </c>
    </row>
    <row r="390" spans="1:42">
      <c r="A390" s="289" t="s">
        <v>451</v>
      </c>
      <c r="B390">
        <v>170.58</v>
      </c>
      <c r="C390">
        <v>83.66</v>
      </c>
      <c r="D390">
        <v>60.22</v>
      </c>
      <c r="E390">
        <v>63.89</v>
      </c>
      <c r="F390">
        <v>113.1</v>
      </c>
      <c r="G390">
        <v>153.75</v>
      </c>
      <c r="H390">
        <v>111.1</v>
      </c>
      <c r="I390">
        <v>115.88</v>
      </c>
      <c r="J390">
        <v>53.65</v>
      </c>
      <c r="K390">
        <v>113.72</v>
      </c>
      <c r="L390">
        <v>151.59</v>
      </c>
      <c r="M390">
        <v>120.62</v>
      </c>
      <c r="N390" s="306">
        <v>170.58</v>
      </c>
      <c r="O390">
        <v>83.66</v>
      </c>
      <c r="P390">
        <v>60.22</v>
      </c>
      <c r="Q390">
        <v>63.89</v>
      </c>
      <c r="R390">
        <v>113.1</v>
      </c>
      <c r="S390">
        <v>153.75</v>
      </c>
      <c r="T390">
        <v>111.1</v>
      </c>
      <c r="U390">
        <v>115.88</v>
      </c>
      <c r="V390">
        <v>53.65</v>
      </c>
      <c r="W390">
        <v>113.72</v>
      </c>
      <c r="X390">
        <v>151.59</v>
      </c>
      <c r="Y390" s="307">
        <v>120.62</v>
      </c>
      <c r="Z390">
        <v>0.30099999999999999</v>
      </c>
      <c r="AA390">
        <v>9.7000000000000003E-2</v>
      </c>
      <c r="AB390">
        <v>10.7644</v>
      </c>
      <c r="AC390">
        <v>0.88</v>
      </c>
      <c r="AD390" s="87">
        <f t="shared" si="52"/>
        <v>1</v>
      </c>
      <c r="AE390" s="203">
        <f t="shared" si="53"/>
        <v>0.94</v>
      </c>
      <c r="AF390" s="49">
        <f t="shared" si="54"/>
        <v>32.42099752956554</v>
      </c>
      <c r="AG390" s="49">
        <f t="shared" si="55"/>
        <v>32.42099752956554</v>
      </c>
      <c r="AH390" s="50">
        <f t="shared" si="56"/>
        <v>0.3783216783216784</v>
      </c>
      <c r="AI390" s="105">
        <f t="shared" si="57"/>
        <v>1.8272186072334389</v>
      </c>
      <c r="AJ390" s="270">
        <f>INDEX($AR$3:AS390,MATCH(COUNTA(O390:W390),$AR$3:$AR$12,0),2)</f>
        <v>2.3199999999999998</v>
      </c>
      <c r="AK390" s="108">
        <f t="shared" si="49"/>
        <v>109.31333333333332</v>
      </c>
      <c r="AL390" s="91">
        <f t="shared" si="51"/>
        <v>10.155079087857503</v>
      </c>
      <c r="AP390" s="319" t="s">
        <v>49</v>
      </c>
    </row>
    <row r="391" spans="1:42">
      <c r="A391" s="289" t="s">
        <v>452</v>
      </c>
      <c r="B391">
        <v>100.06</v>
      </c>
      <c r="C391">
        <v>60.18</v>
      </c>
      <c r="D391">
        <v>61.78</v>
      </c>
      <c r="E391">
        <v>52.68</v>
      </c>
      <c r="F391">
        <v>85.26</v>
      </c>
      <c r="G391">
        <v>113.64</v>
      </c>
      <c r="H391">
        <v>77.56</v>
      </c>
      <c r="I391">
        <v>87.14</v>
      </c>
      <c r="J391">
        <v>34.729999999999997</v>
      </c>
      <c r="K391">
        <v>98.94</v>
      </c>
      <c r="L391">
        <v>164.58</v>
      </c>
      <c r="M391">
        <v>131.33000000000001</v>
      </c>
      <c r="N391" s="306">
        <v>100.06</v>
      </c>
      <c r="O391">
        <v>60.18</v>
      </c>
      <c r="P391">
        <v>61.78</v>
      </c>
      <c r="Q391">
        <v>52.68</v>
      </c>
      <c r="R391">
        <v>85.26</v>
      </c>
      <c r="S391">
        <v>113.64</v>
      </c>
      <c r="T391">
        <v>77.56</v>
      </c>
      <c r="U391">
        <v>87.14</v>
      </c>
      <c r="V391">
        <v>34.729999999999997</v>
      </c>
      <c r="W391">
        <v>98.94</v>
      </c>
      <c r="X391">
        <v>164.58</v>
      </c>
      <c r="Y391" s="307">
        <v>131.33000000000001</v>
      </c>
      <c r="Z391">
        <v>0.95299999999999996</v>
      </c>
      <c r="AA391">
        <v>9.7000000000000003E-2</v>
      </c>
      <c r="AB391">
        <v>8.0693900000000003</v>
      </c>
      <c r="AC391">
        <v>0.83</v>
      </c>
      <c r="AD391" s="87">
        <f t="shared" si="52"/>
        <v>1</v>
      </c>
      <c r="AE391" s="203">
        <f t="shared" si="53"/>
        <v>0.91500000000000004</v>
      </c>
      <c r="AF391" s="49">
        <f t="shared" si="54"/>
        <v>31.057652637239197</v>
      </c>
      <c r="AG391" s="49">
        <f t="shared" si="55"/>
        <v>31.057652637239197</v>
      </c>
      <c r="AH391" s="50">
        <f t="shared" si="56"/>
        <v>0.18628817640349771</v>
      </c>
      <c r="AI391" s="105">
        <f t="shared" si="57"/>
        <v>1.6812865853669159</v>
      </c>
      <c r="AJ391" s="270">
        <f>INDEX($AR$3:AS391,MATCH(COUNTA(O391:W391),$AR$3:$AR$12,0),2)</f>
        <v>2.3199999999999998</v>
      </c>
      <c r="AK391" s="108">
        <f t="shared" si="49"/>
        <v>88.990000000000009</v>
      </c>
      <c r="AL391" s="91">
        <f t="shared" si="51"/>
        <v>11.028095060469255</v>
      </c>
      <c r="AP391" s="319" t="s">
        <v>49</v>
      </c>
    </row>
    <row r="392" spans="1:42">
      <c r="A392" s="289" t="s">
        <v>453</v>
      </c>
      <c r="B392">
        <v>254.79</v>
      </c>
      <c r="C392">
        <v>130.19999999999999</v>
      </c>
      <c r="D392">
        <v>108.07</v>
      </c>
      <c r="E392">
        <v>96.66</v>
      </c>
      <c r="F392">
        <v>159.47</v>
      </c>
      <c r="G392">
        <v>245.89</v>
      </c>
      <c r="H392">
        <v>163.61000000000001</v>
      </c>
      <c r="I392">
        <v>162.55000000000001</v>
      </c>
      <c r="J392">
        <v>78.22</v>
      </c>
      <c r="K392">
        <v>176.65</v>
      </c>
      <c r="L392">
        <v>250.54</v>
      </c>
      <c r="M392">
        <v>255.1</v>
      </c>
      <c r="N392" s="306">
        <v>254.79</v>
      </c>
      <c r="O392">
        <v>130.19999999999999</v>
      </c>
      <c r="P392">
        <v>108.07</v>
      </c>
      <c r="Q392">
        <v>96.66</v>
      </c>
      <c r="R392">
        <v>159.47</v>
      </c>
      <c r="S392">
        <v>245.89</v>
      </c>
      <c r="T392">
        <v>163.61000000000001</v>
      </c>
      <c r="U392">
        <v>162.55000000000001</v>
      </c>
      <c r="V392">
        <v>78.22</v>
      </c>
      <c r="W392">
        <v>176.65</v>
      </c>
      <c r="X392">
        <v>250.54</v>
      </c>
      <c r="Y392" s="307">
        <v>255.1</v>
      </c>
      <c r="Z392">
        <v>0.93</v>
      </c>
      <c r="AA392">
        <v>9.7000000000000003E-2</v>
      </c>
      <c r="AB392">
        <v>12.1059</v>
      </c>
      <c r="AC392">
        <v>0.87</v>
      </c>
      <c r="AD392" s="87">
        <f t="shared" si="52"/>
        <v>1</v>
      </c>
      <c r="AE392" s="203">
        <f t="shared" si="53"/>
        <v>0.93500000000000005</v>
      </c>
      <c r="AF392" s="49">
        <f t="shared" si="54"/>
        <v>32.423701641874509</v>
      </c>
      <c r="AG392" s="49">
        <f t="shared" si="55"/>
        <v>32.423701641874509</v>
      </c>
      <c r="AH392" s="50">
        <f t="shared" si="56"/>
        <v>0.41295401681875105</v>
      </c>
      <c r="AI392" s="105">
        <f t="shared" si="57"/>
        <v>2.0813412572295023</v>
      </c>
      <c r="AJ392" s="270">
        <f>INDEX($AR$3:AS392,MATCH(COUNTA(O392:W392),$AR$3:$AR$12,0),2)</f>
        <v>2.3199999999999998</v>
      </c>
      <c r="AK392" s="108">
        <f t="shared" si="49"/>
        <v>173.47916666666666</v>
      </c>
      <c r="AL392" s="91">
        <f t="shared" si="51"/>
        <v>14.330133791512127</v>
      </c>
      <c r="AP392" s="319" t="s">
        <v>49</v>
      </c>
    </row>
    <row r="393" spans="1:42">
      <c r="A393" s="289" t="s">
        <v>454</v>
      </c>
      <c r="B393">
        <v>130.13</v>
      </c>
      <c r="C393">
        <v>75.64</v>
      </c>
      <c r="D393">
        <v>55.97</v>
      </c>
      <c r="E393">
        <v>55.39</v>
      </c>
      <c r="F393">
        <v>109.21</v>
      </c>
      <c r="G393">
        <v>136.19</v>
      </c>
      <c r="H393">
        <v>89.22</v>
      </c>
      <c r="I393">
        <v>98.36</v>
      </c>
      <c r="J393">
        <v>39.18</v>
      </c>
      <c r="K393">
        <v>98.96</v>
      </c>
      <c r="L393">
        <v>60.75</v>
      </c>
      <c r="M393">
        <v>79.19</v>
      </c>
      <c r="N393" s="306">
        <v>130.13</v>
      </c>
      <c r="O393">
        <v>75.64</v>
      </c>
      <c r="P393">
        <v>55.97</v>
      </c>
      <c r="Q393">
        <v>55.39</v>
      </c>
      <c r="R393">
        <v>109.21</v>
      </c>
      <c r="S393">
        <v>136.19</v>
      </c>
      <c r="T393">
        <v>89.22</v>
      </c>
      <c r="U393">
        <v>98.36</v>
      </c>
      <c r="V393">
        <v>39.18</v>
      </c>
      <c r="W393">
        <v>98.96</v>
      </c>
      <c r="X393">
        <v>60.75</v>
      </c>
      <c r="Y393" s="307">
        <v>79.19</v>
      </c>
      <c r="Z393">
        <v>0.315</v>
      </c>
      <c r="AA393">
        <v>0.109</v>
      </c>
      <c r="AB393">
        <v>8.1649600000000007</v>
      </c>
      <c r="AC393">
        <v>0.85</v>
      </c>
      <c r="AD393" s="87">
        <f t="shared" si="52"/>
        <v>1</v>
      </c>
      <c r="AE393" s="203">
        <f t="shared" si="53"/>
        <v>0.92500000000000004</v>
      </c>
      <c r="AF393" s="49">
        <f t="shared" si="54"/>
        <v>34.267782622927029</v>
      </c>
      <c r="AG393" s="49">
        <f t="shared" si="55"/>
        <v>34.267782622927029</v>
      </c>
      <c r="AH393" s="50">
        <f t="shared" si="56"/>
        <v>0.27811565817956918</v>
      </c>
      <c r="AI393" s="105">
        <f t="shared" si="57"/>
        <v>1.7998704938628804</v>
      </c>
      <c r="AJ393" s="270">
        <f>INDEX($AR$3:AS393,MATCH(COUNTA(O393:W393),$AR$3:$AR$12,0),2)</f>
        <v>2.3199999999999998</v>
      </c>
      <c r="AK393" s="108">
        <f t="shared" si="49"/>
        <v>85.682500000000005</v>
      </c>
      <c r="AL393" s="91">
        <f t="shared" si="51"/>
        <v>10.493927710607277</v>
      </c>
      <c r="AP393" s="319" t="s">
        <v>49</v>
      </c>
    </row>
    <row r="394" spans="1:42">
      <c r="A394" s="289" t="s">
        <v>455</v>
      </c>
      <c r="B394">
        <v>39.21</v>
      </c>
      <c r="C394">
        <v>28.52</v>
      </c>
      <c r="D394">
        <v>29.91</v>
      </c>
      <c r="E394">
        <v>24.49</v>
      </c>
      <c r="F394">
        <v>47.87</v>
      </c>
      <c r="G394">
        <v>64.19</v>
      </c>
      <c r="H394">
        <v>45.99</v>
      </c>
      <c r="I394">
        <v>48.92</v>
      </c>
      <c r="J394">
        <v>19.190000000000001</v>
      </c>
      <c r="K394">
        <v>51.05</v>
      </c>
      <c r="N394" s="306">
        <v>39.21</v>
      </c>
      <c r="O394">
        <v>28.52</v>
      </c>
      <c r="P394">
        <v>29.91</v>
      </c>
      <c r="Q394">
        <v>24.49</v>
      </c>
      <c r="R394">
        <v>47.87</v>
      </c>
      <c r="S394">
        <v>64.19</v>
      </c>
      <c r="T394">
        <v>45.99</v>
      </c>
      <c r="U394">
        <v>48.92</v>
      </c>
      <c r="V394">
        <v>19.190000000000001</v>
      </c>
      <c r="W394">
        <v>51.05</v>
      </c>
      <c r="Z394">
        <v>0.83199999999999996</v>
      </c>
      <c r="AA394">
        <v>0.109</v>
      </c>
      <c r="AB394">
        <v>7.0769650000000004</v>
      </c>
      <c r="AC394">
        <v>0.92</v>
      </c>
      <c r="AD394" s="87">
        <f t="shared" si="52"/>
        <v>0.75</v>
      </c>
      <c r="AE394" s="203">
        <f t="shared" si="53"/>
        <v>0.83499999999999996</v>
      </c>
      <c r="AF394" s="49">
        <f t="shared" si="54"/>
        <v>35.262521470842117</v>
      </c>
      <c r="AG394" s="49">
        <f t="shared" si="55"/>
        <v>35.262521470842117</v>
      </c>
      <c r="AH394" s="50">
        <f t="shared" si="56"/>
        <v>0.29200000000000004</v>
      </c>
      <c r="AI394" s="105">
        <f t="shared" si="57"/>
        <v>1.7133508635503083</v>
      </c>
      <c r="AJ394" s="270">
        <f>INDEX($AR$3:AS394,MATCH(COUNTA(O394:W394),$AR$3:$AR$12,0),2)</f>
        <v>2.3199999999999998</v>
      </c>
      <c r="AK394" s="108">
        <f t="shared" si="49"/>
        <v>39.934000000000005</v>
      </c>
      <c r="AL394" s="91">
        <f t="shared" si="51"/>
        <v>5.6428143985451396</v>
      </c>
      <c r="AP394" s="319" t="s">
        <v>49</v>
      </c>
    </row>
    <row r="395" spans="1:42">
      <c r="A395" s="289" t="s">
        <v>456</v>
      </c>
      <c r="B395">
        <v>179.71</v>
      </c>
      <c r="C395">
        <v>88.37</v>
      </c>
      <c r="D395">
        <v>52.39</v>
      </c>
      <c r="E395">
        <v>63.78</v>
      </c>
      <c r="F395">
        <v>123.38</v>
      </c>
      <c r="G395">
        <v>154.88</v>
      </c>
      <c r="H395">
        <v>109.09</v>
      </c>
      <c r="I395">
        <v>112</v>
      </c>
      <c r="J395">
        <v>45.75</v>
      </c>
      <c r="K395">
        <v>122.92</v>
      </c>
      <c r="L395">
        <v>108.63</v>
      </c>
      <c r="M395">
        <v>101.12</v>
      </c>
      <c r="N395" s="306">
        <v>179.71</v>
      </c>
      <c r="O395">
        <v>88.37</v>
      </c>
      <c r="P395">
        <v>52.39</v>
      </c>
      <c r="Q395">
        <v>63.78</v>
      </c>
      <c r="R395">
        <v>123.38</v>
      </c>
      <c r="S395">
        <v>154.88</v>
      </c>
      <c r="T395">
        <v>109.09</v>
      </c>
      <c r="U395">
        <v>112</v>
      </c>
      <c r="V395">
        <v>45.75</v>
      </c>
      <c r="W395">
        <v>122.92</v>
      </c>
      <c r="X395">
        <v>108.63</v>
      </c>
      <c r="Y395" s="307">
        <v>101.12</v>
      </c>
      <c r="Z395">
        <v>1.042</v>
      </c>
      <c r="AA395">
        <v>0.109</v>
      </c>
      <c r="AB395">
        <v>10.223549999999999</v>
      </c>
      <c r="AC395">
        <v>0.83</v>
      </c>
      <c r="AD395" s="87">
        <f t="shared" si="52"/>
        <v>0.75</v>
      </c>
      <c r="AE395" s="203">
        <f t="shared" si="53"/>
        <v>0.79</v>
      </c>
      <c r="AF395" s="49">
        <f t="shared" si="54"/>
        <v>35.86850468710476</v>
      </c>
      <c r="AG395" s="49">
        <f t="shared" si="55"/>
        <v>35.86850468710476</v>
      </c>
      <c r="AH395" s="50">
        <f t="shared" si="56"/>
        <v>0.28864656831302116</v>
      </c>
      <c r="AI395" s="105">
        <f t="shared" si="57"/>
        <v>1.6658240813171588</v>
      </c>
      <c r="AJ395" s="270">
        <f>INDEX($AR$3:AS395,MATCH(COUNTA(O395:W395),$AR$3:$AR$12,0),2)</f>
        <v>2.3199999999999998</v>
      </c>
      <c r="AK395" s="108">
        <f t="shared" si="49"/>
        <v>105.16833333333334</v>
      </c>
      <c r="AL395" s="91">
        <f t="shared" si="51"/>
        <v>10.286870346732137</v>
      </c>
      <c r="AP395" s="319" t="s">
        <v>49</v>
      </c>
    </row>
    <row r="396" spans="1:42">
      <c r="A396" s="289" t="s">
        <v>457</v>
      </c>
      <c r="B396">
        <v>63.15</v>
      </c>
      <c r="C396">
        <v>44.06</v>
      </c>
      <c r="D396">
        <v>63.51</v>
      </c>
      <c r="E396">
        <v>27.63</v>
      </c>
      <c r="H396">
        <v>180.56</v>
      </c>
      <c r="I396">
        <v>91.23</v>
      </c>
      <c r="J396">
        <v>87.42</v>
      </c>
      <c r="K396">
        <v>147.1</v>
      </c>
      <c r="N396" s="306">
        <v>63.15</v>
      </c>
      <c r="O396">
        <v>44.06</v>
      </c>
      <c r="P396">
        <v>63.51</v>
      </c>
      <c r="Q396">
        <v>27.63</v>
      </c>
      <c r="T396">
        <v>180.56</v>
      </c>
      <c r="U396">
        <v>91.23</v>
      </c>
      <c r="V396">
        <v>87.42</v>
      </c>
      <c r="W396">
        <v>147.1</v>
      </c>
      <c r="Z396">
        <v>0.38100000000000001</v>
      </c>
      <c r="AA396">
        <v>0.55100000000000005</v>
      </c>
      <c r="AB396">
        <v>10.453200000000001</v>
      </c>
      <c r="AC396">
        <v>0.61</v>
      </c>
      <c r="AD396" s="87">
        <f t="shared" si="52"/>
        <v>0.63888888888888884</v>
      </c>
      <c r="AE396" s="203">
        <f t="shared" si="53"/>
        <v>0.62444444444444436</v>
      </c>
      <c r="AF396" s="49">
        <f t="shared" si="54"/>
        <v>55.56734502055621</v>
      </c>
      <c r="AG396" s="49">
        <f t="shared" si="55"/>
        <v>55.56734502055621</v>
      </c>
      <c r="AH396" s="50">
        <f t="shared" si="56"/>
        <v>0.21879291178970775</v>
      </c>
      <c r="AI396" s="105">
        <f t="shared" si="57"/>
        <v>1.7460371671528563</v>
      </c>
      <c r="AJ396" s="270">
        <f>INDEX($AR$3:AS396,MATCH(COUNTA(O396:W396),$AR$3:$AR$12,0),2)</f>
        <v>2.1</v>
      </c>
      <c r="AK396" s="108">
        <f t="shared" si="49"/>
        <v>88.082499999999996</v>
      </c>
      <c r="AL396" s="91">
        <f t="shared" si="51"/>
        <v>8.4263670454980275</v>
      </c>
      <c r="AP396" s="319" t="s">
        <v>244</v>
      </c>
    </row>
    <row r="397" spans="1:42">
      <c r="A397" s="289" t="s">
        <v>458</v>
      </c>
      <c r="B397">
        <v>42.6</v>
      </c>
      <c r="C397">
        <v>30.32</v>
      </c>
      <c r="D397">
        <v>23.91</v>
      </c>
      <c r="E397">
        <v>26</v>
      </c>
      <c r="F397">
        <v>18.23</v>
      </c>
      <c r="G397">
        <v>29.6</v>
      </c>
      <c r="H397">
        <v>137.33000000000001</v>
      </c>
      <c r="I397">
        <v>84.96</v>
      </c>
      <c r="J397">
        <v>58.24</v>
      </c>
      <c r="K397">
        <v>97.22</v>
      </c>
      <c r="N397" s="306">
        <v>42.6</v>
      </c>
      <c r="O397">
        <v>30.32</v>
      </c>
      <c r="P397">
        <v>23.91</v>
      </c>
      <c r="Q397">
        <v>26</v>
      </c>
      <c r="R397">
        <v>18.23</v>
      </c>
      <c r="S397">
        <v>29.6</v>
      </c>
      <c r="T397">
        <v>137.33000000000001</v>
      </c>
      <c r="U397">
        <v>84.96</v>
      </c>
      <c r="V397">
        <v>58.24</v>
      </c>
      <c r="W397">
        <v>97.22</v>
      </c>
      <c r="Z397">
        <v>0.95099999999999996</v>
      </c>
      <c r="AA397">
        <v>0.55100000000000005</v>
      </c>
      <c r="AB397">
        <v>8.8926250000000007</v>
      </c>
      <c r="AC397">
        <v>0.57999999999999996</v>
      </c>
      <c r="AD397" s="87">
        <f t="shared" si="52"/>
        <v>0.75</v>
      </c>
      <c r="AE397" s="203">
        <f t="shared" si="53"/>
        <v>0.66500000000000004</v>
      </c>
      <c r="AF397" s="49">
        <f t="shared" si="54"/>
        <v>69.850296224804225</v>
      </c>
      <c r="AG397" s="49">
        <f t="shared" si="55"/>
        <v>69.850296224804225</v>
      </c>
      <c r="AH397" s="50">
        <f t="shared" si="56"/>
        <v>0.33677581863979855</v>
      </c>
      <c r="AI397" s="105">
        <f t="shared" si="57"/>
        <v>2.0666283087562749</v>
      </c>
      <c r="AJ397" s="270">
        <f>INDEX($AR$3:AS397,MATCH(COUNTA(O397:W397),$AR$3:$AR$12,0),2)</f>
        <v>2.3199999999999998</v>
      </c>
      <c r="AK397" s="108">
        <f t="shared" si="49"/>
        <v>54.840999999999994</v>
      </c>
      <c r="AL397" s="91">
        <f t="shared" si="51"/>
        <v>6.1670204242279407</v>
      </c>
      <c r="AP397" s="319" t="s">
        <v>244</v>
      </c>
    </row>
    <row r="398" spans="1:42">
      <c r="A398" s="289" t="s">
        <v>459</v>
      </c>
      <c r="B398">
        <v>17.55</v>
      </c>
      <c r="C398">
        <v>54.01</v>
      </c>
      <c r="D398">
        <v>10.25</v>
      </c>
      <c r="E398">
        <v>23.55</v>
      </c>
      <c r="F398">
        <v>18.37</v>
      </c>
      <c r="G398">
        <v>23.74</v>
      </c>
      <c r="H398">
        <v>125.65</v>
      </c>
      <c r="I398">
        <v>89.72</v>
      </c>
      <c r="J398">
        <v>52.37</v>
      </c>
      <c r="K398">
        <v>94.18</v>
      </c>
      <c r="N398" s="306">
        <v>17.55</v>
      </c>
      <c r="O398">
        <v>54.01</v>
      </c>
      <c r="P398">
        <v>10.25</v>
      </c>
      <c r="Q398">
        <v>23.55</v>
      </c>
      <c r="R398">
        <v>18.37</v>
      </c>
      <c r="S398">
        <v>23.74</v>
      </c>
      <c r="T398">
        <v>125.65</v>
      </c>
      <c r="U398">
        <v>89.72</v>
      </c>
      <c r="V398">
        <v>52.37</v>
      </c>
      <c r="W398">
        <v>94.18</v>
      </c>
      <c r="Z398">
        <v>0.79900000000000004</v>
      </c>
      <c r="AA398">
        <v>0.55100000000000005</v>
      </c>
      <c r="AB398">
        <v>10.5664</v>
      </c>
      <c r="AC398">
        <v>0.63</v>
      </c>
      <c r="AD398" s="87">
        <f t="shared" si="52"/>
        <v>0.75</v>
      </c>
      <c r="AE398" s="203">
        <f t="shared" si="53"/>
        <v>0.69</v>
      </c>
      <c r="AF398" s="49">
        <f t="shared" si="54"/>
        <v>69.677440052080712</v>
      </c>
      <c r="AG398" s="49">
        <f t="shared" si="55"/>
        <v>69.677440052080712</v>
      </c>
      <c r="AH398" s="50">
        <f t="shared" si="56"/>
        <v>0.27270363951473137</v>
      </c>
      <c r="AI398" s="105">
        <f t="shared" si="57"/>
        <v>1.8646255139214583</v>
      </c>
      <c r="AJ398" s="270">
        <f>INDEX($AR$3:AS398,MATCH(COUNTA(O398:W398),$AR$3:$AR$12,0),2)</f>
        <v>2.3199999999999998</v>
      </c>
      <c r="AK398" s="108">
        <f t="shared" si="49"/>
        <v>50.939000000000007</v>
      </c>
      <c r="AL398" s="91">
        <f t="shared" si="51"/>
        <v>4.8208472138098131</v>
      </c>
      <c r="AP398" s="319" t="s">
        <v>244</v>
      </c>
    </row>
    <row r="399" spans="1:42">
      <c r="A399" s="289" t="s">
        <v>460</v>
      </c>
      <c r="Z399">
        <v>0.41199999999999998</v>
      </c>
      <c r="AA399">
        <v>7.2999999999999995E-2</v>
      </c>
      <c r="AB399">
        <v>12.769600000000001</v>
      </c>
      <c r="AD399" s="87" t="e">
        <f t="shared" si="52"/>
        <v>#DIV/0!</v>
      </c>
      <c r="AE399" s="203" t="e">
        <f t="shared" si="53"/>
        <v>#DIV/0!</v>
      </c>
      <c r="AF399" s="49" t="e">
        <f t="shared" si="54"/>
        <v>#DIV/0!</v>
      </c>
      <c r="AG399" s="49" t="e">
        <f t="shared" si="55"/>
        <v>#DIV/0!</v>
      </c>
      <c r="AH399" s="50" t="e">
        <f t="shared" si="56"/>
        <v>#NUM!</v>
      </c>
      <c r="AI399" s="105" t="e">
        <f t="shared" si="57"/>
        <v>#DIV/0!</v>
      </c>
      <c r="AJ399" s="270" t="e">
        <f>INDEX($AR$3:AS399,MATCH(COUNTA(O399:W399),$AR$3:$AR$12,0),2)</f>
        <v>#N/A</v>
      </c>
      <c r="AK399" s="108" t="e">
        <f t="shared" si="49"/>
        <v>#DIV/0!</v>
      </c>
      <c r="AL399" s="91" t="str">
        <f t="shared" si="51"/>
        <v>n.d.</v>
      </c>
      <c r="AP399" s="319" t="s">
        <v>381</v>
      </c>
    </row>
    <row r="400" spans="1:42">
      <c r="A400" s="289" t="s">
        <v>461</v>
      </c>
      <c r="Z400">
        <v>1.075</v>
      </c>
      <c r="AA400">
        <v>7.2999999999999995E-2</v>
      </c>
      <c r="AB400">
        <v>9.5862499999999997</v>
      </c>
      <c r="AD400" s="87" t="e">
        <f t="shared" si="52"/>
        <v>#DIV/0!</v>
      </c>
      <c r="AE400" s="203" t="e">
        <f t="shared" si="53"/>
        <v>#DIV/0!</v>
      </c>
      <c r="AF400" s="49" t="e">
        <f t="shared" si="54"/>
        <v>#DIV/0!</v>
      </c>
      <c r="AG400" s="49" t="e">
        <f t="shared" si="55"/>
        <v>#DIV/0!</v>
      </c>
      <c r="AH400" s="50" t="e">
        <f t="shared" si="56"/>
        <v>#NUM!</v>
      </c>
      <c r="AI400" s="105" t="e">
        <f t="shared" si="57"/>
        <v>#DIV/0!</v>
      </c>
      <c r="AJ400" s="270" t="e">
        <f>INDEX($AR$3:AS400,MATCH(COUNTA(O400:W400),$AR$3:$AR$12,0),2)</f>
        <v>#N/A</v>
      </c>
      <c r="AK400" s="108" t="e">
        <f t="shared" si="49"/>
        <v>#DIV/0!</v>
      </c>
      <c r="AL400" s="91" t="str">
        <f t="shared" si="51"/>
        <v>n.d.</v>
      </c>
      <c r="AP400" s="319" t="s">
        <v>381</v>
      </c>
    </row>
    <row r="401" spans="1:42">
      <c r="A401" s="351" t="s">
        <v>462</v>
      </c>
      <c r="Z401">
        <v>0.74</v>
      </c>
      <c r="AA401">
        <v>7.2999999999999995E-2</v>
      </c>
      <c r="AB401">
        <v>13.754300000000001</v>
      </c>
      <c r="AD401" s="87" t="e">
        <f t="shared" si="52"/>
        <v>#DIV/0!</v>
      </c>
      <c r="AE401" s="203" t="e">
        <f t="shared" si="53"/>
        <v>#DIV/0!</v>
      </c>
      <c r="AF401" s="49" t="e">
        <f t="shared" si="54"/>
        <v>#DIV/0!</v>
      </c>
      <c r="AG401" s="49" t="e">
        <f t="shared" si="55"/>
        <v>#DIV/0!</v>
      </c>
      <c r="AH401" s="50" t="e">
        <f t="shared" si="56"/>
        <v>#NUM!</v>
      </c>
      <c r="AI401" s="105" t="e">
        <f t="shared" si="57"/>
        <v>#DIV/0!</v>
      </c>
      <c r="AJ401" s="270" t="e">
        <f>INDEX($AR$3:AS401,MATCH(COUNTA(O401:W401),$AR$3:$AR$12,0),2)</f>
        <v>#N/A</v>
      </c>
      <c r="AK401" s="108" t="e">
        <f t="shared" si="49"/>
        <v>#DIV/0!</v>
      </c>
      <c r="AL401" s="91" t="str">
        <f t="shared" si="51"/>
        <v>n.d.</v>
      </c>
      <c r="AP401" s="319" t="s">
        <v>381</v>
      </c>
    </row>
    <row r="402" spans="1:42" s="51" customFormat="1">
      <c r="A402" s="295" t="s">
        <v>463</v>
      </c>
      <c r="N402" s="63"/>
      <c r="Y402" s="78"/>
      <c r="Z402" s="51">
        <v>0.70699999999999996</v>
      </c>
      <c r="AA402" s="51">
        <v>0.129</v>
      </c>
      <c r="AB402" s="51">
        <v>5.9239199999999999</v>
      </c>
      <c r="AD402" s="89" t="e">
        <f t="shared" si="52"/>
        <v>#DIV/0!</v>
      </c>
      <c r="AE402" s="68" t="e">
        <f t="shared" si="53"/>
        <v>#DIV/0!</v>
      </c>
      <c r="AF402" s="69" t="e">
        <f t="shared" si="54"/>
        <v>#DIV/0!</v>
      </c>
      <c r="AG402" s="69" t="e">
        <f t="shared" si="55"/>
        <v>#DIV/0!</v>
      </c>
      <c r="AH402" s="70" t="e">
        <f t="shared" si="56"/>
        <v>#NUM!</v>
      </c>
      <c r="AI402" s="104" t="e">
        <f t="shared" si="57"/>
        <v>#DIV/0!</v>
      </c>
      <c r="AJ402" s="269" t="e">
        <f>INDEX($AR$3:AS402,MATCH(COUNTA(O402:W402),$AR$3:$AR$12,0),2)</f>
        <v>#N/A</v>
      </c>
      <c r="AK402" s="107" t="e">
        <f t="shared" si="49"/>
        <v>#DIV/0!</v>
      </c>
      <c r="AL402" s="93" t="str">
        <f t="shared" si="51"/>
        <v>n.d.</v>
      </c>
      <c r="AO402" s="78"/>
      <c r="AP402" s="293" t="s">
        <v>354</v>
      </c>
    </row>
    <row r="403" spans="1:42">
      <c r="A403" s="295" t="s">
        <v>464</v>
      </c>
      <c r="F403">
        <v>3.75</v>
      </c>
      <c r="G403">
        <v>3.43</v>
      </c>
      <c r="H403">
        <v>6</v>
      </c>
      <c r="I403">
        <v>7.26</v>
      </c>
      <c r="R403">
        <v>3.75</v>
      </c>
      <c r="S403">
        <v>3.43</v>
      </c>
      <c r="T403">
        <v>6</v>
      </c>
      <c r="U403">
        <v>7.26</v>
      </c>
      <c r="Z403">
        <v>0.70699999999999996</v>
      </c>
      <c r="AA403">
        <v>0.129</v>
      </c>
      <c r="AB403">
        <v>11.6953</v>
      </c>
      <c r="AC403">
        <v>0.68</v>
      </c>
      <c r="AD403" s="87">
        <f t="shared" si="52"/>
        <v>0.72222222222222221</v>
      </c>
      <c r="AE403" s="203">
        <f t="shared" si="53"/>
        <v>0.70111111111111113</v>
      </c>
      <c r="AF403" s="49">
        <f t="shared" si="54"/>
        <v>31.075741736729039</v>
      </c>
      <c r="AG403" s="49">
        <f t="shared" si="55"/>
        <v>31.075741736729039</v>
      </c>
      <c r="AH403" s="50">
        <f t="shared" si="56"/>
        <v>0.32898172323759789</v>
      </c>
      <c r="AI403" s="105">
        <f t="shared" si="57"/>
        <v>1.3539295167472605</v>
      </c>
      <c r="AJ403" s="270">
        <f>INDEX($AR$3:AS403,MATCH(COUNTA(O403:W403),$AR$3:$AR$12,0),2)</f>
        <v>1.49</v>
      </c>
      <c r="AK403" s="108">
        <f t="shared" si="49"/>
        <v>5.1099999999999994</v>
      </c>
      <c r="AL403" s="91">
        <f t="shared" si="51"/>
        <v>0.43692765469889611</v>
      </c>
      <c r="AP403" s="319" t="s">
        <v>354</v>
      </c>
    </row>
    <row r="404" spans="1:42">
      <c r="A404" s="295" t="s">
        <v>465</v>
      </c>
      <c r="F404">
        <v>4.08</v>
      </c>
      <c r="G404">
        <v>3.63</v>
      </c>
      <c r="H404">
        <v>6.05</v>
      </c>
      <c r="I404">
        <v>7.78</v>
      </c>
      <c r="R404">
        <v>4.08</v>
      </c>
      <c r="S404">
        <v>3.63</v>
      </c>
      <c r="T404">
        <v>6.05</v>
      </c>
      <c r="U404">
        <v>7.78</v>
      </c>
      <c r="Z404">
        <v>0.70699999999999996</v>
      </c>
      <c r="AA404">
        <v>8.4000000000000005E-2</v>
      </c>
      <c r="AB404">
        <v>5.3761700000000001</v>
      </c>
      <c r="AC404">
        <v>0.65</v>
      </c>
      <c r="AD404" s="87">
        <f t="shared" si="52"/>
        <v>0.72222222222222221</v>
      </c>
      <c r="AE404" s="203">
        <f t="shared" si="53"/>
        <v>0.68611111111111112</v>
      </c>
      <c r="AF404" s="49">
        <f t="shared" si="54"/>
        <v>30.740811562747744</v>
      </c>
      <c r="AG404" s="49">
        <f t="shared" si="55"/>
        <v>30.740811562747744</v>
      </c>
      <c r="AH404" s="50">
        <f t="shared" si="56"/>
        <v>0.41686746987951812</v>
      </c>
      <c r="AI404" s="105">
        <f t="shared" si="57"/>
        <v>1.4467866121194553</v>
      </c>
      <c r="AJ404" s="270">
        <f>INDEX($AR$3:AS404,MATCH(COUNTA(O404:W404),$AR$3:$AR$12,0),2)</f>
        <v>1.49</v>
      </c>
      <c r="AK404" s="108">
        <f t="shared" si="49"/>
        <v>5.3849999999999998</v>
      </c>
      <c r="AL404" s="91">
        <f t="shared" si="51"/>
        <v>1.0016424331819864</v>
      </c>
      <c r="AP404" s="319" t="s">
        <v>354</v>
      </c>
    </row>
    <row r="405" spans="1:42">
      <c r="A405" s="295" t="s">
        <v>466</v>
      </c>
      <c r="F405">
        <v>3.19</v>
      </c>
      <c r="H405">
        <v>4.3</v>
      </c>
      <c r="I405">
        <v>6.5</v>
      </c>
      <c r="R405">
        <v>3.19</v>
      </c>
      <c r="T405">
        <v>4.3</v>
      </c>
      <c r="U405">
        <v>6.5</v>
      </c>
      <c r="Z405">
        <v>0.70699999999999996</v>
      </c>
      <c r="AA405">
        <v>8.4000000000000005E-2</v>
      </c>
      <c r="AB405">
        <v>9.5681949999999993</v>
      </c>
      <c r="AC405">
        <v>0.62</v>
      </c>
      <c r="AD405" s="87">
        <f t="shared" si="52"/>
        <v>0.66666666666666663</v>
      </c>
      <c r="AE405" s="203">
        <f t="shared" si="53"/>
        <v>0.64333333333333331</v>
      </c>
      <c r="AF405" s="49">
        <f t="shared" si="54"/>
        <v>29.496239892168113</v>
      </c>
      <c r="AG405" s="49">
        <f t="shared" si="55"/>
        <v>29.496239892168113</v>
      </c>
      <c r="AH405" s="50">
        <f t="shared" si="56"/>
        <v>0.66465256797583083</v>
      </c>
      <c r="AI405" s="105">
        <f t="shared" si="57"/>
        <v>1.335264268956079</v>
      </c>
      <c r="AJ405" s="270">
        <f>INDEX($AR$3:AS405,MATCH(COUNTA(O405:W405),$AR$3:$AR$12,0),2)</f>
        <v>1.1499999999999999</v>
      </c>
      <c r="AK405" s="108">
        <f t="shared" si="49"/>
        <v>4.6633333333333331</v>
      </c>
      <c r="AL405" s="91">
        <f t="shared" si="51"/>
        <v>0.48737858429237002</v>
      </c>
      <c r="AP405" s="319" t="s">
        <v>354</v>
      </c>
    </row>
    <row r="406" spans="1:42">
      <c r="A406" s="295" t="s">
        <v>467</v>
      </c>
      <c r="F406">
        <v>3.32</v>
      </c>
      <c r="G406">
        <v>3.71</v>
      </c>
      <c r="H406">
        <v>5.63</v>
      </c>
      <c r="I406">
        <v>7.49</v>
      </c>
      <c r="R406">
        <v>3.32</v>
      </c>
      <c r="S406">
        <v>3.71</v>
      </c>
      <c r="T406">
        <v>5.63</v>
      </c>
      <c r="U406">
        <v>7.49</v>
      </c>
      <c r="Z406">
        <v>0.70699999999999996</v>
      </c>
      <c r="AA406">
        <v>2.7E-2</v>
      </c>
      <c r="AB406">
        <v>7.2167450000000004</v>
      </c>
      <c r="AC406">
        <v>0.65</v>
      </c>
      <c r="AD406" s="87">
        <f t="shared" si="52"/>
        <v>0.72222222222222221</v>
      </c>
      <c r="AE406" s="203">
        <f t="shared" si="53"/>
        <v>0.68611111111111112</v>
      </c>
      <c r="AF406" s="49">
        <f t="shared" si="54"/>
        <v>33.03567427219253</v>
      </c>
      <c r="AG406" s="49">
        <f t="shared" si="55"/>
        <v>33.03567427219253</v>
      </c>
      <c r="AH406" s="50">
        <f t="shared" si="56"/>
        <v>0.44604316546762596</v>
      </c>
      <c r="AI406" s="105">
        <f t="shared" si="57"/>
        <v>1.4737057619118503</v>
      </c>
      <c r="AJ406" s="270">
        <f>INDEX($AR$3:AS406,MATCH(COUNTA(O406:W406),$AR$3:$AR$12,0),2)</f>
        <v>1.49</v>
      </c>
      <c r="AK406" s="108">
        <f t="shared" si="49"/>
        <v>5.0374999999999996</v>
      </c>
      <c r="AL406" s="91">
        <f t="shared" si="51"/>
        <v>0.69802937473888838</v>
      </c>
      <c r="AP406" s="319" t="s">
        <v>354</v>
      </c>
    </row>
    <row r="407" spans="1:42">
      <c r="A407" s="295" t="s">
        <v>468</v>
      </c>
      <c r="F407">
        <v>2.46</v>
      </c>
      <c r="H407">
        <v>3.62</v>
      </c>
      <c r="I407">
        <v>6.15</v>
      </c>
      <c r="R407">
        <v>2.46</v>
      </c>
      <c r="T407">
        <v>3.62</v>
      </c>
      <c r="U407">
        <v>6.15</v>
      </c>
      <c r="Z407">
        <v>0.70699999999999996</v>
      </c>
      <c r="AA407">
        <v>2.7E-2</v>
      </c>
      <c r="AB407">
        <v>6.6940000000000008</v>
      </c>
      <c r="AC407">
        <v>0.65</v>
      </c>
      <c r="AD407" s="87">
        <f t="shared" si="52"/>
        <v>0.41666666666666663</v>
      </c>
      <c r="AE407" s="203">
        <f t="shared" si="53"/>
        <v>0.53333333333333333</v>
      </c>
      <c r="AF407" s="49">
        <f t="shared" si="54"/>
        <v>37.79206277405558</v>
      </c>
      <c r="AG407" s="49">
        <f t="shared" si="55"/>
        <v>37.79206277405558</v>
      </c>
      <c r="AH407" s="50">
        <f t="shared" si="56"/>
        <v>0.68563685636856364</v>
      </c>
      <c r="AI407" s="105">
        <f t="shared" si="57"/>
        <v>1.3457467211201215</v>
      </c>
      <c r="AJ407" s="270">
        <f>INDEX($AR$3:AS407,MATCH(COUNTA(O407:W407),$AR$3:$AR$12,0),2)</f>
        <v>1.1499999999999999</v>
      </c>
      <c r="AK407" s="108">
        <f t="shared" si="49"/>
        <v>4.0766666666666671</v>
      </c>
      <c r="AL407" s="91">
        <f t="shared" si="51"/>
        <v>0.60900308734189823</v>
      </c>
      <c r="AP407" s="319" t="s">
        <v>354</v>
      </c>
    </row>
    <row r="408" spans="1:42">
      <c r="A408" s="295" t="s">
        <v>469</v>
      </c>
      <c r="I408">
        <v>5.12</v>
      </c>
      <c r="U408">
        <v>5.12</v>
      </c>
      <c r="Z408">
        <v>0.70699999999999996</v>
      </c>
      <c r="AA408">
        <v>7.4999999999999997E-2</v>
      </c>
      <c r="AB408">
        <v>9.5514899999999994</v>
      </c>
      <c r="AC408">
        <v>0.65</v>
      </c>
      <c r="AD408" s="87">
        <f t="shared" si="52"/>
        <v>0.55555555555555558</v>
      </c>
      <c r="AE408" s="203">
        <f t="shared" si="53"/>
        <v>0.60277777777777786</v>
      </c>
      <c r="AF408" s="49">
        <f t="shared" si="54"/>
        <v>0</v>
      </c>
      <c r="AG408" s="49">
        <f t="shared" si="55"/>
        <v>0</v>
      </c>
      <c r="AH408" s="50" t="e">
        <f t="shared" si="56"/>
        <v>#NUM!</v>
      </c>
      <c r="AI408" s="105" t="e">
        <f t="shared" si="57"/>
        <v>#DIV/0!</v>
      </c>
      <c r="AJ408" s="270" t="e">
        <f>INDEX($AR$3:AS408,MATCH(COUNTA(O408:W408),$AR$3:$AR$12,0),2)</f>
        <v>#N/A</v>
      </c>
      <c r="AK408" s="108">
        <f t="shared" si="49"/>
        <v>5.12</v>
      </c>
      <c r="AL408" s="91">
        <f t="shared" si="51"/>
        <v>0.53604202066902651</v>
      </c>
      <c r="AP408" s="319" t="s">
        <v>354</v>
      </c>
    </row>
    <row r="409" spans="1:42">
      <c r="A409" s="295" t="s">
        <v>470</v>
      </c>
      <c r="H409">
        <v>1.74</v>
      </c>
      <c r="I409">
        <v>4.92</v>
      </c>
      <c r="T409">
        <v>1.74</v>
      </c>
      <c r="U409">
        <v>4.92</v>
      </c>
      <c r="Z409">
        <v>0.70699999999999996</v>
      </c>
      <c r="AA409">
        <v>0.13500000000000001</v>
      </c>
      <c r="AB409">
        <v>10.0252</v>
      </c>
      <c r="AC409">
        <v>0.68</v>
      </c>
      <c r="AD409" s="87">
        <f t="shared" si="52"/>
        <v>0.3611111111111111</v>
      </c>
      <c r="AE409" s="203">
        <f t="shared" si="53"/>
        <v>0.52055555555555555</v>
      </c>
      <c r="AF409" s="49">
        <f t="shared" si="54"/>
        <v>47.747747747747731</v>
      </c>
      <c r="AG409" s="49">
        <f t="shared" si="55"/>
        <v>47.747747747747731</v>
      </c>
      <c r="AH409" s="50">
        <f t="shared" si="56"/>
        <v>1</v>
      </c>
      <c r="AI409" s="105">
        <f t="shared" si="57"/>
        <v>1.0000000000000002</v>
      </c>
      <c r="AJ409" s="270" t="e">
        <f>INDEX($AR$3:AS409,MATCH(COUNTA(O409:W409),$AR$3:$AR$12,0),2)</f>
        <v>#N/A</v>
      </c>
      <c r="AK409" s="108">
        <f t="shared" si="49"/>
        <v>3.33</v>
      </c>
      <c r="AL409" s="91">
        <f t="shared" si="51"/>
        <v>0.33216294936759366</v>
      </c>
      <c r="AP409" s="319" t="s">
        <v>354</v>
      </c>
    </row>
    <row r="410" spans="1:42">
      <c r="A410" s="295" t="s">
        <v>471</v>
      </c>
      <c r="F410">
        <v>2.2200000000000002</v>
      </c>
      <c r="I410">
        <v>4.8099999999999996</v>
      </c>
      <c r="R410">
        <v>2.2200000000000002</v>
      </c>
      <c r="U410">
        <v>4.8099999999999996</v>
      </c>
      <c r="Z410">
        <v>0.70699999999999996</v>
      </c>
      <c r="AA410">
        <v>0.104</v>
      </c>
      <c r="AB410">
        <v>9.7563600000000008</v>
      </c>
      <c r="AC410">
        <v>0.72</v>
      </c>
      <c r="AD410" s="87">
        <f t="shared" si="52"/>
        <v>0.3611111111111111</v>
      </c>
      <c r="AE410" s="203">
        <f t="shared" si="53"/>
        <v>0.54055555555555557</v>
      </c>
      <c r="AF410" s="49">
        <f t="shared" si="54"/>
        <v>36.842105263157904</v>
      </c>
      <c r="AG410" s="49">
        <f t="shared" si="55"/>
        <v>36.842105263157904</v>
      </c>
      <c r="AH410" s="50">
        <f t="shared" si="56"/>
        <v>1</v>
      </c>
      <c r="AI410" s="105">
        <f t="shared" si="57"/>
        <v>0.99999999999999978</v>
      </c>
      <c r="AJ410" s="270" t="e">
        <f>INDEX($AR$3:AS410,MATCH(COUNTA(O410:W410),$AR$3:$AR$12,0),2)</f>
        <v>#N/A</v>
      </c>
      <c r="AK410" s="108">
        <f t="shared" ref="AK410:AK455" si="58">AVERAGE(N410:Y410)</f>
        <v>3.5149999999999997</v>
      </c>
      <c r="AL410" s="91">
        <f t="shared" si="51"/>
        <v>0.36027780852695057</v>
      </c>
      <c r="AP410" s="319" t="s">
        <v>354</v>
      </c>
    </row>
    <row r="411" spans="1:42">
      <c r="A411" s="295" t="s">
        <v>472</v>
      </c>
      <c r="H411">
        <v>1.8</v>
      </c>
      <c r="T411">
        <v>1.8</v>
      </c>
      <c r="Z411">
        <v>0.70699999999999996</v>
      </c>
      <c r="AA411">
        <v>0.104</v>
      </c>
      <c r="AB411">
        <v>6.7526899999999994</v>
      </c>
      <c r="AC411">
        <v>0.57999999999999996</v>
      </c>
      <c r="AD411" s="87">
        <f t="shared" si="52"/>
        <v>0.55555555555555558</v>
      </c>
      <c r="AE411" s="203">
        <f t="shared" si="53"/>
        <v>0.56777777777777771</v>
      </c>
      <c r="AF411" s="49">
        <f t="shared" si="54"/>
        <v>0</v>
      </c>
      <c r="AG411" s="49">
        <f t="shared" si="55"/>
        <v>0</v>
      </c>
      <c r="AH411" s="50" t="e">
        <f t="shared" si="56"/>
        <v>#NUM!</v>
      </c>
      <c r="AI411" s="105" t="e">
        <f t="shared" si="57"/>
        <v>#DIV/0!</v>
      </c>
      <c r="AJ411" s="270" t="e">
        <f>INDEX($AR$3:AS411,MATCH(COUNTA(O411:W411),$AR$3:$AR$12,0),2)</f>
        <v>#N/A</v>
      </c>
      <c r="AK411" s="108">
        <f t="shared" si="58"/>
        <v>1.8</v>
      </c>
      <c r="AL411" s="91" t="str">
        <f t="shared" si="51"/>
        <v>n.d.</v>
      </c>
      <c r="AP411" s="319" t="s">
        <v>354</v>
      </c>
    </row>
    <row r="412" spans="1:42">
      <c r="A412" s="295" t="s">
        <v>473</v>
      </c>
      <c r="Z412">
        <v>0.70699999999999996</v>
      </c>
      <c r="AA412">
        <v>7.4999999999999997E-2</v>
      </c>
      <c r="AB412">
        <v>6.7782600000000004</v>
      </c>
      <c r="AD412" s="87" t="e">
        <f t="shared" si="52"/>
        <v>#DIV/0!</v>
      </c>
      <c r="AE412" s="203" t="e">
        <f t="shared" si="53"/>
        <v>#DIV/0!</v>
      </c>
      <c r="AF412" s="49" t="e">
        <f t="shared" si="54"/>
        <v>#DIV/0!</v>
      </c>
      <c r="AG412" s="49" t="e">
        <f t="shared" si="55"/>
        <v>#DIV/0!</v>
      </c>
      <c r="AH412" s="50" t="e">
        <f t="shared" si="56"/>
        <v>#NUM!</v>
      </c>
      <c r="AI412" s="105" t="e">
        <f t="shared" si="57"/>
        <v>#DIV/0!</v>
      </c>
      <c r="AJ412" s="270" t="e">
        <f>INDEX($AR$3:AS412,MATCH(COUNTA(O412:W412),$AR$3:$AR$12,0),2)</f>
        <v>#N/A</v>
      </c>
      <c r="AK412" s="108" t="e">
        <f t="shared" si="58"/>
        <v>#DIV/0!</v>
      </c>
      <c r="AL412" s="91" t="str">
        <f t="shared" si="51"/>
        <v>n.d.</v>
      </c>
      <c r="AP412" s="319" t="s">
        <v>354</v>
      </c>
    </row>
    <row r="413" spans="1:42">
      <c r="A413" s="298" t="s">
        <v>474</v>
      </c>
      <c r="Z413">
        <v>0.70699999999999996</v>
      </c>
      <c r="AA413">
        <v>0.13500000000000001</v>
      </c>
      <c r="AB413">
        <v>4.1185499999999999</v>
      </c>
      <c r="AD413" s="87" t="e">
        <f t="shared" si="52"/>
        <v>#DIV/0!</v>
      </c>
      <c r="AE413" s="203" t="e">
        <f t="shared" si="53"/>
        <v>#DIV/0!</v>
      </c>
      <c r="AF413" s="49" t="e">
        <f t="shared" si="54"/>
        <v>#DIV/0!</v>
      </c>
      <c r="AG413" s="49" t="e">
        <f t="shared" si="55"/>
        <v>#DIV/0!</v>
      </c>
      <c r="AH413" s="50" t="e">
        <f t="shared" si="56"/>
        <v>#NUM!</v>
      </c>
      <c r="AI413" s="105" t="e">
        <f t="shared" si="57"/>
        <v>#DIV/0!</v>
      </c>
      <c r="AJ413" s="270" t="e">
        <f>INDEX($AR$3:AS413,MATCH(COUNTA(O413:W413),$AR$3:$AR$12,0),2)</f>
        <v>#N/A</v>
      </c>
      <c r="AK413" s="108" t="e">
        <f t="shared" si="58"/>
        <v>#DIV/0!</v>
      </c>
      <c r="AL413" s="91" t="str">
        <f t="shared" si="51"/>
        <v>n.d.</v>
      </c>
      <c r="AP413" s="319" t="s">
        <v>354</v>
      </c>
    </row>
    <row r="414" spans="1:42" s="51" customFormat="1">
      <c r="A414" s="314" t="s">
        <v>475</v>
      </c>
      <c r="I414" s="51">
        <v>4.8899999999999997</v>
      </c>
      <c r="N414" s="63"/>
      <c r="U414" s="51">
        <v>4.8899999999999997</v>
      </c>
      <c r="Y414" s="78"/>
      <c r="AB414" s="51">
        <v>18.433900000000001</v>
      </c>
      <c r="AC414" s="51">
        <v>0.68</v>
      </c>
      <c r="AD414" s="89">
        <f t="shared" si="52"/>
        <v>0.55555555555555558</v>
      </c>
      <c r="AE414" s="68">
        <f t="shared" si="53"/>
        <v>0.61777777777777776</v>
      </c>
      <c r="AF414" s="69">
        <f t="shared" si="54"/>
        <v>0</v>
      </c>
      <c r="AG414" s="69">
        <f t="shared" si="55"/>
        <v>0</v>
      </c>
      <c r="AH414" s="70" t="e">
        <f t="shared" si="56"/>
        <v>#NUM!</v>
      </c>
      <c r="AI414" s="104" t="e">
        <f t="shared" si="57"/>
        <v>#DIV/0!</v>
      </c>
      <c r="AJ414" s="269" t="e">
        <f>INDEX($AR$3:AS414,MATCH(COUNTA(O414:W414),$AR$3:$AR$12,0),2)</f>
        <v>#N/A</v>
      </c>
      <c r="AK414" s="107">
        <f t="shared" si="58"/>
        <v>4.8899999999999997</v>
      </c>
      <c r="AL414" s="93">
        <f t="shared" si="51"/>
        <v>0.26527213449134474</v>
      </c>
      <c r="AO414" s="78"/>
      <c r="AP414" s="293" t="s">
        <v>354</v>
      </c>
    </row>
    <row r="415" spans="1:42">
      <c r="A415" s="314" t="s">
        <v>476</v>
      </c>
      <c r="I415">
        <v>4.76</v>
      </c>
      <c r="U415">
        <v>4.76</v>
      </c>
      <c r="AB415">
        <v>16.974799999999998</v>
      </c>
      <c r="AC415">
        <v>0.65</v>
      </c>
      <c r="AD415" s="87">
        <f t="shared" si="52"/>
        <v>0.55555555555555558</v>
      </c>
      <c r="AE415" s="203">
        <f t="shared" si="53"/>
        <v>0.60277777777777786</v>
      </c>
      <c r="AF415" s="49">
        <f t="shared" si="54"/>
        <v>0</v>
      </c>
      <c r="AG415" s="49">
        <f t="shared" si="55"/>
        <v>0</v>
      </c>
      <c r="AH415" s="50" t="e">
        <f t="shared" si="56"/>
        <v>#NUM!</v>
      </c>
      <c r="AI415" s="105" t="e">
        <f t="shared" si="57"/>
        <v>#DIV/0!</v>
      </c>
      <c r="AJ415" s="270" t="e">
        <f>INDEX($AR$3:AS415,MATCH(COUNTA(O415:W415),$AR$3:$AR$12,0),2)</f>
        <v>#N/A</v>
      </c>
      <c r="AK415" s="108">
        <f t="shared" si="58"/>
        <v>4.76</v>
      </c>
      <c r="AL415" s="91">
        <f t="shared" ref="AL415:AL438" si="59">IF(AND(O415="",Q415="",S415="",U415="",W415=""),"n.d.", AK415/AB415)</f>
        <v>0.28041567500058912</v>
      </c>
      <c r="AP415" s="319" t="s">
        <v>354</v>
      </c>
    </row>
    <row r="416" spans="1:42">
      <c r="A416" s="314" t="s">
        <v>477</v>
      </c>
      <c r="F416">
        <v>6.4</v>
      </c>
      <c r="G416">
        <v>8.5399999999999991</v>
      </c>
      <c r="H416">
        <v>14.69</v>
      </c>
      <c r="I416">
        <v>12.87</v>
      </c>
      <c r="J416">
        <v>4.1399999999999997</v>
      </c>
      <c r="K416">
        <v>11.16</v>
      </c>
      <c r="R416">
        <v>6.4</v>
      </c>
      <c r="S416">
        <v>8.5399999999999991</v>
      </c>
      <c r="T416">
        <v>14.69</v>
      </c>
      <c r="U416">
        <v>12.87</v>
      </c>
      <c r="V416">
        <v>4.1399999999999997</v>
      </c>
      <c r="W416">
        <v>11.16</v>
      </c>
      <c r="AB416">
        <v>2.40835</v>
      </c>
      <c r="AC416">
        <v>0.65</v>
      </c>
      <c r="AD416" s="87">
        <f t="shared" si="52"/>
        <v>0.58333333333333326</v>
      </c>
      <c r="AE416" s="203">
        <f t="shared" si="53"/>
        <v>0.6166666666666667</v>
      </c>
      <c r="AF416" s="49">
        <f t="shared" si="54"/>
        <v>37.952767894389709</v>
      </c>
      <c r="AG416" s="49">
        <f t="shared" si="55"/>
        <v>37.952767894389709</v>
      </c>
      <c r="AH416" s="50">
        <f t="shared" si="56"/>
        <v>0.17251184834123223</v>
      </c>
      <c r="AI416" s="105">
        <f t="shared" si="57"/>
        <v>1.3830703896758028</v>
      </c>
      <c r="AJ416" s="270">
        <f>INDEX($AR$3:AS416,MATCH(COUNTA(O416:W416),$AR$3:$AR$12,0),2)</f>
        <v>1.94</v>
      </c>
      <c r="AK416" s="108">
        <f t="shared" si="58"/>
        <v>9.6333333333333329</v>
      </c>
      <c r="AL416" s="91">
        <f t="shared" si="59"/>
        <v>3.9999723185306673</v>
      </c>
      <c r="AP416" s="319" t="s">
        <v>49</v>
      </c>
    </row>
    <row r="417" spans="1:42">
      <c r="A417" s="314" t="s">
        <v>478</v>
      </c>
      <c r="E417">
        <v>2.86</v>
      </c>
      <c r="F417">
        <v>11.96</v>
      </c>
      <c r="G417">
        <v>18.57</v>
      </c>
      <c r="H417">
        <v>47.78</v>
      </c>
      <c r="I417">
        <v>34.04</v>
      </c>
      <c r="J417">
        <v>2.75</v>
      </c>
      <c r="K417">
        <v>21.04</v>
      </c>
      <c r="Q417">
        <v>2.86</v>
      </c>
      <c r="R417">
        <v>11.96</v>
      </c>
      <c r="S417">
        <v>18.57</v>
      </c>
      <c r="T417">
        <v>47.78</v>
      </c>
      <c r="U417">
        <v>34.04</v>
      </c>
      <c r="V417">
        <v>2.75</v>
      </c>
      <c r="W417">
        <v>21.04</v>
      </c>
      <c r="Z417">
        <v>0.81699999999999995</v>
      </c>
      <c r="AA417">
        <v>9.4E-2</v>
      </c>
      <c r="AB417">
        <v>7.2383749999999996</v>
      </c>
      <c r="AC417">
        <v>0.68</v>
      </c>
      <c r="AD417" s="87">
        <f t="shared" si="52"/>
        <v>0.38888888888888884</v>
      </c>
      <c r="AE417" s="203">
        <f t="shared" si="53"/>
        <v>0.5344444444444445</v>
      </c>
      <c r="AF417" s="49">
        <f t="shared" si="54"/>
        <v>76.795726869675164</v>
      </c>
      <c r="AG417" s="49">
        <f t="shared" si="55"/>
        <v>76.795726869675164</v>
      </c>
      <c r="AH417" s="50">
        <f t="shared" si="56"/>
        <v>0.30512991339107265</v>
      </c>
      <c r="AI417" s="105">
        <f t="shared" si="57"/>
        <v>1.8310746022966318</v>
      </c>
      <c r="AJ417" s="270">
        <f>INDEX($AR$3:AS417,MATCH(COUNTA(O417:W417),$AR$3:$AR$12,0),2)</f>
        <v>2.1</v>
      </c>
      <c r="AK417" s="108">
        <f t="shared" si="58"/>
        <v>19.857142857142858</v>
      </c>
      <c r="AL417" s="91">
        <f t="shared" si="59"/>
        <v>2.7433150198964351</v>
      </c>
      <c r="AP417" s="319" t="s">
        <v>49</v>
      </c>
    </row>
    <row r="418" spans="1:42">
      <c r="A418" s="314" t="s">
        <v>479</v>
      </c>
      <c r="B418">
        <v>53.31</v>
      </c>
      <c r="C418">
        <v>32.659999999999997</v>
      </c>
      <c r="E418">
        <v>3.91</v>
      </c>
      <c r="F418">
        <v>25.12</v>
      </c>
      <c r="G418">
        <v>30.53</v>
      </c>
      <c r="H418">
        <v>73.67</v>
      </c>
      <c r="I418">
        <v>68.72</v>
      </c>
      <c r="J418">
        <v>31.85</v>
      </c>
      <c r="K418">
        <v>67.28</v>
      </c>
      <c r="N418" s="306">
        <v>53.31</v>
      </c>
      <c r="O418">
        <v>32.659999999999997</v>
      </c>
      <c r="Q418">
        <v>3.91</v>
      </c>
      <c r="R418">
        <v>25.12</v>
      </c>
      <c r="S418">
        <v>30.53</v>
      </c>
      <c r="T418">
        <v>73.67</v>
      </c>
      <c r="U418">
        <v>68.72</v>
      </c>
      <c r="V418">
        <v>31.85</v>
      </c>
      <c r="W418">
        <v>67.28</v>
      </c>
      <c r="Z418">
        <v>0.72399999999999998</v>
      </c>
      <c r="AA418">
        <v>9.4E-2</v>
      </c>
      <c r="AB418">
        <v>10.759</v>
      </c>
      <c r="AC418">
        <v>0.87</v>
      </c>
      <c r="AD418" s="87">
        <f t="shared" si="52"/>
        <v>0.69444444444444442</v>
      </c>
      <c r="AE418" s="203">
        <f t="shared" si="53"/>
        <v>0.78222222222222215</v>
      </c>
      <c r="AF418" s="49">
        <f t="shared" si="54"/>
        <v>56.299319053008922</v>
      </c>
      <c r="AG418" s="49">
        <f t="shared" si="55"/>
        <v>56.299319053008922</v>
      </c>
      <c r="AH418" s="50">
        <f t="shared" si="56"/>
        <v>7.0957568807339486E-2</v>
      </c>
      <c r="AI418" s="105">
        <f t="shared" si="57"/>
        <v>1.3604526372378649</v>
      </c>
      <c r="AJ418" s="270">
        <f>INDEX($AR$3:AS418,MATCH(COUNTA(O418:W418),$AR$3:$AR$12,0),2)</f>
        <v>2.2200000000000002</v>
      </c>
      <c r="AK418" s="108">
        <f t="shared" si="58"/>
        <v>43.005555555555553</v>
      </c>
      <c r="AL418" s="91">
        <f t="shared" si="59"/>
        <v>3.9971703276843158</v>
      </c>
      <c r="AP418" s="319" t="s">
        <v>49</v>
      </c>
    </row>
    <row r="419" spans="1:42">
      <c r="A419" s="314" t="s">
        <v>480</v>
      </c>
      <c r="C419">
        <v>8.0500000000000007</v>
      </c>
      <c r="F419">
        <v>14.12</v>
      </c>
      <c r="G419">
        <v>23.07</v>
      </c>
      <c r="H419">
        <v>29.54</v>
      </c>
      <c r="I419">
        <v>38.32</v>
      </c>
      <c r="J419">
        <v>12.83</v>
      </c>
      <c r="K419">
        <v>28.53</v>
      </c>
      <c r="O419">
        <v>8.0500000000000007</v>
      </c>
      <c r="R419">
        <v>14.12</v>
      </c>
      <c r="S419">
        <v>23.07</v>
      </c>
      <c r="T419">
        <v>29.54</v>
      </c>
      <c r="U419">
        <v>38.32</v>
      </c>
      <c r="V419">
        <v>12.83</v>
      </c>
      <c r="W419">
        <v>28.53</v>
      </c>
      <c r="AB419">
        <v>6.9593999999999996</v>
      </c>
      <c r="AC419">
        <v>0.78</v>
      </c>
      <c r="AD419" s="87">
        <f t="shared" si="52"/>
        <v>0.63888888888888884</v>
      </c>
      <c r="AE419" s="203">
        <f t="shared" si="53"/>
        <v>0.70944444444444443</v>
      </c>
      <c r="AF419" s="49">
        <f t="shared" si="54"/>
        <v>45.568888990823062</v>
      </c>
      <c r="AG419" s="49">
        <f t="shared" si="55"/>
        <v>45.568888990823062</v>
      </c>
      <c r="AH419" s="50">
        <f t="shared" si="56"/>
        <v>0.29005616121572519</v>
      </c>
      <c r="AI419" s="105">
        <f t="shared" si="57"/>
        <v>1.6165214014434939</v>
      </c>
      <c r="AJ419" s="270">
        <f>INDEX($AR$3:AS419,MATCH(COUNTA(O419:W419),$AR$3:$AR$12,0),2)</f>
        <v>2.1</v>
      </c>
      <c r="AK419" s="108">
        <f t="shared" si="58"/>
        <v>22.065714285714282</v>
      </c>
      <c r="AL419" s="91">
        <f t="shared" si="59"/>
        <v>3.170634578514568</v>
      </c>
      <c r="AP419" s="319" t="s">
        <v>49</v>
      </c>
    </row>
    <row r="420" spans="1:42">
      <c r="A420" s="314" t="s">
        <v>481</v>
      </c>
      <c r="D420">
        <v>3.21</v>
      </c>
      <c r="E420">
        <v>4.63</v>
      </c>
      <c r="F420">
        <v>6.37</v>
      </c>
      <c r="G420">
        <v>5.45</v>
      </c>
      <c r="H420">
        <v>11.59</v>
      </c>
      <c r="I420">
        <v>16.18</v>
      </c>
      <c r="K420">
        <v>8.07</v>
      </c>
      <c r="P420">
        <v>3.21</v>
      </c>
      <c r="Q420">
        <v>4.63</v>
      </c>
      <c r="R420">
        <v>6.37</v>
      </c>
      <c r="S420">
        <v>5.45</v>
      </c>
      <c r="T420">
        <v>11.59</v>
      </c>
      <c r="U420">
        <v>16.18</v>
      </c>
      <c r="W420">
        <v>8.07</v>
      </c>
      <c r="AB420">
        <v>6.5583899999999993</v>
      </c>
      <c r="AC420">
        <v>0.72</v>
      </c>
      <c r="AD420" s="87">
        <f t="shared" si="52"/>
        <v>0.63888888888888884</v>
      </c>
      <c r="AE420" s="203">
        <f t="shared" si="53"/>
        <v>0.67944444444444441</v>
      </c>
      <c r="AF420" s="49">
        <f t="shared" si="54"/>
        <v>52.919339153625643</v>
      </c>
      <c r="AG420" s="49">
        <f t="shared" si="55"/>
        <v>52.919339153625643</v>
      </c>
      <c r="AH420" s="50">
        <f t="shared" si="56"/>
        <v>0.35389360061680802</v>
      </c>
      <c r="AI420" s="105">
        <f t="shared" si="57"/>
        <v>1.9666170012053488</v>
      </c>
      <c r="AJ420" s="270">
        <f>INDEX($AR$3:AS420,MATCH(COUNTA(O420:W420),$AR$3:$AR$12,0),2)</f>
        <v>2.1</v>
      </c>
      <c r="AK420" s="108">
        <f t="shared" si="58"/>
        <v>7.9285714285714288</v>
      </c>
      <c r="AL420" s="91">
        <f t="shared" si="59"/>
        <v>1.208920394879144</v>
      </c>
      <c r="AP420" s="319" t="s">
        <v>127</v>
      </c>
    </row>
    <row r="421" spans="1:42">
      <c r="A421" s="314" t="s">
        <v>482</v>
      </c>
      <c r="AB421" s="313">
        <v>5.7743099999999999E-2</v>
      </c>
      <c r="AD421" s="87" t="e">
        <f t="shared" si="52"/>
        <v>#DIV/0!</v>
      </c>
      <c r="AE421" s="203" t="e">
        <f t="shared" si="53"/>
        <v>#DIV/0!</v>
      </c>
      <c r="AF421" s="49" t="e">
        <f t="shared" si="54"/>
        <v>#DIV/0!</v>
      </c>
      <c r="AG421" s="49" t="e">
        <f t="shared" si="55"/>
        <v>#DIV/0!</v>
      </c>
      <c r="AH421" s="50" t="e">
        <f t="shared" si="56"/>
        <v>#NUM!</v>
      </c>
      <c r="AI421" s="105" t="e">
        <f t="shared" si="57"/>
        <v>#DIV/0!</v>
      </c>
      <c r="AJ421" s="270" t="e">
        <f>INDEX($AR$3:AS421,MATCH(COUNTA(O421:W421),$AR$3:$AR$12,0),2)</f>
        <v>#N/A</v>
      </c>
      <c r="AK421" s="108" t="e">
        <f t="shared" si="58"/>
        <v>#DIV/0!</v>
      </c>
      <c r="AL421" s="91" t="str">
        <f t="shared" si="59"/>
        <v>n.d.</v>
      </c>
      <c r="AP421" s="319" t="s">
        <v>64</v>
      </c>
    </row>
    <row r="422" spans="1:42">
      <c r="A422" s="314" t="s">
        <v>483</v>
      </c>
      <c r="AB422">
        <v>0.1338</v>
      </c>
      <c r="AD422" s="87" t="e">
        <f t="shared" si="52"/>
        <v>#DIV/0!</v>
      </c>
      <c r="AE422" s="203" t="e">
        <f t="shared" si="53"/>
        <v>#DIV/0!</v>
      </c>
      <c r="AF422" s="49" t="e">
        <f t="shared" si="54"/>
        <v>#DIV/0!</v>
      </c>
      <c r="AG422" s="49" t="e">
        <f t="shared" si="55"/>
        <v>#DIV/0!</v>
      </c>
      <c r="AH422" s="50" t="e">
        <f t="shared" si="56"/>
        <v>#NUM!</v>
      </c>
      <c r="AI422" s="105" t="e">
        <f t="shared" si="57"/>
        <v>#DIV/0!</v>
      </c>
      <c r="AJ422" s="270" t="e">
        <f>INDEX($AR$3:AS422,MATCH(COUNTA(O422:W422),$AR$3:$AR$12,0),2)</f>
        <v>#N/A</v>
      </c>
      <c r="AK422" s="108" t="e">
        <f t="shared" si="58"/>
        <v>#DIV/0!</v>
      </c>
      <c r="AL422" s="91" t="str">
        <f t="shared" si="59"/>
        <v>n.d.</v>
      </c>
      <c r="AP422" s="319" t="s">
        <v>64</v>
      </c>
    </row>
    <row r="423" spans="1:42">
      <c r="A423" s="314" t="s">
        <v>484</v>
      </c>
      <c r="F423">
        <v>10.11</v>
      </c>
      <c r="G423">
        <v>9.17</v>
      </c>
      <c r="R423">
        <v>10.11</v>
      </c>
      <c r="S423">
        <v>9.17</v>
      </c>
      <c r="AB423">
        <v>4.8291000000000004</v>
      </c>
      <c r="AC423">
        <v>0.75</v>
      </c>
      <c r="AD423" s="87">
        <f t="shared" si="52"/>
        <v>0.61111111111111116</v>
      </c>
      <c r="AE423" s="203">
        <f t="shared" si="53"/>
        <v>0.68055555555555558</v>
      </c>
      <c r="AF423" s="49">
        <f t="shared" si="54"/>
        <v>4.875518672199167</v>
      </c>
      <c r="AG423" s="49">
        <f t="shared" si="55"/>
        <v>4.875518672199167</v>
      </c>
      <c r="AH423" s="50">
        <f t="shared" si="56"/>
        <v>1</v>
      </c>
      <c r="AI423" s="105">
        <f t="shared" si="57"/>
        <v>0.99999999999999811</v>
      </c>
      <c r="AJ423" s="270" t="e">
        <f>INDEX($AR$3:AS423,MATCH(COUNTA(O423:W423),$AR$3:$AR$12,0),2)</f>
        <v>#N/A</v>
      </c>
      <c r="AK423" s="108">
        <f t="shared" si="58"/>
        <v>9.64</v>
      </c>
      <c r="AL423" s="91">
        <f t="shared" si="59"/>
        <v>1.9962311817937088</v>
      </c>
      <c r="AP423" s="319" t="s">
        <v>485</v>
      </c>
    </row>
    <row r="424" spans="1:42">
      <c r="A424" s="314" t="s">
        <v>486</v>
      </c>
      <c r="Z424">
        <v>0.70699999999999996</v>
      </c>
      <c r="AA424">
        <v>5.2999999999999999E-2</v>
      </c>
      <c r="AB424">
        <v>13.0227</v>
      </c>
      <c r="AD424" s="87" t="e">
        <f t="shared" si="52"/>
        <v>#DIV/0!</v>
      </c>
      <c r="AE424" s="203" t="e">
        <f t="shared" si="53"/>
        <v>#DIV/0!</v>
      </c>
      <c r="AF424" s="49" t="e">
        <f t="shared" si="54"/>
        <v>#DIV/0!</v>
      </c>
      <c r="AG424" s="49" t="e">
        <f t="shared" si="55"/>
        <v>#DIV/0!</v>
      </c>
      <c r="AH424" s="50" t="e">
        <f t="shared" si="56"/>
        <v>#NUM!</v>
      </c>
      <c r="AI424" s="105" t="e">
        <f t="shared" si="57"/>
        <v>#DIV/0!</v>
      </c>
      <c r="AJ424" s="270" t="e">
        <f>INDEX($AR$3:AS424,MATCH(COUNTA(O424:W424),$AR$3:$AR$12,0),2)</f>
        <v>#N/A</v>
      </c>
      <c r="AK424" s="108" t="e">
        <f t="shared" si="58"/>
        <v>#DIV/0!</v>
      </c>
      <c r="AL424" s="91" t="str">
        <f t="shared" si="59"/>
        <v>n.d.</v>
      </c>
      <c r="AP424" s="319" t="s">
        <v>381</v>
      </c>
    </row>
    <row r="425" spans="1:42">
      <c r="A425" s="314" t="s">
        <v>487</v>
      </c>
      <c r="Z425">
        <v>0.70699999999999996</v>
      </c>
      <c r="AA425">
        <v>5.2999999999999999E-2</v>
      </c>
      <c r="AB425">
        <v>10.6518</v>
      </c>
      <c r="AD425" s="87" t="e">
        <f t="shared" si="52"/>
        <v>#DIV/0!</v>
      </c>
      <c r="AE425" s="203" t="e">
        <f t="shared" si="53"/>
        <v>#DIV/0!</v>
      </c>
      <c r="AF425" s="49" t="e">
        <f t="shared" si="54"/>
        <v>#DIV/0!</v>
      </c>
      <c r="AG425" s="49" t="e">
        <f t="shared" si="55"/>
        <v>#DIV/0!</v>
      </c>
      <c r="AH425" s="50" t="e">
        <f t="shared" si="56"/>
        <v>#NUM!</v>
      </c>
      <c r="AI425" s="105" t="e">
        <f t="shared" si="57"/>
        <v>#DIV/0!</v>
      </c>
      <c r="AJ425" s="270" t="e">
        <f>INDEX($AR$3:AS425,MATCH(COUNTA(O425:W425),$AR$3:$AR$12,0),2)</f>
        <v>#N/A</v>
      </c>
      <c r="AK425" s="108" t="e">
        <f t="shared" si="58"/>
        <v>#DIV/0!</v>
      </c>
      <c r="AL425" s="91" t="str">
        <f t="shared" si="59"/>
        <v>n.d.</v>
      </c>
      <c r="AP425" s="319" t="s">
        <v>381</v>
      </c>
    </row>
    <row r="426" spans="1:42">
      <c r="A426" s="314" t="s">
        <v>488</v>
      </c>
      <c r="Z426">
        <v>0.70699999999999996</v>
      </c>
      <c r="AA426">
        <v>0.01</v>
      </c>
      <c r="AB426">
        <v>11.817399999999999</v>
      </c>
      <c r="AC426">
        <v>0.57999999999999996</v>
      </c>
      <c r="AD426" s="87" t="e">
        <f t="shared" si="52"/>
        <v>#DIV/0!</v>
      </c>
      <c r="AE426" s="203" t="e">
        <f t="shared" si="53"/>
        <v>#DIV/0!</v>
      </c>
      <c r="AF426" s="49" t="e">
        <f t="shared" si="54"/>
        <v>#DIV/0!</v>
      </c>
      <c r="AG426" s="49" t="e">
        <f t="shared" si="55"/>
        <v>#DIV/0!</v>
      </c>
      <c r="AH426" s="50" t="e">
        <f t="shared" si="56"/>
        <v>#NUM!</v>
      </c>
      <c r="AI426" s="105" t="e">
        <f t="shared" si="57"/>
        <v>#DIV/0!</v>
      </c>
      <c r="AJ426" s="270" t="e">
        <f>INDEX($AR$3:AS426,MATCH(COUNTA(O426:W426),$AR$3:$AR$12,0),2)</f>
        <v>#N/A</v>
      </c>
      <c r="AK426" s="108" t="e">
        <f t="shared" si="58"/>
        <v>#DIV/0!</v>
      </c>
      <c r="AL426" s="91" t="str">
        <f t="shared" si="59"/>
        <v>n.d.</v>
      </c>
      <c r="AP426" s="319" t="s">
        <v>381</v>
      </c>
    </row>
    <row r="427" spans="1:42">
      <c r="A427" s="314" t="s">
        <v>489</v>
      </c>
      <c r="H427">
        <v>12.61</v>
      </c>
      <c r="T427">
        <v>12.61</v>
      </c>
      <c r="Z427">
        <v>0.70699999999999996</v>
      </c>
      <c r="AA427">
        <v>0.01</v>
      </c>
      <c r="AB427">
        <v>11.172000000000001</v>
      </c>
      <c r="AC427">
        <v>0.42</v>
      </c>
      <c r="AD427" s="87">
        <f t="shared" si="52"/>
        <v>0.55555555555555558</v>
      </c>
      <c r="AE427" s="203">
        <f t="shared" si="53"/>
        <v>0.48777777777777775</v>
      </c>
      <c r="AF427" s="49">
        <f t="shared" si="54"/>
        <v>0</v>
      </c>
      <c r="AG427" s="49">
        <f t="shared" si="55"/>
        <v>0</v>
      </c>
      <c r="AH427" s="50" t="e">
        <f t="shared" si="56"/>
        <v>#NUM!</v>
      </c>
      <c r="AI427" s="105" t="e">
        <f t="shared" si="57"/>
        <v>#DIV/0!</v>
      </c>
      <c r="AJ427" s="270" t="e">
        <f>INDEX($AR$3:AS427,MATCH(COUNTA(O427:W427),$AR$3:$AR$12,0),2)</f>
        <v>#N/A</v>
      </c>
      <c r="AK427" s="108">
        <f t="shared" si="58"/>
        <v>12.61</v>
      </c>
      <c r="AL427" s="91" t="str">
        <f t="shared" si="59"/>
        <v>n.d.</v>
      </c>
      <c r="AP427" s="319" t="s">
        <v>381</v>
      </c>
    </row>
    <row r="428" spans="1:42">
      <c r="A428" s="315" t="s">
        <v>490</v>
      </c>
      <c r="AB428">
        <v>5.7991000000000001</v>
      </c>
      <c r="AD428" s="87" t="e">
        <f t="shared" si="52"/>
        <v>#DIV/0!</v>
      </c>
      <c r="AE428" s="203" t="e">
        <f t="shared" si="53"/>
        <v>#DIV/0!</v>
      </c>
      <c r="AF428" s="49" t="e">
        <f t="shared" si="54"/>
        <v>#DIV/0!</v>
      </c>
      <c r="AG428" s="49" t="e">
        <f t="shared" si="55"/>
        <v>#DIV/0!</v>
      </c>
      <c r="AH428" s="50" t="e">
        <f t="shared" si="56"/>
        <v>#NUM!</v>
      </c>
      <c r="AI428" s="105" t="e">
        <f t="shared" si="57"/>
        <v>#DIV/0!</v>
      </c>
      <c r="AJ428" s="270" t="e">
        <f>INDEX($AR$3:AS428,MATCH(COUNTA(O428:W428),$AR$3:$AR$12,0),2)</f>
        <v>#N/A</v>
      </c>
      <c r="AK428" s="108" t="e">
        <f t="shared" si="58"/>
        <v>#DIV/0!</v>
      </c>
      <c r="AL428" s="91" t="str">
        <f t="shared" si="59"/>
        <v>n.d.</v>
      </c>
      <c r="AP428" s="319" t="s">
        <v>485</v>
      </c>
    </row>
    <row r="429" spans="1:42">
      <c r="A429" s="314" t="s">
        <v>491</v>
      </c>
      <c r="Z429">
        <v>0.70699999999999996</v>
      </c>
      <c r="AA429">
        <v>3.7999999999999999E-2</v>
      </c>
      <c r="AB429">
        <v>9.7790800000000004</v>
      </c>
      <c r="AD429" s="87" t="e">
        <f t="shared" si="52"/>
        <v>#DIV/0!</v>
      </c>
      <c r="AE429" s="203" t="e">
        <f t="shared" si="53"/>
        <v>#DIV/0!</v>
      </c>
      <c r="AF429" s="49" t="e">
        <f t="shared" si="54"/>
        <v>#DIV/0!</v>
      </c>
      <c r="AG429" s="49" t="e">
        <f t="shared" si="55"/>
        <v>#DIV/0!</v>
      </c>
      <c r="AH429" s="50" t="e">
        <f t="shared" si="56"/>
        <v>#NUM!</v>
      </c>
      <c r="AI429" s="105" t="e">
        <f t="shared" si="57"/>
        <v>#DIV/0!</v>
      </c>
      <c r="AJ429" s="270" t="e">
        <f>INDEX($AR$3:AS429,MATCH(COUNTA(O429:W429),$AR$3:$AR$12,0),2)</f>
        <v>#N/A</v>
      </c>
      <c r="AK429" s="108" t="e">
        <f t="shared" si="58"/>
        <v>#DIV/0!</v>
      </c>
      <c r="AL429" s="91" t="str">
        <f t="shared" si="59"/>
        <v>n.d.</v>
      </c>
      <c r="AP429" s="319" t="s">
        <v>381</v>
      </c>
    </row>
    <row r="430" spans="1:42">
      <c r="A430" s="315" t="s">
        <v>492</v>
      </c>
      <c r="Z430">
        <v>0.70699999999999996</v>
      </c>
      <c r="AA430">
        <v>3.7999999999999999E-2</v>
      </c>
      <c r="AB430">
        <v>11.240500000000001</v>
      </c>
      <c r="AC430">
        <v>0.57999999999999996</v>
      </c>
      <c r="AD430" s="87" t="e">
        <f t="shared" si="52"/>
        <v>#DIV/0!</v>
      </c>
      <c r="AE430" s="203" t="e">
        <f t="shared" si="53"/>
        <v>#DIV/0!</v>
      </c>
      <c r="AF430" s="49" t="e">
        <f t="shared" si="54"/>
        <v>#DIV/0!</v>
      </c>
      <c r="AG430" s="49" t="e">
        <f t="shared" si="55"/>
        <v>#DIV/0!</v>
      </c>
      <c r="AH430" s="50" t="e">
        <f t="shared" si="56"/>
        <v>#NUM!</v>
      </c>
      <c r="AI430" s="105" t="e">
        <f t="shared" si="57"/>
        <v>#DIV/0!</v>
      </c>
      <c r="AJ430" s="270" t="e">
        <f>INDEX($AR$3:AS430,MATCH(COUNTA(O430:W430),$AR$3:$AR$12,0),2)</f>
        <v>#N/A</v>
      </c>
      <c r="AK430" s="108" t="e">
        <f t="shared" si="58"/>
        <v>#DIV/0!</v>
      </c>
      <c r="AL430" s="91" t="str">
        <f t="shared" si="59"/>
        <v>n.d.</v>
      </c>
      <c r="AP430" s="319" t="s">
        <v>381</v>
      </c>
    </row>
    <row r="431" spans="1:42">
      <c r="A431" s="314" t="s">
        <v>493</v>
      </c>
      <c r="Z431">
        <v>0.70699999999999996</v>
      </c>
      <c r="AA431">
        <v>0.114</v>
      </c>
      <c r="AB431">
        <v>8.0438550000000006</v>
      </c>
      <c r="AD431" s="87" t="e">
        <f t="shared" si="52"/>
        <v>#DIV/0!</v>
      </c>
      <c r="AE431" s="203" t="e">
        <f t="shared" si="53"/>
        <v>#DIV/0!</v>
      </c>
      <c r="AF431" s="49" t="e">
        <f t="shared" si="54"/>
        <v>#DIV/0!</v>
      </c>
      <c r="AG431" s="49" t="e">
        <f t="shared" si="55"/>
        <v>#DIV/0!</v>
      </c>
      <c r="AH431" s="50" t="e">
        <f t="shared" si="56"/>
        <v>#NUM!</v>
      </c>
      <c r="AI431" s="105" t="e">
        <f t="shared" si="57"/>
        <v>#DIV/0!</v>
      </c>
      <c r="AJ431" s="270" t="e">
        <f>INDEX($AR$3:AS431,MATCH(COUNTA(O431:W431),$AR$3:$AR$12,0),2)</f>
        <v>#N/A</v>
      </c>
      <c r="AK431" s="108" t="e">
        <f t="shared" si="58"/>
        <v>#DIV/0!</v>
      </c>
      <c r="AL431" s="91" t="str">
        <f t="shared" si="59"/>
        <v>n.d.</v>
      </c>
      <c r="AP431" s="319" t="s">
        <v>381</v>
      </c>
    </row>
    <row r="432" spans="1:42">
      <c r="A432" s="314" t="s">
        <v>494</v>
      </c>
      <c r="Z432">
        <v>0.70699999999999996</v>
      </c>
      <c r="AA432">
        <v>0.114</v>
      </c>
      <c r="AB432">
        <v>12.492749999999999</v>
      </c>
      <c r="AC432">
        <v>0.75</v>
      </c>
      <c r="AD432" s="87" t="e">
        <f t="shared" si="52"/>
        <v>#DIV/0!</v>
      </c>
      <c r="AE432" s="203" t="e">
        <f t="shared" si="53"/>
        <v>#DIV/0!</v>
      </c>
      <c r="AF432" s="49" t="e">
        <f t="shared" si="54"/>
        <v>#DIV/0!</v>
      </c>
      <c r="AG432" s="49" t="e">
        <f t="shared" si="55"/>
        <v>#DIV/0!</v>
      </c>
      <c r="AH432" s="50" t="e">
        <f t="shared" si="56"/>
        <v>#NUM!</v>
      </c>
      <c r="AI432" s="105" t="e">
        <f t="shared" si="57"/>
        <v>#DIV/0!</v>
      </c>
      <c r="AJ432" s="270" t="e">
        <f>INDEX($AR$3:AS432,MATCH(COUNTA(O432:W432),$AR$3:$AR$12,0),2)</f>
        <v>#N/A</v>
      </c>
      <c r="AK432" s="108" t="e">
        <f t="shared" si="58"/>
        <v>#DIV/0!</v>
      </c>
      <c r="AL432" s="91" t="str">
        <f t="shared" si="59"/>
        <v>n.d.</v>
      </c>
      <c r="AP432" s="319" t="s">
        <v>381</v>
      </c>
    </row>
    <row r="433" spans="1:42">
      <c r="A433" s="314" t="s">
        <v>495</v>
      </c>
      <c r="Z433">
        <v>0.70699999999999996</v>
      </c>
      <c r="AA433">
        <v>0.46899999999999997</v>
      </c>
      <c r="AB433">
        <v>9.6039899999999996</v>
      </c>
      <c r="AC433">
        <v>0.75</v>
      </c>
      <c r="AD433" s="87" t="e">
        <f t="shared" si="52"/>
        <v>#DIV/0!</v>
      </c>
      <c r="AE433" s="203" t="e">
        <f t="shared" si="53"/>
        <v>#DIV/0!</v>
      </c>
      <c r="AF433" s="49" t="e">
        <f t="shared" si="54"/>
        <v>#DIV/0!</v>
      </c>
      <c r="AG433" s="49" t="e">
        <f t="shared" si="55"/>
        <v>#DIV/0!</v>
      </c>
      <c r="AH433" s="50" t="e">
        <f t="shared" si="56"/>
        <v>#NUM!</v>
      </c>
      <c r="AI433" s="105" t="e">
        <f t="shared" si="57"/>
        <v>#DIV/0!</v>
      </c>
      <c r="AJ433" s="270" t="e">
        <f>INDEX($AR$3:AS433,MATCH(COUNTA(O433:W433),$AR$3:$AR$12,0),2)</f>
        <v>#N/A</v>
      </c>
      <c r="AK433" s="108" t="e">
        <f t="shared" si="58"/>
        <v>#DIV/0!</v>
      </c>
      <c r="AL433" s="91" t="str">
        <f t="shared" si="59"/>
        <v>n.d.</v>
      </c>
      <c r="AP433" s="319" t="s">
        <v>381</v>
      </c>
    </row>
    <row r="434" spans="1:42">
      <c r="A434" s="314" t="s">
        <v>496</v>
      </c>
      <c r="Z434">
        <v>0.70699999999999996</v>
      </c>
      <c r="AA434">
        <v>0.46899999999999997</v>
      </c>
      <c r="AB434">
        <v>12.9993</v>
      </c>
      <c r="AD434" s="87" t="e">
        <f t="shared" si="52"/>
        <v>#DIV/0!</v>
      </c>
      <c r="AE434" s="203" t="e">
        <f t="shared" si="53"/>
        <v>#DIV/0!</v>
      </c>
      <c r="AF434" s="49" t="e">
        <f t="shared" si="54"/>
        <v>#DIV/0!</v>
      </c>
      <c r="AG434" s="49" t="e">
        <f t="shared" si="55"/>
        <v>#DIV/0!</v>
      </c>
      <c r="AH434" s="50" t="e">
        <f t="shared" si="56"/>
        <v>#NUM!</v>
      </c>
      <c r="AI434" s="105" t="e">
        <f t="shared" si="57"/>
        <v>#DIV/0!</v>
      </c>
      <c r="AJ434" s="270" t="e">
        <f>INDEX($AR$3:AS434,MATCH(COUNTA(O434:W434),$AR$3:$AR$12,0),2)</f>
        <v>#N/A</v>
      </c>
      <c r="AK434" s="108" t="e">
        <f t="shared" si="58"/>
        <v>#DIV/0!</v>
      </c>
      <c r="AL434" s="91" t="str">
        <f t="shared" si="59"/>
        <v>n.d.</v>
      </c>
      <c r="AP434" s="319" t="s">
        <v>381</v>
      </c>
    </row>
    <row r="435" spans="1:42">
      <c r="A435" s="314" t="s">
        <v>497</v>
      </c>
      <c r="Z435">
        <v>0.70699999999999996</v>
      </c>
      <c r="AA435">
        <v>0.17399999999999999</v>
      </c>
      <c r="AB435">
        <v>8.3272600000000008</v>
      </c>
      <c r="AC435">
        <v>0.75</v>
      </c>
      <c r="AD435" s="87" t="e">
        <f t="shared" si="52"/>
        <v>#DIV/0!</v>
      </c>
      <c r="AE435" s="203" t="e">
        <f t="shared" si="53"/>
        <v>#DIV/0!</v>
      </c>
      <c r="AF435" s="49" t="e">
        <f t="shared" si="54"/>
        <v>#DIV/0!</v>
      </c>
      <c r="AG435" s="49" t="e">
        <f t="shared" si="55"/>
        <v>#DIV/0!</v>
      </c>
      <c r="AH435" s="50" t="e">
        <f t="shared" si="56"/>
        <v>#NUM!</v>
      </c>
      <c r="AI435" s="105" t="e">
        <f t="shared" si="57"/>
        <v>#DIV/0!</v>
      </c>
      <c r="AJ435" s="270" t="e">
        <f>INDEX($AR$3:AS435,MATCH(COUNTA(O435:W435),$AR$3:$AR$12,0),2)</f>
        <v>#N/A</v>
      </c>
      <c r="AK435" s="108" t="e">
        <f t="shared" si="58"/>
        <v>#DIV/0!</v>
      </c>
      <c r="AL435" s="91" t="str">
        <f t="shared" si="59"/>
        <v>n.d.</v>
      </c>
      <c r="AP435" s="319" t="s">
        <v>381</v>
      </c>
    </row>
    <row r="436" spans="1:42">
      <c r="A436" s="314" t="s">
        <v>498</v>
      </c>
      <c r="Z436">
        <v>0.70699999999999996</v>
      </c>
      <c r="AA436">
        <v>0.17399999999999999</v>
      </c>
      <c r="AB436">
        <v>5.5668749999999996</v>
      </c>
      <c r="AD436" s="87" t="e">
        <f t="shared" si="52"/>
        <v>#DIV/0!</v>
      </c>
      <c r="AE436" s="203" t="e">
        <f t="shared" si="53"/>
        <v>#DIV/0!</v>
      </c>
      <c r="AF436" s="49" t="e">
        <f t="shared" si="54"/>
        <v>#DIV/0!</v>
      </c>
      <c r="AG436" s="49" t="e">
        <f t="shared" si="55"/>
        <v>#DIV/0!</v>
      </c>
      <c r="AH436" s="50" t="e">
        <f t="shared" si="56"/>
        <v>#NUM!</v>
      </c>
      <c r="AI436" s="105" t="e">
        <f t="shared" si="57"/>
        <v>#DIV/0!</v>
      </c>
      <c r="AJ436" s="270" t="e">
        <f>INDEX($AR$3:AS436,MATCH(COUNTA(O436:W436),$AR$3:$AR$12,0),2)</f>
        <v>#N/A</v>
      </c>
      <c r="AK436" s="108" t="e">
        <f t="shared" si="58"/>
        <v>#DIV/0!</v>
      </c>
      <c r="AL436" s="91" t="str">
        <f t="shared" si="59"/>
        <v>n.d.</v>
      </c>
      <c r="AP436" s="319" t="s">
        <v>381</v>
      </c>
    </row>
    <row r="437" spans="1:42">
      <c r="A437" s="314" t="s">
        <v>499</v>
      </c>
      <c r="Z437">
        <v>0.70699999999999996</v>
      </c>
      <c r="AA437">
        <v>0.12</v>
      </c>
      <c r="AB437">
        <v>10.570399999999999</v>
      </c>
      <c r="AD437" s="87" t="e">
        <f t="shared" si="52"/>
        <v>#DIV/0!</v>
      </c>
      <c r="AE437" s="203" t="e">
        <f t="shared" si="53"/>
        <v>#DIV/0!</v>
      </c>
      <c r="AF437" s="49" t="e">
        <f t="shared" si="54"/>
        <v>#DIV/0!</v>
      </c>
      <c r="AG437" s="49" t="e">
        <f t="shared" si="55"/>
        <v>#DIV/0!</v>
      </c>
      <c r="AH437" s="50" t="e">
        <f t="shared" si="56"/>
        <v>#NUM!</v>
      </c>
      <c r="AI437" s="105" t="e">
        <f t="shared" si="57"/>
        <v>#DIV/0!</v>
      </c>
      <c r="AJ437" s="270" t="e">
        <f>INDEX($AR$3:AS437,MATCH(COUNTA(O437:W437),$AR$3:$AR$12,0),2)</f>
        <v>#N/A</v>
      </c>
      <c r="AK437" s="108" t="e">
        <f t="shared" si="58"/>
        <v>#DIV/0!</v>
      </c>
      <c r="AL437" s="91" t="str">
        <f t="shared" si="59"/>
        <v>n.d.</v>
      </c>
      <c r="AP437" s="319" t="s">
        <v>381</v>
      </c>
    </row>
    <row r="438" spans="1:42">
      <c r="A438" s="314" t="s">
        <v>500</v>
      </c>
      <c r="Z438">
        <v>0.70699999999999996</v>
      </c>
      <c r="AA438">
        <v>0.12</v>
      </c>
      <c r="AB438">
        <v>7.1077349999999999</v>
      </c>
      <c r="AD438" s="87" t="e">
        <f t="shared" si="52"/>
        <v>#DIV/0!</v>
      </c>
      <c r="AE438" s="203" t="e">
        <f t="shared" si="53"/>
        <v>#DIV/0!</v>
      </c>
      <c r="AF438" s="49" t="e">
        <f t="shared" si="54"/>
        <v>#DIV/0!</v>
      </c>
      <c r="AG438" s="49" t="e">
        <f t="shared" si="55"/>
        <v>#DIV/0!</v>
      </c>
      <c r="AH438" s="50" t="e">
        <f t="shared" si="56"/>
        <v>#NUM!</v>
      </c>
      <c r="AI438" s="105" t="e">
        <f t="shared" si="57"/>
        <v>#DIV/0!</v>
      </c>
      <c r="AJ438" s="270" t="e">
        <f>INDEX($AR$3:AS438,MATCH(COUNTA(O438:W438),$AR$3:$AR$12,0),2)</f>
        <v>#N/A</v>
      </c>
      <c r="AK438" s="108" t="e">
        <f t="shared" si="58"/>
        <v>#DIV/0!</v>
      </c>
      <c r="AL438" s="91" t="str">
        <f t="shared" si="59"/>
        <v>n.d.</v>
      </c>
      <c r="AP438" s="319" t="s">
        <v>381</v>
      </c>
    </row>
    <row r="439" spans="1:42">
      <c r="A439" s="322" t="s">
        <v>501</v>
      </c>
      <c r="B439">
        <v>170.34</v>
      </c>
      <c r="C439">
        <v>169.29</v>
      </c>
      <c r="D439">
        <v>220.7</v>
      </c>
      <c r="E439">
        <v>132.63999999999999</v>
      </c>
      <c r="F439">
        <v>142.54</v>
      </c>
      <c r="G439">
        <v>208.79</v>
      </c>
      <c r="H439">
        <v>233.27</v>
      </c>
      <c r="I439">
        <v>216.36</v>
      </c>
      <c r="J439">
        <v>139.47999999999999</v>
      </c>
      <c r="K439">
        <v>334.88</v>
      </c>
      <c r="L439">
        <v>308.43</v>
      </c>
      <c r="M439">
        <v>384.49</v>
      </c>
      <c r="N439" s="306">
        <v>170.34</v>
      </c>
      <c r="O439">
        <v>169.29</v>
      </c>
      <c r="P439">
        <v>220.7</v>
      </c>
      <c r="Q439">
        <v>132.63999999999999</v>
      </c>
      <c r="R439">
        <v>142.54</v>
      </c>
      <c r="S439">
        <v>208.79</v>
      </c>
      <c r="T439">
        <v>233.27</v>
      </c>
      <c r="U439">
        <v>216.36</v>
      </c>
      <c r="V439">
        <v>139.47999999999999</v>
      </c>
      <c r="W439">
        <v>334.88</v>
      </c>
      <c r="X439">
        <v>308.43</v>
      </c>
      <c r="Y439" s="307">
        <v>384.49</v>
      </c>
      <c r="AB439">
        <v>8.5403399999999987</v>
      </c>
      <c r="AC439">
        <v>0.9</v>
      </c>
      <c r="AD439" s="87">
        <f t="shared" si="52"/>
        <v>1</v>
      </c>
      <c r="AE439" s="203">
        <f t="shared" si="53"/>
        <v>0.95</v>
      </c>
      <c r="AF439" s="49">
        <f t="shared" si="54"/>
        <v>30.088496106062301</v>
      </c>
      <c r="AG439" s="49">
        <f t="shared" si="55"/>
        <v>30.088496106062301</v>
      </c>
      <c r="AH439" s="50">
        <f t="shared" si="56"/>
        <v>0.50242286392405056</v>
      </c>
      <c r="AI439" s="105">
        <f t="shared" si="57"/>
        <v>2.2477332448199561</v>
      </c>
      <c r="AJ439" s="270">
        <f>INDEX($AR$3:AS439,MATCH(COUNTA(O439:W439),$AR$3:$AR$12,0),2)</f>
        <v>2.3199999999999998</v>
      </c>
      <c r="AK439" s="108">
        <f t="shared" si="58"/>
        <v>221.76750000000001</v>
      </c>
      <c r="AL439" s="91" t="e">
        <f>IF(AND(O439="",Q439="",S439="",U439="",W439=""),"n.d.", AK439/#REF!)</f>
        <v>#REF!</v>
      </c>
      <c r="AN439">
        <v>0.26269999999999999</v>
      </c>
      <c r="AO439" s="91">
        <f>100*AK439/(AN439*1000)</f>
        <v>84.418538256566436</v>
      </c>
      <c r="AP439" s="319" t="s">
        <v>49</v>
      </c>
    </row>
    <row r="440" spans="1:42">
      <c r="A440" s="322" t="s">
        <v>502</v>
      </c>
      <c r="D440">
        <v>7.86</v>
      </c>
      <c r="E440">
        <v>10.77</v>
      </c>
      <c r="F440">
        <v>23.43</v>
      </c>
      <c r="G440">
        <v>27.06</v>
      </c>
      <c r="H440">
        <v>28.93</v>
      </c>
      <c r="I440">
        <v>34.11</v>
      </c>
      <c r="J440">
        <v>14.97</v>
      </c>
      <c r="K440">
        <v>48.35</v>
      </c>
      <c r="L440">
        <v>25.95</v>
      </c>
      <c r="P440">
        <v>7.86</v>
      </c>
      <c r="Q440">
        <v>10.77</v>
      </c>
      <c r="R440">
        <v>23.43</v>
      </c>
      <c r="S440">
        <v>27.06</v>
      </c>
      <c r="T440">
        <v>28.93</v>
      </c>
      <c r="U440">
        <v>34.11</v>
      </c>
      <c r="V440">
        <v>14.97</v>
      </c>
      <c r="W440">
        <v>48.35</v>
      </c>
      <c r="X440">
        <v>25.95</v>
      </c>
      <c r="AB440">
        <v>5.9147600000000002E-2</v>
      </c>
      <c r="AC440">
        <v>0.72</v>
      </c>
      <c r="AD440" s="87">
        <f t="shared" si="52"/>
        <v>0.69444444444444442</v>
      </c>
      <c r="AE440" s="203">
        <f t="shared" si="53"/>
        <v>0.7072222222222222</v>
      </c>
      <c r="AF440" s="49">
        <f t="shared" si="54"/>
        <v>51.04730803469085</v>
      </c>
      <c r="AG440" s="49">
        <f t="shared" si="55"/>
        <v>51.04730803469085</v>
      </c>
      <c r="AH440" s="50">
        <f t="shared" si="56"/>
        <v>0.35169177574709809</v>
      </c>
      <c r="AI440" s="105">
        <f t="shared" si="57"/>
        <v>1.9172784779897396</v>
      </c>
      <c r="AJ440" s="270">
        <f>INDEX($AR$3:AS440,MATCH(COUNTA(O440:W440),$AR$3:$AR$12,0),2)</f>
        <v>2.2200000000000002</v>
      </c>
      <c r="AK440" s="108">
        <f t="shared" si="58"/>
        <v>24.603333333333335</v>
      </c>
      <c r="AL440" s="91">
        <f t="shared" ref="AL440:AL455" si="60">IF(AND(O440="",Q440="",S440="",U440="",W440=""),"n.d.", AK440/AB440)</f>
        <v>415.96503211175661</v>
      </c>
      <c r="AO440" s="91">
        <f>100*AK440/(AB440*1000)</f>
        <v>41.596503211175659</v>
      </c>
      <c r="AP440" s="319" t="s">
        <v>64</v>
      </c>
    </row>
    <row r="441" spans="1:42">
      <c r="A441" s="322" t="s">
        <v>503</v>
      </c>
      <c r="Z441">
        <v>0.70699999999999996</v>
      </c>
      <c r="AA441">
        <v>0.152</v>
      </c>
      <c r="AB441">
        <v>9.0048200000000005</v>
      </c>
      <c r="AD441" s="87" t="e">
        <f t="shared" si="52"/>
        <v>#DIV/0!</v>
      </c>
      <c r="AE441" s="203" t="e">
        <f t="shared" si="53"/>
        <v>#DIV/0!</v>
      </c>
      <c r="AF441" s="49" t="e">
        <f t="shared" si="54"/>
        <v>#DIV/0!</v>
      </c>
      <c r="AG441" s="49" t="e">
        <f t="shared" si="55"/>
        <v>#DIV/0!</v>
      </c>
      <c r="AH441" s="50" t="e">
        <f t="shared" si="56"/>
        <v>#NUM!</v>
      </c>
      <c r="AI441" s="105" t="e">
        <f t="shared" si="57"/>
        <v>#DIV/0!</v>
      </c>
      <c r="AJ441" s="270" t="e">
        <f>INDEX($AR$3:AS441,MATCH(COUNTA(O441:W441),$AR$3:$AR$12,0),2)</f>
        <v>#N/A</v>
      </c>
      <c r="AK441" s="108" t="e">
        <f t="shared" si="58"/>
        <v>#DIV/0!</v>
      </c>
      <c r="AL441" s="91" t="str">
        <f t="shared" si="60"/>
        <v>n.d.</v>
      </c>
      <c r="AP441" s="319" t="s">
        <v>381</v>
      </c>
    </row>
    <row r="442" spans="1:42">
      <c r="A442" s="322" t="s">
        <v>504</v>
      </c>
      <c r="H442">
        <v>1.81</v>
      </c>
      <c r="I442">
        <v>4.9800000000000004</v>
      </c>
      <c r="T442">
        <v>1.81</v>
      </c>
      <c r="U442">
        <v>4.9800000000000004</v>
      </c>
      <c r="Z442">
        <v>0.70699999999999996</v>
      </c>
      <c r="AA442">
        <v>0.152</v>
      </c>
      <c r="AB442">
        <v>7.3795650000000004</v>
      </c>
      <c r="AC442">
        <v>0.75</v>
      </c>
      <c r="AD442" s="87">
        <f t="shared" si="52"/>
        <v>0.3611111111111111</v>
      </c>
      <c r="AE442" s="203">
        <f t="shared" si="53"/>
        <v>0.55555555555555558</v>
      </c>
      <c r="AF442" s="49">
        <f t="shared" si="54"/>
        <v>46.686303387334299</v>
      </c>
      <c r="AG442" s="49">
        <f t="shared" si="55"/>
        <v>46.686303387334299</v>
      </c>
      <c r="AH442" s="50">
        <f t="shared" si="56"/>
        <v>1</v>
      </c>
      <c r="AI442" s="105">
        <f t="shared" si="57"/>
        <v>1.0000000000000002</v>
      </c>
      <c r="AJ442" s="270" t="e">
        <f>INDEX($AR$3:AS442,MATCH(COUNTA(O442:W442),$AR$3:$AR$12,0),2)</f>
        <v>#N/A</v>
      </c>
      <c r="AK442" s="108">
        <f t="shared" si="58"/>
        <v>3.3950000000000005</v>
      </c>
      <c r="AL442" s="91">
        <f t="shared" si="60"/>
        <v>0.46005421728787543</v>
      </c>
      <c r="AP442" s="319" t="s">
        <v>381</v>
      </c>
    </row>
    <row r="443" spans="1:42">
      <c r="A443" s="322" t="s">
        <v>505</v>
      </c>
      <c r="I443">
        <v>4.51</v>
      </c>
      <c r="U443">
        <v>4.51</v>
      </c>
      <c r="AB443">
        <v>4.4695199999999993</v>
      </c>
      <c r="AC443">
        <v>0.75</v>
      </c>
      <c r="AD443" s="87">
        <f t="shared" si="52"/>
        <v>0.55555555555555558</v>
      </c>
      <c r="AE443" s="203">
        <f t="shared" si="53"/>
        <v>0.65277777777777779</v>
      </c>
      <c r="AF443" s="49">
        <f t="shared" si="54"/>
        <v>0</v>
      </c>
      <c r="AG443" s="49">
        <f t="shared" si="55"/>
        <v>0</v>
      </c>
      <c r="AH443" s="50" t="e">
        <f t="shared" si="56"/>
        <v>#NUM!</v>
      </c>
      <c r="AI443" s="105" t="e">
        <f t="shared" si="57"/>
        <v>#DIV/0!</v>
      </c>
      <c r="AJ443" s="270" t="e">
        <f>INDEX($AR$3:AS443,MATCH(COUNTA(O443:W443),$AR$3:$AR$12,0),2)</f>
        <v>#N/A</v>
      </c>
      <c r="AK443" s="108">
        <f t="shared" si="58"/>
        <v>4.51</v>
      </c>
      <c r="AL443" s="91">
        <f t="shared" si="60"/>
        <v>1.009056900964757</v>
      </c>
      <c r="AP443" s="319" t="s">
        <v>381</v>
      </c>
    </row>
    <row r="444" spans="1:42">
      <c r="A444" s="322" t="s">
        <v>506</v>
      </c>
      <c r="Z444">
        <v>0.70699999999999996</v>
      </c>
      <c r="AA444">
        <v>0.16500000000000001</v>
      </c>
      <c r="AB444">
        <v>7.4709699999999986</v>
      </c>
      <c r="AD444" s="87" t="e">
        <f t="shared" si="52"/>
        <v>#DIV/0!</v>
      </c>
      <c r="AE444" s="203" t="e">
        <f t="shared" si="53"/>
        <v>#DIV/0!</v>
      </c>
      <c r="AF444" s="49" t="e">
        <f t="shared" si="54"/>
        <v>#DIV/0!</v>
      </c>
      <c r="AG444" s="49" t="e">
        <f t="shared" si="55"/>
        <v>#DIV/0!</v>
      </c>
      <c r="AH444" s="50" t="e">
        <f t="shared" si="56"/>
        <v>#NUM!</v>
      </c>
      <c r="AI444" s="105" t="e">
        <f t="shared" si="57"/>
        <v>#DIV/0!</v>
      </c>
      <c r="AJ444" s="270" t="e">
        <f>INDEX($AR$3:AS444,MATCH(COUNTA(O444:W444),$AR$3:$AR$12,0),2)</f>
        <v>#N/A</v>
      </c>
      <c r="AK444" s="108" t="e">
        <f t="shared" si="58"/>
        <v>#DIV/0!</v>
      </c>
      <c r="AL444" s="91" t="str">
        <f t="shared" si="60"/>
        <v>n.d.</v>
      </c>
      <c r="AP444" s="319" t="s">
        <v>381</v>
      </c>
    </row>
    <row r="445" spans="1:42">
      <c r="A445" s="322" t="s">
        <v>507</v>
      </c>
      <c r="Z445">
        <v>0.70699999999999996</v>
      </c>
      <c r="AA445">
        <v>0.16500000000000001</v>
      </c>
      <c r="AB445">
        <v>5.5076400000000003</v>
      </c>
      <c r="AC445">
        <v>0.57999999999999996</v>
      </c>
      <c r="AD445" s="87" t="e">
        <f t="shared" si="52"/>
        <v>#DIV/0!</v>
      </c>
      <c r="AE445" s="203" t="e">
        <f t="shared" si="53"/>
        <v>#DIV/0!</v>
      </c>
      <c r="AF445" s="49" t="e">
        <f t="shared" si="54"/>
        <v>#DIV/0!</v>
      </c>
      <c r="AG445" s="49" t="e">
        <f t="shared" si="55"/>
        <v>#DIV/0!</v>
      </c>
      <c r="AH445" s="50" t="e">
        <f t="shared" si="56"/>
        <v>#NUM!</v>
      </c>
      <c r="AI445" s="105" t="e">
        <f t="shared" si="57"/>
        <v>#DIV/0!</v>
      </c>
      <c r="AJ445" s="270" t="e">
        <f>INDEX($AR$3:AS445,MATCH(COUNTA(O445:W445),$AR$3:$AR$12,0),2)</f>
        <v>#N/A</v>
      </c>
      <c r="AK445" s="108" t="e">
        <f t="shared" si="58"/>
        <v>#DIV/0!</v>
      </c>
      <c r="AL445" s="91" t="str">
        <f t="shared" si="60"/>
        <v>n.d.</v>
      </c>
      <c r="AP445" s="319" t="s">
        <v>381</v>
      </c>
    </row>
    <row r="446" spans="1:42">
      <c r="A446" s="322" t="s">
        <v>508</v>
      </c>
      <c r="Z446">
        <v>0.70699999999999996</v>
      </c>
      <c r="AA446">
        <v>0.20300000000000001</v>
      </c>
      <c r="AB446">
        <v>5.2079999999999993</v>
      </c>
      <c r="AD446" s="87" t="e">
        <f t="shared" si="52"/>
        <v>#DIV/0!</v>
      </c>
      <c r="AE446" s="203" t="e">
        <f t="shared" si="53"/>
        <v>#DIV/0!</v>
      </c>
      <c r="AF446" s="49" t="e">
        <f t="shared" si="54"/>
        <v>#DIV/0!</v>
      </c>
      <c r="AG446" s="49" t="e">
        <f t="shared" si="55"/>
        <v>#DIV/0!</v>
      </c>
      <c r="AH446" s="50" t="e">
        <f t="shared" si="56"/>
        <v>#NUM!</v>
      </c>
      <c r="AI446" s="105" t="e">
        <f t="shared" si="57"/>
        <v>#DIV/0!</v>
      </c>
      <c r="AJ446" s="270" t="e">
        <f>INDEX($AR$3:AS446,MATCH(COUNTA(O446:W446),$AR$3:$AR$12,0),2)</f>
        <v>#N/A</v>
      </c>
      <c r="AK446" s="108" t="e">
        <f t="shared" si="58"/>
        <v>#DIV/0!</v>
      </c>
      <c r="AL446" s="91" t="str">
        <f t="shared" si="60"/>
        <v>n.d.</v>
      </c>
      <c r="AP446" s="319" t="s">
        <v>381</v>
      </c>
    </row>
    <row r="447" spans="1:42">
      <c r="A447" s="322" t="s">
        <v>509</v>
      </c>
      <c r="Z447">
        <v>0.70699999999999996</v>
      </c>
      <c r="AA447">
        <v>0.20300000000000001</v>
      </c>
      <c r="AB447">
        <v>7.9878200000000001</v>
      </c>
      <c r="AD447" s="87" t="e">
        <f t="shared" si="52"/>
        <v>#DIV/0!</v>
      </c>
      <c r="AE447" s="203" t="e">
        <f t="shared" si="53"/>
        <v>#DIV/0!</v>
      </c>
      <c r="AF447" s="49" t="e">
        <f t="shared" si="54"/>
        <v>#DIV/0!</v>
      </c>
      <c r="AG447" s="49" t="e">
        <f t="shared" si="55"/>
        <v>#DIV/0!</v>
      </c>
      <c r="AH447" s="50" t="e">
        <f t="shared" si="56"/>
        <v>#NUM!</v>
      </c>
      <c r="AI447" s="105" t="e">
        <f t="shared" si="57"/>
        <v>#DIV/0!</v>
      </c>
      <c r="AJ447" s="270" t="e">
        <f>INDEX($AR$3:AS447,MATCH(COUNTA(O447:W447),$AR$3:$AR$12,0),2)</f>
        <v>#N/A</v>
      </c>
      <c r="AK447" s="108" t="e">
        <f t="shared" si="58"/>
        <v>#DIV/0!</v>
      </c>
      <c r="AL447" s="91" t="str">
        <f t="shared" si="60"/>
        <v>n.d.</v>
      </c>
      <c r="AP447" s="319" t="s">
        <v>381</v>
      </c>
    </row>
    <row r="448" spans="1:42">
      <c r="A448" s="322" t="s">
        <v>510</v>
      </c>
      <c r="Z448">
        <v>0.70699999999999996</v>
      </c>
      <c r="AA448">
        <v>0.42699999999999999</v>
      </c>
      <c r="AB448">
        <v>5.3934150000000001</v>
      </c>
      <c r="AD448" s="87" t="e">
        <f t="shared" si="52"/>
        <v>#DIV/0!</v>
      </c>
      <c r="AE448" s="203" t="e">
        <f t="shared" si="53"/>
        <v>#DIV/0!</v>
      </c>
      <c r="AF448" s="49" t="e">
        <f t="shared" si="54"/>
        <v>#DIV/0!</v>
      </c>
      <c r="AG448" s="49" t="e">
        <f t="shared" si="55"/>
        <v>#DIV/0!</v>
      </c>
      <c r="AH448" s="50" t="e">
        <f t="shared" si="56"/>
        <v>#NUM!</v>
      </c>
      <c r="AI448" s="105" t="e">
        <f t="shared" si="57"/>
        <v>#DIV/0!</v>
      </c>
      <c r="AJ448" s="270" t="e">
        <f>INDEX($AR$3:AS448,MATCH(COUNTA(O448:W448),$AR$3:$AR$12,0),2)</f>
        <v>#N/A</v>
      </c>
      <c r="AK448" s="108" t="e">
        <f t="shared" si="58"/>
        <v>#DIV/0!</v>
      </c>
      <c r="AL448" s="91" t="str">
        <f t="shared" si="60"/>
        <v>n.d.</v>
      </c>
      <c r="AP448" s="319" t="s">
        <v>381</v>
      </c>
    </row>
    <row r="449" spans="1:42">
      <c r="A449" s="322" t="s">
        <v>511</v>
      </c>
      <c r="Z449">
        <v>0.70699999999999996</v>
      </c>
      <c r="AA449">
        <v>0.42699999999999999</v>
      </c>
      <c r="AB449">
        <v>8.8179449999999999</v>
      </c>
      <c r="AD449" s="87" t="e">
        <f t="shared" si="52"/>
        <v>#DIV/0!</v>
      </c>
      <c r="AE449" s="203" t="e">
        <f t="shared" si="53"/>
        <v>#DIV/0!</v>
      </c>
      <c r="AF449" s="49" t="e">
        <f t="shared" si="54"/>
        <v>#DIV/0!</v>
      </c>
      <c r="AG449" s="49" t="e">
        <f t="shared" si="55"/>
        <v>#DIV/0!</v>
      </c>
      <c r="AH449" s="50" t="e">
        <f t="shared" si="56"/>
        <v>#NUM!</v>
      </c>
      <c r="AI449" s="105" t="e">
        <f t="shared" si="57"/>
        <v>#DIV/0!</v>
      </c>
      <c r="AJ449" s="270" t="e">
        <f>INDEX($AR$3:AS449,MATCH(COUNTA(O449:W449),$AR$3:$AR$12,0),2)</f>
        <v>#N/A</v>
      </c>
      <c r="AK449" s="108" t="e">
        <f t="shared" si="58"/>
        <v>#DIV/0!</v>
      </c>
      <c r="AL449" s="91" t="str">
        <f t="shared" si="60"/>
        <v>n.d.</v>
      </c>
      <c r="AP449" s="319" t="s">
        <v>381</v>
      </c>
    </row>
    <row r="450" spans="1:42">
      <c r="A450" s="322" t="s">
        <v>512</v>
      </c>
      <c r="Z450">
        <v>0.70699999999999996</v>
      </c>
      <c r="AA450">
        <v>0.22</v>
      </c>
      <c r="AB450">
        <v>20.2043</v>
      </c>
      <c r="AD450" s="87" t="e">
        <f t="shared" ref="AD450:AD455" si="61">(COUNT(O450:W450)*(1/(COUNT(O450:W450)+COUNTBLANK(O450:W450)))+(IF(AF450&lt;35,1,IF(AF450&lt;70,0.5,IF(AF450&gt;70,0)))))/2</f>
        <v>#DIV/0!</v>
      </c>
      <c r="AE450" s="203" t="e">
        <f t="shared" ref="AE450:AE455" si="62">AVERAGE(AC450:AD450)</f>
        <v>#DIV/0!</v>
      </c>
      <c r="AF450" s="49" t="e">
        <f t="shared" ref="AF450:AF455" si="63">((_xlfn.STDEV.P(O450:W450))/(AVERAGE(O450:W450)))*100</f>
        <v>#DIV/0!</v>
      </c>
      <c r="AG450" s="49" t="e">
        <f t="shared" ref="AG450:AG455" si="64">((_xlfn.STDEV.P(C450:K450))/(AVERAGE(C450:K450)))*100</f>
        <v>#DIV/0!</v>
      </c>
      <c r="AH450" s="50" t="e">
        <f t="shared" ref="AH450:AH455" si="65">(ABS((LARGE(O450:W450,2) -MAX(O450:W450))))/(ABS(MIN(O450:W450)-MAX(O450:W450)))</f>
        <v>#NUM!</v>
      </c>
      <c r="AI450" s="105" t="e">
        <f t="shared" ref="AI450:AI455" si="66">(ABS(MAX(O450:W450)-AVERAGE(O450:W450))/_xlfn.STDEV.P(O450:W450))</f>
        <v>#DIV/0!</v>
      </c>
      <c r="AJ450" s="270" t="e">
        <f>INDEX($AR$3:AS450,MATCH(COUNTA(O450:W450),$AR$3:$AR$12,0),2)</f>
        <v>#N/A</v>
      </c>
      <c r="AK450" s="108" t="e">
        <f t="shared" si="58"/>
        <v>#DIV/0!</v>
      </c>
      <c r="AL450" s="91" t="str">
        <f t="shared" si="60"/>
        <v>n.d.</v>
      </c>
      <c r="AP450" s="319" t="s">
        <v>381</v>
      </c>
    </row>
    <row r="451" spans="1:42">
      <c r="A451" s="322" t="s">
        <v>513</v>
      </c>
      <c r="Z451">
        <v>0.70699999999999996</v>
      </c>
      <c r="AA451">
        <v>0.22</v>
      </c>
      <c r="AB451">
        <v>29.867599999999999</v>
      </c>
      <c r="AD451" s="87" t="e">
        <f t="shared" si="61"/>
        <v>#DIV/0!</v>
      </c>
      <c r="AE451" s="203" t="e">
        <f t="shared" si="62"/>
        <v>#DIV/0!</v>
      </c>
      <c r="AF451" s="49" t="e">
        <f t="shared" si="63"/>
        <v>#DIV/0!</v>
      </c>
      <c r="AG451" s="49" t="e">
        <f t="shared" si="64"/>
        <v>#DIV/0!</v>
      </c>
      <c r="AH451" s="50" t="e">
        <f t="shared" si="65"/>
        <v>#NUM!</v>
      </c>
      <c r="AI451" s="105" t="e">
        <f t="shared" si="66"/>
        <v>#DIV/0!</v>
      </c>
      <c r="AJ451" s="270" t="e">
        <f>INDEX($AR$3:AS451,MATCH(COUNTA(O451:W451),$AR$3:$AR$12,0),2)</f>
        <v>#N/A</v>
      </c>
      <c r="AK451" s="108" t="e">
        <f t="shared" si="58"/>
        <v>#DIV/0!</v>
      </c>
      <c r="AL451" s="91" t="str">
        <f t="shared" si="60"/>
        <v>n.d.</v>
      </c>
      <c r="AP451" s="319" t="s">
        <v>381</v>
      </c>
    </row>
    <row r="452" spans="1:42">
      <c r="A452" s="322" t="s">
        <v>514</v>
      </c>
      <c r="Z452">
        <v>0.70699999999999996</v>
      </c>
      <c r="AA452">
        <v>0.34499999999999997</v>
      </c>
      <c r="AB452">
        <v>2.8785050000000001</v>
      </c>
      <c r="AD452" s="87" t="e">
        <f t="shared" si="61"/>
        <v>#DIV/0!</v>
      </c>
      <c r="AE452" s="203" t="e">
        <f t="shared" si="62"/>
        <v>#DIV/0!</v>
      </c>
      <c r="AF452" s="49" t="e">
        <f t="shared" si="63"/>
        <v>#DIV/0!</v>
      </c>
      <c r="AG452" s="49" t="e">
        <f t="shared" si="64"/>
        <v>#DIV/0!</v>
      </c>
      <c r="AH452" s="50" t="e">
        <f t="shared" si="65"/>
        <v>#NUM!</v>
      </c>
      <c r="AI452" s="105" t="e">
        <f t="shared" si="66"/>
        <v>#DIV/0!</v>
      </c>
      <c r="AJ452" s="270" t="e">
        <f>INDEX($AR$3:AS452,MATCH(COUNTA(O452:W452),$AR$3:$AR$12,0),2)</f>
        <v>#N/A</v>
      </c>
      <c r="AK452" s="108" t="e">
        <f t="shared" si="58"/>
        <v>#DIV/0!</v>
      </c>
      <c r="AL452" s="91" t="str">
        <f t="shared" si="60"/>
        <v>n.d.</v>
      </c>
      <c r="AP452" s="319" t="s">
        <v>381</v>
      </c>
    </row>
    <row r="453" spans="1:42">
      <c r="A453" s="322" t="s">
        <v>515</v>
      </c>
      <c r="Z453">
        <v>0.70699999999999996</v>
      </c>
      <c r="AA453">
        <v>0.34499999999999997</v>
      </c>
      <c r="AB453">
        <v>2.8527499999999999</v>
      </c>
      <c r="AD453" s="87" t="e">
        <f t="shared" si="61"/>
        <v>#DIV/0!</v>
      </c>
      <c r="AE453" s="203" t="e">
        <f t="shared" si="62"/>
        <v>#DIV/0!</v>
      </c>
      <c r="AF453" s="49" t="e">
        <f t="shared" si="63"/>
        <v>#DIV/0!</v>
      </c>
      <c r="AG453" s="49" t="e">
        <f t="shared" si="64"/>
        <v>#DIV/0!</v>
      </c>
      <c r="AH453" s="50" t="e">
        <f t="shared" si="65"/>
        <v>#NUM!</v>
      </c>
      <c r="AI453" s="105" t="e">
        <f t="shared" si="66"/>
        <v>#DIV/0!</v>
      </c>
      <c r="AJ453" s="270" t="e">
        <f>INDEX($AR$3:AS453,MATCH(COUNTA(O453:W453),$AR$3:$AR$12,0),2)</f>
        <v>#N/A</v>
      </c>
      <c r="AK453" s="108" t="e">
        <f t="shared" si="58"/>
        <v>#DIV/0!</v>
      </c>
      <c r="AL453" s="91" t="str">
        <f t="shared" si="60"/>
        <v>n.d.</v>
      </c>
      <c r="AP453" s="319" t="s">
        <v>381</v>
      </c>
    </row>
    <row r="454" spans="1:42">
      <c r="A454" s="322" t="s">
        <v>516</v>
      </c>
      <c r="Z454">
        <v>0.70699999999999996</v>
      </c>
      <c r="AA454">
        <v>3.5000000000000003E-2</v>
      </c>
      <c r="AB454">
        <v>3.5029300000000001</v>
      </c>
      <c r="AD454" s="87" t="e">
        <f t="shared" si="61"/>
        <v>#DIV/0!</v>
      </c>
      <c r="AE454" s="203" t="e">
        <f t="shared" si="62"/>
        <v>#DIV/0!</v>
      </c>
      <c r="AF454" s="49" t="e">
        <f t="shared" si="63"/>
        <v>#DIV/0!</v>
      </c>
      <c r="AG454" s="49" t="e">
        <f t="shared" si="64"/>
        <v>#DIV/0!</v>
      </c>
      <c r="AH454" s="50" t="e">
        <f t="shared" si="65"/>
        <v>#NUM!</v>
      </c>
      <c r="AI454" s="105" t="e">
        <f t="shared" si="66"/>
        <v>#DIV/0!</v>
      </c>
      <c r="AJ454" s="270" t="e">
        <f>INDEX($AR$3:AS454,MATCH(COUNTA(O454:W454),$AR$3:$AR$12,0),2)</f>
        <v>#N/A</v>
      </c>
      <c r="AK454" s="108" t="e">
        <f t="shared" si="58"/>
        <v>#DIV/0!</v>
      </c>
      <c r="AL454" s="91" t="str">
        <f t="shared" si="60"/>
        <v>n.d.</v>
      </c>
      <c r="AP454" s="319" t="s">
        <v>381</v>
      </c>
    </row>
    <row r="455" spans="1:42">
      <c r="A455" s="322" t="s">
        <v>517</v>
      </c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Z455">
        <v>0.70699999999999996</v>
      </c>
      <c r="AA455">
        <v>3.5000000000000003E-2</v>
      </c>
      <c r="AB455">
        <v>3.8363700000000001</v>
      </c>
      <c r="AD455" s="87" t="e">
        <f t="shared" si="61"/>
        <v>#DIV/0!</v>
      </c>
      <c r="AE455" s="203" t="e">
        <f t="shared" si="62"/>
        <v>#DIV/0!</v>
      </c>
      <c r="AF455" s="49" t="e">
        <f t="shared" si="63"/>
        <v>#DIV/0!</v>
      </c>
      <c r="AG455" s="49" t="e">
        <f t="shared" si="64"/>
        <v>#DIV/0!</v>
      </c>
      <c r="AH455" s="50" t="e">
        <f t="shared" si="65"/>
        <v>#NUM!</v>
      </c>
      <c r="AI455" s="105" t="e">
        <f t="shared" si="66"/>
        <v>#DIV/0!</v>
      </c>
      <c r="AJ455" s="270" t="e">
        <f>INDEX($AR$3:AS455,MATCH(COUNTA(O455:W455),$AR$3:$AR$12,0),2)</f>
        <v>#N/A</v>
      </c>
      <c r="AK455" s="108" t="e">
        <f t="shared" si="58"/>
        <v>#DIV/0!</v>
      </c>
      <c r="AL455" s="91" t="str">
        <f t="shared" si="60"/>
        <v>n.d.</v>
      </c>
      <c r="AP455" s="319" t="s">
        <v>381</v>
      </c>
    </row>
    <row r="456" spans="1:42">
      <c r="A456" s="352" t="s">
        <v>518</v>
      </c>
      <c r="B456"/>
      <c r="D456"/>
      <c r="F456">
        <v>2.58</v>
      </c>
      <c r="K456"/>
      <c r="L456"/>
      <c r="M456"/>
      <c r="O456" s="329"/>
      <c r="P456" s="329"/>
      <c r="Q456" s="329"/>
      <c r="R456" s="329">
        <v>2.58</v>
      </c>
      <c r="S456" s="329"/>
      <c r="T456" s="329"/>
      <c r="U456" s="329"/>
      <c r="V456" s="329"/>
      <c r="W456" s="329"/>
      <c r="X456" s="329"/>
      <c r="Z456">
        <v>1.077</v>
      </c>
      <c r="AA456">
        <v>0.317</v>
      </c>
      <c r="AB456">
        <v>10.067399999999999</v>
      </c>
      <c r="AC456">
        <v>0.65</v>
      </c>
      <c r="AD456" s="87">
        <f t="shared" ref="AD456:AD471" si="67">(COUNT(O456:W456)*(1/(COUNT(O456:W456)+COUNTBLANK(O456:W456)))+(IF(AF456&lt;35,1,IF(AF456&lt;70,0.5,IF(AF456&gt;70,0)))))/2</f>
        <v>0.55555555555555558</v>
      </c>
      <c r="AE456" s="203">
        <f t="shared" ref="AE456:AE471" si="68">AVERAGE(AC456:AD456)</f>
        <v>0.60277777777777786</v>
      </c>
      <c r="AF456" s="49">
        <f t="shared" ref="AF456:AF471" si="69">((_xlfn.STDEV.P(O456:W456))/(AVERAGE(O456:W456)))*100</f>
        <v>0</v>
      </c>
      <c r="AG456" s="49">
        <f t="shared" ref="AG456:AG471" si="70">((_xlfn.STDEV.P(C456:K456))/(AVERAGE(C456:K456)))*100</f>
        <v>0</v>
      </c>
      <c r="AH456" s="50" t="e">
        <f t="shared" ref="AH456:AH471" si="71">(ABS((LARGE(O456:W456,2) -MAX(O456:W456))))/(ABS(MIN(O456:W456)-MAX(O456:W456)))</f>
        <v>#NUM!</v>
      </c>
      <c r="AI456" s="105" t="e">
        <f t="shared" ref="AI456:AI471" si="72">(ABS(MAX(O456:W456)-AVERAGE(O456:W456))/_xlfn.STDEV.P(O456:W456))</f>
        <v>#DIV/0!</v>
      </c>
      <c r="AJ456" s="270" t="e">
        <f>INDEX($AR$3:AS456,MATCH(COUNTA(O456:W456),$AR$3:$AR$12,0),2)</f>
        <v>#N/A</v>
      </c>
      <c r="AK456" s="108">
        <f t="shared" ref="AK456:AK471" si="73">AVERAGE(N456:Y456)</f>
        <v>2.58</v>
      </c>
      <c r="AL456" s="91" t="str">
        <f t="shared" ref="AL456:AL471" si="74">IF(AND(O456="",Q456="",S456="",U456="",W456=""),"n.d.", AK456/AB456)</f>
        <v>n.d.</v>
      </c>
      <c r="AP456" s="328" t="s">
        <v>649</v>
      </c>
    </row>
    <row r="457" spans="1:42">
      <c r="A457" s="352" t="s">
        <v>519</v>
      </c>
      <c r="B457"/>
      <c r="D457"/>
      <c r="K457"/>
      <c r="L457"/>
      <c r="M457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  <c r="Z457">
        <v>0.191</v>
      </c>
      <c r="AA457">
        <v>0.317</v>
      </c>
      <c r="AB457">
        <v>16.639399999999998</v>
      </c>
      <c r="AC457">
        <v>0.57999999999999996</v>
      </c>
      <c r="AD457" s="87" t="e">
        <f t="shared" si="67"/>
        <v>#DIV/0!</v>
      </c>
      <c r="AE457" s="203" t="e">
        <f t="shared" si="68"/>
        <v>#DIV/0!</v>
      </c>
      <c r="AF457" s="49" t="e">
        <f t="shared" si="69"/>
        <v>#DIV/0!</v>
      </c>
      <c r="AG457" s="49" t="e">
        <f t="shared" si="70"/>
        <v>#DIV/0!</v>
      </c>
      <c r="AH457" s="50" t="e">
        <f t="shared" si="71"/>
        <v>#NUM!</v>
      </c>
      <c r="AI457" s="105" t="e">
        <f t="shared" si="72"/>
        <v>#DIV/0!</v>
      </c>
      <c r="AJ457" s="270" t="e">
        <f>INDEX($AR$3:AS457,MATCH(COUNTA(O457:W457),$AR$3:$AR$12,0),2)</f>
        <v>#N/A</v>
      </c>
      <c r="AK457" s="108" t="e">
        <f t="shared" si="73"/>
        <v>#DIV/0!</v>
      </c>
      <c r="AL457" s="91" t="str">
        <f t="shared" si="74"/>
        <v>n.d.</v>
      </c>
      <c r="AP457" s="328" t="s">
        <v>649</v>
      </c>
    </row>
    <row r="458" spans="1:42">
      <c r="A458" s="352" t="s">
        <v>520</v>
      </c>
      <c r="B458"/>
      <c r="D458"/>
      <c r="K458"/>
      <c r="L458"/>
      <c r="M458"/>
      <c r="O458" s="329"/>
      <c r="P458" s="329"/>
      <c r="Q458" s="329"/>
      <c r="R458" s="329"/>
      <c r="S458" s="329"/>
      <c r="T458" s="329"/>
      <c r="U458" s="329"/>
      <c r="V458" s="329"/>
      <c r="W458" s="329"/>
      <c r="X458" s="329"/>
      <c r="Z458">
        <v>0.89200000000000002</v>
      </c>
      <c r="AA458">
        <v>0.317</v>
      </c>
      <c r="AB458">
        <v>22.4757</v>
      </c>
      <c r="AC458">
        <v>0.75</v>
      </c>
      <c r="AD458" s="87" t="e">
        <f t="shared" si="67"/>
        <v>#DIV/0!</v>
      </c>
      <c r="AE458" s="203" t="e">
        <f t="shared" si="68"/>
        <v>#DIV/0!</v>
      </c>
      <c r="AF458" s="49" t="e">
        <f t="shared" si="69"/>
        <v>#DIV/0!</v>
      </c>
      <c r="AG458" s="49" t="e">
        <f t="shared" si="70"/>
        <v>#DIV/0!</v>
      </c>
      <c r="AH458" s="50" t="e">
        <f t="shared" si="71"/>
        <v>#NUM!</v>
      </c>
      <c r="AI458" s="105" t="e">
        <f t="shared" si="72"/>
        <v>#DIV/0!</v>
      </c>
      <c r="AJ458" s="270" t="e">
        <f>INDEX($AR$3:AS458,MATCH(COUNTA(O458:W458),$AR$3:$AR$12,0),2)</f>
        <v>#N/A</v>
      </c>
      <c r="AK458" s="108" t="e">
        <f t="shared" si="73"/>
        <v>#DIV/0!</v>
      </c>
      <c r="AL458" s="91" t="str">
        <f t="shared" si="74"/>
        <v>n.d.</v>
      </c>
      <c r="AP458" s="328" t="s">
        <v>649</v>
      </c>
    </row>
    <row r="459" spans="1:42">
      <c r="A459" s="352" t="s">
        <v>521</v>
      </c>
      <c r="B459"/>
      <c r="D459"/>
      <c r="H459">
        <v>12.55</v>
      </c>
      <c r="I459">
        <v>9.5500000000000007</v>
      </c>
      <c r="K459">
        <v>4.47</v>
      </c>
      <c r="L459"/>
      <c r="M459"/>
      <c r="O459" s="329"/>
      <c r="P459" s="329"/>
      <c r="Q459" s="329"/>
      <c r="R459" s="329"/>
      <c r="S459" s="329"/>
      <c r="T459" s="329">
        <v>12.55</v>
      </c>
      <c r="U459" s="329">
        <v>9.5500000000000007</v>
      </c>
      <c r="V459" s="329"/>
      <c r="W459" s="329">
        <v>4.47</v>
      </c>
      <c r="X459" s="329"/>
      <c r="Z459">
        <v>0.51300000000000001</v>
      </c>
      <c r="AA459">
        <v>6.6000000000000003E-2</v>
      </c>
      <c r="AB459">
        <v>15.794600000000001</v>
      </c>
      <c r="AC459">
        <v>0.57999999999999996</v>
      </c>
      <c r="AD459" s="87">
        <f t="shared" si="67"/>
        <v>0.41666666666666663</v>
      </c>
      <c r="AE459" s="203">
        <f t="shared" si="68"/>
        <v>0.49833333333333329</v>
      </c>
      <c r="AF459" s="49">
        <f t="shared" si="69"/>
        <v>37.65389132111104</v>
      </c>
      <c r="AG459" s="49">
        <f t="shared" si="70"/>
        <v>37.65389132111104</v>
      </c>
      <c r="AH459" s="50">
        <f t="shared" si="71"/>
        <v>0.37128712871287123</v>
      </c>
      <c r="AI459" s="105">
        <f t="shared" si="72"/>
        <v>1.1074862455454602</v>
      </c>
      <c r="AJ459" s="270">
        <f>INDEX($AR$3:AS459,MATCH(COUNTA(O459:W459),$AR$3:$AR$12,0),2)</f>
        <v>1.1499999999999999</v>
      </c>
      <c r="AK459" s="108">
        <f t="shared" si="73"/>
        <v>8.8566666666666674</v>
      </c>
      <c r="AL459" s="91">
        <f t="shared" si="74"/>
        <v>0.56074016858082298</v>
      </c>
      <c r="AP459" s="328" t="s">
        <v>649</v>
      </c>
    </row>
    <row r="460" spans="1:42">
      <c r="A460" s="352" t="s">
        <v>522</v>
      </c>
      <c r="B460"/>
      <c r="D460"/>
      <c r="H460">
        <v>5.34</v>
      </c>
      <c r="I460">
        <v>7.12</v>
      </c>
      <c r="K460"/>
      <c r="L460"/>
      <c r="M460"/>
      <c r="O460" s="329"/>
      <c r="P460" s="329"/>
      <c r="Q460" s="329"/>
      <c r="R460" s="329"/>
      <c r="S460" s="329"/>
      <c r="T460" s="329">
        <v>5.34</v>
      </c>
      <c r="U460" s="329">
        <v>7.12</v>
      </c>
      <c r="V460" s="329"/>
      <c r="W460" s="329"/>
      <c r="X460" s="329"/>
      <c r="Z460">
        <v>1.075</v>
      </c>
      <c r="AA460">
        <v>6.6000000000000003E-2</v>
      </c>
      <c r="AB460">
        <v>9.8204600000000006</v>
      </c>
      <c r="AC460">
        <v>0.68</v>
      </c>
      <c r="AD460" s="87">
        <f t="shared" si="67"/>
        <v>0.61111111111111116</v>
      </c>
      <c r="AE460" s="203">
        <f t="shared" si="68"/>
        <v>0.64555555555555566</v>
      </c>
      <c r="AF460" s="49">
        <f t="shared" si="69"/>
        <v>14.285714285714265</v>
      </c>
      <c r="AG460" s="49">
        <f t="shared" si="70"/>
        <v>14.285714285714265</v>
      </c>
      <c r="AH460" s="50">
        <f t="shared" si="71"/>
        <v>1</v>
      </c>
      <c r="AI460" s="105">
        <f t="shared" si="72"/>
        <v>1.0000000000000009</v>
      </c>
      <c r="AJ460" s="270" t="e">
        <f>INDEX($AR$3:AS460,MATCH(COUNTA(O460:W460),$AR$3:$AR$12,0),2)</f>
        <v>#N/A</v>
      </c>
      <c r="AK460" s="108">
        <f t="shared" si="73"/>
        <v>6.23</v>
      </c>
      <c r="AL460" s="91">
        <f t="shared" si="74"/>
        <v>0.63438983509937419</v>
      </c>
      <c r="AP460" s="328" t="s">
        <v>649</v>
      </c>
    </row>
    <row r="461" spans="1:42">
      <c r="A461" s="352" t="s">
        <v>523</v>
      </c>
      <c r="B461"/>
      <c r="D461"/>
      <c r="H461">
        <v>13.6</v>
      </c>
      <c r="I461">
        <v>12.46</v>
      </c>
      <c r="K461"/>
      <c r="L461"/>
      <c r="M461"/>
      <c r="O461" s="329"/>
      <c r="P461" s="329"/>
      <c r="Q461" s="329"/>
      <c r="R461" s="329"/>
      <c r="S461" s="329"/>
      <c r="T461" s="329">
        <v>13.6</v>
      </c>
      <c r="U461" s="329">
        <v>12.46</v>
      </c>
      <c r="V461" s="329"/>
      <c r="W461" s="329"/>
      <c r="X461" s="329"/>
      <c r="Z461">
        <v>0.66700000000000004</v>
      </c>
      <c r="AA461">
        <v>6.6000000000000003E-2</v>
      </c>
      <c r="AB461">
        <v>22.010100000000001</v>
      </c>
      <c r="AC461">
        <v>0.68</v>
      </c>
      <c r="AD461" s="87">
        <f t="shared" si="67"/>
        <v>0.61111111111111116</v>
      </c>
      <c r="AE461" s="203">
        <f t="shared" si="68"/>
        <v>0.64555555555555566</v>
      </c>
      <c r="AF461" s="49">
        <f t="shared" si="69"/>
        <v>4.3745203376822666</v>
      </c>
      <c r="AG461" s="49">
        <f t="shared" si="70"/>
        <v>4.3745203376822666</v>
      </c>
      <c r="AH461" s="50">
        <f t="shared" si="71"/>
        <v>1</v>
      </c>
      <c r="AI461" s="105">
        <f t="shared" si="72"/>
        <v>0.99999999999999845</v>
      </c>
      <c r="AJ461" s="270" t="e">
        <f>INDEX($AR$3:AS461,MATCH(COUNTA(O461:W461),$AR$3:$AR$12,0),2)</f>
        <v>#N/A</v>
      </c>
      <c r="AK461" s="108">
        <f t="shared" si="73"/>
        <v>13.030000000000001</v>
      </c>
      <c r="AL461" s="91">
        <f t="shared" si="74"/>
        <v>0.59200094502069511</v>
      </c>
      <c r="AP461" s="328" t="s">
        <v>649</v>
      </c>
    </row>
    <row r="462" spans="1:42">
      <c r="A462" s="352" t="s">
        <v>524</v>
      </c>
      <c r="B462"/>
      <c r="D462"/>
      <c r="K462"/>
      <c r="L462"/>
      <c r="M462"/>
      <c r="O462" s="329"/>
      <c r="P462" s="329"/>
      <c r="Q462" s="329"/>
      <c r="R462" s="329"/>
      <c r="S462" s="329"/>
      <c r="T462" s="329"/>
      <c r="U462" s="329"/>
      <c r="V462" s="329"/>
      <c r="W462" s="329"/>
      <c r="X462" s="329"/>
      <c r="Z462">
        <v>0.79500000000000004</v>
      </c>
      <c r="AA462">
        <v>0.19</v>
      </c>
      <c r="AB462">
        <v>7.557525</v>
      </c>
      <c r="AC462">
        <v>0.75</v>
      </c>
      <c r="AD462" s="87" t="e">
        <f t="shared" si="67"/>
        <v>#DIV/0!</v>
      </c>
      <c r="AE462" s="203" t="e">
        <f t="shared" si="68"/>
        <v>#DIV/0!</v>
      </c>
      <c r="AF462" s="49" t="e">
        <f t="shared" si="69"/>
        <v>#DIV/0!</v>
      </c>
      <c r="AG462" s="49" t="e">
        <f t="shared" si="70"/>
        <v>#DIV/0!</v>
      </c>
      <c r="AH462" s="50" t="e">
        <f t="shared" si="71"/>
        <v>#NUM!</v>
      </c>
      <c r="AI462" s="105" t="e">
        <f t="shared" si="72"/>
        <v>#DIV/0!</v>
      </c>
      <c r="AJ462" s="270" t="e">
        <f>INDEX($AR$3:AS462,MATCH(COUNTA(O462:W462),$AR$3:$AR$12,0),2)</f>
        <v>#N/A</v>
      </c>
      <c r="AK462" s="108" t="e">
        <f t="shared" si="73"/>
        <v>#DIV/0!</v>
      </c>
      <c r="AL462" s="91" t="str">
        <f t="shared" si="74"/>
        <v>n.d.</v>
      </c>
      <c r="AP462" s="328" t="s">
        <v>649</v>
      </c>
    </row>
    <row r="463" spans="1:42">
      <c r="A463" s="352" t="s">
        <v>525</v>
      </c>
      <c r="B463"/>
      <c r="D463"/>
      <c r="K463"/>
      <c r="L463"/>
      <c r="M463"/>
      <c r="O463" s="329"/>
      <c r="P463" s="329"/>
      <c r="Q463" s="329"/>
      <c r="R463" s="329"/>
      <c r="S463" s="329"/>
      <c r="T463" s="329"/>
      <c r="U463" s="329"/>
      <c r="V463" s="329"/>
      <c r="W463" s="329"/>
      <c r="X463" s="329"/>
      <c r="Z463">
        <v>0.315</v>
      </c>
      <c r="AA463">
        <v>0.19</v>
      </c>
      <c r="AB463">
        <v>12.8439</v>
      </c>
      <c r="AC463">
        <v>0.62</v>
      </c>
      <c r="AD463" s="87" t="e">
        <f t="shared" si="67"/>
        <v>#DIV/0!</v>
      </c>
      <c r="AE463" s="203" t="e">
        <f t="shared" si="68"/>
        <v>#DIV/0!</v>
      </c>
      <c r="AF463" s="49" t="e">
        <f t="shared" si="69"/>
        <v>#DIV/0!</v>
      </c>
      <c r="AG463" s="49" t="e">
        <f t="shared" si="70"/>
        <v>#DIV/0!</v>
      </c>
      <c r="AH463" s="50" t="e">
        <f t="shared" si="71"/>
        <v>#NUM!</v>
      </c>
      <c r="AI463" s="105" t="e">
        <f t="shared" si="72"/>
        <v>#DIV/0!</v>
      </c>
      <c r="AJ463" s="270" t="e">
        <f>INDEX($AR$3:AS463,MATCH(COUNTA(O463:W463),$AR$3:$AR$12,0),2)</f>
        <v>#N/A</v>
      </c>
      <c r="AK463" s="108" t="e">
        <f t="shared" si="73"/>
        <v>#DIV/0!</v>
      </c>
      <c r="AL463" s="91" t="str">
        <f t="shared" si="74"/>
        <v>n.d.</v>
      </c>
      <c r="AP463" s="328" t="s">
        <v>649</v>
      </c>
    </row>
    <row r="464" spans="1:42">
      <c r="A464" s="352" t="s">
        <v>526</v>
      </c>
      <c r="B464"/>
      <c r="D464"/>
      <c r="K464"/>
      <c r="L464"/>
      <c r="M464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Z464">
        <v>1.105</v>
      </c>
      <c r="AA464">
        <v>0.19</v>
      </c>
      <c r="AB464">
        <v>19.5275</v>
      </c>
      <c r="AC464">
        <v>0.75</v>
      </c>
      <c r="AD464" s="87" t="e">
        <f t="shared" si="67"/>
        <v>#DIV/0!</v>
      </c>
      <c r="AE464" s="203" t="e">
        <f t="shared" si="68"/>
        <v>#DIV/0!</v>
      </c>
      <c r="AF464" s="49" t="e">
        <f t="shared" si="69"/>
        <v>#DIV/0!</v>
      </c>
      <c r="AG464" s="49" t="e">
        <f t="shared" si="70"/>
        <v>#DIV/0!</v>
      </c>
      <c r="AH464" s="50" t="e">
        <f t="shared" si="71"/>
        <v>#NUM!</v>
      </c>
      <c r="AI464" s="105" t="e">
        <f t="shared" si="72"/>
        <v>#DIV/0!</v>
      </c>
      <c r="AJ464" s="270" t="e">
        <f>INDEX($AR$3:AS464,MATCH(COUNTA(O464:W464),$AR$3:$AR$12,0),2)</f>
        <v>#N/A</v>
      </c>
      <c r="AK464" s="108" t="e">
        <f t="shared" si="73"/>
        <v>#DIV/0!</v>
      </c>
      <c r="AL464" s="91" t="str">
        <f t="shared" si="74"/>
        <v>n.d.</v>
      </c>
      <c r="AP464" s="328" t="s">
        <v>649</v>
      </c>
    </row>
    <row r="465" spans="1:42">
      <c r="A465" s="352" t="s">
        <v>527</v>
      </c>
      <c r="B465"/>
      <c r="D465"/>
      <c r="K465"/>
      <c r="L465"/>
      <c r="M465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Z465">
        <v>1.0509999999999999</v>
      </c>
      <c r="AA465">
        <v>5.2999999999999999E-2</v>
      </c>
      <c r="AB465">
        <v>11.5001</v>
      </c>
      <c r="AC465"/>
      <c r="AD465" s="87" t="e">
        <f t="shared" si="67"/>
        <v>#DIV/0!</v>
      </c>
      <c r="AE465" s="203" t="e">
        <f t="shared" si="68"/>
        <v>#DIV/0!</v>
      </c>
      <c r="AF465" s="49" t="e">
        <f t="shared" si="69"/>
        <v>#DIV/0!</v>
      </c>
      <c r="AG465" s="49" t="e">
        <f t="shared" si="70"/>
        <v>#DIV/0!</v>
      </c>
      <c r="AH465" s="50" t="e">
        <f t="shared" si="71"/>
        <v>#NUM!</v>
      </c>
      <c r="AI465" s="105" t="e">
        <f t="shared" si="72"/>
        <v>#DIV/0!</v>
      </c>
      <c r="AJ465" s="270" t="e">
        <f>INDEX($AR$3:AS465,MATCH(COUNTA(O465:W465),$AR$3:$AR$12,0),2)</f>
        <v>#N/A</v>
      </c>
      <c r="AK465" s="108" t="e">
        <f t="shared" si="73"/>
        <v>#DIV/0!</v>
      </c>
      <c r="AL465" s="91" t="str">
        <f t="shared" si="74"/>
        <v>n.d.</v>
      </c>
      <c r="AP465" s="328" t="s">
        <v>649</v>
      </c>
    </row>
    <row r="466" spans="1:42">
      <c r="A466" s="352" t="s">
        <v>528</v>
      </c>
      <c r="B466"/>
      <c r="D466"/>
      <c r="K466"/>
      <c r="L466"/>
      <c r="M466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Z466">
        <v>0.20499999999999999</v>
      </c>
      <c r="AA466">
        <v>5.2999999999999999E-2</v>
      </c>
      <c r="AB466">
        <v>14.7828</v>
      </c>
      <c r="AC466">
        <v>0.57999999999999996</v>
      </c>
      <c r="AD466" s="87" t="e">
        <f t="shared" si="67"/>
        <v>#DIV/0!</v>
      </c>
      <c r="AE466" s="203" t="e">
        <f t="shared" si="68"/>
        <v>#DIV/0!</v>
      </c>
      <c r="AF466" s="49" t="e">
        <f t="shared" si="69"/>
        <v>#DIV/0!</v>
      </c>
      <c r="AG466" s="49" t="e">
        <f t="shared" si="70"/>
        <v>#DIV/0!</v>
      </c>
      <c r="AH466" s="50" t="e">
        <f t="shared" si="71"/>
        <v>#NUM!</v>
      </c>
      <c r="AI466" s="105" t="e">
        <f t="shared" si="72"/>
        <v>#DIV/0!</v>
      </c>
      <c r="AJ466" s="270" t="e">
        <f>INDEX($AR$3:AS466,MATCH(COUNTA(O466:W466),$AR$3:$AR$12,0),2)</f>
        <v>#N/A</v>
      </c>
      <c r="AK466" s="108" t="e">
        <f t="shared" si="73"/>
        <v>#DIV/0!</v>
      </c>
      <c r="AL466" s="91" t="str">
        <f t="shared" si="74"/>
        <v>n.d.</v>
      </c>
      <c r="AP466" s="328" t="s">
        <v>649</v>
      </c>
    </row>
    <row r="467" spans="1:42">
      <c r="A467" s="352" t="s">
        <v>529</v>
      </c>
      <c r="B467"/>
      <c r="D467"/>
      <c r="I467">
        <v>6.94</v>
      </c>
      <c r="K467"/>
      <c r="L467"/>
      <c r="M467"/>
      <c r="O467" s="329"/>
      <c r="P467" s="329"/>
      <c r="Q467" s="329"/>
      <c r="R467" s="329"/>
      <c r="S467" s="329"/>
      <c r="T467" s="329"/>
      <c r="U467" s="329">
        <v>6.94</v>
      </c>
      <c r="V467" s="329"/>
      <c r="W467" s="329"/>
      <c r="X467" s="329"/>
      <c r="Z467">
        <v>0.90200000000000002</v>
      </c>
      <c r="AA467">
        <v>5.2999999999999999E-2</v>
      </c>
      <c r="AB467">
        <v>15.0672</v>
      </c>
      <c r="AC467">
        <v>0.57999999999999996</v>
      </c>
      <c r="AD467" s="87">
        <f t="shared" si="67"/>
        <v>0.55555555555555558</v>
      </c>
      <c r="AE467" s="203">
        <f t="shared" si="68"/>
        <v>0.56777777777777771</v>
      </c>
      <c r="AF467" s="49">
        <f t="shared" si="69"/>
        <v>0</v>
      </c>
      <c r="AG467" s="49">
        <f t="shared" si="70"/>
        <v>0</v>
      </c>
      <c r="AH467" s="50" t="e">
        <f t="shared" si="71"/>
        <v>#NUM!</v>
      </c>
      <c r="AI467" s="105" t="e">
        <f t="shared" si="72"/>
        <v>#DIV/0!</v>
      </c>
      <c r="AJ467" s="270" t="e">
        <f>INDEX($AR$3:AS467,MATCH(COUNTA(O467:W467),$AR$3:$AR$12,0),2)</f>
        <v>#N/A</v>
      </c>
      <c r="AK467" s="108">
        <f t="shared" si="73"/>
        <v>6.94</v>
      </c>
      <c r="AL467" s="91">
        <f t="shared" si="74"/>
        <v>0.46060316448975264</v>
      </c>
      <c r="AP467" s="328" t="s">
        <v>649</v>
      </c>
    </row>
    <row r="468" spans="1:42">
      <c r="A468" s="352" t="s">
        <v>530</v>
      </c>
      <c r="B468"/>
      <c r="D468"/>
      <c r="H468">
        <v>3.55</v>
      </c>
      <c r="I468">
        <v>5.61</v>
      </c>
      <c r="K468"/>
      <c r="L468"/>
      <c r="M468"/>
      <c r="O468" s="329"/>
      <c r="P468" s="329"/>
      <c r="Q468" s="329"/>
      <c r="R468" s="329"/>
      <c r="S468" s="329"/>
      <c r="T468" s="329">
        <v>3.55</v>
      </c>
      <c r="U468" s="329">
        <v>5.61</v>
      </c>
      <c r="V468" s="329"/>
      <c r="W468" s="329"/>
      <c r="X468" s="329"/>
      <c r="Z468">
        <v>0.79700000000000004</v>
      </c>
      <c r="AA468">
        <v>2.7E-2</v>
      </c>
      <c r="AB468">
        <v>10.63255</v>
      </c>
      <c r="AC468">
        <v>0.68</v>
      </c>
      <c r="AD468" s="87">
        <f t="shared" si="67"/>
        <v>0.61111111111111116</v>
      </c>
      <c r="AE468" s="203">
        <f t="shared" si="68"/>
        <v>0.64555555555555566</v>
      </c>
      <c r="AF468" s="49">
        <f t="shared" si="69"/>
        <v>22.489082969432314</v>
      </c>
      <c r="AG468" s="49">
        <f t="shared" si="70"/>
        <v>22.489082969432314</v>
      </c>
      <c r="AH468" s="50">
        <f t="shared" si="71"/>
        <v>1</v>
      </c>
      <c r="AI468" s="105">
        <f t="shared" si="72"/>
        <v>1.0000000000000002</v>
      </c>
      <c r="AJ468" s="270" t="e">
        <f>INDEX($AR$3:AS468,MATCH(COUNTA(O468:W468),$AR$3:$AR$12,0),2)</f>
        <v>#N/A</v>
      </c>
      <c r="AK468" s="108">
        <f t="shared" si="73"/>
        <v>4.58</v>
      </c>
      <c r="AL468" s="91">
        <f t="shared" si="74"/>
        <v>0.43075273570310041</v>
      </c>
      <c r="AP468" s="328" t="s">
        <v>649</v>
      </c>
    </row>
    <row r="469" spans="1:42">
      <c r="A469" s="352" t="s">
        <v>531</v>
      </c>
      <c r="B469"/>
      <c r="D469"/>
      <c r="K469"/>
      <c r="L469"/>
      <c r="M469"/>
      <c r="O469" s="329"/>
      <c r="P469" s="329"/>
      <c r="Q469" s="329"/>
      <c r="R469" s="329"/>
      <c r="S469" s="329"/>
      <c r="T469" s="329"/>
      <c r="U469" s="329"/>
      <c r="V469" s="329"/>
      <c r="W469" s="329"/>
      <c r="X469" s="329"/>
      <c r="Z469">
        <v>0.626</v>
      </c>
      <c r="AA469">
        <v>2.7E-2</v>
      </c>
      <c r="AB469">
        <v>10.5519</v>
      </c>
      <c r="AC469">
        <v>0.68</v>
      </c>
      <c r="AD469" s="87" t="e">
        <f t="shared" si="67"/>
        <v>#DIV/0!</v>
      </c>
      <c r="AE469" s="203" t="e">
        <f t="shared" si="68"/>
        <v>#DIV/0!</v>
      </c>
      <c r="AF469" s="49" t="e">
        <f t="shared" si="69"/>
        <v>#DIV/0!</v>
      </c>
      <c r="AG469" s="49" t="e">
        <f t="shared" si="70"/>
        <v>#DIV/0!</v>
      </c>
      <c r="AH469" s="50" t="e">
        <f t="shared" si="71"/>
        <v>#NUM!</v>
      </c>
      <c r="AI469" s="105" t="e">
        <f t="shared" si="72"/>
        <v>#DIV/0!</v>
      </c>
      <c r="AJ469" s="270" t="e">
        <f>INDEX($AR$3:AS469,MATCH(COUNTA(O469:W469),$AR$3:$AR$12,0),2)</f>
        <v>#N/A</v>
      </c>
      <c r="AK469" s="108" t="e">
        <f t="shared" si="73"/>
        <v>#DIV/0!</v>
      </c>
      <c r="AL469" s="91" t="str">
        <f t="shared" si="74"/>
        <v>n.d.</v>
      </c>
      <c r="AP469" s="328" t="s">
        <v>649</v>
      </c>
    </row>
    <row r="470" spans="1:42">
      <c r="A470" s="352" t="s">
        <v>532</v>
      </c>
      <c r="B470"/>
      <c r="D470"/>
      <c r="F470">
        <v>2.48</v>
      </c>
      <c r="H470">
        <v>3.9</v>
      </c>
      <c r="I470">
        <v>6</v>
      </c>
      <c r="K470"/>
      <c r="L470"/>
      <c r="M470"/>
      <c r="O470" s="329"/>
      <c r="P470" s="329"/>
      <c r="Q470" s="329"/>
      <c r="R470" s="329">
        <v>2.48</v>
      </c>
      <c r="S470" s="329"/>
      <c r="T470" s="329">
        <v>3.9</v>
      </c>
      <c r="U470" s="329">
        <v>6</v>
      </c>
      <c r="V470" s="329"/>
      <c r="W470" s="329"/>
      <c r="X470" s="329"/>
      <c r="Z470">
        <v>0.80500000000000005</v>
      </c>
      <c r="AA470">
        <v>2.7E-2</v>
      </c>
      <c r="AB470">
        <v>8.6896950000000004</v>
      </c>
      <c r="AC470">
        <v>0.68</v>
      </c>
      <c r="AD470" s="87">
        <f t="shared" si="67"/>
        <v>0.41666666666666663</v>
      </c>
      <c r="AE470" s="203">
        <f t="shared" si="68"/>
        <v>0.54833333333333334</v>
      </c>
      <c r="AF470" s="49">
        <f t="shared" si="69"/>
        <v>35.03904330098031</v>
      </c>
      <c r="AG470" s="49">
        <f t="shared" si="70"/>
        <v>35.03904330098031</v>
      </c>
      <c r="AH470" s="50">
        <f t="shared" si="71"/>
        <v>0.59659090909090906</v>
      </c>
      <c r="AI470" s="105">
        <f t="shared" si="72"/>
        <v>1.2955776014474738</v>
      </c>
      <c r="AJ470" s="270">
        <f>INDEX($AR$3:AS470,MATCH(COUNTA(O470:W470),$AR$3:$AR$12,0),2)</f>
        <v>1.1499999999999999</v>
      </c>
      <c r="AK470" s="108">
        <f t="shared" si="73"/>
        <v>4.126666666666666</v>
      </c>
      <c r="AL470" s="91">
        <f t="shared" si="74"/>
        <v>0.47489200330583131</v>
      </c>
      <c r="AP470" s="328" t="s">
        <v>649</v>
      </c>
    </row>
    <row r="471" spans="1:42">
      <c r="A471" s="352" t="s">
        <v>533</v>
      </c>
      <c r="B471"/>
      <c r="D471"/>
      <c r="H471">
        <v>5.19</v>
      </c>
      <c r="I471">
        <v>5.97</v>
      </c>
      <c r="K471"/>
      <c r="L471"/>
      <c r="M471"/>
      <c r="O471" s="329"/>
      <c r="P471" s="329"/>
      <c r="Q471" s="329"/>
      <c r="R471" s="329"/>
      <c r="S471" s="329"/>
      <c r="T471" s="329">
        <v>5.19</v>
      </c>
      <c r="U471" s="329">
        <v>5.97</v>
      </c>
      <c r="V471" s="329"/>
      <c r="W471" s="329"/>
      <c r="X471" s="329"/>
      <c r="Z471"/>
      <c r="AA471"/>
      <c r="AB471">
        <v>9.8886500000000002</v>
      </c>
      <c r="AC471">
        <v>0.62</v>
      </c>
      <c r="AD471" s="87">
        <f t="shared" si="67"/>
        <v>0.61111111111111116</v>
      </c>
      <c r="AE471" s="203">
        <f t="shared" si="68"/>
        <v>0.61555555555555563</v>
      </c>
      <c r="AF471" s="49">
        <f t="shared" si="69"/>
        <v>6.9892473118279508</v>
      </c>
      <c r="AG471" s="49">
        <f t="shared" si="70"/>
        <v>6.9892473118279508</v>
      </c>
      <c r="AH471" s="50">
        <f t="shared" si="71"/>
        <v>1</v>
      </c>
      <c r="AI471" s="105">
        <f t="shared" si="72"/>
        <v>1</v>
      </c>
      <c r="AJ471" s="270" t="e">
        <f>INDEX($AR$3:AS471,MATCH(COUNTA(O471:W471),$AR$3:$AR$12,0),2)</f>
        <v>#N/A</v>
      </c>
      <c r="AK471" s="108">
        <f t="shared" si="73"/>
        <v>5.58</v>
      </c>
      <c r="AL471" s="91">
        <f t="shared" si="74"/>
        <v>0.56428329448408021</v>
      </c>
      <c r="AP471" s="328" t="s">
        <v>649</v>
      </c>
    </row>
    <row r="472" spans="1:42">
      <c r="O472" s="329"/>
      <c r="P472" s="329"/>
      <c r="Q472" s="329"/>
      <c r="R472" s="329"/>
      <c r="S472" s="329"/>
      <c r="T472" s="329"/>
      <c r="U472" s="329"/>
      <c r="V472" s="329"/>
      <c r="W472" s="329"/>
      <c r="X472" s="329"/>
    </row>
    <row r="473" spans="1:42">
      <c r="O473" s="329"/>
      <c r="P473" s="329"/>
      <c r="Q473" s="329"/>
      <c r="R473" s="329"/>
      <c r="S473" s="329"/>
      <c r="T473" s="329"/>
      <c r="U473" s="329"/>
      <c r="V473" s="329"/>
      <c r="W473" s="329"/>
      <c r="X473" s="329"/>
    </row>
    <row r="474" spans="1:42">
      <c r="O474" s="329"/>
      <c r="P474" s="329"/>
      <c r="Q474" s="329"/>
      <c r="R474" s="329"/>
      <c r="S474" s="329"/>
      <c r="T474" s="329"/>
      <c r="U474" s="329"/>
      <c r="V474" s="329"/>
      <c r="W474" s="329"/>
      <c r="X474" s="329"/>
    </row>
    <row r="475" spans="1:42">
      <c r="O475" s="329"/>
      <c r="P475" s="329"/>
      <c r="Q475" s="329"/>
      <c r="R475" s="329"/>
      <c r="S475" s="329"/>
      <c r="T475" s="329"/>
      <c r="U475" s="329"/>
      <c r="V475" s="329"/>
      <c r="W475" s="329"/>
      <c r="X475" s="329"/>
    </row>
    <row r="476" spans="1:42">
      <c r="O476" s="329"/>
      <c r="P476" s="329"/>
      <c r="Q476" s="329"/>
      <c r="R476" s="329"/>
      <c r="S476" s="329"/>
      <c r="T476" s="329"/>
      <c r="U476" s="329"/>
      <c r="V476" s="329"/>
      <c r="W476" s="329"/>
      <c r="X476" s="329"/>
    </row>
    <row r="477" spans="1:42">
      <c r="O477" s="329"/>
      <c r="P477" s="329"/>
      <c r="Q477" s="329"/>
      <c r="R477" s="329"/>
      <c r="S477" s="329"/>
      <c r="T477" s="329"/>
      <c r="U477" s="329"/>
      <c r="V477" s="329"/>
      <c r="W477" s="329"/>
      <c r="X477" s="329"/>
    </row>
    <row r="478" spans="1:42">
      <c r="O478" s="329"/>
      <c r="P478" s="329"/>
      <c r="Q478" s="329"/>
      <c r="R478" s="329"/>
      <c r="S478" s="329"/>
      <c r="T478" s="329"/>
      <c r="U478" s="329"/>
      <c r="V478" s="329"/>
      <c r="W478" s="329"/>
      <c r="X478" s="329"/>
    </row>
    <row r="479" spans="1:42">
      <c r="O479" s="329"/>
      <c r="P479" s="329"/>
      <c r="Q479" s="329"/>
      <c r="R479" s="329"/>
      <c r="S479" s="329"/>
      <c r="T479" s="329"/>
      <c r="U479" s="329"/>
      <c r="V479" s="329"/>
      <c r="W479" s="329"/>
      <c r="X479" s="329"/>
    </row>
  </sheetData>
  <autoFilter ref="A1:AS438" xr:uid="{00000000-0009-0000-0000-000000000000}"/>
  <conditionalFormatting sqref="AH2:AH471">
    <cfRule type="expression" dxfId="14" priority="32">
      <formula>$AH2&gt;=$AJ2</formula>
    </cfRule>
  </conditionalFormatting>
  <conditionalFormatting sqref="AI2:AI471">
    <cfRule type="expression" dxfId="13" priority="31">
      <formula>$AI2&gt;=$AJ2</formula>
    </cfRule>
  </conditionalFormatting>
  <conditionalFormatting sqref="AF1:AG471">
    <cfRule type="colorScale" priority="30">
      <colorScale>
        <cfvo type="num" val="0"/>
        <cfvo type="percentile" val="40"/>
        <cfvo type="num" val="10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26"/>
  <sheetViews>
    <sheetView zoomScale="90" zoomScaleNormal="90" workbookViewId="0">
      <pane ySplit="1" topLeftCell="A391" activePane="bottomLeft" state="frozen"/>
      <selection pane="bottomLeft" activeCell="I425" sqref="I425"/>
    </sheetView>
  </sheetViews>
  <sheetFormatPr baseColWidth="10" defaultColWidth="11.42578125" defaultRowHeight="15"/>
  <cols>
    <col min="1" max="1" width="56" style="24" customWidth="1"/>
    <col min="2" max="2" width="29.7109375" style="13" customWidth="1"/>
    <col min="3" max="3" width="25" style="13" bestFit="1" customWidth="1"/>
    <col min="4" max="4" width="10.7109375" style="14" customWidth="1"/>
    <col min="5" max="5" width="12.140625" style="14" customWidth="1"/>
    <col min="6" max="7" width="11.42578125" style="36" customWidth="1"/>
    <col min="8" max="8" width="11.42578125" style="27" customWidth="1"/>
    <col min="9" max="11" width="11.42578125" style="36" customWidth="1"/>
    <col min="12" max="12" width="11.42578125" style="28" customWidth="1"/>
    <col min="13" max="13" width="11.42578125" style="29" customWidth="1"/>
    <col min="14" max="14" width="11.42578125" style="30" customWidth="1"/>
    <col min="15" max="15" width="11.7109375" style="29" customWidth="1"/>
    <col min="16" max="16" width="12.42578125" style="306" customWidth="1"/>
    <col min="17" max="17" width="11.42578125" style="77" customWidth="1"/>
    <col min="18" max="18" width="11.7109375" style="323" bestFit="1" customWidth="1"/>
    <col min="19" max="19" width="11.7109375" style="77" bestFit="1" customWidth="1"/>
    <col min="20" max="20" width="11.7109375" style="323" bestFit="1" customWidth="1"/>
    <col min="21" max="21" width="11.28515625" style="31" customWidth="1"/>
    <col min="22" max="22" width="14.85546875" style="32" customWidth="1"/>
    <col min="23" max="23" width="13.85546875" style="33" customWidth="1"/>
    <col min="24" max="24" width="11.42578125" style="306" customWidth="1"/>
    <col min="25" max="41" width="11.42578125" style="323" customWidth="1"/>
    <col min="42" max="16384" width="11.42578125" style="323"/>
  </cols>
  <sheetData>
    <row r="1" spans="1:24" s="85" customFormat="1">
      <c r="A1" s="2" t="s">
        <v>0</v>
      </c>
      <c r="B1" s="208" t="s">
        <v>600</v>
      </c>
      <c r="C1" s="208" t="s">
        <v>601</v>
      </c>
      <c r="D1" s="3" t="s">
        <v>602</v>
      </c>
      <c r="E1" s="4" t="s">
        <v>603</v>
      </c>
      <c r="F1" s="209" t="s">
        <v>604</v>
      </c>
      <c r="G1" s="209" t="s">
        <v>605</v>
      </c>
      <c r="H1" s="4" t="s">
        <v>606</v>
      </c>
      <c r="I1" s="209" t="s">
        <v>607</v>
      </c>
      <c r="J1" s="209" t="s">
        <v>608</v>
      </c>
      <c r="K1" s="209" t="s">
        <v>609</v>
      </c>
      <c r="L1" s="210" t="s">
        <v>610</v>
      </c>
      <c r="M1" s="5" t="s">
        <v>611</v>
      </c>
      <c r="N1" s="211" t="s">
        <v>612</v>
      </c>
      <c r="O1" s="6" t="s">
        <v>613</v>
      </c>
      <c r="P1" s="7" t="s">
        <v>603</v>
      </c>
      <c r="Q1" s="209" t="s">
        <v>604</v>
      </c>
      <c r="R1" s="4" t="s">
        <v>605</v>
      </c>
      <c r="S1" s="209" t="s">
        <v>606</v>
      </c>
      <c r="T1" s="4" t="s">
        <v>607</v>
      </c>
      <c r="U1" s="8" t="s">
        <v>614</v>
      </c>
      <c r="V1" s="212" t="s">
        <v>610</v>
      </c>
      <c r="W1" s="9" t="s">
        <v>615</v>
      </c>
      <c r="X1" s="10"/>
    </row>
    <row r="2" spans="1:24" s="13" customFormat="1">
      <c r="A2" s="11" t="s">
        <v>616</v>
      </c>
      <c r="B2" s="12"/>
      <c r="D2" s="14" t="s">
        <v>617</v>
      </c>
      <c r="E2" s="15" t="s">
        <v>618</v>
      </c>
      <c r="F2" s="16" t="s">
        <v>618</v>
      </c>
      <c r="G2" s="16" t="s">
        <v>618</v>
      </c>
      <c r="H2" s="15" t="s">
        <v>618</v>
      </c>
      <c r="I2" s="16" t="s">
        <v>618</v>
      </c>
      <c r="J2" s="16" t="s">
        <v>618</v>
      </c>
      <c r="K2" s="16" t="s">
        <v>618</v>
      </c>
      <c r="L2" s="17" t="s">
        <v>618</v>
      </c>
      <c r="M2" s="18" t="s">
        <v>619</v>
      </c>
      <c r="N2" s="19" t="s">
        <v>620</v>
      </c>
      <c r="O2" s="18" t="s">
        <v>621</v>
      </c>
      <c r="P2" s="20" t="s">
        <v>622</v>
      </c>
      <c r="Q2" s="16" t="s">
        <v>622</v>
      </c>
      <c r="R2" s="15" t="s">
        <v>622</v>
      </c>
      <c r="S2" s="16" t="s">
        <v>622</v>
      </c>
      <c r="T2" s="15" t="s">
        <v>622</v>
      </c>
      <c r="U2" s="21" t="s">
        <v>622</v>
      </c>
      <c r="V2" s="22" t="s">
        <v>622</v>
      </c>
      <c r="W2" s="23" t="s">
        <v>622</v>
      </c>
      <c r="X2" s="306"/>
    </row>
    <row r="3" spans="1:24">
      <c r="A3" s="24" t="str">
        <f>PE_aug!A2</f>
        <v>210419_KWS_Zul_SF_gr1mm_20102829_1</v>
      </c>
      <c r="B3" s="319" t="str">
        <f>PE_aug!AP2</f>
        <v>Massenbilanz KWS</v>
      </c>
      <c r="C3" s="25" t="s">
        <v>623</v>
      </c>
      <c r="D3" s="26" t="e">
        <f>PE_aug!AF2</f>
        <v>#DIV/0!</v>
      </c>
      <c r="E3" s="27" t="str">
        <f>PE_aug!AL2</f>
        <v>n.d.</v>
      </c>
      <c r="F3" s="27">
        <f>PP!Z2</f>
        <v>2.4703720372037203</v>
      </c>
      <c r="G3" s="27">
        <f>PS!Q2</f>
        <v>0.83483348334833485</v>
      </c>
      <c r="H3" s="27">
        <f>PMMA!G2</f>
        <v>0</v>
      </c>
      <c r="I3" s="27">
        <f>PET_aug!P2</f>
        <v>0</v>
      </c>
      <c r="J3" s="27">
        <f>PA!G2</f>
        <v>0</v>
      </c>
      <c r="K3" s="27" t="e">
        <f>SBR!G2</f>
        <v>#DIV/0!</v>
      </c>
      <c r="L3" s="28">
        <f t="shared" ref="L3:L66" si="0">SUM(E3:I3)</f>
        <v>3.3052055205520552</v>
      </c>
    </row>
    <row r="4" spans="1:24">
      <c r="A4" s="24" t="str">
        <f>PE_aug!A3</f>
        <v>210419_KWS_Zul_SF_gr1mm_20102829_2</v>
      </c>
      <c r="B4" s="319" t="str">
        <f>PE_aug!AP3</f>
        <v>Massenbilanz KWS</v>
      </c>
      <c r="C4" s="25" t="s">
        <v>623</v>
      </c>
      <c r="D4" s="26">
        <f>PE_aug!AF3</f>
        <v>20.528138811141332</v>
      </c>
      <c r="E4" s="27">
        <f>PE_aug!AL3</f>
        <v>20.848203664049485</v>
      </c>
      <c r="F4" s="27">
        <f>PP!Z3</f>
        <v>2.3963537949083986</v>
      </c>
      <c r="G4" s="27">
        <f>PS!Q3</f>
        <v>0.84426302640970741</v>
      </c>
      <c r="H4" s="27">
        <f>PMMA!G3</f>
        <v>0</v>
      </c>
      <c r="I4" s="27">
        <f>PET_aug!P3</f>
        <v>0</v>
      </c>
      <c r="J4" s="27">
        <f>PA!G3</f>
        <v>0</v>
      </c>
      <c r="K4" s="27" t="e">
        <f>SBR!G3</f>
        <v>#DIV/0!</v>
      </c>
      <c r="L4" s="28">
        <f t="shared" si="0"/>
        <v>24.088820485367592</v>
      </c>
    </row>
    <row r="5" spans="1:24">
      <c r="A5" s="24" t="str">
        <f>PE_aug!A4</f>
        <v>210419_KWS_Zul_SF_gr1mm_20102829_3</v>
      </c>
      <c r="B5" s="319" t="str">
        <f>PE_aug!AP4</f>
        <v>Massenbilanz KWS</v>
      </c>
      <c r="C5" s="25" t="s">
        <v>623</v>
      </c>
      <c r="D5" s="26">
        <f>PE_aug!AF4</f>
        <v>60.566572756386414</v>
      </c>
      <c r="E5" s="27">
        <f>PE_aug!AL4</f>
        <v>12.789521417608483</v>
      </c>
      <c r="F5" s="27">
        <f>PP!Z4</f>
        <v>2.7021998976791775</v>
      </c>
      <c r="G5" s="27">
        <f>PS!Q4</f>
        <v>1.6813171480396261</v>
      </c>
      <c r="H5" s="27">
        <f>PMMA!G4</f>
        <v>0</v>
      </c>
      <c r="I5" s="27">
        <f>PET_aug!P4</f>
        <v>0</v>
      </c>
      <c r="J5" s="27">
        <f>PA!G4</f>
        <v>0</v>
      </c>
      <c r="K5" s="27">
        <f>SBR!G4</f>
        <v>0</v>
      </c>
      <c r="L5" s="28">
        <f t="shared" si="0"/>
        <v>17.173038463327288</v>
      </c>
    </row>
    <row r="6" spans="1:24">
      <c r="A6" s="24" t="str">
        <f>PE_aug!A5</f>
        <v>210419_KWS_Zul_SF_II_20102829_1</v>
      </c>
      <c r="B6" s="319" t="str">
        <f>PE_aug!AP5</f>
        <v>Massenbilanz KWS</v>
      </c>
      <c r="C6" s="25" t="s">
        <v>623</v>
      </c>
      <c r="D6" s="26">
        <f>PE_aug!AF5</f>
        <v>66.959001213424941</v>
      </c>
      <c r="E6" s="27">
        <f>PE_aug!AL5</f>
        <v>5.7827920636546803</v>
      </c>
      <c r="F6" s="27">
        <f>PP!Z5</f>
        <v>0</v>
      </c>
      <c r="G6" s="27">
        <f>PS!Q5</f>
        <v>0.99887306628419226</v>
      </c>
      <c r="H6" s="27">
        <f>PMMA!G5</f>
        <v>0</v>
      </c>
      <c r="I6" s="27">
        <f>PET_aug!P5</f>
        <v>11.98519618891507</v>
      </c>
      <c r="J6" s="27">
        <f>PA!G5</f>
        <v>0</v>
      </c>
      <c r="K6" s="27">
        <f>SBR!G5</f>
        <v>0</v>
      </c>
      <c r="L6" s="28">
        <f t="shared" si="0"/>
        <v>18.766861318853941</v>
      </c>
    </row>
    <row r="7" spans="1:24">
      <c r="A7" s="24" t="str">
        <f>PE_aug!A6</f>
        <v>210419_KWS_Zul_SF_II_20102829_2</v>
      </c>
      <c r="B7" s="319" t="str">
        <f>PE_aug!AP6</f>
        <v>Massenbilanz KWS</v>
      </c>
      <c r="C7" s="25" t="s">
        <v>623</v>
      </c>
      <c r="D7" s="26">
        <f>PE_aug!AF6</f>
        <v>56.793054801889021</v>
      </c>
      <c r="E7" s="27">
        <f>PE_aug!AL6</f>
        <v>6.3523198022178979</v>
      </c>
      <c r="F7" s="27">
        <f>PP!Z6</f>
        <v>0</v>
      </c>
      <c r="G7" s="27">
        <f>PS!Q6</f>
        <v>1.2090656941017821</v>
      </c>
      <c r="H7" s="27">
        <f>PMMA!G6</f>
        <v>0</v>
      </c>
      <c r="I7" s="27">
        <f>PET_aug!P6</f>
        <v>13.73492498889008</v>
      </c>
      <c r="J7" s="27">
        <f>PA!G6</f>
        <v>0</v>
      </c>
      <c r="K7" s="27">
        <f>SBR!G6</f>
        <v>0</v>
      </c>
      <c r="L7" s="28">
        <f t="shared" si="0"/>
        <v>21.296310485209759</v>
      </c>
    </row>
    <row r="8" spans="1:24">
      <c r="A8" s="24" t="str">
        <f>PE_aug!A7</f>
        <v>210419_KWS_Zul_SF_II_20102829_3</v>
      </c>
      <c r="B8" s="319" t="str">
        <f>PE_aug!AP7</f>
        <v>Massenbilanz KWS</v>
      </c>
      <c r="C8" s="25" t="s">
        <v>623</v>
      </c>
      <c r="D8" s="26">
        <f>PE_aug!AF7</f>
        <v>59.646071139818822</v>
      </c>
      <c r="E8" s="27">
        <f>PE_aug!AL7</f>
        <v>5.1148300913407017</v>
      </c>
      <c r="F8" s="27">
        <f>PP!Z7</f>
        <v>0</v>
      </c>
      <c r="G8" s="27">
        <f>PS!Q7</f>
        <v>0.95203678550511517</v>
      </c>
      <c r="H8" s="27">
        <f>PMMA!G7</f>
        <v>0</v>
      </c>
      <c r="I8" s="27">
        <f>PET_aug!P7</f>
        <v>11.008236862764644</v>
      </c>
      <c r="J8" s="27">
        <f>PA!G7</f>
        <v>0</v>
      </c>
      <c r="K8" s="27">
        <f>SBR!G7</f>
        <v>0</v>
      </c>
      <c r="L8" s="28">
        <f t="shared" si="0"/>
        <v>17.075103739610462</v>
      </c>
    </row>
    <row r="9" spans="1:24">
      <c r="A9" s="24" t="str">
        <f>PE_aug!A8</f>
        <v>210419_Luebeck_Zul_SF_190608_1</v>
      </c>
      <c r="B9" s="319" t="str">
        <f>PE_aug!AP8</f>
        <v>Kläranlage</v>
      </c>
      <c r="C9" s="25" t="s">
        <v>623</v>
      </c>
      <c r="D9" s="26">
        <f>PE_aug!AF8</f>
        <v>45.356617535892212</v>
      </c>
      <c r="E9" s="27">
        <f>PE_aug!AL8</f>
        <v>8.1151049187578881</v>
      </c>
      <c r="F9" s="27">
        <f>PP!Z8</f>
        <v>0.90543652187487811</v>
      </c>
      <c r="G9" s="27">
        <f>PS!Q8</f>
        <v>1.3815712445849433</v>
      </c>
      <c r="H9" s="27">
        <f>PMMA!G8</f>
        <v>0</v>
      </c>
      <c r="I9" s="27">
        <f>PET_aug!P8</f>
        <v>0</v>
      </c>
      <c r="J9" s="27">
        <f>PA!G8</f>
        <v>0</v>
      </c>
      <c r="K9" s="27">
        <f>SBR!G8</f>
        <v>0</v>
      </c>
      <c r="L9" s="28">
        <f t="shared" si="0"/>
        <v>10.402112685217709</v>
      </c>
    </row>
    <row r="10" spans="1:24" s="33" customFormat="1">
      <c r="A10" s="24" t="str">
        <f>PE_aug!A9</f>
        <v>210419_Luebeck_Zul_SF_190608_2</v>
      </c>
      <c r="B10" s="319" t="str">
        <f>PE_aug!AP9</f>
        <v>Kläranlage</v>
      </c>
      <c r="C10" s="25" t="s">
        <v>623</v>
      </c>
      <c r="D10" s="26">
        <f>PE_aug!AF9</f>
        <v>33.621453629000257</v>
      </c>
      <c r="E10" s="27">
        <f>PE_aug!AL9</f>
        <v>25.085489673180827</v>
      </c>
      <c r="F10" s="27">
        <f>PP!Z9</f>
        <v>2.3649133528711843</v>
      </c>
      <c r="G10" s="27">
        <f>PS!Q9</f>
        <v>1.652846646388044</v>
      </c>
      <c r="H10" s="27">
        <f>PMMA!G9</f>
        <v>0</v>
      </c>
      <c r="I10" s="27">
        <f>PET_aug!P9</f>
        <v>0</v>
      </c>
      <c r="J10" s="27">
        <f>PA!G9</f>
        <v>0</v>
      </c>
      <c r="K10" s="27">
        <f>SBR!G9</f>
        <v>0</v>
      </c>
      <c r="L10" s="28">
        <f t="shared" si="0"/>
        <v>29.103249672440057</v>
      </c>
      <c r="M10" s="29"/>
      <c r="N10" s="30"/>
      <c r="O10" s="29"/>
      <c r="P10" s="306"/>
      <c r="Q10" s="77"/>
      <c r="S10" s="77"/>
      <c r="U10" s="31"/>
      <c r="V10" s="32"/>
      <c r="X10" s="306"/>
    </row>
    <row r="11" spans="1:24" s="33" customFormat="1">
      <c r="A11" s="24" t="str">
        <f>PE_aug!A10</f>
        <v>210419_Luebeck_Zul_SF_190608_3</v>
      </c>
      <c r="B11" s="319" t="str">
        <f>PE_aug!AP10</f>
        <v>Kläranlage</v>
      </c>
      <c r="C11" s="25" t="s">
        <v>623</v>
      </c>
      <c r="D11" s="26">
        <f>PE_aug!AF10</f>
        <v>50.733333218764841</v>
      </c>
      <c r="E11" s="27">
        <f>PE_aug!AL10</f>
        <v>9.2556658410771142</v>
      </c>
      <c r="F11" s="27">
        <f>PP!Z10</f>
        <v>0</v>
      </c>
      <c r="G11" s="27">
        <f>PS!Q10</f>
        <v>1.6480753831542485</v>
      </c>
      <c r="H11" s="27">
        <f>PMMA!G10</f>
        <v>0</v>
      </c>
      <c r="I11" s="27">
        <f>PET_aug!P10</f>
        <v>0</v>
      </c>
      <c r="J11" s="27">
        <f>PA!G10</f>
        <v>0</v>
      </c>
      <c r="K11" s="27">
        <f>SBR!G10</f>
        <v>0</v>
      </c>
      <c r="L11" s="28">
        <f t="shared" si="0"/>
        <v>10.903741224231362</v>
      </c>
      <c r="M11" s="29"/>
      <c r="N11" s="30"/>
      <c r="O11" s="29"/>
      <c r="P11" s="306"/>
      <c r="Q11" s="77"/>
      <c r="S11" s="77"/>
      <c r="U11" s="31"/>
      <c r="V11" s="32"/>
      <c r="X11" s="306"/>
    </row>
    <row r="12" spans="1:24" s="33" customFormat="1">
      <c r="A12" s="24" t="str">
        <f>PE_aug!A11</f>
        <v>210419_VKA_ZFA_200822_2</v>
      </c>
      <c r="B12" s="319" t="str">
        <f>PE_aug!AP11</f>
        <v>Referenzmessung BS</v>
      </c>
      <c r="C12" s="25"/>
      <c r="D12" s="26">
        <f>PE_aug!AF11</f>
        <v>34.761247584881495</v>
      </c>
      <c r="E12" s="27">
        <f>PE_aug!AL11</f>
        <v>63.765519409083765</v>
      </c>
      <c r="F12" s="27">
        <f>PP!Z11</f>
        <v>0</v>
      </c>
      <c r="G12" s="27">
        <f>PS!Q11</f>
        <v>1.5071507150715073</v>
      </c>
      <c r="H12" s="27">
        <f>PMMA!G11</f>
        <v>0</v>
      </c>
      <c r="I12" s="27">
        <f>PET_aug!P11</f>
        <v>0</v>
      </c>
      <c r="J12" s="27">
        <f>PA!G11</f>
        <v>0</v>
      </c>
      <c r="K12" s="27">
        <f>SBR!G11</f>
        <v>0</v>
      </c>
      <c r="L12" s="28">
        <f t="shared" si="0"/>
        <v>65.272670124155269</v>
      </c>
      <c r="M12" s="29"/>
      <c r="N12" s="30"/>
      <c r="O12" s="29"/>
      <c r="P12" s="306"/>
      <c r="Q12" s="77"/>
      <c r="S12" s="77"/>
      <c r="U12" s="31"/>
      <c r="V12" s="32"/>
      <c r="X12" s="306"/>
    </row>
    <row r="13" spans="1:24" s="33" customFormat="1">
      <c r="A13" s="24" t="str">
        <f>PE_aug!A12</f>
        <v>210419_VKA_ZFA_200822_3</v>
      </c>
      <c r="B13" s="319" t="str">
        <f>PE_aug!AP12</f>
        <v>Referenzmessung BS</v>
      </c>
      <c r="C13" s="25"/>
      <c r="D13" s="26">
        <f>PE_aug!AF12</f>
        <v>36.180293172749707</v>
      </c>
      <c r="E13" s="27">
        <f>PE_aug!AL12</f>
        <v>45.089565870276566</v>
      </c>
      <c r="F13" s="27">
        <f>PP!Z12</f>
        <v>1.2604918418575464</v>
      </c>
      <c r="G13" s="27">
        <f>PS!Q12</f>
        <v>0.78835895826796354</v>
      </c>
      <c r="H13" s="27">
        <f>PMMA!G12</f>
        <v>0</v>
      </c>
      <c r="I13" s="27">
        <f>PET_aug!P12</f>
        <v>0</v>
      </c>
      <c r="J13" s="27">
        <f>PA!G12</f>
        <v>0</v>
      </c>
      <c r="K13" s="27">
        <f>SBR!G12</f>
        <v>0</v>
      </c>
      <c r="L13" s="28">
        <f t="shared" si="0"/>
        <v>47.138416670402073</v>
      </c>
      <c r="M13" s="29"/>
      <c r="N13" s="30"/>
      <c r="O13" s="29"/>
      <c r="P13" s="306"/>
      <c r="Q13" s="77"/>
      <c r="S13" s="77"/>
      <c r="U13" s="31"/>
      <c r="V13" s="32"/>
      <c r="X13" s="306"/>
    </row>
    <row r="14" spans="1:24" s="33" customFormat="1">
      <c r="A14" s="24" t="str">
        <f>PE_aug!A13</f>
        <v>210429_E-FS_20102728_StAdd_PA_1</v>
      </c>
      <c r="B14" s="319" t="str">
        <f>PE_aug!AP13</f>
        <v>KWS, Methode</v>
      </c>
      <c r="C14" s="25" t="s">
        <v>624</v>
      </c>
      <c r="D14" s="26">
        <f>PE_aug!AF13</f>
        <v>48.47631945682533</v>
      </c>
      <c r="E14" s="27">
        <f>PE_aug!AL13</f>
        <v>6.1383563245265371</v>
      </c>
      <c r="F14" s="27">
        <f>PP!Z13</f>
        <v>1.5291091886836568</v>
      </c>
      <c r="G14" s="27">
        <f>PS!Q13</f>
        <v>1.0416179565115735</v>
      </c>
      <c r="H14" s="27">
        <f>PMMA!G13</f>
        <v>0</v>
      </c>
      <c r="I14" s="27">
        <f>PET_aug!P13</f>
        <v>0</v>
      </c>
      <c r="J14" s="27">
        <f>PA!G13</f>
        <v>2.5251344400280571</v>
      </c>
      <c r="K14" s="27">
        <f>SBR!G13</f>
        <v>0</v>
      </c>
      <c r="L14" s="28">
        <f t="shared" si="0"/>
        <v>8.7090834697217687</v>
      </c>
      <c r="M14" s="29"/>
      <c r="N14" s="30"/>
      <c r="O14" s="29"/>
      <c r="P14" s="306"/>
      <c r="Q14" s="77"/>
      <c r="S14" s="77"/>
      <c r="U14" s="31"/>
      <c r="V14" s="32"/>
      <c r="X14" s="306"/>
    </row>
    <row r="15" spans="1:24" s="33" customFormat="1">
      <c r="A15" s="24" t="str">
        <f>PE_aug!A14</f>
        <v>210429_E-FS_20102728_StAdd_PA_2</v>
      </c>
      <c r="B15" s="319" t="str">
        <f>PE_aug!AP14</f>
        <v>KWS, Methode</v>
      </c>
      <c r="C15" s="25" t="s">
        <v>624</v>
      </c>
      <c r="D15" s="26">
        <f>PE_aug!AF14</f>
        <v>24.23050130841284</v>
      </c>
      <c r="E15" s="27">
        <f>PE_aug!AL14</f>
        <v>16.431022118480815</v>
      </c>
      <c r="F15" s="27">
        <f>PP!Z14</f>
        <v>0</v>
      </c>
      <c r="G15" s="27">
        <f>PS!Q14</f>
        <v>1.1811521858346106</v>
      </c>
      <c r="H15" s="27">
        <f>PMMA!G14</f>
        <v>0</v>
      </c>
      <c r="I15" s="27">
        <f>PET_aug!P14</f>
        <v>0</v>
      </c>
      <c r="J15" s="27">
        <f>PA!G14</f>
        <v>10.46866431373652</v>
      </c>
      <c r="K15" s="27">
        <f>SBR!G14</f>
        <v>0</v>
      </c>
      <c r="L15" s="28">
        <f t="shared" si="0"/>
        <v>17.612174304315424</v>
      </c>
      <c r="M15" s="29"/>
      <c r="N15" s="30"/>
      <c r="O15" s="29"/>
      <c r="P15" s="306"/>
      <c r="Q15" s="77"/>
      <c r="S15" s="77"/>
      <c r="U15" s="31"/>
      <c r="V15" s="32"/>
      <c r="X15" s="306"/>
    </row>
    <row r="16" spans="1:24" s="33" customFormat="1">
      <c r="A16" s="24" t="str">
        <f>PE_aug!A15</f>
        <v>210429_E-FS_20102728_StAdd_PA_3</v>
      </c>
      <c r="B16" s="319" t="str">
        <f>PE_aug!AP15</f>
        <v>KWS, Methode</v>
      </c>
      <c r="C16" s="25" t="s">
        <v>624</v>
      </c>
      <c r="D16" s="26">
        <f>PE_aug!AF15</f>
        <v>51.315055800547512</v>
      </c>
      <c r="E16" s="27">
        <f>PE_aug!AL15</f>
        <v>9.2915456371802581</v>
      </c>
      <c r="F16" s="27">
        <f>PP!Z15</f>
        <v>0</v>
      </c>
      <c r="G16" s="27">
        <f>PS!Q15</f>
        <v>1.081267834521235</v>
      </c>
      <c r="H16" s="27">
        <f>PMMA!G15</f>
        <v>0</v>
      </c>
      <c r="I16" s="27">
        <f>PET_aug!P15</f>
        <v>0</v>
      </c>
      <c r="J16" s="27">
        <f>PA!G15</f>
        <v>2.1036737514235631</v>
      </c>
      <c r="K16" s="27">
        <f>SBR!G15</f>
        <v>0</v>
      </c>
      <c r="L16" s="28">
        <f t="shared" si="0"/>
        <v>10.372813471701493</v>
      </c>
      <c r="M16" s="29"/>
      <c r="N16" s="30"/>
      <c r="O16" s="29"/>
      <c r="P16" s="306"/>
      <c r="Q16" s="77"/>
      <c r="S16" s="77"/>
      <c r="U16" s="31"/>
      <c r="V16" s="32"/>
      <c r="X16" s="306"/>
    </row>
    <row r="17" spans="1:24" s="33" customFormat="1">
      <c r="A17" s="24" t="str">
        <f>PE_aug!A16</f>
        <v>210429_VKA_ZFA_20092-4_1</v>
      </c>
      <c r="B17" s="319" t="str">
        <f>PE_aug!AP16</f>
        <v>Referenzmessung BS</v>
      </c>
      <c r="C17" s="25"/>
      <c r="D17" s="26">
        <f>PE_aug!AF16</f>
        <v>35.807046902359282</v>
      </c>
      <c r="E17" s="27">
        <f>PE_aug!AL16</f>
        <v>10.201344824320486</v>
      </c>
      <c r="F17" s="27">
        <f>PP!Z16</f>
        <v>0</v>
      </c>
      <c r="G17" s="27">
        <f>PS!Q16</f>
        <v>1.4698361587271522</v>
      </c>
      <c r="H17" s="27">
        <f>PMMA!G16</f>
        <v>0</v>
      </c>
      <c r="I17" s="27">
        <f>PET_aug!P16</f>
        <v>0</v>
      </c>
      <c r="J17" s="27">
        <f>PA!G16</f>
        <v>0</v>
      </c>
      <c r="K17" s="27">
        <f>SBR!G16</f>
        <v>0</v>
      </c>
      <c r="L17" s="28">
        <f t="shared" si="0"/>
        <v>11.671180983047638</v>
      </c>
      <c r="M17" s="29"/>
      <c r="N17" s="30"/>
      <c r="O17" s="29"/>
      <c r="P17" s="306"/>
      <c r="Q17" s="77"/>
      <c r="S17" s="77"/>
      <c r="U17" s="31"/>
      <c r="V17" s="32"/>
      <c r="X17" s="306"/>
    </row>
    <row r="18" spans="1:24" s="33" customFormat="1">
      <c r="A18" s="24" t="str">
        <f>PE_aug!A17</f>
        <v>210429_VKA_ZFA_20092-4_2</v>
      </c>
      <c r="B18" s="319" t="str">
        <f>PE_aug!AP17</f>
        <v>Referenzmessung BS</v>
      </c>
      <c r="C18" s="25"/>
      <c r="D18" s="26">
        <f>PE_aug!AF17</f>
        <v>35.323579847543655</v>
      </c>
      <c r="E18" s="27">
        <f>PE_aug!AL17</f>
        <v>12.123296578441236</v>
      </c>
      <c r="F18" s="27">
        <f>PP!Z17</f>
        <v>0</v>
      </c>
      <c r="G18" s="27">
        <f>PS!Q17</f>
        <v>1.5092092564834396</v>
      </c>
      <c r="H18" s="27">
        <f>PMMA!G17</f>
        <v>0</v>
      </c>
      <c r="I18" s="27">
        <f>PET_aug!P17</f>
        <v>0</v>
      </c>
      <c r="J18" s="27">
        <f>PA!G17</f>
        <v>0</v>
      </c>
      <c r="K18" s="27">
        <f>SBR!G17</f>
        <v>0</v>
      </c>
      <c r="L18" s="28">
        <f t="shared" si="0"/>
        <v>13.632505834924675</v>
      </c>
      <c r="M18" s="29"/>
      <c r="N18" s="30"/>
      <c r="O18" s="29"/>
      <c r="P18" s="306"/>
      <c r="Q18" s="77"/>
      <c r="S18" s="77"/>
      <c r="U18" s="31"/>
      <c r="V18" s="32"/>
      <c r="X18" s="306"/>
    </row>
    <row r="19" spans="1:24" s="33" customFormat="1">
      <c r="A19" s="24" t="str">
        <f>PE_aug!A18</f>
        <v>210429_VKA_ZFA_20092-4_3</v>
      </c>
      <c r="B19" s="319" t="str">
        <f>PE_aug!AP18</f>
        <v>Referenzmessung BS</v>
      </c>
      <c r="C19" s="25"/>
      <c r="D19" s="26">
        <f>PE_aug!AF18</f>
        <v>30.363725774457436</v>
      </c>
      <c r="E19" s="27">
        <f>PE_aug!AL18</f>
        <v>10.866854780497409</v>
      </c>
      <c r="F19" s="27">
        <f>PP!Z18</f>
        <v>0</v>
      </c>
      <c r="G19" s="27">
        <f>PS!Q18</f>
        <v>1.296563641533784</v>
      </c>
      <c r="H19" s="27">
        <f>PMMA!G18</f>
        <v>0</v>
      </c>
      <c r="I19" s="27">
        <f>PET_aug!P18</f>
        <v>0</v>
      </c>
      <c r="J19" s="27">
        <f>PA!G18</f>
        <v>0</v>
      </c>
      <c r="K19" s="27">
        <f>SBR!G18</f>
        <v>0</v>
      </c>
      <c r="L19" s="28">
        <f t="shared" si="0"/>
        <v>12.163418422031192</v>
      </c>
      <c r="M19" s="29"/>
      <c r="N19" s="30"/>
      <c r="O19" s="29"/>
      <c r="P19" s="306"/>
      <c r="Q19" s="77"/>
      <c r="S19" s="77"/>
      <c r="U19" s="31"/>
      <c r="V19" s="32"/>
      <c r="X19" s="306"/>
    </row>
    <row r="20" spans="1:24" s="33" customFormat="1">
      <c r="A20" s="24" t="str">
        <f>PE_aug!A19</f>
        <v>210429_KWS_Abl_NK_20102829_1</v>
      </c>
      <c r="B20" s="319" t="str">
        <f>PE_aug!AP19</f>
        <v>Massenbilanz KWS</v>
      </c>
      <c r="C20" s="25" t="s">
        <v>625</v>
      </c>
      <c r="D20" s="26">
        <f>PE_aug!AF19</f>
        <v>41.77658417596102</v>
      </c>
      <c r="E20" s="27">
        <f>PE_aug!AL19</f>
        <v>7.6673062494618893</v>
      </c>
      <c r="F20" s="27">
        <f>PP!Z19</f>
        <v>0</v>
      </c>
      <c r="G20" s="27">
        <f>PS!Q19</f>
        <v>0.92739505307307235</v>
      </c>
      <c r="H20" s="27">
        <f>PMMA!G19</f>
        <v>0</v>
      </c>
      <c r="I20" s="27">
        <f>PET_aug!P19</f>
        <v>0</v>
      </c>
      <c r="J20" s="27">
        <f>PA!G19</f>
        <v>0</v>
      </c>
      <c r="K20" s="27">
        <f>SBR!G19</f>
        <v>0</v>
      </c>
      <c r="L20" s="28">
        <f t="shared" si="0"/>
        <v>8.5947013025349612</v>
      </c>
      <c r="M20" s="29"/>
      <c r="N20" s="30"/>
      <c r="O20" s="29"/>
      <c r="P20" s="306"/>
      <c r="Q20" s="77"/>
      <c r="S20" s="77"/>
      <c r="U20" s="31"/>
      <c r="V20" s="32"/>
      <c r="X20" s="306"/>
    </row>
    <row r="21" spans="1:24" s="33" customFormat="1">
      <c r="A21" s="24" t="str">
        <f>PE_aug!A20</f>
        <v>210429_KWS_Abl_NK_20102829_2</v>
      </c>
      <c r="B21" s="319" t="str">
        <f>PE_aug!AP20</f>
        <v>Massenbilanz KWS</v>
      </c>
      <c r="C21" s="25" t="s">
        <v>625</v>
      </c>
      <c r="D21" s="26">
        <f>PE_aug!AF20</f>
        <v>35.0452700593194</v>
      </c>
      <c r="E21" s="27">
        <f>PE_aug!AL20</f>
        <v>8.8124028448406317</v>
      </c>
      <c r="F21" s="27">
        <f>PP!Z20</f>
        <v>0</v>
      </c>
      <c r="G21" s="27">
        <f>PS!Q20</f>
        <v>1.0097258332989421</v>
      </c>
      <c r="H21" s="27">
        <f>PMMA!G20</f>
        <v>0</v>
      </c>
      <c r="I21" s="27">
        <f>PET_aug!P20</f>
        <v>0</v>
      </c>
      <c r="J21" s="27">
        <f>PA!G20</f>
        <v>0</v>
      </c>
      <c r="K21" s="27">
        <f>SBR!G20</f>
        <v>0</v>
      </c>
      <c r="L21" s="28">
        <f t="shared" si="0"/>
        <v>9.822128678139574</v>
      </c>
      <c r="M21" s="29"/>
      <c r="N21" s="30"/>
      <c r="O21" s="29"/>
      <c r="P21" s="306"/>
      <c r="Q21" s="77"/>
      <c r="S21" s="77"/>
      <c r="U21" s="31"/>
      <c r="V21" s="32"/>
      <c r="X21" s="306"/>
    </row>
    <row r="22" spans="1:24" s="33" customFormat="1">
      <c r="A22" s="24" t="str">
        <f>PE_aug!A21</f>
        <v>210429_KWS_Abl_NK_20102829_3</v>
      </c>
      <c r="B22" s="319" t="str">
        <f>PE_aug!AP21</f>
        <v>Massenbilanz KWS</v>
      </c>
      <c r="C22" s="25" t="s">
        <v>625</v>
      </c>
      <c r="D22" s="26">
        <f>PE_aug!AF21</f>
        <v>29.52717435343823</v>
      </c>
      <c r="E22" s="27">
        <f>PE_aug!AL21</f>
        <v>9.0786572363712974</v>
      </c>
      <c r="F22" s="27">
        <f>PP!Z21</f>
        <v>0</v>
      </c>
      <c r="G22" s="27">
        <f>PS!Q21</f>
        <v>0.79554494828957834</v>
      </c>
      <c r="H22" s="27">
        <f>PMMA!G21</f>
        <v>0</v>
      </c>
      <c r="I22" s="27">
        <f>PET_aug!P21</f>
        <v>0</v>
      </c>
      <c r="J22" s="27">
        <f>PA!G21</f>
        <v>0</v>
      </c>
      <c r="K22" s="27">
        <f>SBR!G21</f>
        <v>0</v>
      </c>
      <c r="L22" s="28">
        <f t="shared" si="0"/>
        <v>9.8742021846608754</v>
      </c>
      <c r="M22" s="29"/>
      <c r="N22" s="30"/>
      <c r="O22" s="29"/>
      <c r="P22" s="306"/>
      <c r="Q22" s="77"/>
      <c r="S22" s="77"/>
      <c r="U22" s="31"/>
      <c r="V22" s="32"/>
      <c r="X22" s="306"/>
    </row>
    <row r="23" spans="1:24" s="33" customFormat="1">
      <c r="A23" s="24" t="str">
        <f>PE_aug!A22</f>
        <v>210429_KWS_Abl_NK_gr1mm_20102829_1</v>
      </c>
      <c r="B23" s="319" t="str">
        <f>PE_aug!AP22</f>
        <v>Massenbilanz KWS</v>
      </c>
      <c r="C23" s="25" t="s">
        <v>625</v>
      </c>
      <c r="D23" s="26">
        <f>PE_aug!AF22</f>
        <v>31.113636428443272</v>
      </c>
      <c r="E23" s="27">
        <f>PE_aug!AL22</f>
        <v>138.65743285332161</v>
      </c>
      <c r="F23" s="27">
        <f>PP!Z22</f>
        <v>32.662171900382305</v>
      </c>
      <c r="G23" s="27">
        <f>PS!Q22</f>
        <v>2.7664797918727788</v>
      </c>
      <c r="H23" s="27">
        <f>PMMA!G22</f>
        <v>0</v>
      </c>
      <c r="I23" s="27">
        <f>PET_aug!P22</f>
        <v>0</v>
      </c>
      <c r="J23" s="27">
        <f>PA!G22</f>
        <v>0</v>
      </c>
      <c r="K23" s="27">
        <f>SBR!G22</f>
        <v>0</v>
      </c>
      <c r="L23" s="28">
        <f t="shared" si="0"/>
        <v>174.08608454557668</v>
      </c>
      <c r="M23" s="29"/>
      <c r="N23" s="30"/>
      <c r="O23" s="29"/>
      <c r="P23" s="306"/>
      <c r="Q23" s="77"/>
      <c r="S23" s="77"/>
      <c r="U23" s="31"/>
      <c r="V23" s="32"/>
      <c r="X23" s="306"/>
    </row>
    <row r="24" spans="1:24" s="33" customFormat="1">
      <c r="A24" s="24" t="str">
        <f>PE_aug!A23</f>
        <v>210429_KWS_Abl_NK_gr1mm_20102829_2</v>
      </c>
      <c r="B24" s="319" t="str">
        <f>PE_aug!AP23</f>
        <v>Massenbilanz KWS</v>
      </c>
      <c r="C24" s="25" t="s">
        <v>625</v>
      </c>
      <c r="D24" s="26">
        <f>PE_aug!AF23</f>
        <v>67.097041166922679</v>
      </c>
      <c r="E24" s="27">
        <f>PE_aug!AL23</f>
        <v>137.28513017356474</v>
      </c>
      <c r="F24" s="27">
        <f>PP!Z23</f>
        <v>26.012461059190027</v>
      </c>
      <c r="G24" s="27">
        <f>PS!Q23</f>
        <v>1.9859813084112148</v>
      </c>
      <c r="H24" s="27">
        <f>PMMA!G23</f>
        <v>0</v>
      </c>
      <c r="I24" s="27">
        <f>PET_aug!P23</f>
        <v>0</v>
      </c>
      <c r="J24" s="27">
        <f>PA!G23</f>
        <v>0</v>
      </c>
      <c r="K24" s="27">
        <f>SBR!G23</f>
        <v>0</v>
      </c>
      <c r="L24" s="28">
        <f t="shared" si="0"/>
        <v>165.283572541166</v>
      </c>
      <c r="M24" s="29"/>
      <c r="N24" s="30"/>
      <c r="O24" s="29"/>
      <c r="P24" s="306"/>
      <c r="Q24" s="77"/>
      <c r="S24" s="77"/>
      <c r="U24" s="31"/>
      <c r="V24" s="32"/>
      <c r="X24" s="306"/>
    </row>
    <row r="25" spans="1:24" s="33" customFormat="1">
      <c r="A25" s="24" t="str">
        <f>PE_aug!A24</f>
        <v>210429_KWS_Abl_NK_gr1mm_20102829_3</v>
      </c>
      <c r="B25" s="319" t="str">
        <f>PE_aug!AP24</f>
        <v>Massenbilanz KWS</v>
      </c>
      <c r="C25" s="25" t="s">
        <v>625</v>
      </c>
      <c r="D25" s="26">
        <f>PE_aug!AF24</f>
        <v>46.66353239403702</v>
      </c>
      <c r="E25" s="27">
        <f>PE_aug!AL24</f>
        <v>100.942087433457</v>
      </c>
      <c r="F25" s="27">
        <f>PP!Z24</f>
        <v>52.980588266924777</v>
      </c>
      <c r="G25" s="27">
        <f>PS!Q24</f>
        <v>0.76786578480400058</v>
      </c>
      <c r="H25" s="27">
        <f>PMMA!G24</f>
        <v>0</v>
      </c>
      <c r="I25" s="27">
        <f>PET_aug!P24</f>
        <v>0</v>
      </c>
      <c r="J25" s="27">
        <f>PA!G24</f>
        <v>0</v>
      </c>
      <c r="K25" s="27">
        <f>SBR!G24</f>
        <v>0</v>
      </c>
      <c r="L25" s="28">
        <f t="shared" si="0"/>
        <v>154.69054148518578</v>
      </c>
      <c r="M25" s="29"/>
      <c r="N25" s="30"/>
      <c r="O25" s="29"/>
      <c r="P25" s="306"/>
      <c r="Q25" s="77"/>
      <c r="S25" s="77"/>
      <c r="U25" s="31"/>
      <c r="V25" s="32"/>
      <c r="X25" s="306"/>
    </row>
    <row r="26" spans="1:24" s="33" customFormat="1">
      <c r="A26" s="24" t="str">
        <f>PE_aug!A25</f>
        <v>210429_MP_Dosiertank_200902_1</v>
      </c>
      <c r="B26" s="319" t="str">
        <f>PE_aug!AP25</f>
        <v>Referenzmessung BS</v>
      </c>
      <c r="C26" s="25" t="s">
        <v>626</v>
      </c>
      <c r="D26" s="26">
        <f>PE_aug!AF25</f>
        <v>20.499972468859045</v>
      </c>
      <c r="E26" s="27">
        <f>PE_aug!AL25</f>
        <v>1001.538832842593</v>
      </c>
      <c r="F26" s="27">
        <f>PP!Z25</f>
        <v>3.1326929574745379</v>
      </c>
      <c r="G26" s="27">
        <f>PS!Q25</f>
        <v>3.4512719023024574</v>
      </c>
      <c r="H26" s="27">
        <f>PMMA!G25</f>
        <v>0</v>
      </c>
      <c r="I26" s="27">
        <f>PET_aug!P25</f>
        <v>44.75551479461312</v>
      </c>
      <c r="J26" s="27">
        <f>PA!G25</f>
        <v>2.3410725491142541</v>
      </c>
      <c r="K26" s="27">
        <f>SBR!G25</f>
        <v>0</v>
      </c>
      <c r="L26" s="28">
        <f t="shared" si="0"/>
        <v>1052.8783124969832</v>
      </c>
      <c r="M26" s="29"/>
      <c r="N26" s="30"/>
      <c r="O26" s="29"/>
      <c r="P26" s="306"/>
      <c r="Q26" s="77"/>
      <c r="S26" s="77"/>
      <c r="U26" s="31"/>
      <c r="V26" s="32"/>
      <c r="X26" s="306"/>
    </row>
    <row r="27" spans="1:24" s="33" customFormat="1">
      <c r="A27" s="24" t="str">
        <f>PE_aug!A26</f>
        <v>210429_MP_Dosiertank_200902_2</v>
      </c>
      <c r="B27" s="319" t="str">
        <f>PE_aug!AP26</f>
        <v>Referenzmessung BS</v>
      </c>
      <c r="C27" s="25" t="s">
        <v>626</v>
      </c>
      <c r="D27" s="26">
        <f>PE_aug!AF26</f>
        <v>37.976703598724292</v>
      </c>
      <c r="E27" s="27">
        <f>PE_aug!AL26</f>
        <v>1003.8134956417193</v>
      </c>
      <c r="F27" s="27">
        <f>PP!Z26</f>
        <v>0</v>
      </c>
      <c r="G27" s="27">
        <f>PS!Q26</f>
        <v>10.18935978358882</v>
      </c>
      <c r="H27" s="27">
        <f>PMMA!G26</f>
        <v>0</v>
      </c>
      <c r="I27" s="27">
        <f>PET_aug!P26</f>
        <v>132.64201983769163</v>
      </c>
      <c r="J27" s="27">
        <f>PA!G26</f>
        <v>0</v>
      </c>
      <c r="K27" s="27" t="e">
        <f>SBR!G26</f>
        <v>#DIV/0!</v>
      </c>
      <c r="L27" s="28">
        <f t="shared" si="0"/>
        <v>1146.6448752629997</v>
      </c>
      <c r="M27" s="29"/>
      <c r="N27" s="30"/>
      <c r="O27" s="29"/>
      <c r="P27" s="306"/>
      <c r="Q27" s="77"/>
      <c r="S27" s="77"/>
      <c r="U27" s="31"/>
      <c r="V27" s="32"/>
      <c r="X27" s="306"/>
    </row>
    <row r="28" spans="1:24" s="33" customFormat="1">
      <c r="A28" s="24" t="str">
        <f>PE_aug!A27</f>
        <v>210429_Standard_PET</v>
      </c>
      <c r="B28" s="319" t="str">
        <f>PE_aug!AP27</f>
        <v>Methode</v>
      </c>
      <c r="C28" s="25" t="s">
        <v>627</v>
      </c>
      <c r="D28" s="26" t="e">
        <f>PE_aug!AF27</f>
        <v>#DIV/0!</v>
      </c>
      <c r="E28" s="27" t="str">
        <f>PE_aug!AL27</f>
        <v>n.d.</v>
      </c>
      <c r="F28" s="27">
        <f>PP!Z27</f>
        <v>0</v>
      </c>
      <c r="G28" s="27">
        <f>PS!Q27</f>
        <v>0.23567720622935345</v>
      </c>
      <c r="H28" s="27">
        <f>PMMA!G27</f>
        <v>0</v>
      </c>
      <c r="I28" s="27">
        <f>PET_aug!P27</f>
        <v>2.8336322164543026</v>
      </c>
      <c r="J28" s="27">
        <f>PA!G27</f>
        <v>0</v>
      </c>
      <c r="K28" s="27" t="e">
        <f>SBR!G27</f>
        <v>#DIV/0!</v>
      </c>
      <c r="L28" s="28">
        <f t="shared" si="0"/>
        <v>3.0693094226836561</v>
      </c>
      <c r="M28" s="29"/>
      <c r="N28" s="30"/>
      <c r="O28" s="29"/>
      <c r="P28" s="306"/>
      <c r="Q28" s="77"/>
      <c r="S28" s="77"/>
      <c r="U28" s="31"/>
      <c r="V28" s="32"/>
      <c r="X28" s="306"/>
    </row>
    <row r="29" spans="1:24" s="33" customFormat="1">
      <c r="A29" s="24" t="str">
        <f>PE_aug!A28</f>
        <v>210429_Standard_PS</v>
      </c>
      <c r="B29" s="319" t="str">
        <f>PE_aug!AP28</f>
        <v>Methode</v>
      </c>
      <c r="C29" s="25" t="s">
        <v>627</v>
      </c>
      <c r="D29" s="26" t="e">
        <f>PE_aug!AF28</f>
        <v>#DIV/0!</v>
      </c>
      <c r="E29" s="27" t="str">
        <f>PE_aug!AL28</f>
        <v>n.d.</v>
      </c>
      <c r="F29" s="27">
        <f>PP!Z28</f>
        <v>0</v>
      </c>
      <c r="G29" s="27">
        <f>PS!Q28</f>
        <v>3.2054968287526431</v>
      </c>
      <c r="H29" s="27">
        <f>PMMA!G28</f>
        <v>0</v>
      </c>
      <c r="I29" s="27">
        <f>PET_aug!P28</f>
        <v>1.8558139534883722</v>
      </c>
      <c r="J29" s="27">
        <f>PA!G28</f>
        <v>0</v>
      </c>
      <c r="K29" s="27" t="e">
        <f>SBR!G28</f>
        <v>#DIV/0!</v>
      </c>
      <c r="L29" s="28">
        <f t="shared" si="0"/>
        <v>5.0613107822410157</v>
      </c>
      <c r="M29" s="29"/>
      <c r="N29" s="30"/>
      <c r="O29" s="29"/>
      <c r="P29" s="306"/>
      <c r="Q29" s="77"/>
      <c r="S29" s="77"/>
      <c r="U29" s="31"/>
      <c r="V29" s="32"/>
      <c r="X29" s="306"/>
    </row>
    <row r="30" spans="1:24" s="33" customFormat="1">
      <c r="A30" s="24" t="str">
        <f>PE_aug!A29</f>
        <v>210512_P1_1</v>
      </c>
      <c r="B30" s="319" t="str">
        <f>PE_aug!AP29</f>
        <v>Methodenvergleich</v>
      </c>
      <c r="C30" s="25"/>
      <c r="D30" s="26">
        <f>PE_aug!AF29</f>
        <v>44.453017813165538</v>
      </c>
      <c r="E30" s="27">
        <f>PE_aug!AL29</f>
        <v>49.96510243461838</v>
      </c>
      <c r="F30" s="27">
        <f>PP!Z29</f>
        <v>23.950678107593983</v>
      </c>
      <c r="G30" s="27">
        <f>PS!Q29</f>
        <v>3.1818368436178508</v>
      </c>
      <c r="H30" s="27">
        <f>PMMA!G29</f>
        <v>0</v>
      </c>
      <c r="I30" s="27">
        <f>PET_aug!P29</f>
        <v>34.799031079361171</v>
      </c>
      <c r="J30" s="27">
        <f>PA!G29</f>
        <v>0</v>
      </c>
      <c r="K30" s="27">
        <f>SBR!G29</f>
        <v>0</v>
      </c>
      <c r="L30" s="28">
        <f t="shared" si="0"/>
        <v>111.89664846519138</v>
      </c>
      <c r="M30" s="29"/>
      <c r="N30" s="30"/>
      <c r="O30" s="29"/>
      <c r="P30" s="306"/>
      <c r="Q30" s="77"/>
      <c r="S30" s="77"/>
      <c r="U30" s="31"/>
      <c r="V30" s="32"/>
      <c r="X30" s="306"/>
    </row>
    <row r="31" spans="1:24" s="33" customFormat="1">
      <c r="A31" s="24" t="str">
        <f>PE_aug!A30</f>
        <v>210512_P1_extra_1</v>
      </c>
      <c r="B31" s="319" t="str">
        <f>PE_aug!AP30</f>
        <v>Methode</v>
      </c>
      <c r="C31" s="25"/>
      <c r="D31" s="26" t="e">
        <f>PE_aug!AF30</f>
        <v>#DIV/0!</v>
      </c>
      <c r="E31" s="27" t="str">
        <f>PE_aug!AL30</f>
        <v>n.d.</v>
      </c>
      <c r="F31" s="27">
        <f>PP!Z30</f>
        <v>1.76257446416508</v>
      </c>
      <c r="G31" s="27">
        <f>PS!Q30</f>
        <v>1.5128252369546971</v>
      </c>
      <c r="H31" s="27">
        <f>PMMA!G30</f>
        <v>0</v>
      </c>
      <c r="I31" s="27">
        <f>PET_aug!P30</f>
        <v>17.875493868861184</v>
      </c>
      <c r="J31" s="27">
        <f>PA!G30</f>
        <v>0</v>
      </c>
      <c r="K31" s="27">
        <f>SBR!G30</f>
        <v>0</v>
      </c>
      <c r="L31" s="28">
        <f t="shared" si="0"/>
        <v>21.150893569980962</v>
      </c>
      <c r="M31" s="29"/>
      <c r="N31" s="30"/>
      <c r="O31" s="29"/>
      <c r="P31" s="306"/>
      <c r="Q31" s="77"/>
      <c r="S31" s="77"/>
      <c r="U31" s="31"/>
      <c r="V31" s="32"/>
      <c r="X31" s="306"/>
    </row>
    <row r="32" spans="1:24" s="33" customFormat="1">
      <c r="A32" s="24" t="str">
        <f>PE_aug!A31</f>
        <v>210517_gefUESS_neueS_201030_1</v>
      </c>
      <c r="B32" s="319" t="str">
        <f>PE_aug!AP31</f>
        <v>KWS, neue Schlammbehandlung</v>
      </c>
      <c r="C32" s="25" t="s">
        <v>628</v>
      </c>
      <c r="D32" s="26">
        <f>PE_aug!AF31</f>
        <v>23.754239446892917</v>
      </c>
      <c r="E32" s="27" t="e">
        <f>PE_aug!AL31</f>
        <v>#DIV/0!</v>
      </c>
      <c r="F32" s="27">
        <f>PP!Z31</f>
        <v>0</v>
      </c>
      <c r="G32" s="27">
        <f>PS!Q31</f>
        <v>0</v>
      </c>
      <c r="H32" s="27">
        <f>PMMA!G31</f>
        <v>0</v>
      </c>
      <c r="I32" s="27">
        <f>PET_aug!P31</f>
        <v>0</v>
      </c>
      <c r="J32" s="27" t="e">
        <f>PA!G31</f>
        <v>#DIV/0!</v>
      </c>
      <c r="K32" s="27">
        <f>SBR!G31</f>
        <v>0</v>
      </c>
      <c r="L32" s="28" t="e">
        <f t="shared" si="0"/>
        <v>#DIV/0!</v>
      </c>
      <c r="M32" s="29"/>
      <c r="N32" s="30"/>
      <c r="O32" s="29"/>
      <c r="P32" s="306"/>
      <c r="Q32" s="77"/>
      <c r="S32" s="77"/>
      <c r="U32" s="31"/>
      <c r="V32" s="32"/>
      <c r="X32" s="306"/>
    </row>
    <row r="33" spans="1:24" s="33" customFormat="1">
      <c r="A33" s="24" t="str">
        <f>PE_aug!A32</f>
        <v>210517_gefUESS_neueS_201030_spike_PA</v>
      </c>
      <c r="B33" s="319" t="str">
        <f>PE_aug!AP32</f>
        <v>Methode</v>
      </c>
      <c r="C33" s="25" t="s">
        <v>629</v>
      </c>
      <c r="D33" s="26">
        <f>PE_aug!AF32</f>
        <v>23.150839989671063</v>
      </c>
      <c r="E33" s="27">
        <f>PE_aug!AL32</f>
        <v>3.1578175242163065</v>
      </c>
      <c r="F33" s="27">
        <f>PP!Z32</f>
        <v>5.1131626802799905</v>
      </c>
      <c r="G33" s="27">
        <f>PS!Q32</f>
        <v>1.0172042996541315</v>
      </c>
      <c r="H33" s="27">
        <f>PMMA!G32</f>
        <v>0</v>
      </c>
      <c r="I33" s="27">
        <f>PET_aug!P32</f>
        <v>11.924419313230858</v>
      </c>
      <c r="J33" s="27">
        <f>PA!G32</f>
        <v>7.9370256606423313</v>
      </c>
      <c r="K33" s="27">
        <f>SBR!G32</f>
        <v>0</v>
      </c>
      <c r="L33" s="28">
        <f t="shared" si="0"/>
        <v>21.212603817381286</v>
      </c>
      <c r="M33" s="29"/>
      <c r="N33" s="30"/>
      <c r="O33" s="29"/>
      <c r="P33" s="306"/>
      <c r="Q33" s="77"/>
      <c r="S33" s="77"/>
      <c r="U33" s="31"/>
      <c r="V33" s="32"/>
      <c r="X33" s="306"/>
    </row>
    <row r="34" spans="1:24" s="33" customFormat="1">
      <c r="A34" s="24" t="str">
        <f>PE_aug!A33</f>
        <v>210517_gefUESS_neueS_201030_spike_PE</v>
      </c>
      <c r="B34" s="319" t="str">
        <f>PE_aug!AP33</f>
        <v>Methode</v>
      </c>
      <c r="C34" s="25" t="s">
        <v>629</v>
      </c>
      <c r="D34" s="26">
        <f>PE_aug!AF33</f>
        <v>7.0091925222079539</v>
      </c>
      <c r="E34" s="27">
        <f>PE_aug!AL33</f>
        <v>48.071445609013487</v>
      </c>
      <c r="F34" s="27">
        <f>PP!Z33</f>
        <v>2.85705265816391</v>
      </c>
      <c r="G34" s="27">
        <f>PS!Q33</f>
        <v>0.8397524940017681</v>
      </c>
      <c r="H34" s="27">
        <f>PMMA!G33</f>
        <v>0</v>
      </c>
      <c r="I34" s="27">
        <f>PET_aug!P33</f>
        <v>0</v>
      </c>
      <c r="J34" s="27">
        <f>PA!G33</f>
        <v>0</v>
      </c>
      <c r="K34" s="27">
        <f>SBR!G33</f>
        <v>0</v>
      </c>
      <c r="L34" s="28">
        <f t="shared" si="0"/>
        <v>51.768250761179161</v>
      </c>
      <c r="M34" s="29"/>
      <c r="N34" s="30"/>
      <c r="O34" s="29"/>
      <c r="P34" s="306"/>
      <c r="Q34" s="77"/>
      <c r="S34" s="77"/>
      <c r="U34" s="31"/>
      <c r="V34" s="32"/>
      <c r="X34" s="306"/>
    </row>
    <row r="35" spans="1:24" s="33" customFormat="1">
      <c r="A35" s="24" t="str">
        <f>PE_aug!A34</f>
        <v>210517_gefUESS_neueS_201030_spike_PP</v>
      </c>
      <c r="B35" s="319" t="str">
        <f>PE_aug!AP34</f>
        <v>Methode</v>
      </c>
      <c r="C35" s="25" t="s">
        <v>629</v>
      </c>
      <c r="D35" s="26">
        <f>PE_aug!AF34</f>
        <v>5.050603408216717</v>
      </c>
      <c r="E35" s="27">
        <f>PE_aug!AL34</f>
        <v>6.9311630083719589</v>
      </c>
      <c r="F35" s="27">
        <f>PP!Z34</f>
        <v>18.677943170975624</v>
      </c>
      <c r="G35" s="27">
        <f>PS!Q34</f>
        <v>1.4099423953176256</v>
      </c>
      <c r="H35" s="27">
        <f>PMMA!G34</f>
        <v>0</v>
      </c>
      <c r="I35" s="27">
        <f>PET_aug!P34</f>
        <v>14.799653192106421</v>
      </c>
      <c r="J35" s="27">
        <f>PA!G34</f>
        <v>0</v>
      </c>
      <c r="K35" s="27">
        <f>SBR!G34</f>
        <v>0</v>
      </c>
      <c r="L35" s="28">
        <f t="shared" si="0"/>
        <v>41.818701766771632</v>
      </c>
      <c r="M35" s="29"/>
      <c r="N35" s="30"/>
      <c r="O35" s="29"/>
      <c r="P35" s="306"/>
      <c r="Q35" s="77"/>
      <c r="S35" s="77"/>
      <c r="U35" s="31"/>
      <c r="V35" s="32"/>
      <c r="X35" s="306"/>
    </row>
    <row r="36" spans="1:24" s="33" customFormat="1">
      <c r="A36" s="24" t="str">
        <f>PE_aug!A35</f>
        <v>210517_GWI_Algen+Sand</v>
      </c>
      <c r="B36" s="319" t="str">
        <f>PE_aug!AP35</f>
        <v>GWI Algen</v>
      </c>
      <c r="C36" s="25" t="s">
        <v>141</v>
      </c>
      <c r="D36" s="26" t="e">
        <f>PE_aug!AF35</f>
        <v>#DIV/0!</v>
      </c>
      <c r="E36" s="27" t="str">
        <f>PE_aug!AL35</f>
        <v>n.d.</v>
      </c>
      <c r="F36" s="27">
        <f>PP!Z35</f>
        <v>0</v>
      </c>
      <c r="G36" s="27">
        <f>PS!Q35</f>
        <v>0.36171808924927967</v>
      </c>
      <c r="H36" s="27">
        <f>PMMA!G35</f>
        <v>0</v>
      </c>
      <c r="I36" s="27">
        <f>PET_aug!P35</f>
        <v>4.240750385848556</v>
      </c>
      <c r="J36" s="27">
        <f>PA!G35</f>
        <v>2.3815098504866707</v>
      </c>
      <c r="K36" s="27">
        <f>SBR!G35</f>
        <v>0</v>
      </c>
      <c r="L36" s="28">
        <f t="shared" si="0"/>
        <v>4.6024684750978357</v>
      </c>
      <c r="M36" s="29"/>
      <c r="N36" s="30"/>
      <c r="O36" s="29"/>
      <c r="P36" s="306"/>
      <c r="Q36" s="77"/>
      <c r="S36" s="77"/>
      <c r="U36" s="31"/>
      <c r="V36" s="32"/>
      <c r="X36" s="306"/>
    </row>
    <row r="37" spans="1:24" s="33" customFormat="1">
      <c r="A37" s="24" t="str">
        <f>PE_aug!A36</f>
        <v>210517_KWS_Hydrolysat_1</v>
      </c>
      <c r="B37" s="319" t="str">
        <f>PE_aug!AP36</f>
        <v>KWS, neue Schlammbehandlung</v>
      </c>
      <c r="C37" s="25" t="s">
        <v>630</v>
      </c>
      <c r="D37" s="26">
        <f>PE_aug!AF36</f>
        <v>47.864570628268247</v>
      </c>
      <c r="E37" s="27">
        <f>PE_aug!AL36</f>
        <v>9.2092378973513895</v>
      </c>
      <c r="F37" s="27">
        <f>PP!Z36</f>
        <v>0</v>
      </c>
      <c r="G37" s="27">
        <f>PS!Q36</f>
        <v>1.7321057533853981</v>
      </c>
      <c r="H37" s="27">
        <f>PMMA!G36</f>
        <v>0</v>
      </c>
      <c r="I37" s="27">
        <f>PET_aug!P36</f>
        <v>17.568245324926561</v>
      </c>
      <c r="J37" s="27">
        <f>PA!G36</f>
        <v>0</v>
      </c>
      <c r="K37" s="27">
        <f>SBR!G36</f>
        <v>0</v>
      </c>
      <c r="L37" s="28">
        <f t="shared" si="0"/>
        <v>28.509588975663348</v>
      </c>
      <c r="M37" s="29"/>
      <c r="N37" s="30"/>
      <c r="O37" s="29"/>
      <c r="P37" s="306"/>
      <c r="Q37" s="77"/>
      <c r="S37" s="77"/>
      <c r="U37" s="31"/>
      <c r="V37" s="32"/>
      <c r="X37" s="306"/>
    </row>
    <row r="38" spans="1:24" s="33" customFormat="1">
      <c r="A38" s="24" t="str">
        <f>PE_aug!A37</f>
        <v>210517_KWS_Hydrolysat_2</v>
      </c>
      <c r="B38" s="319" t="str">
        <f>PE_aug!AP37</f>
        <v>KWS, neue Schlammbehandlung</v>
      </c>
      <c r="C38" s="25" t="s">
        <v>630</v>
      </c>
      <c r="D38" s="26">
        <f>PE_aug!AF37</f>
        <v>40.614062444612848</v>
      </c>
      <c r="E38" s="27">
        <f>PE_aug!AL37</f>
        <v>3.9098821196430542</v>
      </c>
      <c r="F38" s="27">
        <f>PP!Z37</f>
        <v>0</v>
      </c>
      <c r="G38" s="27">
        <f>PS!Q37</f>
        <v>0.96177151041092879</v>
      </c>
      <c r="H38" s="27">
        <f>PMMA!G37</f>
        <v>0</v>
      </c>
      <c r="I38" s="27">
        <f>PET_aug!P37</f>
        <v>10.423047262311336</v>
      </c>
      <c r="J38" s="27">
        <f>PA!G37</f>
        <v>0</v>
      </c>
      <c r="K38" s="27">
        <f>SBR!G37</f>
        <v>0</v>
      </c>
      <c r="L38" s="28">
        <f t="shared" si="0"/>
        <v>15.294700892365318</v>
      </c>
      <c r="M38" s="29"/>
      <c r="N38" s="30"/>
      <c r="O38" s="29"/>
      <c r="P38" s="306"/>
      <c r="Q38" s="77"/>
      <c r="S38" s="77"/>
      <c r="U38" s="31"/>
      <c r="V38" s="32"/>
      <c r="X38" s="306"/>
    </row>
    <row r="39" spans="1:24" s="33" customFormat="1">
      <c r="A39" s="24" t="str">
        <f>PE_aug!A38</f>
        <v>210517_KWS_Hydrolysat_3</v>
      </c>
      <c r="B39" s="319" t="str">
        <f>PE_aug!AP38</f>
        <v>KWS, neue Schlammbehandlung</v>
      </c>
      <c r="C39" s="25" t="s">
        <v>630</v>
      </c>
      <c r="D39" s="26">
        <f>PE_aug!AF38</f>
        <v>41.504037935538371</v>
      </c>
      <c r="E39" s="27">
        <f>PE_aug!AL38</f>
        <v>7.3870103168484036</v>
      </c>
      <c r="F39" s="27">
        <f>PP!Z38</f>
        <v>0</v>
      </c>
      <c r="G39" s="27">
        <f>PS!Q38</f>
        <v>1.9848000881154311</v>
      </c>
      <c r="H39" s="27">
        <f>PMMA!G38</f>
        <v>0</v>
      </c>
      <c r="I39" s="27">
        <f>PET_aug!P38</f>
        <v>22.147813635862981</v>
      </c>
      <c r="J39" s="27">
        <f>PA!G38</f>
        <v>0</v>
      </c>
      <c r="K39" s="27">
        <f>SBR!G38</f>
        <v>0</v>
      </c>
      <c r="L39" s="28">
        <f t="shared" si="0"/>
        <v>31.519624040826816</v>
      </c>
      <c r="M39" s="29"/>
      <c r="N39" s="30"/>
      <c r="O39" s="29"/>
      <c r="P39" s="306"/>
      <c r="Q39" s="77"/>
      <c r="S39" s="77"/>
      <c r="U39" s="31"/>
      <c r="V39" s="32"/>
      <c r="X39" s="306"/>
    </row>
    <row r="40" spans="1:24" s="33" customFormat="1">
      <c r="A40" s="24" t="str">
        <f>PE_aug!A39</f>
        <v>210517_MAP-Produkt_201028_1</v>
      </c>
      <c r="B40" s="319" t="str">
        <f>PE_aug!AP39</f>
        <v>KWS, neue Schlammbehandlung</v>
      </c>
      <c r="C40" s="25" t="s">
        <v>631</v>
      </c>
      <c r="D40" s="26" t="e">
        <f>PE_aug!AF39</f>
        <v>#DIV/0!</v>
      </c>
      <c r="E40" s="27" t="str">
        <f>PE_aug!AL39</f>
        <v>n.d.</v>
      </c>
      <c r="F40" s="27">
        <f>PP!Z39</f>
        <v>0</v>
      </c>
      <c r="G40" s="27">
        <f>PS!Q39</f>
        <v>0.77454032534032213</v>
      </c>
      <c r="H40" s="27">
        <f>PMMA!G39</f>
        <v>0</v>
      </c>
      <c r="I40" s="27">
        <f>PET_aug!P39</f>
        <v>8.110972932820312</v>
      </c>
      <c r="J40" s="27">
        <f>PA!G39</f>
        <v>0</v>
      </c>
      <c r="K40" s="27" t="e">
        <f>SBR!G39</f>
        <v>#DIV/0!</v>
      </c>
      <c r="L40" s="28">
        <f t="shared" si="0"/>
        <v>8.8855132581606338</v>
      </c>
      <c r="M40" s="29"/>
      <c r="N40" s="30"/>
      <c r="O40" s="29"/>
      <c r="P40" s="306"/>
      <c r="Q40" s="77"/>
      <c r="S40" s="77"/>
      <c r="U40" s="31"/>
      <c r="V40" s="32"/>
      <c r="X40" s="306"/>
    </row>
    <row r="41" spans="1:24" s="33" customFormat="1">
      <c r="A41" s="24" t="str">
        <f>PE_aug!A40</f>
        <v>210517_MAP-Produkt_201028_2</v>
      </c>
      <c r="B41" s="319" t="str">
        <f>PE_aug!AP40</f>
        <v>KWS, neue Schlammbehandlung</v>
      </c>
      <c r="C41" s="25" t="s">
        <v>631</v>
      </c>
      <c r="D41" s="26" t="e">
        <f>PE_aug!AF40</f>
        <v>#DIV/0!</v>
      </c>
      <c r="E41" s="27" t="str">
        <f>PE_aug!AL40</f>
        <v>n.d.</v>
      </c>
      <c r="F41" s="27">
        <f>PP!Z40</f>
        <v>0</v>
      </c>
      <c r="G41" s="27">
        <f>PS!Q40</f>
        <v>0.45163104101861851</v>
      </c>
      <c r="H41" s="27">
        <f>PMMA!G40</f>
        <v>0</v>
      </c>
      <c r="I41" s="27">
        <f>PET_aug!P40</f>
        <v>0</v>
      </c>
      <c r="J41" s="27">
        <f>PA!G40</f>
        <v>0</v>
      </c>
      <c r="K41" s="27" t="e">
        <f>SBR!G40</f>
        <v>#DIV/0!</v>
      </c>
      <c r="L41" s="28">
        <f t="shared" si="0"/>
        <v>0.45163104101861851</v>
      </c>
      <c r="M41" s="29"/>
      <c r="N41" s="30"/>
      <c r="O41" s="29"/>
      <c r="P41" s="306"/>
      <c r="Q41" s="77"/>
      <c r="S41" s="77"/>
      <c r="U41" s="31"/>
      <c r="V41" s="32"/>
      <c r="X41" s="306"/>
    </row>
    <row r="42" spans="1:24" s="306" customFormat="1">
      <c r="A42" s="24" t="str">
        <f>PE_aug!A41</f>
        <v>210517_MAP-Produkt_201028_3</v>
      </c>
      <c r="B42" s="319" t="str">
        <f>PE_aug!AP41</f>
        <v>KWS, neue Schlammbehandlung</v>
      </c>
      <c r="C42" s="25" t="s">
        <v>631</v>
      </c>
      <c r="D42" s="26" t="e">
        <f>PE_aug!AF41</f>
        <v>#DIV/0!</v>
      </c>
      <c r="E42" s="27" t="str">
        <f>PE_aug!AL41</f>
        <v>n.d.</v>
      </c>
      <c r="F42" s="27">
        <f>PP!Z41</f>
        <v>0</v>
      </c>
      <c r="G42" s="27">
        <f>PS!Q41</f>
        <v>0.5509320127872287</v>
      </c>
      <c r="H42" s="27">
        <f>PMMA!G41</f>
        <v>0</v>
      </c>
      <c r="I42" s="27">
        <f>PET_aug!P41</f>
        <v>0</v>
      </c>
      <c r="J42" s="27">
        <f>PA!G41</f>
        <v>0</v>
      </c>
      <c r="K42" s="27" t="e">
        <f>SBR!G41</f>
        <v>#DIV/0!</v>
      </c>
      <c r="L42" s="28">
        <f t="shared" si="0"/>
        <v>0.5509320127872287</v>
      </c>
      <c r="M42" s="29"/>
      <c r="N42" s="30"/>
      <c r="O42" s="29"/>
      <c r="Q42" s="77"/>
      <c r="S42" s="77"/>
      <c r="U42" s="34"/>
      <c r="V42" s="32"/>
      <c r="W42" s="33"/>
    </row>
    <row r="43" spans="1:24" s="306" customFormat="1">
      <c r="A43" s="24" t="str">
        <f>PE_aug!A42</f>
        <v>210517_P1_2</v>
      </c>
      <c r="B43" s="319" t="str">
        <f>PE_aug!AP42</f>
        <v>Methodenvergleich</v>
      </c>
      <c r="C43" s="25"/>
      <c r="D43" s="26">
        <f>PE_aug!AF42</f>
        <v>22.535349220128882</v>
      </c>
      <c r="E43" s="27">
        <f>PE_aug!AL42</f>
        <v>82.734575835475582</v>
      </c>
      <c r="F43" s="27">
        <f>PP!Z42</f>
        <v>28.271922307912025</v>
      </c>
      <c r="G43" s="27">
        <f>PS!Q42</f>
        <v>3.965295629820051</v>
      </c>
      <c r="H43" s="27">
        <f>PMMA!G42</f>
        <v>0</v>
      </c>
      <c r="I43" s="27">
        <f>PET_aug!P42</f>
        <v>37.326478149100261</v>
      </c>
      <c r="J43" s="27">
        <f>PA!G42</f>
        <v>0</v>
      </c>
      <c r="K43" s="27" t="e">
        <f>SBR!G42</f>
        <v>#DIV/0!</v>
      </c>
      <c r="L43" s="28">
        <f t="shared" si="0"/>
        <v>152.29827192230792</v>
      </c>
      <c r="M43" s="29"/>
      <c r="N43" s="30"/>
      <c r="O43" s="29"/>
      <c r="Q43" s="77"/>
      <c r="S43" s="77"/>
      <c r="U43" s="34"/>
      <c r="V43" s="32"/>
      <c r="W43" s="33"/>
    </row>
    <row r="44" spans="1:24" s="306" customFormat="1">
      <c r="A44" s="24" t="str">
        <f>PE_aug!A43</f>
        <v>210517_P1_extra_2</v>
      </c>
      <c r="B44" s="319" t="str">
        <f>PE_aug!AP43</f>
        <v>Methodenvergleich</v>
      </c>
      <c r="C44" s="25"/>
      <c r="D44" s="26">
        <f>PE_aug!AF43</f>
        <v>65.644022994742528</v>
      </c>
      <c r="E44" s="27">
        <f>PE_aug!AL43</f>
        <v>7.5727738891380225</v>
      </c>
      <c r="F44" s="27">
        <f>PP!Z43</f>
        <v>0</v>
      </c>
      <c r="G44" s="27">
        <f>PS!Q43</f>
        <v>2.2597438047144611</v>
      </c>
      <c r="H44" s="27">
        <f>PMMA!G43</f>
        <v>0</v>
      </c>
      <c r="I44" s="27">
        <f>PET_aug!P43</f>
        <v>17.980463647175807</v>
      </c>
      <c r="J44" s="27">
        <f>PA!G43</f>
        <v>0</v>
      </c>
      <c r="K44" s="27">
        <f>SBR!G43</f>
        <v>0</v>
      </c>
      <c r="L44" s="28">
        <f t="shared" si="0"/>
        <v>27.812981341028291</v>
      </c>
      <c r="M44" s="29"/>
      <c r="N44" s="30"/>
      <c r="O44" s="29"/>
      <c r="Q44" s="77"/>
      <c r="S44" s="77"/>
      <c r="U44" s="34"/>
      <c r="V44" s="32"/>
      <c r="W44" s="33"/>
    </row>
    <row r="45" spans="1:24" s="306" customFormat="1">
      <c r="A45" s="24" t="str">
        <f>PE_aug!A44</f>
        <v>210517_P2_1</v>
      </c>
      <c r="B45" s="319" t="str">
        <f>PE_aug!AP44</f>
        <v>Methodenvergleich</v>
      </c>
      <c r="C45" s="25"/>
      <c r="D45" s="26">
        <f>PE_aug!AF44</f>
        <v>36.291846102826987</v>
      </c>
      <c r="E45" s="27">
        <f>PE_aug!AL44</f>
        <v>22.234262694535257</v>
      </c>
      <c r="F45" s="27">
        <f>PP!Z44</f>
        <v>0</v>
      </c>
      <c r="G45" s="27">
        <f>PS!Q44</f>
        <v>2.104837820960217</v>
      </c>
      <c r="H45" s="27">
        <f>PMMA!G44</f>
        <v>0</v>
      </c>
      <c r="I45" s="27">
        <f>PET_aug!P44</f>
        <v>33.699445321970387</v>
      </c>
      <c r="J45" s="27">
        <f>PA!G44</f>
        <v>0</v>
      </c>
      <c r="K45" s="27">
        <f>SBR!G44</f>
        <v>0</v>
      </c>
      <c r="L45" s="28">
        <f t="shared" si="0"/>
        <v>58.038545837465861</v>
      </c>
      <c r="M45" s="29"/>
      <c r="N45" s="30"/>
      <c r="O45" s="29"/>
      <c r="Q45" s="77"/>
      <c r="S45" s="77"/>
      <c r="U45" s="34"/>
      <c r="V45" s="32"/>
      <c r="W45" s="33"/>
    </row>
    <row r="46" spans="1:24" s="306" customFormat="1">
      <c r="A46" s="24" t="str">
        <f>PE_aug!A45</f>
        <v>210517_P2_2</v>
      </c>
      <c r="B46" s="319" t="str">
        <f>PE_aug!AP45</f>
        <v>Methodenvergleich</v>
      </c>
      <c r="C46" s="25"/>
      <c r="D46" s="26">
        <f>PE_aug!AF45</f>
        <v>38.717832641219736</v>
      </c>
      <c r="E46" s="27">
        <f>PE_aug!AL45</f>
        <v>24.331509888680614</v>
      </c>
      <c r="F46" s="27">
        <f>PP!Z45</f>
        <v>0</v>
      </c>
      <c r="G46" s="27">
        <f>PS!Q45</f>
        <v>2.937913622279178</v>
      </c>
      <c r="H46" s="27">
        <f>PMMA!G45</f>
        <v>0</v>
      </c>
      <c r="I46" s="27">
        <f>PET_aug!P45</f>
        <v>34.704104663172792</v>
      </c>
      <c r="J46" s="27">
        <f>PA!G45</f>
        <v>0</v>
      </c>
      <c r="K46" s="27">
        <f>SBR!G45</f>
        <v>0</v>
      </c>
      <c r="L46" s="28">
        <f t="shared" si="0"/>
        <v>61.973528174132582</v>
      </c>
      <c r="M46" s="29"/>
      <c r="N46" s="30"/>
      <c r="O46" s="29"/>
      <c r="Q46" s="77"/>
      <c r="S46" s="77"/>
      <c r="U46" s="34"/>
      <c r="V46" s="32"/>
      <c r="W46" s="33"/>
    </row>
    <row r="47" spans="1:24" s="306" customFormat="1">
      <c r="A47" s="24" t="str">
        <f>PE_aug!A46</f>
        <v>210517_P3_1</v>
      </c>
      <c r="B47" s="319" t="str">
        <f>PE_aug!AP46</f>
        <v>Methodenvergleich</v>
      </c>
      <c r="C47" s="25"/>
      <c r="D47" s="26">
        <f>PE_aug!AF46</f>
        <v>27.380913087135127</v>
      </c>
      <c r="E47" s="27">
        <f>PE_aug!AL46</f>
        <v>90.820141715664093</v>
      </c>
      <c r="F47" s="27">
        <f>PP!Z46</f>
        <v>4.4313784612292073</v>
      </c>
      <c r="G47" s="27">
        <f>PS!Q46</f>
        <v>8.2617216945575169</v>
      </c>
      <c r="H47" s="27">
        <f>PMMA!G46</f>
        <v>0</v>
      </c>
      <c r="I47" s="27">
        <f>PET_aug!P46</f>
        <v>28.710990502035276</v>
      </c>
      <c r="J47" s="27">
        <f>PA!G46</f>
        <v>0</v>
      </c>
      <c r="K47" s="27">
        <f>SBR!G46</f>
        <v>0</v>
      </c>
      <c r="L47" s="28">
        <f t="shared" si="0"/>
        <v>132.2242323734861</v>
      </c>
      <c r="M47" s="29"/>
      <c r="N47" s="30"/>
      <c r="O47" s="29"/>
      <c r="Q47" s="77"/>
      <c r="S47" s="77"/>
      <c r="U47" s="34"/>
      <c r="V47" s="32"/>
      <c r="W47" s="33"/>
    </row>
    <row r="48" spans="1:24" s="306" customFormat="1">
      <c r="A48" s="24" t="str">
        <f>PE_aug!A47</f>
        <v>210517_P3_2</v>
      </c>
      <c r="B48" s="319" t="str">
        <f>PE_aug!AP47</f>
        <v>Methodenvergleich</v>
      </c>
      <c r="C48" s="25"/>
      <c r="D48" s="26">
        <f>PE_aug!AF47</f>
        <v>33.622268808483028</v>
      </c>
      <c r="E48" s="27">
        <f>PE_aug!AL47</f>
        <v>73.215417303462928</v>
      </c>
      <c r="F48" s="27">
        <f>PP!Z47</f>
        <v>3.8226413687702681</v>
      </c>
      <c r="G48" s="27">
        <f>PS!Q47</f>
        <v>10.394378797480149</v>
      </c>
      <c r="H48" s="27">
        <f>PMMA!G47</f>
        <v>0</v>
      </c>
      <c r="I48" s="27">
        <f>PET_aug!P47</f>
        <v>35.624557348939497</v>
      </c>
      <c r="J48" s="27">
        <f>PA!G47</f>
        <v>0</v>
      </c>
      <c r="K48" s="27">
        <f>SBR!G47</f>
        <v>0</v>
      </c>
      <c r="L48" s="28">
        <f t="shared" si="0"/>
        <v>123.05699481865284</v>
      </c>
      <c r="M48" s="29"/>
      <c r="N48" s="30"/>
      <c r="O48" s="29"/>
      <c r="Q48" s="77"/>
      <c r="S48" s="77"/>
      <c r="U48" s="34"/>
      <c r="V48" s="32"/>
      <c r="W48" s="33"/>
    </row>
    <row r="49" spans="1:23" s="306" customFormat="1">
      <c r="A49" s="24" t="str">
        <f>PE_aug!A48</f>
        <v>210517_P4_1</v>
      </c>
      <c r="B49" s="319" t="str">
        <f>PE_aug!AP48</f>
        <v>Methodenvergleich</v>
      </c>
      <c r="C49" s="25"/>
      <c r="D49" s="26">
        <f>PE_aug!AF48</f>
        <v>54.627121172058914</v>
      </c>
      <c r="E49" s="27">
        <f>PE_aug!AL48</f>
        <v>32.690846269201153</v>
      </c>
      <c r="F49" s="27">
        <f>PP!Z48</f>
        <v>2.8127913103392372</v>
      </c>
      <c r="G49" s="27">
        <f>PS!Q48</f>
        <v>1.3273618935678677</v>
      </c>
      <c r="H49" s="27">
        <f>PMMA!G48</f>
        <v>0</v>
      </c>
      <c r="I49" s="27">
        <f>PET_aug!P48</f>
        <v>18.842459368540514</v>
      </c>
      <c r="J49" s="27">
        <f>PA!G48</f>
        <v>0</v>
      </c>
      <c r="K49" s="27">
        <f>SBR!G48</f>
        <v>0</v>
      </c>
      <c r="L49" s="28">
        <f t="shared" si="0"/>
        <v>55.673458841648767</v>
      </c>
      <c r="M49" s="29"/>
      <c r="N49" s="30"/>
      <c r="O49" s="29"/>
      <c r="Q49" s="77"/>
      <c r="S49" s="77"/>
      <c r="U49" s="34"/>
      <c r="V49" s="32"/>
      <c r="W49" s="33"/>
    </row>
    <row r="50" spans="1:23" s="306" customFormat="1">
      <c r="A50" s="24" t="str">
        <f>PE_aug!A49</f>
        <v>210517_P4_2</v>
      </c>
      <c r="B50" s="319" t="str">
        <f>PE_aug!AP49</f>
        <v>Methodenvergleich</v>
      </c>
      <c r="C50" s="25"/>
      <c r="D50" s="26">
        <f>PE_aug!AF49</f>
        <v>54.740244728117339</v>
      </c>
      <c r="E50" s="27">
        <f>PE_aug!AL49</f>
        <v>29.696794604630014</v>
      </c>
      <c r="F50" s="27">
        <f>PP!Z49</f>
        <v>2.8194028719736295</v>
      </c>
      <c r="G50" s="27">
        <f>PS!Q49</f>
        <v>1.0627817982040693</v>
      </c>
      <c r="H50" s="27">
        <f>PMMA!G49</f>
        <v>0</v>
      </c>
      <c r="I50" s="27">
        <f>PET_aug!P49</f>
        <v>17.62967453491456</v>
      </c>
      <c r="J50" s="27">
        <f>PA!G49</f>
        <v>0</v>
      </c>
      <c r="K50" s="27">
        <f>SBR!G49</f>
        <v>0</v>
      </c>
      <c r="L50" s="28">
        <f t="shared" si="0"/>
        <v>51.208653809722279</v>
      </c>
      <c r="M50" s="29"/>
      <c r="N50" s="30"/>
      <c r="O50" s="29"/>
      <c r="Q50" s="77"/>
      <c r="S50" s="77"/>
      <c r="U50" s="31"/>
      <c r="V50" s="32"/>
      <c r="W50" s="33"/>
    </row>
    <row r="51" spans="1:23">
      <c r="A51" s="24" t="str">
        <f>PE_aug!A50</f>
        <v>210520_Standard_PMMA</v>
      </c>
      <c r="B51" s="319" t="str">
        <f>PE_aug!AP50</f>
        <v>Methode</v>
      </c>
      <c r="C51" s="25"/>
      <c r="D51" s="26" t="e">
        <f>PE_aug!AF50</f>
        <v>#DIV/0!</v>
      </c>
      <c r="E51" s="27" t="str">
        <f>PE_aug!AL50</f>
        <v>n.d.</v>
      </c>
      <c r="F51" s="27">
        <f>PP!Z50</f>
        <v>0</v>
      </c>
      <c r="G51" s="27">
        <f>PS!Q50</f>
        <v>0</v>
      </c>
      <c r="H51" s="27">
        <f>PMMA!G50</f>
        <v>3617.6514760916052</v>
      </c>
      <c r="I51" s="27">
        <f>PET_aug!P50</f>
        <v>1458.2084999713563</v>
      </c>
      <c r="J51" s="27">
        <f>PA!G50</f>
        <v>0</v>
      </c>
      <c r="K51" s="27">
        <f>SBR!G50</f>
        <v>0</v>
      </c>
      <c r="L51" s="28">
        <f t="shared" si="0"/>
        <v>5075.8599760629613</v>
      </c>
    </row>
    <row r="52" spans="1:23">
      <c r="A52" s="24" t="str">
        <f>PE_aug!A51</f>
        <v>210520_VKA_ASF_0831-0902_1</v>
      </c>
      <c r="B52" s="319" t="str">
        <f>PE_aug!AP51</f>
        <v>Referenzmessung BS</v>
      </c>
      <c r="C52" s="25"/>
      <c r="D52" s="26">
        <f>PE_aug!AF51</f>
        <v>34.015999198905313</v>
      </c>
      <c r="E52" s="27">
        <f>PE_aug!AL51</f>
        <v>25.345291064145346</v>
      </c>
      <c r="F52" s="27">
        <f>PP!Z51</f>
        <v>0</v>
      </c>
      <c r="G52" s="27">
        <f>PS!Q51</f>
        <v>0.8208709265438966</v>
      </c>
      <c r="H52" s="27">
        <f>PMMA!G51</f>
        <v>0</v>
      </c>
      <c r="I52" s="27">
        <f>PET_aug!P51</f>
        <v>0</v>
      </c>
      <c r="J52" s="27">
        <f>PA!G51</f>
        <v>0</v>
      </c>
      <c r="K52" s="27">
        <f>SBR!G51</f>
        <v>0</v>
      </c>
      <c r="L52" s="28">
        <f t="shared" si="0"/>
        <v>26.166161990689243</v>
      </c>
    </row>
    <row r="53" spans="1:23">
      <c r="A53" s="24" t="str">
        <f>PE_aug!A52</f>
        <v>210520_VKA_ASF_0831-0902_2</v>
      </c>
      <c r="B53" s="319" t="str">
        <f>PE_aug!AP52</f>
        <v>Referenzmessung BS</v>
      </c>
      <c r="C53" s="25"/>
      <c r="D53" s="26">
        <f>PE_aug!AF52</f>
        <v>29.705825760597616</v>
      </c>
      <c r="E53" s="27">
        <f>PE_aug!AL52</f>
        <v>16.795794658079181</v>
      </c>
      <c r="F53" s="27">
        <f>PP!Z52</f>
        <v>0</v>
      </c>
      <c r="G53" s="27">
        <f>PS!Q52</f>
        <v>0.59026330744459177</v>
      </c>
      <c r="H53" s="27">
        <f>PMMA!G52</f>
        <v>0</v>
      </c>
      <c r="I53" s="27">
        <f>PET_aug!P52</f>
        <v>0</v>
      </c>
      <c r="J53" s="27">
        <f>PA!G52</f>
        <v>0</v>
      </c>
      <c r="K53" s="27">
        <f>SBR!G52</f>
        <v>0</v>
      </c>
      <c r="L53" s="28">
        <f t="shared" si="0"/>
        <v>17.386057965523772</v>
      </c>
    </row>
    <row r="54" spans="1:23">
      <c r="A54" s="24" t="str">
        <f>PE_aug!A53</f>
        <v>210520_VKA_ASF_0831-0902_3</v>
      </c>
      <c r="B54" s="319" t="str">
        <f>PE_aug!AP53</f>
        <v>Referenzmessung BS</v>
      </c>
      <c r="C54" s="25"/>
      <c r="D54" s="26">
        <f>PE_aug!AF53</f>
        <v>14.422296072830148</v>
      </c>
      <c r="E54" s="27">
        <f>PE_aug!AL53</f>
        <v>23.847399148799013</v>
      </c>
      <c r="F54" s="27">
        <f>PP!Z53</f>
        <v>0.61752360581043553</v>
      </c>
      <c r="G54" s="27">
        <f>PS!Q53</f>
        <v>0.62631397742339556</v>
      </c>
      <c r="H54" s="27">
        <f>PMMA!G53</f>
        <v>0</v>
      </c>
      <c r="I54" s="27">
        <f>PET_aug!P53</f>
        <v>0</v>
      </c>
      <c r="J54" s="27">
        <f>PA!G53</f>
        <v>0.235874971614425</v>
      </c>
      <c r="K54" s="27">
        <f>SBR!G53</f>
        <v>0</v>
      </c>
      <c r="L54" s="28">
        <f t="shared" si="0"/>
        <v>25.091236732032847</v>
      </c>
    </row>
    <row r="55" spans="1:23">
      <c r="A55" s="24" t="str">
        <f>PE_aug!A54</f>
        <v>210520_VKA_ATF_0831-0902_1</v>
      </c>
      <c r="B55" s="319" t="str">
        <f>PE_aug!AP54</f>
        <v>Referenzmessung BS</v>
      </c>
      <c r="C55" s="25"/>
      <c r="D55" s="26">
        <f>PE_aug!AF54</f>
        <v>28.907252017944618</v>
      </c>
      <c r="E55" s="27">
        <f>PE_aug!AL54</f>
        <v>2.4289129060104901</v>
      </c>
      <c r="F55" s="27">
        <f>PP!Z54</f>
        <v>0</v>
      </c>
      <c r="G55" s="27">
        <f>PS!Q54</f>
        <v>0.63602515762875966</v>
      </c>
      <c r="H55" s="27">
        <f>PMMA!G54</f>
        <v>0</v>
      </c>
      <c r="I55" s="27">
        <f>PET_aug!P54</f>
        <v>0</v>
      </c>
      <c r="J55" s="27">
        <f>PA!G54</f>
        <v>0</v>
      </c>
      <c r="K55" s="27">
        <f>SBR!G54</f>
        <v>0</v>
      </c>
      <c r="L55" s="28">
        <f t="shared" si="0"/>
        <v>3.06493806363925</v>
      </c>
    </row>
    <row r="56" spans="1:23">
      <c r="A56" s="24" t="str">
        <f>PE_aug!A55</f>
        <v>210520_VKA_ATF_0831-0902_2</v>
      </c>
      <c r="B56" s="319" t="str">
        <f>PE_aug!AP55</f>
        <v>Referenzmessung BS</v>
      </c>
      <c r="C56" s="25"/>
      <c r="D56" s="26">
        <f>PE_aug!AF55</f>
        <v>53.951099965060521</v>
      </c>
      <c r="E56" s="27">
        <f>PE_aug!AL55</f>
        <v>3.9266955664120737</v>
      </c>
      <c r="F56" s="27">
        <f>PP!Z55</f>
        <v>0</v>
      </c>
      <c r="G56" s="27">
        <f>PS!Q55</f>
        <v>1.0266290511250258</v>
      </c>
      <c r="H56" s="27">
        <f>PMMA!G55</f>
        <v>0</v>
      </c>
      <c r="I56" s="27">
        <f>PET_aug!P55</f>
        <v>0</v>
      </c>
      <c r="J56" s="27">
        <f>PA!G55</f>
        <v>0</v>
      </c>
      <c r="K56" s="27">
        <f>SBR!G55</f>
        <v>0</v>
      </c>
      <c r="L56" s="28">
        <f t="shared" si="0"/>
        <v>4.9533246175370991</v>
      </c>
    </row>
    <row r="57" spans="1:23">
      <c r="A57" s="24" t="str">
        <f>PE_aug!A56</f>
        <v>210520_VKA_ATF_0831-0902_3</v>
      </c>
      <c r="B57" s="319" t="str">
        <f>PE_aug!AP56</f>
        <v>Referenzmessung BS</v>
      </c>
      <c r="C57" s="25"/>
      <c r="D57" s="26">
        <f>PE_aug!AF56</f>
        <v>43.330370162353162</v>
      </c>
      <c r="E57" s="27">
        <f>PE_aug!AL56</f>
        <v>3.3025239271380049</v>
      </c>
      <c r="F57" s="27">
        <f>PP!Z56</f>
        <v>0</v>
      </c>
      <c r="G57" s="27">
        <f>PS!Q56</f>
        <v>0.71202531645569611</v>
      </c>
      <c r="H57" s="27">
        <f>PMMA!G56</f>
        <v>0</v>
      </c>
      <c r="I57" s="27">
        <f>PET_aug!P56</f>
        <v>0</v>
      </c>
      <c r="J57" s="27">
        <f>PA!G56</f>
        <v>0</v>
      </c>
      <c r="K57" s="27">
        <f>SBR!G56</f>
        <v>0</v>
      </c>
      <c r="L57" s="28">
        <f t="shared" si="0"/>
        <v>4.0145492435937014</v>
      </c>
    </row>
    <row r="58" spans="1:23">
      <c r="A58" s="24" t="str">
        <f>PE_aug!A57</f>
        <v>210520_VKA_ATF_0902-04_1</v>
      </c>
      <c r="B58" s="319" t="str">
        <f>PE_aug!AP57</f>
        <v>Referenzmessung BS</v>
      </c>
      <c r="C58" s="25"/>
      <c r="D58" s="26">
        <f>PE_aug!AF57</f>
        <v>35.077950901237749</v>
      </c>
      <c r="E58" s="27">
        <f>PE_aug!AL57</f>
        <v>9.330253405218734</v>
      </c>
      <c r="F58" s="27">
        <f>PP!Z57</f>
        <v>0</v>
      </c>
      <c r="G58" s="27">
        <f>PS!Q57</f>
        <v>0.71364934742874975</v>
      </c>
      <c r="H58" s="27">
        <f>PMMA!G57</f>
        <v>0</v>
      </c>
      <c r="I58" s="27">
        <f>PET_aug!P57</f>
        <v>0</v>
      </c>
      <c r="J58" s="27">
        <f>PA!G57</f>
        <v>0</v>
      </c>
      <c r="K58" s="27">
        <f>SBR!G57</f>
        <v>0</v>
      </c>
      <c r="L58" s="28">
        <f t="shared" si="0"/>
        <v>10.043902752647483</v>
      </c>
    </row>
    <row r="59" spans="1:23">
      <c r="A59" s="24" t="str">
        <f>PE_aug!A58</f>
        <v>210520_VKA_ATF_0902-04_2</v>
      </c>
      <c r="B59" s="319" t="str">
        <f>PE_aug!AP58</f>
        <v>Referenzmessung BS</v>
      </c>
      <c r="C59" s="25"/>
      <c r="D59" s="26">
        <f>PE_aug!AF58</f>
        <v>32.928972493905633</v>
      </c>
      <c r="E59" s="27">
        <f>PE_aug!AL58</f>
        <v>16.580349300144878</v>
      </c>
      <c r="F59" s="27">
        <f>PP!Z58</f>
        <v>0</v>
      </c>
      <c r="G59" s="27">
        <f>PS!Q58</f>
        <v>0.87496149941250956</v>
      </c>
      <c r="H59" s="27">
        <f>PMMA!G58</f>
        <v>0</v>
      </c>
      <c r="I59" s="27">
        <f>PET_aug!P58</f>
        <v>10.097991124901609</v>
      </c>
      <c r="J59" s="27">
        <f>PA!G58</f>
        <v>0</v>
      </c>
      <c r="K59" s="27">
        <f>SBR!G58</f>
        <v>0</v>
      </c>
      <c r="L59" s="28">
        <f t="shared" si="0"/>
        <v>27.553301924458999</v>
      </c>
    </row>
    <row r="60" spans="1:23">
      <c r="A60" s="24" t="str">
        <f>PE_aug!A59</f>
        <v>210520_VKA_ATF_0902-04_3</v>
      </c>
      <c r="B60" s="319" t="str">
        <f>PE_aug!AP59</f>
        <v>Referenzmessung BS</v>
      </c>
      <c r="C60" s="25"/>
      <c r="D60" s="26">
        <f>PE_aug!AF59</f>
        <v>19.833097046365342</v>
      </c>
      <c r="E60" s="27">
        <f>PE_aug!AL59</f>
        <v>15.913609962848621</v>
      </c>
      <c r="F60" s="27">
        <f>PP!Z59</f>
        <v>0</v>
      </c>
      <c r="G60" s="27">
        <f>PS!Q59</f>
        <v>0.67587602253501478</v>
      </c>
      <c r="H60" s="27">
        <f>PMMA!G59</f>
        <v>0</v>
      </c>
      <c r="I60" s="27">
        <f>PET_aug!P59</f>
        <v>7.8436502537805453</v>
      </c>
      <c r="J60" s="27">
        <f>PA!G59</f>
        <v>0</v>
      </c>
      <c r="K60" s="27">
        <f>SBR!G59</f>
        <v>0</v>
      </c>
      <c r="L60" s="28">
        <f t="shared" si="0"/>
        <v>24.433136239164181</v>
      </c>
    </row>
    <row r="61" spans="1:23">
      <c r="A61" s="24" t="str">
        <f>PE_aug!A60</f>
        <v>210520_VKA_ATF_200827_1</v>
      </c>
      <c r="B61" s="319" t="str">
        <f>PE_aug!AP60</f>
        <v>Referenzmessung BS</v>
      </c>
      <c r="C61" s="25"/>
      <c r="D61" s="26">
        <f>PE_aug!AF60</f>
        <v>8.1988296572567698</v>
      </c>
      <c r="E61" s="27">
        <f>PE_aug!AL60</f>
        <v>8.8427289579329234</v>
      </c>
      <c r="F61" s="27">
        <f>PP!Z60</f>
        <v>0</v>
      </c>
      <c r="G61" s="27">
        <f>PS!Q60</f>
        <v>0.96666704575178253</v>
      </c>
      <c r="H61" s="27">
        <f>PMMA!G60</f>
        <v>0</v>
      </c>
      <c r="I61" s="27">
        <f>PET_aug!P60</f>
        <v>0</v>
      </c>
      <c r="J61" s="27">
        <f>PA!G60</f>
        <v>0</v>
      </c>
      <c r="K61" s="27">
        <f>SBR!G60</f>
        <v>0</v>
      </c>
      <c r="L61" s="28">
        <f t="shared" si="0"/>
        <v>9.8093960036847054</v>
      </c>
    </row>
    <row r="62" spans="1:23">
      <c r="A62" s="24" t="str">
        <f>PE_aug!A61</f>
        <v>210520_VKA_ATF_200827_2</v>
      </c>
      <c r="B62" s="319" t="str">
        <f>PE_aug!AP61</f>
        <v>Referenzmessung BS</v>
      </c>
      <c r="C62" s="25"/>
      <c r="D62" s="26">
        <f>PE_aug!AF61</f>
        <v>25.894364498753891</v>
      </c>
      <c r="E62" s="27">
        <f>PE_aug!AL61</f>
        <v>8.0271292316826059</v>
      </c>
      <c r="F62" s="27">
        <f>PP!Z61</f>
        <v>0</v>
      </c>
      <c r="G62" s="27">
        <f>PS!Q61</f>
        <v>1.097043146061615</v>
      </c>
      <c r="H62" s="27">
        <f>PMMA!G61</f>
        <v>0</v>
      </c>
      <c r="I62" s="27">
        <f>PET_aug!P61</f>
        <v>0</v>
      </c>
      <c r="J62" s="27">
        <f>PA!G61</f>
        <v>0</v>
      </c>
      <c r="K62" s="27">
        <f>SBR!G61</f>
        <v>0</v>
      </c>
      <c r="L62" s="28">
        <f t="shared" si="0"/>
        <v>9.1241723777442214</v>
      </c>
    </row>
    <row r="63" spans="1:23">
      <c r="A63" s="24" t="str">
        <f>PE_aug!A62</f>
        <v>210520_VKA_ATF_200827_3</v>
      </c>
      <c r="B63" s="319" t="str">
        <f>PE_aug!AP62</f>
        <v>Referenzmessung BS</v>
      </c>
      <c r="C63" s="25"/>
      <c r="D63" s="26">
        <f>PE_aug!AF62</f>
        <v>35.046959960454764</v>
      </c>
      <c r="E63" s="27">
        <f>PE_aug!AL62</f>
        <v>6.4596127851159615</v>
      </c>
      <c r="F63" s="27">
        <f>PP!Z62</f>
        <v>0</v>
      </c>
      <c r="G63" s="27">
        <f>PS!Q62</f>
        <v>0.87809862377997505</v>
      </c>
      <c r="H63" s="27">
        <f>PMMA!G62</f>
        <v>0</v>
      </c>
      <c r="I63" s="27">
        <f>PET_aug!P62</f>
        <v>0</v>
      </c>
      <c r="J63" s="27">
        <f>PA!G62</f>
        <v>0</v>
      </c>
      <c r="K63" s="27">
        <f>SBR!G62</f>
        <v>0</v>
      </c>
      <c r="L63" s="28">
        <f t="shared" si="0"/>
        <v>7.3377114088959363</v>
      </c>
    </row>
    <row r="64" spans="1:23">
      <c r="A64" s="24" t="str">
        <f>PE_aug!A63</f>
        <v>210520_VKA_ZFA_0831-0902_1</v>
      </c>
      <c r="B64" s="319" t="str">
        <f>PE_aug!AP63</f>
        <v>Referenzmessung BS</v>
      </c>
      <c r="C64" s="25"/>
      <c r="D64" s="26">
        <f>PE_aug!AF63</f>
        <v>33.142698472781149</v>
      </c>
      <c r="E64" s="27">
        <f>PE_aug!AL63</f>
        <v>52.650258450032993</v>
      </c>
      <c r="F64" s="27">
        <f>PP!Z63</f>
        <v>0.59388518219810849</v>
      </c>
      <c r="G64" s="27">
        <f>PS!Q63</f>
        <v>0.74052349879023394</v>
      </c>
      <c r="H64" s="27">
        <f>PMMA!G63</f>
        <v>0</v>
      </c>
      <c r="I64" s="27">
        <f>PET_aug!P63</f>
        <v>0</v>
      </c>
      <c r="J64" s="27">
        <f>PA!G63</f>
        <v>0</v>
      </c>
      <c r="K64" s="27">
        <f>SBR!G63</f>
        <v>0</v>
      </c>
      <c r="L64" s="28">
        <f t="shared" si="0"/>
        <v>53.984667131021332</v>
      </c>
    </row>
    <row r="65" spans="1:12">
      <c r="A65" s="24" t="str">
        <f>PE_aug!A64</f>
        <v>210520_VKA_ZFA_0831-0902_2</v>
      </c>
      <c r="B65" s="319" t="str">
        <f>PE_aug!AP64</f>
        <v>Referenzmessung BS</v>
      </c>
      <c r="C65" s="25"/>
      <c r="D65" s="26">
        <f>PE_aug!AF64</f>
        <v>23.050123724980786</v>
      </c>
      <c r="E65" s="27">
        <f>PE_aug!AL64</f>
        <v>68.072105692103122</v>
      </c>
      <c r="F65" s="27">
        <f>PP!Z64</f>
        <v>2.3152318448934071</v>
      </c>
      <c r="G65" s="27">
        <f>PS!Q64</f>
        <v>0.895423154463175</v>
      </c>
      <c r="H65" s="27">
        <f>PMMA!G64</f>
        <v>0</v>
      </c>
      <c r="I65" s="27">
        <f>PET_aug!P64</f>
        <v>0</v>
      </c>
      <c r="J65" s="27">
        <f>PA!G64</f>
        <v>0.44824775876120615</v>
      </c>
      <c r="K65" s="27">
        <f>SBR!G64</f>
        <v>0</v>
      </c>
      <c r="L65" s="28">
        <f t="shared" si="0"/>
        <v>71.2827606914597</v>
      </c>
    </row>
    <row r="66" spans="1:12">
      <c r="A66" s="24" t="str">
        <f>PE_aug!A65</f>
        <v>210520_VKA_ZFA_0831-0902_3</v>
      </c>
      <c r="B66" s="319" t="str">
        <f>PE_aug!AP65</f>
        <v>Referenzmessung BS</v>
      </c>
      <c r="C66" s="25"/>
      <c r="D66" s="26">
        <f>PE_aug!AF65</f>
        <v>30.337720691394388</v>
      </c>
      <c r="E66" s="27">
        <f>PE_aug!AL65</f>
        <v>50.380787676640097</v>
      </c>
      <c r="F66" s="27">
        <f>PP!Z65</f>
        <v>0.6009710270782348</v>
      </c>
      <c r="G66" s="27">
        <f>PS!Q65</f>
        <v>0.76379568958711619</v>
      </c>
      <c r="H66" s="27">
        <f>PMMA!G65</f>
        <v>0</v>
      </c>
      <c r="I66" s="27">
        <f>PET_aug!P65</f>
        <v>0</v>
      </c>
      <c r="J66" s="27">
        <f>PA!G65</f>
        <v>0.3888055577484803</v>
      </c>
      <c r="K66" s="27">
        <f>SBR!G65</f>
        <v>0</v>
      </c>
      <c r="L66" s="28">
        <f t="shared" si="0"/>
        <v>51.745554393305447</v>
      </c>
    </row>
    <row r="67" spans="1:12">
      <c r="A67" s="24" t="str">
        <f>PE_aug!A66</f>
        <v>210520_VKA_ZFA_0831-0902_spike_PE</v>
      </c>
      <c r="B67" s="319" t="str">
        <f>PE_aug!AP66</f>
        <v>Massenbilanz KWS, Methode</v>
      </c>
      <c r="C67" s="25"/>
      <c r="D67" s="26">
        <f>PE_aug!AF66</f>
        <v>31.837657465358483</v>
      </c>
      <c r="E67" s="27">
        <f>PE_aug!AL66</f>
        <v>355.16445899687449</v>
      </c>
      <c r="F67" s="27">
        <f>PP!Z66</f>
        <v>1.6799374906980202</v>
      </c>
      <c r="G67" s="27">
        <f>PS!Q66</f>
        <v>1.4325048370293199</v>
      </c>
      <c r="H67" s="27">
        <f>PMMA!G66</f>
        <v>0</v>
      </c>
      <c r="I67" s="27">
        <f>PET_aug!P66</f>
        <v>0</v>
      </c>
      <c r="J67" s="27">
        <f>PA!G66</f>
        <v>0</v>
      </c>
      <c r="K67" s="27">
        <f>SBR!G66</f>
        <v>0</v>
      </c>
      <c r="L67" s="28">
        <f t="shared" ref="L67:L130" si="1">SUM(E67:I67)</f>
        <v>358.27690132460185</v>
      </c>
    </row>
    <row r="68" spans="1:12">
      <c r="A68" s="24" t="str">
        <f>PE_aug!A67</f>
        <v>210520_VKA_ZFA_0831-0902_spike_PET</v>
      </c>
      <c r="B68" s="319" t="str">
        <f>PE_aug!AP67</f>
        <v>Massenbilanz KWS, Methode</v>
      </c>
      <c r="C68" s="25"/>
      <c r="D68" s="26">
        <f>PE_aug!AF67</f>
        <v>32.009694385447638</v>
      </c>
      <c r="E68" s="27">
        <f>PE_aug!AL67</f>
        <v>56.026870144607059</v>
      </c>
      <c r="F68" s="27">
        <f>PP!Z67</f>
        <v>0</v>
      </c>
      <c r="G68" s="27">
        <f>PS!Q67</f>
        <v>2.12691669818732</v>
      </c>
      <c r="H68" s="27">
        <f>PMMA!G67</f>
        <v>0</v>
      </c>
      <c r="I68" s="27">
        <f>PET_aug!P67</f>
        <v>42.160813523815058</v>
      </c>
      <c r="J68" s="27">
        <f>PA!G67</f>
        <v>3.031801914515988</v>
      </c>
      <c r="K68" s="27">
        <f>SBR!G67</f>
        <v>0</v>
      </c>
      <c r="L68" s="28">
        <f t="shared" si="1"/>
        <v>100.31460036660944</v>
      </c>
    </row>
    <row r="69" spans="1:12">
      <c r="A69" s="24" t="str">
        <f>PE_aug!A68</f>
        <v>210531_RÜB_Bellermannstraße_10-500µm_1</v>
      </c>
      <c r="B69" s="319" t="str">
        <f>PE_aug!AP68</f>
        <v>Mischwasserüberlauf</v>
      </c>
      <c r="C69" s="25"/>
      <c r="D69" s="26">
        <f>PE_aug!AF68</f>
        <v>63.658613157245568</v>
      </c>
      <c r="E69" s="27">
        <f>PE_aug!AL68</f>
        <v>3.7763810168045393</v>
      </c>
      <c r="F69" s="27">
        <f>PP!Z68</f>
        <v>0.30976353204670787</v>
      </c>
      <c r="G69" s="27">
        <f>PS!Q68</f>
        <v>0.54610774491323733</v>
      </c>
      <c r="H69" s="27">
        <f>PMMA!G68</f>
        <v>0</v>
      </c>
      <c r="I69" s="27">
        <f>PET_aug!P68</f>
        <v>0</v>
      </c>
      <c r="J69" s="27">
        <f>PA!G68</f>
        <v>0</v>
      </c>
      <c r="K69" s="27">
        <f>SBR!G68</f>
        <v>0</v>
      </c>
      <c r="L69" s="28">
        <f t="shared" si="1"/>
        <v>4.6322522937644841</v>
      </c>
    </row>
    <row r="70" spans="1:12">
      <c r="A70" s="24" t="str">
        <f>PE_aug!A69</f>
        <v>210531_RÜB_Bellermannstraße_10-500µm_2</v>
      </c>
      <c r="B70" s="319" t="str">
        <f>PE_aug!AP69</f>
        <v>Mischwasserüberlauf</v>
      </c>
      <c r="C70" s="25"/>
      <c r="D70" s="26">
        <f>PE_aug!AF69</f>
        <v>52.816414685215221</v>
      </c>
      <c r="E70" s="27">
        <f>PE_aug!AL69</f>
        <v>11.081633574499024</v>
      </c>
      <c r="F70" s="27">
        <f>PP!Z69</f>
        <v>0.48996025203293803</v>
      </c>
      <c r="G70" s="27">
        <f>PS!Q69</f>
        <v>0.68426288772950827</v>
      </c>
      <c r="H70" s="27">
        <f>PMMA!G69</f>
        <v>0.45399558148333252</v>
      </c>
      <c r="I70" s="27">
        <f>PET_aug!P69</f>
        <v>0</v>
      </c>
      <c r="J70" s="27">
        <f>PA!G69</f>
        <v>0</v>
      </c>
      <c r="K70" s="27" t="e">
        <f>SBR!#REF!</f>
        <v>#REF!</v>
      </c>
      <c r="L70" s="28">
        <f t="shared" si="1"/>
        <v>12.709852295744803</v>
      </c>
    </row>
    <row r="71" spans="1:12">
      <c r="A71" s="24" t="str">
        <f>PE_aug!A70</f>
        <v>210531_RÜB_Bellermannstraße_10-500µm_3</v>
      </c>
      <c r="B71" s="319" t="str">
        <f>PE_aug!AP70</f>
        <v>Mischwasserüberlauf</v>
      </c>
      <c r="C71" s="25"/>
      <c r="D71" s="26">
        <f>PE_aug!AF70</f>
        <v>55.179363920424748</v>
      </c>
      <c r="E71" s="27">
        <f>PE_aug!AL70</f>
        <v>1.8643657432917564</v>
      </c>
      <c r="F71" s="27">
        <f>PP!Z70</f>
        <v>0.570054601011872</v>
      </c>
      <c r="G71" s="27">
        <f>PS!Q70</f>
        <v>0.60111205730601613</v>
      </c>
      <c r="H71" s="27">
        <f>PMMA!G70</f>
        <v>0.42578770725842807</v>
      </c>
      <c r="I71" s="27">
        <f>PET_aug!P70</f>
        <v>4.33501978660522</v>
      </c>
      <c r="J71" s="27">
        <f>PA!G70</f>
        <v>0</v>
      </c>
      <c r="K71" s="27" t="e">
        <f>SBR!#REF!</f>
        <v>#REF!</v>
      </c>
      <c r="L71" s="28">
        <f t="shared" si="1"/>
        <v>7.7963398954732925</v>
      </c>
    </row>
    <row r="72" spans="1:12">
      <c r="A72" s="24" t="str">
        <f>PE_aug!A71</f>
        <v>210531_RÜB_Bellermannstraße_10-500µm_H2O2_1</v>
      </c>
      <c r="B72" s="319" t="str">
        <f>PE_aug!AP71</f>
        <v>Mischwasserüberlauf</v>
      </c>
      <c r="C72" s="25"/>
      <c r="D72" s="26">
        <f>PE_aug!AF71</f>
        <v>42.514306811888488</v>
      </c>
      <c r="E72" s="27">
        <f>PE_aug!AL71</f>
        <v>1.2269424512575198</v>
      </c>
      <c r="F72" s="27">
        <f>PP!Z71</f>
        <v>0</v>
      </c>
      <c r="G72" s="27">
        <f>PS!Q71</f>
        <v>0.40815032253388417</v>
      </c>
      <c r="H72" s="27">
        <f>PMMA!G71</f>
        <v>0.53317750235558459</v>
      </c>
      <c r="I72" s="27">
        <f>PET_aug!P71</f>
        <v>4.1231789519460751</v>
      </c>
      <c r="J72" s="27">
        <f>PA!G71</f>
        <v>0</v>
      </c>
      <c r="K72" s="27" t="e">
        <f>SBR!#REF!</f>
        <v>#REF!</v>
      </c>
      <c r="L72" s="28">
        <f t="shared" si="1"/>
        <v>6.2914492280930636</v>
      </c>
    </row>
    <row r="73" spans="1:12">
      <c r="A73" s="24" t="str">
        <f>PE_aug!A72</f>
        <v>210531_RÜB_Bellermannstraße_10-500µm_H2O2_2</v>
      </c>
      <c r="B73" s="319" t="str">
        <f>PE_aug!AP72</f>
        <v>Mischwasserüberlauf</v>
      </c>
      <c r="C73" s="25"/>
      <c r="D73" s="26">
        <f>PE_aug!AF72</f>
        <v>22.760655612851572</v>
      </c>
      <c r="E73" s="27">
        <f>PE_aug!AL72</f>
        <v>2.4362126199702763</v>
      </c>
      <c r="F73" s="27">
        <f>PP!Z72</f>
        <v>0.49064544356014833</v>
      </c>
      <c r="G73" s="27">
        <f>PS!Q72</f>
        <v>0.45366473603066798</v>
      </c>
      <c r="H73" s="27">
        <f>PMMA!G72</f>
        <v>0.58023250968790363</v>
      </c>
      <c r="I73" s="27">
        <f>PET_aug!P72</f>
        <v>0</v>
      </c>
      <c r="J73" s="27">
        <f>PA!G72</f>
        <v>0</v>
      </c>
      <c r="K73" s="27" t="e">
        <f>SBR!#REF!</f>
        <v>#REF!</v>
      </c>
      <c r="L73" s="28">
        <f t="shared" si="1"/>
        <v>3.960755309248996</v>
      </c>
    </row>
    <row r="74" spans="1:12">
      <c r="A74" s="24" t="str">
        <f>PE_aug!A73</f>
        <v>210531_RÜB_Bellermannstraße_10-500µm_H2O2_3</v>
      </c>
      <c r="B74" s="319" t="str">
        <f>PE_aug!AP73</f>
        <v>Mischwasserüberlauf</v>
      </c>
      <c r="C74" s="25"/>
      <c r="D74" s="26">
        <f>PE_aug!AF73</f>
        <v>32.51134225089563</v>
      </c>
      <c r="E74" s="27">
        <f>PE_aug!AL73</f>
        <v>2.6159091380132233</v>
      </c>
      <c r="F74" s="27">
        <f>PP!Z73</f>
        <v>0</v>
      </c>
      <c r="G74" s="27">
        <f>PS!Q73</f>
        <v>0.28912516321581799</v>
      </c>
      <c r="H74" s="27">
        <f>PMMA!G73</f>
        <v>0.36560343219548597</v>
      </c>
      <c r="I74" s="27">
        <f>PET_aug!P73</f>
        <v>2.8822359012622023</v>
      </c>
      <c r="J74" s="27">
        <f>PA!G73</f>
        <v>0</v>
      </c>
      <c r="K74" s="27" t="e">
        <f>SBR!#REF!</f>
        <v>#REF!</v>
      </c>
      <c r="L74" s="28">
        <f t="shared" si="1"/>
        <v>6.1528736346867294</v>
      </c>
    </row>
    <row r="75" spans="1:12">
      <c r="A75" s="24" t="str">
        <f>PE_aug!A74</f>
        <v>210531_Standard_PS_PMMA_PP_PE_RM</v>
      </c>
      <c r="B75" s="319" t="str">
        <f>PE_aug!AP74</f>
        <v>Methode</v>
      </c>
      <c r="C75" s="25"/>
      <c r="D75" s="26">
        <f>PE_aug!AF74</f>
        <v>26.432563026329241</v>
      </c>
      <c r="E75" s="27">
        <f>PE_aug!AL74</f>
        <v>184.54581804739107</v>
      </c>
      <c r="F75" s="27">
        <f>PP!Z74</f>
        <v>40.883680066171074</v>
      </c>
      <c r="G75" s="27">
        <f>PS!Q74</f>
        <v>224.90139152656414</v>
      </c>
      <c r="H75" s="27">
        <f>PMMA!G74</f>
        <v>72.323168310312681</v>
      </c>
      <c r="I75" s="27">
        <f>PET_aug!P74</f>
        <v>0</v>
      </c>
      <c r="J75" s="27">
        <f>PA!G74</f>
        <v>0</v>
      </c>
      <c r="K75" s="27" t="e">
        <f>SBR!#REF!</f>
        <v>#REF!</v>
      </c>
      <c r="L75" s="28">
        <f t="shared" si="1"/>
        <v>522.65405795043898</v>
      </c>
    </row>
    <row r="76" spans="1:12">
      <c r="A76" s="24" t="str">
        <f>PE_aug!A75</f>
        <v>210602_KWS_gefaulUESS_RS</v>
      </c>
      <c r="B76" s="319" t="str">
        <f>PE_aug!AP75</f>
        <v>KWS, Methode</v>
      </c>
      <c r="C76" s="25"/>
      <c r="D76" s="26" t="e">
        <f>PE_aug!AF75</f>
        <v>#DIV/0!</v>
      </c>
      <c r="E76" s="27" t="str">
        <f>PE_aug!AL75</f>
        <v>n.d.</v>
      </c>
      <c r="F76" s="27">
        <f>PP!Z75</f>
        <v>0</v>
      </c>
      <c r="G76" s="27">
        <f>PS!Q75</f>
        <v>0</v>
      </c>
      <c r="H76" s="27">
        <f>PMMA!G75</f>
        <v>0</v>
      </c>
      <c r="I76" s="27">
        <f>PET_aug!P75</f>
        <v>0</v>
      </c>
      <c r="J76" s="27">
        <f>PA!G75</f>
        <v>0</v>
      </c>
      <c r="K76" s="27">
        <f>SBR!G69</f>
        <v>0</v>
      </c>
      <c r="L76" s="28">
        <f t="shared" si="1"/>
        <v>0</v>
      </c>
    </row>
    <row r="77" spans="1:12">
      <c r="A77" s="24" t="str">
        <f>PE_aug!A76</f>
        <v>210602_KWS_MAP_Produkt_201030_1</v>
      </c>
      <c r="B77" s="319" t="str">
        <f>PE_aug!AP76</f>
        <v>KWS, neue Schlammbehandlung</v>
      </c>
      <c r="C77" s="25"/>
      <c r="D77" s="26" t="e">
        <f>PE_aug!AF76</f>
        <v>#DIV/0!</v>
      </c>
      <c r="E77" s="27" t="str">
        <f>PE_aug!AL76</f>
        <v>n.d.</v>
      </c>
      <c r="F77" s="27">
        <f>PP!Z76</f>
        <v>0</v>
      </c>
      <c r="G77" s="27">
        <f>PS!Q76</f>
        <v>0.60262812822587397</v>
      </c>
      <c r="H77" s="27">
        <f>PMMA!G76</f>
        <v>0</v>
      </c>
      <c r="I77" s="27">
        <f>PET_aug!P76</f>
        <v>0</v>
      </c>
      <c r="J77" s="27">
        <f>PA!G76</f>
        <v>0</v>
      </c>
      <c r="K77" s="27">
        <f>SBR!G70</f>
        <v>0</v>
      </c>
      <c r="L77" s="28">
        <f t="shared" si="1"/>
        <v>0.60262812822587397</v>
      </c>
    </row>
    <row r="78" spans="1:12">
      <c r="A78" s="24" t="str">
        <f>PE_aug!A77</f>
        <v>210602_KWS_MAP_Produkt_201030_2</v>
      </c>
      <c r="B78" s="319" t="str">
        <f>PE_aug!AP77</f>
        <v>KWS, neue Schlammbehandlung</v>
      </c>
      <c r="C78" s="25"/>
      <c r="D78" s="26" t="e">
        <f>PE_aug!AF77</f>
        <v>#DIV/0!</v>
      </c>
      <c r="E78" s="27" t="str">
        <f>PE_aug!AL77</f>
        <v>n.d.</v>
      </c>
      <c r="F78" s="27">
        <f>PP!Z77</f>
        <v>0</v>
      </c>
      <c r="G78" s="27">
        <f>PS!Q77</f>
        <v>0.23746563791722511</v>
      </c>
      <c r="H78" s="27">
        <f>PMMA!G77</f>
        <v>0</v>
      </c>
      <c r="I78" s="27">
        <f>PET_aug!P77</f>
        <v>0</v>
      </c>
      <c r="J78" s="27">
        <f>PA!G77</f>
        <v>0</v>
      </c>
      <c r="K78" s="27">
        <f>SBR!G71</f>
        <v>0</v>
      </c>
      <c r="L78" s="28">
        <f t="shared" si="1"/>
        <v>0.23746563791722511</v>
      </c>
    </row>
    <row r="79" spans="1:12">
      <c r="A79" s="24" t="str">
        <f>PE_aug!A78</f>
        <v>210602_KWS_MAP_Produkt_201030_3</v>
      </c>
      <c r="B79" s="319" t="str">
        <f>PE_aug!AP78</f>
        <v>KWS, neue Schlammbehandlung</v>
      </c>
      <c r="C79" s="25"/>
      <c r="D79" s="26" t="e">
        <f>PE_aug!AF78</f>
        <v>#DIV/0!</v>
      </c>
      <c r="E79" s="27" t="str">
        <f>PE_aug!AL78</f>
        <v>n.d.</v>
      </c>
      <c r="F79" s="27">
        <f>PP!Z78</f>
        <v>0</v>
      </c>
      <c r="G79" s="27">
        <f>PS!Q78</f>
        <v>0.81465664196378906</v>
      </c>
      <c r="H79" s="27">
        <f>PMMA!G78</f>
        <v>0</v>
      </c>
      <c r="I79" s="27">
        <f>PET_aug!P78</f>
        <v>0</v>
      </c>
      <c r="J79" s="27">
        <f>PA!G78</f>
        <v>0</v>
      </c>
      <c r="K79" s="27">
        <f>SBR!G72</f>
        <v>0</v>
      </c>
      <c r="L79" s="28">
        <f t="shared" si="1"/>
        <v>0.81465664196378906</v>
      </c>
    </row>
    <row r="80" spans="1:12">
      <c r="A80" s="24" t="str">
        <f>PE_aug!A79</f>
        <v>210602_KWS_neueS_a+c_RS</v>
      </c>
      <c r="B80" s="319" t="str">
        <f>PE_aug!AP79</f>
        <v>KWS, neue Schlammbehandlung</v>
      </c>
      <c r="C80" s="25"/>
      <c r="D80" s="26" t="e">
        <f>PE_aug!AF79</f>
        <v>#DIV/0!</v>
      </c>
      <c r="E80" s="27" t="str">
        <f>PE_aug!AL79</f>
        <v>n.d.</v>
      </c>
      <c r="F80" s="27">
        <f>PP!Z79</f>
        <v>0</v>
      </c>
      <c r="G80" s="27">
        <f>PS!Q79</f>
        <v>0</v>
      </c>
      <c r="H80" s="27">
        <f>PMMA!G79</f>
        <v>0</v>
      </c>
      <c r="I80" s="27">
        <f>PET_aug!P79</f>
        <v>0</v>
      </c>
      <c r="J80" s="27">
        <f>PA!G79</f>
        <v>0</v>
      </c>
      <c r="K80" s="27">
        <f>SBR!G73</f>
        <v>0</v>
      </c>
      <c r="L80" s="28">
        <f t="shared" si="1"/>
        <v>0</v>
      </c>
    </row>
    <row r="81" spans="1:12">
      <c r="A81" s="24" t="str">
        <f>PE_aug!A80</f>
        <v>210602_Lippe_hinter_KA_2_210518_1</v>
      </c>
      <c r="B81" s="319" t="str">
        <f>PE_aug!AP80</f>
        <v>Flussproben</v>
      </c>
      <c r="C81" s="25"/>
      <c r="D81" s="26" t="e">
        <f>PE_aug!AF80</f>
        <v>#DIV/0!</v>
      </c>
      <c r="E81" s="27" t="str">
        <f>PE_aug!AL80</f>
        <v>n.d.</v>
      </c>
      <c r="F81" s="27">
        <f>PP!Z80</f>
        <v>0</v>
      </c>
      <c r="G81" s="27">
        <f>PS!Q80</f>
        <v>1.8357766065813366</v>
      </c>
      <c r="H81" s="27">
        <f>PMMA!G80</f>
        <v>0</v>
      </c>
      <c r="I81" s="27">
        <f>PET_aug!P80</f>
        <v>0</v>
      </c>
      <c r="J81" s="27">
        <f>PA!G80</f>
        <v>0</v>
      </c>
      <c r="K81" s="27">
        <f>SBR!G74</f>
        <v>0</v>
      </c>
      <c r="L81" s="28">
        <f t="shared" si="1"/>
        <v>1.8357766065813366</v>
      </c>
    </row>
    <row r="82" spans="1:12">
      <c r="A82" s="24" t="str">
        <f>PE_aug!A81</f>
        <v>210602_Lippe_hinter_KA_2_210518_2</v>
      </c>
      <c r="B82" s="319" t="str">
        <f>PE_aug!AP81</f>
        <v>Flussproben</v>
      </c>
      <c r="C82" s="25"/>
      <c r="D82" s="26">
        <f>PE_aug!AF81</f>
        <v>48.132686728301252</v>
      </c>
      <c r="E82" s="27">
        <f>PE_aug!AL81</f>
        <v>2.3510333960561138</v>
      </c>
      <c r="F82" s="27">
        <f>PP!Z81</f>
        <v>0</v>
      </c>
      <c r="G82" s="27">
        <f>PS!Q81</f>
        <v>0.775620726054431</v>
      </c>
      <c r="H82" s="27">
        <f>PMMA!G81</f>
        <v>0</v>
      </c>
      <c r="I82" s="27">
        <f>PET_aug!P81</f>
        <v>0</v>
      </c>
      <c r="J82" s="27">
        <f>PA!G81</f>
        <v>0</v>
      </c>
      <c r="K82" s="27">
        <f>SBR!G75</f>
        <v>0</v>
      </c>
      <c r="L82" s="28">
        <f t="shared" si="1"/>
        <v>3.1266541221105451</v>
      </c>
    </row>
    <row r="83" spans="1:12">
      <c r="A83" s="24" t="str">
        <f>PE_aug!A82</f>
        <v>210602_Lippe_hinter_KA_2_210518_3</v>
      </c>
      <c r="B83" s="319" t="str">
        <f>PE_aug!AP82</f>
        <v>Flussproben</v>
      </c>
      <c r="C83" s="25"/>
      <c r="D83" s="26">
        <f>PE_aug!AF82</f>
        <v>38.100860918082986</v>
      </c>
      <c r="E83" s="27">
        <f>PE_aug!AL82</f>
        <v>1.9754448714533948</v>
      </c>
      <c r="F83" s="27">
        <f>PP!Z82</f>
        <v>0</v>
      </c>
      <c r="G83" s="27">
        <f>PS!Q82</f>
        <v>0.78478748906053808</v>
      </c>
      <c r="H83" s="27">
        <f>PMMA!G82</f>
        <v>0</v>
      </c>
      <c r="I83" s="27">
        <f>PET_aug!P82</f>
        <v>0</v>
      </c>
      <c r="J83" s="27">
        <f>PA!G82</f>
        <v>0</v>
      </c>
      <c r="K83" s="27">
        <f>SBR!G76</f>
        <v>0</v>
      </c>
      <c r="L83" s="28">
        <f t="shared" si="1"/>
        <v>2.7602323605139327</v>
      </c>
    </row>
    <row r="84" spans="1:12">
      <c r="A84" s="24" t="str">
        <f>PE_aug!A83</f>
        <v>210602_Lippe_hinter_KA_2_210518_spike_PS</v>
      </c>
      <c r="B84" s="319" t="str">
        <f>PE_aug!AP83</f>
        <v>Flussproben, Methode</v>
      </c>
      <c r="C84" s="25"/>
      <c r="D84" s="26">
        <f>PE_aug!AF83</f>
        <v>2.2106631989596868</v>
      </c>
      <c r="E84" s="27">
        <f>PE_aug!AL83</f>
        <v>1.5745312237663442</v>
      </c>
      <c r="F84" s="27">
        <f>PP!Z83</f>
        <v>0</v>
      </c>
      <c r="G84" s="27">
        <f>PS!Q83</f>
        <v>107.27423870357453</v>
      </c>
      <c r="H84" s="27">
        <f>PMMA!G83</f>
        <v>0</v>
      </c>
      <c r="I84" s="27">
        <f>PET_aug!P83</f>
        <v>0</v>
      </c>
      <c r="J84" s="27">
        <f>PA!G83</f>
        <v>0</v>
      </c>
      <c r="K84" s="27">
        <f>SBR!G77</f>
        <v>0</v>
      </c>
      <c r="L84" s="28">
        <f t="shared" si="1"/>
        <v>108.84876992734087</v>
      </c>
    </row>
    <row r="85" spans="1:12">
      <c r="A85" s="24" t="str">
        <f>PE_aug!A84</f>
        <v>210602_Lippe_Vor_KA_1_210518_1</v>
      </c>
      <c r="B85" s="319" t="str">
        <f>PE_aug!AP84</f>
        <v>Flussproben</v>
      </c>
      <c r="C85" s="25"/>
      <c r="D85" s="26">
        <f>PE_aug!AF84</f>
        <v>43.483965014577244</v>
      </c>
      <c r="E85" s="27">
        <f>PE_aug!AL84</f>
        <v>5.1521615044912439</v>
      </c>
      <c r="F85" s="27">
        <f>PP!Z84</f>
        <v>0.44086279929101452</v>
      </c>
      <c r="G85" s="27">
        <f>PS!Q84</f>
        <v>1.4172199357106379</v>
      </c>
      <c r="H85" s="27">
        <f>PMMA!G84</f>
        <v>0.67068224832517198</v>
      </c>
      <c r="I85" s="27">
        <f>PET_aug!P84</f>
        <v>7.6193408838285217</v>
      </c>
      <c r="J85" s="27">
        <f>PA!G84</f>
        <v>0</v>
      </c>
      <c r="K85" s="27">
        <f>SBR!G78</f>
        <v>0</v>
      </c>
      <c r="L85" s="28">
        <f t="shared" si="1"/>
        <v>15.300267371646591</v>
      </c>
    </row>
    <row r="86" spans="1:12">
      <c r="A86" s="24" t="str">
        <f>PE_aug!A85</f>
        <v>210602_Lippe_Vor_KA_1_210518_2</v>
      </c>
      <c r="B86" s="319" t="str">
        <f>PE_aug!AP85</f>
        <v>Flussproben</v>
      </c>
      <c r="C86" s="25"/>
      <c r="D86" s="26">
        <f>PE_aug!AF85</f>
        <v>26.916400082664175</v>
      </c>
      <c r="E86" s="27">
        <f>PE_aug!AL85</f>
        <v>5.0309001291608029</v>
      </c>
      <c r="F86" s="27">
        <f>PP!Z85</f>
        <v>0</v>
      </c>
      <c r="G86" s="27">
        <f>PS!Q85</f>
        <v>1.3918090041875901</v>
      </c>
      <c r="H86" s="27">
        <f>PMMA!G85</f>
        <v>0.77583360845163418</v>
      </c>
      <c r="I86" s="27">
        <f>PET_aug!P85</f>
        <v>8.3178398290212154</v>
      </c>
      <c r="J86" s="27">
        <f>PA!G85</f>
        <v>0</v>
      </c>
      <c r="K86" s="27">
        <f>SBR!G79</f>
        <v>0</v>
      </c>
      <c r="L86" s="28">
        <f t="shared" si="1"/>
        <v>15.516382570821243</v>
      </c>
    </row>
    <row r="87" spans="1:12">
      <c r="A87" s="24" t="str">
        <f>PE_aug!A86</f>
        <v>210602_Lippe_Vor_KA_1_210518_3</v>
      </c>
      <c r="B87" s="319" t="str">
        <f>PE_aug!AP86</f>
        <v>Flussproben</v>
      </c>
      <c r="C87" s="25"/>
      <c r="D87" s="26">
        <f>PE_aug!AF86</f>
        <v>32.186630960964081</v>
      </c>
      <c r="E87" s="27">
        <f>PE_aug!AL86</f>
        <v>3.5438574718853002</v>
      </c>
      <c r="F87" s="27">
        <f>PP!Z86</f>
        <v>0</v>
      </c>
      <c r="G87" s="27">
        <f>PS!Q86</f>
        <v>0.9789500195278994</v>
      </c>
      <c r="H87" s="27">
        <f>PMMA!G86</f>
        <v>0.67015370464325996</v>
      </c>
      <c r="I87" s="27">
        <f>PET_aug!P86</f>
        <v>6.7540981213065807</v>
      </c>
      <c r="J87" s="27">
        <f>PA!G86</f>
        <v>0</v>
      </c>
      <c r="K87" s="27">
        <f>SBR!G80</f>
        <v>0</v>
      </c>
      <c r="L87" s="28">
        <f t="shared" si="1"/>
        <v>11.94705931736304</v>
      </c>
    </row>
    <row r="88" spans="1:12">
      <c r="A88" s="24" t="str">
        <f>PE_aug!A87</f>
        <v>210602_Lippe_Vor_KA_1_210518_spike_PE</v>
      </c>
      <c r="B88" s="319" t="str">
        <f>PE_aug!AP87</f>
        <v>Flussproben, Methode</v>
      </c>
      <c r="C88" s="25"/>
      <c r="D88" s="26">
        <f>PE_aug!AF87</f>
        <v>39.411684134980653</v>
      </c>
      <c r="E88" s="27">
        <f>PE_aug!AL87</f>
        <v>216.81984688005889</v>
      </c>
      <c r="F88" s="27">
        <f>PP!Z87</f>
        <v>1.9946577492063555</v>
      </c>
      <c r="G88" s="27">
        <f>PS!Q87</f>
        <v>2.0208939158329593</v>
      </c>
      <c r="H88" s="27">
        <f>PMMA!G87</f>
        <v>1.754986821644412</v>
      </c>
      <c r="I88" s="27">
        <f>PET_aug!P87</f>
        <v>19.594161956565671</v>
      </c>
      <c r="J88" s="27">
        <f>PA!G87</f>
        <v>0</v>
      </c>
      <c r="K88" s="27">
        <f>SBR!G81</f>
        <v>0</v>
      </c>
      <c r="L88" s="28">
        <f t="shared" si="1"/>
        <v>242.18454732330832</v>
      </c>
    </row>
    <row r="89" spans="1:12">
      <c r="A89" s="24" t="str">
        <f>PE_aug!A88</f>
        <v>210602_MW2_15Uhr_autom_PN_210518_1</v>
      </c>
      <c r="B89" s="319" t="str">
        <f>PE_aug!AP88</f>
        <v>Mischwasserüberlauf</v>
      </c>
      <c r="C89" s="25"/>
      <c r="D89" s="26">
        <f>PE_aug!AF88</f>
        <v>63.465866098321541</v>
      </c>
      <c r="E89" s="27">
        <f>PE_aug!AL88</f>
        <v>4.3907281637541162</v>
      </c>
      <c r="F89" s="27">
        <f>PP!Z88</f>
        <v>0</v>
      </c>
      <c r="G89" s="27">
        <f>PS!Q88</f>
        <v>1.1774160508028553</v>
      </c>
      <c r="H89" s="27">
        <f>PMMA!G88</f>
        <v>1.0790879437764926</v>
      </c>
      <c r="I89" s="27">
        <f>PET_aug!P88</f>
        <v>13.934857629095037</v>
      </c>
      <c r="J89" s="27">
        <f>PA!G88</f>
        <v>0</v>
      </c>
      <c r="K89" s="27">
        <f>SBR!G82</f>
        <v>0</v>
      </c>
      <c r="L89" s="28">
        <f t="shared" si="1"/>
        <v>20.582089787428501</v>
      </c>
    </row>
    <row r="90" spans="1:12">
      <c r="A90" s="24" t="str">
        <f>PE_aug!A89</f>
        <v>210602_MW2_15Uhr_autom_PN_210518_2</v>
      </c>
      <c r="B90" s="319" t="str">
        <f>PE_aug!AP89</f>
        <v>Mischwasserüberlauf</v>
      </c>
      <c r="C90" s="25"/>
      <c r="D90" s="26">
        <f>PE_aug!AF89</f>
        <v>0</v>
      </c>
      <c r="E90" s="27" t="str">
        <f>PE_aug!AL89</f>
        <v>n.d.</v>
      </c>
      <c r="F90" s="27">
        <f>PP!Z89</f>
        <v>0</v>
      </c>
      <c r="G90" s="27">
        <f>PS!Q89</f>
        <v>1.4750475591091785</v>
      </c>
      <c r="H90" s="27">
        <f>PMMA!G89</f>
        <v>1.4518043854504883</v>
      </c>
      <c r="I90" s="27">
        <f>PET_aug!P89</f>
        <v>17.130218986454594</v>
      </c>
      <c r="J90" s="27">
        <f>PA!G89</f>
        <v>0</v>
      </c>
      <c r="K90" s="27">
        <f>SBR!G83</f>
        <v>0</v>
      </c>
      <c r="L90" s="28">
        <f t="shared" si="1"/>
        <v>20.057070931014259</v>
      </c>
    </row>
    <row r="91" spans="1:12">
      <c r="A91" s="24" t="str">
        <f>PE_aug!A90</f>
        <v>210602_MW2_15Uhr_autom_PN_210518_3</v>
      </c>
      <c r="B91" s="319" t="str">
        <f>PE_aug!AP90</f>
        <v>Mischwasserüberlauf</v>
      </c>
      <c r="C91" s="25"/>
      <c r="D91" s="26">
        <f>PE_aug!AF90</f>
        <v>26.830188679245282</v>
      </c>
      <c r="E91" s="27">
        <f>PE_aug!AL90</f>
        <v>5.316075813259296</v>
      </c>
      <c r="F91" s="27">
        <f>PP!Z90</f>
        <v>0</v>
      </c>
      <c r="G91" s="27">
        <f>PS!Q90</f>
        <v>1.7031503265876009</v>
      </c>
      <c r="H91" s="27">
        <f>PMMA!G90</f>
        <v>0</v>
      </c>
      <c r="I91" s="27">
        <f>PET_aug!P90</f>
        <v>18.26523406782109</v>
      </c>
      <c r="J91" s="27">
        <f>PA!G90</f>
        <v>0</v>
      </c>
      <c r="K91" s="27">
        <f>SBR!G84</f>
        <v>0</v>
      </c>
      <c r="L91" s="28">
        <f t="shared" si="1"/>
        <v>25.284460207667987</v>
      </c>
    </row>
    <row r="92" spans="1:12">
      <c r="A92" s="24" t="str">
        <f>PE_aug!A91</f>
        <v>210602_PW_neueS_SchaleC_1</v>
      </c>
      <c r="B92" s="319" t="str">
        <f>PE_aug!AP91</f>
        <v>KWS, neue Schlammbehandlung</v>
      </c>
      <c r="C92" s="25"/>
      <c r="D92" s="26">
        <f>PE_aug!AF91</f>
        <v>0</v>
      </c>
      <c r="E92" s="27" t="str">
        <f>PE_aug!AL91</f>
        <v>n.d.</v>
      </c>
      <c r="F92" s="27">
        <f>PP!Z91</f>
        <v>0</v>
      </c>
      <c r="G92" s="27">
        <f>PS!Q91</f>
        <v>0.77320764481154336</v>
      </c>
      <c r="H92" s="27">
        <f>PMMA!G91</f>
        <v>0</v>
      </c>
      <c r="I92" s="27">
        <f>PET_aug!P91</f>
        <v>0</v>
      </c>
      <c r="J92" s="27">
        <f>PA!G91</f>
        <v>0</v>
      </c>
      <c r="K92" s="27">
        <f>SBR!G85</f>
        <v>0</v>
      </c>
      <c r="L92" s="28">
        <f t="shared" si="1"/>
        <v>0.77320764481154336</v>
      </c>
    </row>
    <row r="93" spans="1:12">
      <c r="A93" s="24" t="str">
        <f>PE_aug!A92</f>
        <v>210602_PW_neueS_SchaleC_2</v>
      </c>
      <c r="B93" s="319" t="str">
        <f>PE_aug!AP92</f>
        <v>KWS, neue Schlammbehandlung</v>
      </c>
      <c r="C93" s="25"/>
      <c r="D93" s="26">
        <f>PE_aug!AF92</f>
        <v>0</v>
      </c>
      <c r="E93" s="27" t="str">
        <f>PE_aug!AL92</f>
        <v>n.d.</v>
      </c>
      <c r="F93" s="27">
        <f>PP!Z92</f>
        <v>0</v>
      </c>
      <c r="G93" s="27">
        <f>PS!Q92</f>
        <v>0.84520875765448433</v>
      </c>
      <c r="H93" s="27">
        <f>PMMA!G92</f>
        <v>0</v>
      </c>
      <c r="I93" s="27">
        <f>PET_aug!P92</f>
        <v>0</v>
      </c>
      <c r="J93" s="27">
        <f>PA!G92</f>
        <v>0</v>
      </c>
      <c r="K93" s="27">
        <f>SBR!G86</f>
        <v>0</v>
      </c>
      <c r="L93" s="28">
        <f t="shared" si="1"/>
        <v>0.84520875765448433</v>
      </c>
    </row>
    <row r="94" spans="1:12">
      <c r="A94" s="24" t="str">
        <f>PE_aug!A93</f>
        <v>210602_PW_neueS_SchaleC_3</v>
      </c>
      <c r="B94" s="319" t="str">
        <f>PE_aug!AP93</f>
        <v>KWS, neue Schlammbehandlung</v>
      </c>
      <c r="C94" s="25"/>
      <c r="D94" s="26">
        <f>PE_aug!AF93</f>
        <v>0</v>
      </c>
      <c r="E94" s="27" t="str">
        <f>PE_aug!AL93</f>
        <v>n.d.</v>
      </c>
      <c r="F94" s="27">
        <f>PP!Z93</f>
        <v>0</v>
      </c>
      <c r="G94" s="27">
        <f>PS!Q93</f>
        <v>0.92347404259106791</v>
      </c>
      <c r="H94" s="27">
        <f>PMMA!G93</f>
        <v>0</v>
      </c>
      <c r="I94" s="27">
        <f>PET_aug!P93</f>
        <v>0</v>
      </c>
      <c r="J94" s="27">
        <f>PA!G93</f>
        <v>0</v>
      </c>
      <c r="K94" s="27">
        <f>SBR!G87</f>
        <v>0</v>
      </c>
      <c r="L94" s="28">
        <f t="shared" si="1"/>
        <v>0.92347404259106791</v>
      </c>
    </row>
    <row r="95" spans="1:12">
      <c r="A95" s="24" t="str">
        <f>PE_aug!A94</f>
        <v>210602_Standard_PE_RM</v>
      </c>
      <c r="B95" s="319" t="str">
        <f>PE_aug!AP94</f>
        <v>Methode</v>
      </c>
      <c r="C95" s="25"/>
      <c r="D95" s="26">
        <f>PE_aug!AF94</f>
        <v>11.690622792072739</v>
      </c>
      <c r="E95" s="27">
        <f>PE_aug!AL94</f>
        <v>304.15403687540754</v>
      </c>
      <c r="F95" s="27">
        <f>PP!Z94</f>
        <v>0</v>
      </c>
      <c r="G95" s="27">
        <f>PS!Q94</f>
        <v>73.57166913888112</v>
      </c>
      <c r="H95" s="27">
        <f>PMMA!G94</f>
        <v>0</v>
      </c>
      <c r="I95" s="27">
        <f>PET_aug!P94</f>
        <v>0</v>
      </c>
      <c r="J95" s="27">
        <f>PA!G94</f>
        <v>0</v>
      </c>
      <c r="K95" s="27">
        <f>SBR!G88</f>
        <v>0</v>
      </c>
      <c r="L95" s="28">
        <f t="shared" si="1"/>
        <v>377.72570601428868</v>
      </c>
    </row>
    <row r="96" spans="1:12">
      <c r="A96" s="24" t="str">
        <f>PE_aug!A95</f>
        <v>210607_E-FS_20102728_PS_PET</v>
      </c>
      <c r="B96" s="319" t="str">
        <f>PE_aug!AP95</f>
        <v>Methode</v>
      </c>
      <c r="C96" s="25"/>
      <c r="D96" s="26">
        <f>PE_aug!AF95</f>
        <v>13.188185081940548</v>
      </c>
      <c r="E96" s="27">
        <f>PE_aug!AL95</f>
        <v>5.2768927325140345</v>
      </c>
      <c r="F96" s="27">
        <f>PP!Z95</f>
        <v>0</v>
      </c>
      <c r="G96" s="27">
        <f>PS!Q95</f>
        <v>26.885146411773629</v>
      </c>
      <c r="H96" s="27">
        <f>PMMA!G95</f>
        <v>0</v>
      </c>
      <c r="I96" s="27">
        <f>PET_aug!P95</f>
        <v>174.77469276285845</v>
      </c>
      <c r="J96" s="27">
        <f>PA!G95</f>
        <v>0</v>
      </c>
      <c r="K96" s="27">
        <f>SBR!G89</f>
        <v>0</v>
      </c>
      <c r="L96" s="28">
        <f t="shared" si="1"/>
        <v>206.93673190714611</v>
      </c>
    </row>
    <row r="97" spans="1:12">
      <c r="A97" s="24" t="str">
        <f>PE_aug!A96</f>
        <v>210607_GWI_Algen_kl630µm_1</v>
      </c>
      <c r="B97" s="319" t="str">
        <f>PE_aug!AP96</f>
        <v>Algen</v>
      </c>
      <c r="D97" s="26">
        <f>PE_aug!AF96</f>
        <v>0</v>
      </c>
      <c r="E97" s="27">
        <f>PE_aug!AL96</f>
        <v>1.4513002761528755</v>
      </c>
      <c r="F97" s="27">
        <f>PP!Z96</f>
        <v>0</v>
      </c>
      <c r="G97" s="27">
        <f>PS!Q96</f>
        <v>1.1652916997605645</v>
      </c>
      <c r="H97" s="27">
        <f>PMMA!G96</f>
        <v>0</v>
      </c>
      <c r="I97" s="27">
        <f>PET_aug!P96</f>
        <v>18.142219697101456</v>
      </c>
      <c r="J97" s="27">
        <f>PA!G96</f>
        <v>0</v>
      </c>
      <c r="K97" s="27">
        <f>SBR!G90</f>
        <v>0</v>
      </c>
      <c r="L97" s="28">
        <f t="shared" si="1"/>
        <v>20.758811673014897</v>
      </c>
    </row>
    <row r="98" spans="1:12">
      <c r="A98" s="24" t="str">
        <f>PE_aug!A97</f>
        <v>210607_GWI_Algen_kl630µm_2</v>
      </c>
      <c r="B98" s="319" t="str">
        <f>PE_aug!AP97</f>
        <v>Algen</v>
      </c>
      <c r="D98" s="26">
        <f>PE_aug!AF97</f>
        <v>12.807859030529285</v>
      </c>
      <c r="E98" s="27">
        <f>PE_aug!AL97</f>
        <v>2.2056049951845549</v>
      </c>
      <c r="F98" s="27">
        <f>PP!Z97</f>
        <v>0</v>
      </c>
      <c r="G98" s="27">
        <f>PS!Q97</f>
        <v>0.72022999662541243</v>
      </c>
      <c r="H98" s="27">
        <f>PMMA!G97</f>
        <v>0</v>
      </c>
      <c r="I98" s="27">
        <f>PET_aug!P97</f>
        <v>11.621459515084883</v>
      </c>
      <c r="J98" s="27">
        <f>PA!G97</f>
        <v>0</v>
      </c>
      <c r="K98" s="27">
        <f>SBR!G91</f>
        <v>0</v>
      </c>
      <c r="L98" s="28">
        <f t="shared" si="1"/>
        <v>14.54729450689485</v>
      </c>
    </row>
    <row r="99" spans="1:12">
      <c r="A99" s="24" t="str">
        <f>PE_aug!A98</f>
        <v>210607_GWI_Algen_Sand_kl630µm_1</v>
      </c>
      <c r="B99" s="319" t="str">
        <f>PE_aug!AP98</f>
        <v>Algen</v>
      </c>
      <c r="D99" s="26">
        <f>PE_aug!AF98</f>
        <v>60.4654944152662</v>
      </c>
      <c r="E99" s="27">
        <f>PE_aug!AL98</f>
        <v>1.1545187546334446</v>
      </c>
      <c r="F99" s="27">
        <f>PP!Z98</f>
        <v>0</v>
      </c>
      <c r="G99" s="27">
        <f>PS!Q98</f>
        <v>0.31255569820035078</v>
      </c>
      <c r="H99" s="27">
        <f>PMMA!G98</f>
        <v>0</v>
      </c>
      <c r="I99" s="27">
        <f>PET_aug!P98</f>
        <v>4.6402897210504968</v>
      </c>
      <c r="J99" s="27">
        <f>PA!G98</f>
        <v>0</v>
      </c>
      <c r="K99" s="27">
        <f>SBR!G92</f>
        <v>0</v>
      </c>
      <c r="L99" s="28">
        <f t="shared" si="1"/>
        <v>6.1073641738842923</v>
      </c>
    </row>
    <row r="100" spans="1:12">
      <c r="A100" s="24" t="str">
        <f>PE_aug!A99</f>
        <v>210607_GWI_Algen_Sand_kl630µm_2</v>
      </c>
      <c r="B100" s="319" t="str">
        <f>PE_aug!AP99</f>
        <v>Algen</v>
      </c>
      <c r="D100" s="26">
        <f>PE_aug!AF99</f>
        <v>43.561973525872418</v>
      </c>
      <c r="E100" s="27">
        <f>PE_aug!AL99</f>
        <v>1.1869648124209939</v>
      </c>
      <c r="F100" s="27">
        <f>PP!Z99</f>
        <v>0</v>
      </c>
      <c r="G100" s="27">
        <f>PS!Q99</f>
        <v>0.4256504381485634</v>
      </c>
      <c r="H100" s="27">
        <f>PMMA!G99</f>
        <v>0</v>
      </c>
      <c r="I100" s="27">
        <f>PET_aug!P99</f>
        <v>6.2197813185165085</v>
      </c>
      <c r="J100" s="27">
        <f>PA!G99</f>
        <v>0</v>
      </c>
      <c r="K100" s="27" t="e">
        <f>SBR!#REF!</f>
        <v>#REF!</v>
      </c>
      <c r="L100" s="28">
        <f t="shared" si="1"/>
        <v>7.8323965690860664</v>
      </c>
    </row>
    <row r="101" spans="1:12">
      <c r="A101" s="24" t="str">
        <f>PE_aug!A100</f>
        <v>210607_KWS_E-FS_20102728_1</v>
      </c>
      <c r="B101" s="319" t="str">
        <f>PE_aug!AP100</f>
        <v>KWS</v>
      </c>
      <c r="D101" s="26">
        <f>PE_aug!AF100</f>
        <v>58.290475787582118</v>
      </c>
      <c r="E101" s="27">
        <f>PE_aug!AL100</f>
        <v>11.657943884642112</v>
      </c>
      <c r="F101" s="27">
        <f>PP!Z100</f>
        <v>0</v>
      </c>
      <c r="G101" s="27">
        <f>PS!Q100</f>
        <v>1.8513290479499653</v>
      </c>
      <c r="H101" s="27">
        <f>PMMA!G100</f>
        <v>0</v>
      </c>
      <c r="I101" s="27">
        <f>PET_aug!P100</f>
        <v>24.352306289089643</v>
      </c>
      <c r="J101" s="27">
        <f>PA!G100</f>
        <v>0</v>
      </c>
      <c r="K101" s="27" t="e">
        <f>SBR!#REF!</f>
        <v>#REF!</v>
      </c>
      <c r="L101" s="28">
        <f t="shared" si="1"/>
        <v>37.861579221681723</v>
      </c>
    </row>
    <row r="102" spans="1:12">
      <c r="A102" s="24" t="str">
        <f>PE_aug!A101</f>
        <v>210607_KWS_E-UESS_200618_1</v>
      </c>
      <c r="B102" s="319" t="str">
        <f>PE_aug!AP101</f>
        <v>KWS</v>
      </c>
      <c r="D102" s="26">
        <f>PE_aug!AF101</f>
        <v>32.377283364177451</v>
      </c>
      <c r="E102" s="27">
        <f>PE_aug!AL101</f>
        <v>7.5279620185546881</v>
      </c>
      <c r="F102" s="27">
        <f>PP!Z101</f>
        <v>0</v>
      </c>
      <c r="G102" s="27">
        <f>PS!Q101</f>
        <v>1.5261204848522991</v>
      </c>
      <c r="H102" s="27">
        <f>PMMA!G101</f>
        <v>0</v>
      </c>
      <c r="I102" s="27">
        <f>PET_aug!P101</f>
        <v>0</v>
      </c>
      <c r="J102" s="27">
        <f>PA!G101</f>
        <v>0</v>
      </c>
      <c r="K102" s="27" t="e">
        <f>SBR!#REF!</f>
        <v>#REF!</v>
      </c>
      <c r="L102" s="28">
        <f t="shared" si="1"/>
        <v>9.0540825034069865</v>
      </c>
    </row>
    <row r="103" spans="1:12">
      <c r="A103" s="24" t="str">
        <f>PE_aug!A102</f>
        <v>210607_KWS_E-UESS_200618_2</v>
      </c>
      <c r="B103" s="319" t="str">
        <f>PE_aug!AP102</f>
        <v>KWS</v>
      </c>
      <c r="D103" s="26">
        <f>PE_aug!AF102</f>
        <v>23.641323696062496</v>
      </c>
      <c r="E103" s="27">
        <f>PE_aug!AL102</f>
        <v>7.0839875944284314</v>
      </c>
      <c r="F103" s="27">
        <f>PP!Z102</f>
        <v>0</v>
      </c>
      <c r="G103" s="27">
        <f>PS!Q102</f>
        <v>1.5397595443999159</v>
      </c>
      <c r="H103" s="27">
        <f>PMMA!G102</f>
        <v>0</v>
      </c>
      <c r="I103" s="27">
        <f>PET_aug!P102</f>
        <v>20.119993437858867</v>
      </c>
      <c r="J103" s="27">
        <f>PA!G102</f>
        <v>0</v>
      </c>
      <c r="K103" s="27" t="e">
        <f>SBR!#REF!</f>
        <v>#REF!</v>
      </c>
      <c r="L103" s="28">
        <f t="shared" si="1"/>
        <v>28.743740576687216</v>
      </c>
    </row>
    <row r="104" spans="1:12">
      <c r="A104" s="24" t="str">
        <f>PE_aug!A103</f>
        <v>210607_Muenchehofe_Zul_Mec_191023-24_1</v>
      </c>
      <c r="B104" s="319" t="str">
        <f>PE_aug!AP103</f>
        <v>Münchehofe</v>
      </c>
      <c r="D104" s="26">
        <f>PE_aug!AF103</f>
        <v>58.746096871369993</v>
      </c>
      <c r="E104" s="27">
        <f>PE_aug!AL103</f>
        <v>5.4871037863358065</v>
      </c>
      <c r="F104" s="27">
        <f>PP!Z103</f>
        <v>0</v>
      </c>
      <c r="G104" s="27">
        <f>PS!Q103</f>
        <v>1.4686921912663264</v>
      </c>
      <c r="H104" s="27">
        <f>PMMA!G103</f>
        <v>0</v>
      </c>
      <c r="I104" s="27">
        <f>PET_aug!P103</f>
        <v>0</v>
      </c>
      <c r="J104" s="27">
        <f>PA!G103</f>
        <v>0</v>
      </c>
      <c r="K104" s="27" t="e">
        <f>SBR!#REF!</f>
        <v>#REF!</v>
      </c>
      <c r="L104" s="28">
        <f t="shared" si="1"/>
        <v>6.9557959776021328</v>
      </c>
    </row>
    <row r="105" spans="1:12">
      <c r="A105" s="24" t="str">
        <f>PE_aug!A104</f>
        <v>210607_Muenchehofe_Zul_Mec_191023-24_2</v>
      </c>
      <c r="B105" s="319" t="str">
        <f>PE_aug!AP104</f>
        <v>Münchehofe</v>
      </c>
      <c r="D105" s="26">
        <f>PE_aug!AF104</f>
        <v>40.898039460081385</v>
      </c>
      <c r="E105" s="27">
        <f>PE_aug!AL104</f>
        <v>5.0014538834790532</v>
      </c>
      <c r="F105" s="27">
        <f>PP!Z104</f>
        <v>0</v>
      </c>
      <c r="G105" s="27">
        <f>PS!Q104</f>
        <v>1.5647006562839494</v>
      </c>
      <c r="H105" s="27">
        <f>PMMA!G104</f>
        <v>0</v>
      </c>
      <c r="I105" s="27">
        <f>PET_aug!P104</f>
        <v>0</v>
      </c>
      <c r="J105" s="27">
        <f>PA!G104</f>
        <v>0</v>
      </c>
      <c r="K105" s="27" t="e">
        <f>SBR!#REF!</f>
        <v>#REF!</v>
      </c>
      <c r="L105" s="28">
        <f t="shared" si="1"/>
        <v>6.5661545397630023</v>
      </c>
    </row>
    <row r="106" spans="1:12">
      <c r="A106" s="24" t="str">
        <f>PE_aug!A105</f>
        <v>210607_Spree_Gotzkowsky_A1_20063-6_1</v>
      </c>
      <c r="B106" s="319" t="str">
        <f>PE_aug!AP105</f>
        <v>Flussproben Spree</v>
      </c>
      <c r="D106" s="26">
        <f>PE_aug!AF105</f>
        <v>61.425857338176115</v>
      </c>
      <c r="E106" s="27">
        <f>PE_aug!AL105</f>
        <v>6.2328790260556968</v>
      </c>
      <c r="F106" s="27">
        <f>PP!Z105</f>
        <v>1.3563228684755684</v>
      </c>
      <c r="G106" s="27">
        <f>PS!Q105</f>
        <v>0.99809337063319414</v>
      </c>
      <c r="H106" s="27">
        <f>PMMA!G105</f>
        <v>0</v>
      </c>
      <c r="I106" s="27">
        <f>PET_aug!P105</f>
        <v>0</v>
      </c>
      <c r="J106" s="27">
        <f>PA!G105</f>
        <v>0</v>
      </c>
      <c r="K106" s="27" t="e">
        <f>SBR!#REF!</f>
        <v>#REF!</v>
      </c>
      <c r="L106" s="28">
        <f t="shared" si="1"/>
        <v>8.5872952651644585</v>
      </c>
    </row>
    <row r="107" spans="1:12">
      <c r="A107" s="24" t="str">
        <f>PE_aug!A106</f>
        <v>210607_Spree_Gotzkowsky_A1_20063-6_2</v>
      </c>
      <c r="B107" s="319" t="str">
        <f>PE_aug!AP106</f>
        <v>Flussproben Spree</v>
      </c>
      <c r="D107" s="26">
        <f>PE_aug!AF106</f>
        <v>56.693833228578129</v>
      </c>
      <c r="E107" s="27">
        <f>PE_aug!AL106</f>
        <v>7.4100698847330948</v>
      </c>
      <c r="F107" s="27">
        <f>PP!Z106</f>
        <v>1.2880528568840752</v>
      </c>
      <c r="G107" s="27">
        <f>PS!Q106</f>
        <v>0.82660386892560567</v>
      </c>
      <c r="H107" s="27">
        <f>PMMA!G106</f>
        <v>0</v>
      </c>
      <c r="I107" s="27">
        <f>PET_aug!P106</f>
        <v>0</v>
      </c>
      <c r="J107" s="27">
        <f>PA!G106</f>
        <v>0</v>
      </c>
      <c r="K107" s="27" t="e">
        <f>SBR!#REF!</f>
        <v>#REF!</v>
      </c>
      <c r="L107" s="28">
        <f t="shared" si="1"/>
        <v>9.5247266105427748</v>
      </c>
    </row>
    <row r="108" spans="1:12">
      <c r="A108" s="24" t="str">
        <f>PE_aug!A107</f>
        <v>210607_Spree_Gotzkowsky_A1_20063-6_spike_PE_PP</v>
      </c>
      <c r="B108" s="319" t="str">
        <f>PE_aug!AP107</f>
        <v>Methode</v>
      </c>
      <c r="D108" s="26">
        <f>PE_aug!AF107</f>
        <v>28.616962660629735</v>
      </c>
      <c r="E108" s="27">
        <f>PE_aug!AL107</f>
        <v>132.96686227785378</v>
      </c>
      <c r="F108" s="27">
        <f>PP!Z107</f>
        <v>6.0205057098514034</v>
      </c>
      <c r="G108" s="27">
        <f>PS!Q107</f>
        <v>4.5575259794134695</v>
      </c>
      <c r="H108" s="27">
        <f>PMMA!G107</f>
        <v>0</v>
      </c>
      <c r="I108" s="27">
        <f>PET_aug!P107</f>
        <v>49.810766065942055</v>
      </c>
      <c r="J108" s="27">
        <f>PA!G107</f>
        <v>0</v>
      </c>
      <c r="K108" s="27" t="e">
        <f>SBR!#REF!</f>
        <v>#REF!</v>
      </c>
      <c r="L108" s="28">
        <f t="shared" si="1"/>
        <v>193.3556600330607</v>
      </c>
    </row>
    <row r="109" spans="1:12">
      <c r="A109" s="24" t="str">
        <f>PE_aug!A108</f>
        <v>210607_Spree_Gotzkowsky_A2_20063-6_1</v>
      </c>
      <c r="B109" s="319" t="str">
        <f>PE_aug!AP108</f>
        <v>Flussproben Spree</v>
      </c>
      <c r="D109" s="26">
        <f>PE_aug!AF108</f>
        <v>46.811216607528962</v>
      </c>
      <c r="E109" s="27">
        <f>PE_aug!AL108</f>
        <v>10.414227356698669</v>
      </c>
      <c r="F109" s="27">
        <f>PP!Z108</f>
        <v>1.4167512294122238</v>
      </c>
      <c r="G109" s="27">
        <f>PS!Q108</f>
        <v>0.98509093747560683</v>
      </c>
      <c r="H109" s="27">
        <f>PMMA!G108</f>
        <v>0</v>
      </c>
      <c r="I109" s="27">
        <f>PET_aug!P108</f>
        <v>0</v>
      </c>
      <c r="J109" s="27">
        <f>PA!G108</f>
        <v>0</v>
      </c>
      <c r="K109" s="27" t="e">
        <f>SBR!#REF!</f>
        <v>#REF!</v>
      </c>
      <c r="L109" s="28">
        <f t="shared" si="1"/>
        <v>12.816069523586499</v>
      </c>
    </row>
    <row r="110" spans="1:12">
      <c r="A110" s="24" t="str">
        <f>PE_aug!A109</f>
        <v>210607_Spree_Gotzkowsky_A2_20063-6_2</v>
      </c>
      <c r="B110" s="319" t="str">
        <f>PE_aug!AP109</f>
        <v>Flussproben Spree</v>
      </c>
      <c r="D110" s="26">
        <f>PE_aug!AF109</f>
        <v>63.038649429875058</v>
      </c>
      <c r="E110" s="27">
        <f>PE_aug!AL109</f>
        <v>9.1635529036719152</v>
      </c>
      <c r="F110" s="27">
        <f>PP!Z109</f>
        <v>0.9122162309562688</v>
      </c>
      <c r="G110" s="27">
        <f>PS!Q109</f>
        <v>1.1340481732410079</v>
      </c>
      <c r="H110" s="27">
        <f>PMMA!G109</f>
        <v>0</v>
      </c>
      <c r="I110" s="27">
        <f>PET_aug!P109</f>
        <v>0</v>
      </c>
      <c r="J110" s="27">
        <f>PA!G109</f>
        <v>0</v>
      </c>
      <c r="K110" s="27" t="e">
        <f>SBR!#REF!</f>
        <v>#REF!</v>
      </c>
      <c r="L110" s="28">
        <f t="shared" si="1"/>
        <v>11.209817307869191</v>
      </c>
    </row>
    <row r="111" spans="1:12">
      <c r="A111" s="24" t="str">
        <f>PE_aug!A110</f>
        <v>210616_Hamm_Abl_SF_21051819_1</v>
      </c>
      <c r="B111" s="319" t="str">
        <f>PE_aug!AP110</f>
        <v>Kläranlage</v>
      </c>
      <c r="D111" s="26">
        <f>PE_aug!AF110</f>
        <v>22.939384903727351</v>
      </c>
      <c r="E111" s="27">
        <f>PE_aug!AL110</f>
        <v>25.896670269887117</v>
      </c>
      <c r="F111" s="27">
        <f>PP!Z110</f>
        <v>2.8192615760840667</v>
      </c>
      <c r="G111" s="27">
        <f>PS!Q110</f>
        <v>1.1717850117843025</v>
      </c>
      <c r="H111" s="27">
        <f>PMMA!G110</f>
        <v>0</v>
      </c>
      <c r="I111" s="27">
        <f>PET_aug!P110</f>
        <v>0</v>
      </c>
      <c r="J111" s="27">
        <f>PA!G110</f>
        <v>0</v>
      </c>
      <c r="K111" s="27" t="e">
        <f>SBR!#REF!</f>
        <v>#REF!</v>
      </c>
      <c r="L111" s="28">
        <f t="shared" si="1"/>
        <v>29.887716857755485</v>
      </c>
    </row>
    <row r="112" spans="1:12">
      <c r="A112" s="24" t="str">
        <f>PE_aug!A111</f>
        <v>210616_Hamm_Abl_SF_21051819_2</v>
      </c>
      <c r="B112" s="319" t="str">
        <f>PE_aug!AP111</f>
        <v>Kläranlage</v>
      </c>
      <c r="D112" s="26">
        <f>PE_aug!AF111</f>
        <v>32.758925340327139</v>
      </c>
      <c r="E112" s="27">
        <f>PE_aug!AL111</f>
        <v>18.528292298163606</v>
      </c>
      <c r="F112" s="27">
        <f>PP!Z111</f>
        <v>2.8607274633012705</v>
      </c>
      <c r="G112" s="27">
        <f>PS!Q111</f>
        <v>0.89834465307591727</v>
      </c>
      <c r="H112" s="27">
        <f>PMMA!G111</f>
        <v>0</v>
      </c>
      <c r="I112" s="27">
        <f>PET_aug!P111</f>
        <v>0</v>
      </c>
      <c r="J112" s="27">
        <f>PA!G111</f>
        <v>0</v>
      </c>
      <c r="K112" s="27" t="e">
        <f>SBR!#REF!</f>
        <v>#REF!</v>
      </c>
      <c r="L112" s="28">
        <f t="shared" si="1"/>
        <v>22.287364414540793</v>
      </c>
    </row>
    <row r="113" spans="1:12">
      <c r="A113" s="24" t="str">
        <f>PE_aug!A112</f>
        <v>210616_Hamm_Abl_SF_21051819_3</v>
      </c>
      <c r="B113" s="319" t="str">
        <f>PE_aug!AP112</f>
        <v>Kläranlage</v>
      </c>
      <c r="D113" s="26">
        <f>PE_aug!AF112</f>
        <v>18.598713476193687</v>
      </c>
      <c r="E113" s="27">
        <f>PE_aug!AL112</f>
        <v>27.74577313526213</v>
      </c>
      <c r="F113" s="27">
        <f>PP!Z112</f>
        <v>2.3067909074605892</v>
      </c>
      <c r="G113" s="27">
        <f>PS!Q112</f>
        <v>1.1386555757273515</v>
      </c>
      <c r="H113" s="27">
        <f>PMMA!G112</f>
        <v>0</v>
      </c>
      <c r="I113" s="27">
        <f>PET_aug!P112</f>
        <v>0</v>
      </c>
      <c r="J113" s="27">
        <f>PA!G112</f>
        <v>0</v>
      </c>
      <c r="K113" s="27" t="e">
        <f>SBR!#REF!</f>
        <v>#REF!</v>
      </c>
      <c r="L113" s="28">
        <f t="shared" si="1"/>
        <v>31.19121961845007</v>
      </c>
    </row>
    <row r="114" spans="1:12">
      <c r="A114" s="24" t="str">
        <f>PE_aug!A113</f>
        <v>210616_Hamm_Abl_SF_21051920_1</v>
      </c>
      <c r="B114" s="319" t="str">
        <f>PE_aug!AP113</f>
        <v>Kläranlage</v>
      </c>
      <c r="D114" s="26">
        <f>PE_aug!AF113</f>
        <v>34.404788807647435</v>
      </c>
      <c r="E114" s="27">
        <f>PE_aug!AL113</f>
        <v>21.276189467873117</v>
      </c>
      <c r="F114" s="27">
        <f>PP!Z113</f>
        <v>2.6607289378258914</v>
      </c>
      <c r="G114" s="27">
        <f>PS!Q113</f>
        <v>1.2188666260818932</v>
      </c>
      <c r="H114" s="27">
        <f>PMMA!G113</f>
        <v>0</v>
      </c>
      <c r="I114" s="27">
        <f>PET_aug!P113</f>
        <v>23.95648606442392</v>
      </c>
      <c r="J114" s="27">
        <f>PA!G113</f>
        <v>0</v>
      </c>
      <c r="K114" s="27" t="e">
        <f>SBR!#REF!</f>
        <v>#REF!</v>
      </c>
      <c r="L114" s="28">
        <f t="shared" si="1"/>
        <v>49.112271096204822</v>
      </c>
    </row>
    <row r="115" spans="1:12">
      <c r="A115" s="24" t="str">
        <f>PE_aug!A114</f>
        <v>210616_Hamm_Abl_SF_21051920_2</v>
      </c>
      <c r="B115" s="319" t="str">
        <f>PE_aug!AP114</f>
        <v>Kläranlage</v>
      </c>
      <c r="D115" s="26">
        <f>PE_aug!AF114</f>
        <v>46.41768029877457</v>
      </c>
      <c r="E115" s="27">
        <f>PE_aug!AL114</f>
        <v>25.616361786812661</v>
      </c>
      <c r="F115" s="27">
        <f>PP!Z114</f>
        <v>3.2246566030853914</v>
      </c>
      <c r="G115" s="27">
        <f>PS!Q114</f>
        <v>1.2786716735884875</v>
      </c>
      <c r="H115" s="27">
        <f>PMMA!G114</f>
        <v>0</v>
      </c>
      <c r="I115" s="27">
        <f>PET_aug!P114</f>
        <v>28.990823406530552</v>
      </c>
      <c r="J115" s="27">
        <f>PA!G114</f>
        <v>0</v>
      </c>
      <c r="K115" s="27" t="e">
        <f>SBR!#REF!</f>
        <v>#REF!</v>
      </c>
      <c r="L115" s="28">
        <f t="shared" si="1"/>
        <v>59.110513470017096</v>
      </c>
    </row>
    <row r="116" spans="1:12">
      <c r="A116" s="24" t="str">
        <f>PE_aug!A115</f>
        <v>210616_Hamm_Abl_SF_21051920_3</v>
      </c>
      <c r="B116" s="319" t="str">
        <f>PE_aug!AP115</f>
        <v>Kläranlage</v>
      </c>
      <c r="D116" s="26">
        <f>PE_aug!AF115</f>
        <v>40.08547802835448</v>
      </c>
      <c r="E116" s="27">
        <f>PE_aug!AL115</f>
        <v>26.608556002024116</v>
      </c>
      <c r="F116" s="27">
        <f>PP!Z115</f>
        <v>2.2132127886404711</v>
      </c>
      <c r="G116" s="27">
        <f>PS!Q115</f>
        <v>1.3114202849817158</v>
      </c>
      <c r="H116" s="27">
        <f>PMMA!G115</f>
        <v>0</v>
      </c>
      <c r="I116" s="27">
        <f>PET_aug!P115</f>
        <v>26.417934971589712</v>
      </c>
      <c r="J116" s="27">
        <f>PA!G115</f>
        <v>0</v>
      </c>
      <c r="K116" s="27" t="e">
        <f>SBR!#REF!</f>
        <v>#REF!</v>
      </c>
      <c r="L116" s="28">
        <f t="shared" si="1"/>
        <v>56.551124047236016</v>
      </c>
    </row>
    <row r="117" spans="1:12">
      <c r="A117" s="24" t="str">
        <f>PE_aug!A116</f>
        <v>210616_Hamm_Abl_SF_21052021_1</v>
      </c>
      <c r="B117" s="319" t="str">
        <f>PE_aug!AP116</f>
        <v>Kläranlage</v>
      </c>
      <c r="D117" s="26">
        <f>PE_aug!AF116</f>
        <v>20.896995550955079</v>
      </c>
      <c r="E117" s="27">
        <f>PE_aug!AL116</f>
        <v>37.028480794427971</v>
      </c>
      <c r="F117" s="27">
        <f>PP!Z116</f>
        <v>2.6899622686120166</v>
      </c>
      <c r="G117" s="27">
        <f>PS!Q116</f>
        <v>0.89451958978198542</v>
      </c>
      <c r="H117" s="27">
        <f>PMMA!G116</f>
        <v>0</v>
      </c>
      <c r="I117" s="27">
        <f>PET_aug!P116</f>
        <v>28.603938644625494</v>
      </c>
      <c r="J117" s="27">
        <f>PA!G116</f>
        <v>0</v>
      </c>
      <c r="K117" s="27" t="e">
        <f>SBR!#REF!</f>
        <v>#REF!</v>
      </c>
      <c r="L117" s="28">
        <f t="shared" si="1"/>
        <v>69.216901297447464</v>
      </c>
    </row>
    <row r="118" spans="1:12">
      <c r="A118" s="24" t="str">
        <f>PE_aug!A117</f>
        <v>210616_Hamm_Abl_SF_21052021_2</v>
      </c>
      <c r="B118" s="319" t="str">
        <f>PE_aug!AP117</f>
        <v>Kläranlage</v>
      </c>
      <c r="D118" s="26">
        <f>PE_aug!AF117</f>
        <v>53.831716738770993</v>
      </c>
      <c r="E118" s="27">
        <f>PE_aug!AL117</f>
        <v>21.336393520785393</v>
      </c>
      <c r="F118" s="27">
        <f>PP!Z117</f>
        <v>2.8140012924773372</v>
      </c>
      <c r="G118" s="27">
        <f>PS!Q117</f>
        <v>1.0529132743031897</v>
      </c>
      <c r="H118" s="27">
        <f>PMMA!G117</f>
        <v>0</v>
      </c>
      <c r="I118" s="27">
        <f>PET_aug!P117</f>
        <v>35.772173406986617</v>
      </c>
      <c r="J118" s="27">
        <f>PA!G117</f>
        <v>0</v>
      </c>
      <c r="K118" s="27" t="e">
        <f>SBR!#REF!</f>
        <v>#REF!</v>
      </c>
      <c r="L118" s="28">
        <f t="shared" si="1"/>
        <v>60.97548149455254</v>
      </c>
    </row>
    <row r="119" spans="1:12">
      <c r="A119" s="24" t="str">
        <f>PE_aug!A118</f>
        <v>210616_Hamm_Abl_SF_21052021_3</v>
      </c>
      <c r="B119" s="319" t="str">
        <f>PE_aug!AP118</f>
        <v>Kläranlage</v>
      </c>
      <c r="D119" s="26">
        <f>PE_aug!AF118</f>
        <v>45.252211193571249</v>
      </c>
      <c r="E119" s="27">
        <f>PE_aug!AL118</f>
        <v>37.951120929633554</v>
      </c>
      <c r="F119" s="27">
        <f>PP!Z118</f>
        <v>3.1121524028412071</v>
      </c>
      <c r="G119" s="27">
        <f>PS!Q118</f>
        <v>0.92032136948574927</v>
      </c>
      <c r="H119" s="27">
        <f>PMMA!G118</f>
        <v>0</v>
      </c>
      <c r="I119" s="27">
        <f>PET_aug!P118</f>
        <v>56.916279484461519</v>
      </c>
      <c r="J119" s="27">
        <f>PA!G118</f>
        <v>0</v>
      </c>
      <c r="K119" s="27" t="e">
        <f>SBR!#REF!</f>
        <v>#REF!</v>
      </c>
      <c r="L119" s="28">
        <f t="shared" si="1"/>
        <v>98.899874186422025</v>
      </c>
    </row>
    <row r="120" spans="1:12">
      <c r="A120" s="24" t="str">
        <f>PE_aug!A119</f>
        <v>210616_Lippe_hinter_KA_6_210520_2</v>
      </c>
      <c r="B120" s="319" t="str">
        <f>PE_aug!AP119</f>
        <v>Flussproben</v>
      </c>
      <c r="D120" s="26">
        <f>PE_aug!AF119</f>
        <v>43.445601748226323</v>
      </c>
      <c r="E120" s="27">
        <f>PE_aug!AL119</f>
        <v>2.1587291003350613</v>
      </c>
      <c r="F120" s="27">
        <f>PP!Z119</f>
        <v>0</v>
      </c>
      <c r="G120" s="27">
        <f>PS!Q119</f>
        <v>2.1145543349614098</v>
      </c>
      <c r="H120" s="27">
        <f>PMMA!G119</f>
        <v>0</v>
      </c>
      <c r="I120" s="27">
        <f>PET_aug!P119</f>
        <v>7.6030605611028692</v>
      </c>
      <c r="J120" s="27">
        <f>PA!G119</f>
        <v>0</v>
      </c>
      <c r="K120" s="27" t="e">
        <f>SBR!#REF!</f>
        <v>#REF!</v>
      </c>
      <c r="L120" s="28">
        <f t="shared" si="1"/>
        <v>11.87634399639934</v>
      </c>
    </row>
    <row r="121" spans="1:12">
      <c r="A121" s="24" t="str">
        <f>PE_aug!A120</f>
        <v>210616_Lippe_hinter_KA_6_210520_3</v>
      </c>
      <c r="B121" s="319" t="str">
        <f>PE_aug!AP120</f>
        <v>Flussproben</v>
      </c>
      <c r="D121" s="26">
        <f>PE_aug!AF120</f>
        <v>62.55544349873152</v>
      </c>
      <c r="E121" s="27">
        <f>PE_aug!AL120</f>
        <v>1.3912766634829672</v>
      </c>
      <c r="F121" s="27">
        <f>PP!Z120</f>
        <v>0</v>
      </c>
      <c r="G121" s="27">
        <f>PS!Q120</f>
        <v>1.0928871762781456</v>
      </c>
      <c r="H121" s="27">
        <f>PMMA!G120</f>
        <v>0</v>
      </c>
      <c r="I121" s="27">
        <f>PET_aug!P120</f>
        <v>0</v>
      </c>
      <c r="J121" s="27">
        <f>PA!G120</f>
        <v>0</v>
      </c>
      <c r="K121" s="27" t="e">
        <f>SBR!#REF!</f>
        <v>#REF!</v>
      </c>
      <c r="L121" s="28">
        <f t="shared" si="1"/>
        <v>2.4841638397611128</v>
      </c>
    </row>
    <row r="122" spans="1:12">
      <c r="A122" s="24" t="str">
        <f>PE_aug!A121</f>
        <v>210616_Lippe_hinter_KA_6_210520_spike_PE_PA</v>
      </c>
      <c r="B122" s="319" t="str">
        <f>PE_aug!AP121</f>
        <v>Flussproben, Methode</v>
      </c>
      <c r="D122" s="26">
        <f>PE_aug!AF121</f>
        <v>34.012266805213692</v>
      </c>
      <c r="E122" s="27">
        <f>PE_aug!AL121</f>
        <v>29.87530573025856</v>
      </c>
      <c r="F122" s="27">
        <f>PP!Z121</f>
        <v>0.46833844003655323</v>
      </c>
      <c r="G122" s="27">
        <f>PS!Q121</f>
        <v>1.2689485566844056</v>
      </c>
      <c r="H122" s="27">
        <f>PMMA!G121</f>
        <v>0</v>
      </c>
      <c r="I122" s="27">
        <f>PET_aug!P121</f>
        <v>0</v>
      </c>
      <c r="J122" s="27">
        <f>PA!G121</f>
        <v>3.5484868032037844</v>
      </c>
      <c r="K122" s="27" t="e">
        <f>SBR!#REF!</f>
        <v>#REF!</v>
      </c>
      <c r="L122" s="28">
        <f t="shared" si="1"/>
        <v>31.612592726979521</v>
      </c>
    </row>
    <row r="123" spans="1:12">
      <c r="A123" s="24" t="str">
        <f>PE_aug!A122</f>
        <v>210616_Lippe_hinter_KA_6_210520_spike_PE_PMMA</v>
      </c>
      <c r="B123" s="319" t="str">
        <f>PE_aug!AP122</f>
        <v>Flussproben, Methode</v>
      </c>
      <c r="D123" s="26">
        <f>PE_aug!AF122</f>
        <v>36.300359817448978</v>
      </c>
      <c r="E123" s="27">
        <f>PE_aug!AL122</f>
        <v>41.254083412271918</v>
      </c>
      <c r="F123" s="27">
        <f>PP!Z122</f>
        <v>0.58252255282983789</v>
      </c>
      <c r="G123" s="27">
        <f>PS!Q122</f>
        <v>0.70203705834963748</v>
      </c>
      <c r="H123" s="27">
        <f>PMMA!G122</f>
        <v>6.4422744938339367</v>
      </c>
      <c r="I123" s="27">
        <f>PET_aug!P122</f>
        <v>0</v>
      </c>
      <c r="J123" s="27">
        <f>PA!G122</f>
        <v>0</v>
      </c>
      <c r="K123" s="27" t="e">
        <f>SBR!#REF!</f>
        <v>#REF!</v>
      </c>
      <c r="L123" s="28">
        <f t="shared" si="1"/>
        <v>48.980917517285327</v>
      </c>
    </row>
    <row r="124" spans="1:12">
      <c r="A124" s="24" t="str">
        <f>PE_aug!A123</f>
        <v>210616_Lippe_hinter_KA_6_210520_spike_PE_PP</v>
      </c>
      <c r="B124" s="319" t="str">
        <f>PE_aug!AP123</f>
        <v>Flussproben, Methode</v>
      </c>
      <c r="D124" s="26">
        <f>PE_aug!AF123</f>
        <v>34.322704803187229</v>
      </c>
      <c r="E124" s="27">
        <f>PE_aug!AL123</f>
        <v>40.707935291250884</v>
      </c>
      <c r="F124" s="27">
        <f>PP!Z123</f>
        <v>1.1566286722782912</v>
      </c>
      <c r="G124" s="27">
        <f>PS!Q123</f>
        <v>0.93684793254694887</v>
      </c>
      <c r="H124" s="27">
        <f>PMMA!G123</f>
        <v>0</v>
      </c>
      <c r="I124" s="27">
        <f>PET_aug!P123</f>
        <v>0</v>
      </c>
      <c r="J124" s="27">
        <f>PA!G123</f>
        <v>0</v>
      </c>
      <c r="K124" s="27" t="e">
        <f>SBR!#REF!</f>
        <v>#REF!</v>
      </c>
      <c r="L124" s="28">
        <f t="shared" si="1"/>
        <v>42.801411896076125</v>
      </c>
    </row>
    <row r="125" spans="1:12">
      <c r="A125" s="24" t="str">
        <f>PE_aug!A124</f>
        <v>210616_Lippe_hinter_KA_6_210520_spike_PE_PS</v>
      </c>
      <c r="B125" s="319" t="str">
        <f>PE_aug!AP124</f>
        <v>Flussproben, Methode</v>
      </c>
      <c r="D125" s="26">
        <f>PE_aug!AF124</f>
        <v>33.002069182513488</v>
      </c>
      <c r="E125" s="27">
        <f>PE_aug!AL124</f>
        <v>34.015510123701716</v>
      </c>
      <c r="F125" s="27">
        <f>PP!Z124</f>
        <v>0.65205975026257434</v>
      </c>
      <c r="G125" s="27">
        <f>PS!Q124</f>
        <v>2.0137997432605905</v>
      </c>
      <c r="H125" s="27">
        <f>PMMA!G124</f>
        <v>0</v>
      </c>
      <c r="I125" s="27">
        <f>PET_aug!P124</f>
        <v>0</v>
      </c>
      <c r="J125" s="27">
        <f>PA!G124</f>
        <v>0</v>
      </c>
      <c r="K125" s="27" t="e">
        <f>SBR!#REF!</f>
        <v>#REF!</v>
      </c>
      <c r="L125" s="28">
        <f t="shared" si="1"/>
        <v>36.681369617224881</v>
      </c>
    </row>
    <row r="126" spans="1:12">
      <c r="A126" s="24" t="str">
        <f>PE_aug!A125</f>
        <v>210616_Lippe_nach_KA_4_210519_1</v>
      </c>
      <c r="B126" s="319" t="str">
        <f>PE_aug!AP125</f>
        <v>Flussproben</v>
      </c>
      <c r="D126" s="26">
        <f>PE_aug!AF125</f>
        <v>0</v>
      </c>
      <c r="E126" s="27">
        <f>PE_aug!AL125</f>
        <v>1.8986203043474146</v>
      </c>
      <c r="F126" s="27">
        <f>PP!Z125</f>
        <v>0.71588875316042155</v>
      </c>
      <c r="G126" s="27">
        <f>PS!Q125</f>
        <v>1.2693768169464883</v>
      </c>
      <c r="H126" s="27">
        <f>PMMA!G125</f>
        <v>0</v>
      </c>
      <c r="I126" s="27">
        <f>PET_aug!P125</f>
        <v>0</v>
      </c>
      <c r="J126" s="27">
        <f>PA!G125</f>
        <v>0</v>
      </c>
      <c r="K126" s="27" t="e">
        <f>SBR!#REF!</f>
        <v>#REF!</v>
      </c>
      <c r="L126" s="28">
        <f t="shared" si="1"/>
        <v>3.8838858744543243</v>
      </c>
    </row>
    <row r="127" spans="1:12">
      <c r="A127" s="24" t="str">
        <f>PE_aug!A126</f>
        <v>210616_Lippe_nach_KA_4_210519_2</v>
      </c>
      <c r="B127" s="319" t="str">
        <f>PE_aug!AP126</f>
        <v>Flussproben</v>
      </c>
      <c r="D127" s="26">
        <f>PE_aug!AF126</f>
        <v>35.474895662071553</v>
      </c>
      <c r="E127" s="27">
        <f>PE_aug!AL126</f>
        <v>3.3533792495080412</v>
      </c>
      <c r="F127" s="27">
        <f>PP!Z126</f>
        <v>0.93811494876840607</v>
      </c>
      <c r="G127" s="27">
        <f>PS!Q126</f>
        <v>2.5539458505801722</v>
      </c>
      <c r="H127" s="27">
        <f>PMMA!G126</f>
        <v>0</v>
      </c>
      <c r="I127" s="27">
        <f>PET_aug!P126</f>
        <v>0</v>
      </c>
      <c r="J127" s="27">
        <f>PA!G126</f>
        <v>0</v>
      </c>
      <c r="K127" s="27" t="e">
        <f>SBR!#REF!</f>
        <v>#REF!</v>
      </c>
      <c r="L127" s="28">
        <f t="shared" si="1"/>
        <v>6.8454400488566192</v>
      </c>
    </row>
    <row r="128" spans="1:12">
      <c r="A128" s="24" t="str">
        <f>PE_aug!A127</f>
        <v>210616_Lippe_nach_KA_4_210519_3</v>
      </c>
      <c r="B128" s="319" t="str">
        <f>PE_aug!AP127</f>
        <v>Flussproben</v>
      </c>
      <c r="D128" s="26">
        <f>PE_aug!AF127</f>
        <v>44.159178433889608</v>
      </c>
      <c r="E128" s="27">
        <f>PE_aug!AL127</f>
        <v>2.4439407367900925</v>
      </c>
      <c r="F128" s="27">
        <f>PP!Z127</f>
        <v>0.95294865057765155</v>
      </c>
      <c r="G128" s="27">
        <f>PS!Q127</f>
        <v>1.4556976917466018</v>
      </c>
      <c r="H128" s="27">
        <f>PMMA!G127</f>
        <v>0</v>
      </c>
      <c r="I128" s="27">
        <f>PET_aug!P127</f>
        <v>0</v>
      </c>
      <c r="J128" s="27">
        <f>PA!G127</f>
        <v>0</v>
      </c>
      <c r="K128" s="27" t="e">
        <f>SBR!#REF!</f>
        <v>#REF!</v>
      </c>
      <c r="L128" s="28">
        <f t="shared" si="1"/>
        <v>4.8525870791143459</v>
      </c>
    </row>
    <row r="129" spans="1:12">
      <c r="A129" s="24" t="str">
        <f>PE_aug!A128</f>
        <v>210616_MW_14Uhr_210518_1</v>
      </c>
      <c r="B129" s="319" t="str">
        <f>PE_aug!AP128</f>
        <v>Mischwasserüberlauf</v>
      </c>
      <c r="D129" s="26" t="e">
        <f>PE_aug!AF128</f>
        <v>#DIV/0!</v>
      </c>
      <c r="E129" s="27" t="str">
        <f>PE_aug!AL128</f>
        <v>n.d.</v>
      </c>
      <c r="F129" s="27">
        <f>PP!Z128</f>
        <v>3.6649395299184326</v>
      </c>
      <c r="G129" s="27">
        <f>PS!Q128</f>
        <v>0</v>
      </c>
      <c r="H129" s="27">
        <f>PMMA!G128</f>
        <v>0</v>
      </c>
      <c r="I129" s="27">
        <f>PET_aug!P128</f>
        <v>0</v>
      </c>
      <c r="J129" s="27">
        <f>PA!G128</f>
        <v>0</v>
      </c>
      <c r="K129" s="27">
        <f>SBR!G93</f>
        <v>0</v>
      </c>
      <c r="L129" s="28">
        <f t="shared" si="1"/>
        <v>3.6649395299184326</v>
      </c>
    </row>
    <row r="130" spans="1:12">
      <c r="A130" s="24" t="str">
        <f>PE_aug!A129</f>
        <v>210616_MW_14Uhr_210518_2</v>
      </c>
      <c r="B130" s="319" t="str">
        <f>PE_aug!AP129</f>
        <v>Mischwasserüberlauf</v>
      </c>
      <c r="D130" s="26">
        <f>PE_aug!AF129</f>
        <v>10.794800315132417</v>
      </c>
      <c r="E130" s="27">
        <f>PE_aug!AL129</f>
        <v>55.808840937531706</v>
      </c>
      <c r="F130" s="27">
        <f>PP!Z129</f>
        <v>0</v>
      </c>
      <c r="G130" s="27">
        <f>PS!Q129</f>
        <v>0</v>
      </c>
      <c r="H130" s="27">
        <f>PMMA!G129</f>
        <v>0</v>
      </c>
      <c r="I130" s="27">
        <f>PET_aug!P129</f>
        <v>0</v>
      </c>
      <c r="J130" s="27">
        <f>PA!G129</f>
        <v>0</v>
      </c>
      <c r="K130" s="27">
        <f>SBR!G94</f>
        <v>0</v>
      </c>
      <c r="L130" s="28">
        <f t="shared" si="1"/>
        <v>55.808840937531706</v>
      </c>
    </row>
    <row r="131" spans="1:12">
      <c r="A131" s="24" t="str">
        <f>PE_aug!A130</f>
        <v>210616_MW_14Uhr_210518_3</v>
      </c>
      <c r="B131" s="319" t="str">
        <f>PE_aug!AP130</f>
        <v>Mischwasserüberlauf</v>
      </c>
      <c r="D131" s="26">
        <f>PE_aug!AF130</f>
        <v>83.561300800154783</v>
      </c>
      <c r="E131" s="27">
        <f>PE_aug!AL130</f>
        <v>34.292085752850973</v>
      </c>
      <c r="F131" s="27">
        <f>PP!Z130</f>
        <v>2.112995926897911</v>
      </c>
      <c r="G131" s="27">
        <f>PS!Q130</f>
        <v>0</v>
      </c>
      <c r="H131" s="27">
        <f>PMMA!G130</f>
        <v>0</v>
      </c>
      <c r="I131" s="27">
        <f>PET_aug!P130</f>
        <v>0</v>
      </c>
      <c r="J131" s="27">
        <f>PA!G130</f>
        <v>0</v>
      </c>
      <c r="K131" s="27">
        <f>SBR!G95</f>
        <v>0</v>
      </c>
      <c r="L131" s="28">
        <f t="shared" ref="L131:L194" si="2">SUM(E131:I131)</f>
        <v>36.405081679748882</v>
      </c>
    </row>
    <row r="132" spans="1:12">
      <c r="A132" s="24" t="str">
        <f>PE_aug!A131</f>
        <v>210616_MW_15Uhr_210518_1</v>
      </c>
      <c r="B132" s="319" t="str">
        <f>PE_aug!AP131</f>
        <v>Mischwasserüberlauf</v>
      </c>
      <c r="D132" s="26">
        <f>PE_aug!AF131</f>
        <v>37.146595871632115</v>
      </c>
      <c r="E132" s="27">
        <f>PE_aug!AL131</f>
        <v>15.775737950057341</v>
      </c>
      <c r="F132" s="27">
        <f>PP!Z131</f>
        <v>1.096253037429211</v>
      </c>
      <c r="G132" s="27">
        <f>PS!Q131</f>
        <v>0</v>
      </c>
      <c r="H132" s="27">
        <f>PMMA!G131</f>
        <v>0</v>
      </c>
      <c r="I132" s="27">
        <f>PET_aug!P131</f>
        <v>0</v>
      </c>
      <c r="J132" s="27">
        <f>PA!G131</f>
        <v>0</v>
      </c>
      <c r="K132" s="27">
        <f>SBR!G96</f>
        <v>0</v>
      </c>
      <c r="L132" s="28">
        <f t="shared" si="2"/>
        <v>16.871990987486551</v>
      </c>
    </row>
    <row r="133" spans="1:12">
      <c r="A133" s="24" t="str">
        <f>PE_aug!A132</f>
        <v>210616_MW_15Uhr_210518_2</v>
      </c>
      <c r="B133" s="319" t="str">
        <f>PE_aug!AP132</f>
        <v>Mischwasserüberlauf</v>
      </c>
      <c r="D133" s="26">
        <f>PE_aug!AF132</f>
        <v>53.006480204266907</v>
      </c>
      <c r="E133" s="27">
        <f>PE_aug!AL132</f>
        <v>8.7760452342124076</v>
      </c>
      <c r="F133" s="27">
        <f>PP!Z132</f>
        <v>0.80820060890284273</v>
      </c>
      <c r="G133" s="27">
        <f>PS!Q132</f>
        <v>0</v>
      </c>
      <c r="H133" s="27">
        <f>PMMA!G132</f>
        <v>0</v>
      </c>
      <c r="I133" s="27">
        <f>PET_aug!P132</f>
        <v>0</v>
      </c>
      <c r="J133" s="27">
        <f>PA!G132</f>
        <v>0</v>
      </c>
      <c r="K133" s="27">
        <f>SBR!G97</f>
        <v>0</v>
      </c>
      <c r="L133" s="28">
        <f t="shared" si="2"/>
        <v>9.5842458431152497</v>
      </c>
    </row>
    <row r="134" spans="1:12">
      <c r="A134" s="24" t="str">
        <f>PE_aug!A133</f>
        <v>210616_MW_15Uhr_210518_3</v>
      </c>
      <c r="B134" s="319" t="str">
        <f>PE_aug!AP133</f>
        <v>Mischwasserüberlauf</v>
      </c>
      <c r="D134" s="26">
        <f>PE_aug!AF133</f>
        <v>49.981853281676614</v>
      </c>
      <c r="E134" s="27">
        <f>PE_aug!AL133</f>
        <v>8.4592139024496653</v>
      </c>
      <c r="F134" s="27">
        <f>PP!Z133</f>
        <v>0.82329659696141699</v>
      </c>
      <c r="G134" s="27">
        <f>PS!Q133</f>
        <v>0</v>
      </c>
      <c r="H134" s="27">
        <f>PMMA!G133</f>
        <v>0</v>
      </c>
      <c r="I134" s="27">
        <f>PET_aug!P133</f>
        <v>0</v>
      </c>
      <c r="J134" s="27">
        <f>PA!G133</f>
        <v>0</v>
      </c>
      <c r="K134" s="27">
        <f>SBR!G98</f>
        <v>0</v>
      </c>
      <c r="L134" s="28">
        <f t="shared" si="2"/>
        <v>9.2825104994110816</v>
      </c>
    </row>
    <row r="135" spans="1:12">
      <c r="A135" s="24" t="str">
        <f>PE_aug!A134</f>
        <v>210616_MW_18Uhr_210518_1</v>
      </c>
      <c r="B135" s="319" t="str">
        <f>PE_aug!AP134</f>
        <v>Mischwasserüberlauf</v>
      </c>
      <c r="D135" s="26">
        <f>PE_aug!AF134</f>
        <v>8.0471674510383764</v>
      </c>
      <c r="E135" s="27">
        <f>PE_aug!AL134</f>
        <v>28.753341362394615</v>
      </c>
      <c r="F135" s="27">
        <f>PP!Z134</f>
        <v>1.4397232911318039</v>
      </c>
      <c r="G135" s="27">
        <f>PS!Q134</f>
        <v>0.90290221190846864</v>
      </c>
      <c r="H135" s="27">
        <f>PMMA!G134</f>
        <v>0</v>
      </c>
      <c r="I135" s="27">
        <f>PET_aug!P134</f>
        <v>0</v>
      </c>
      <c r="J135" s="27">
        <f>PA!G134</f>
        <v>0</v>
      </c>
      <c r="K135" s="27">
        <f>SBR!G99</f>
        <v>0</v>
      </c>
      <c r="L135" s="28">
        <f t="shared" si="2"/>
        <v>31.095966865434889</v>
      </c>
    </row>
    <row r="136" spans="1:12">
      <c r="A136" s="24" t="str">
        <f>PE_aug!A135</f>
        <v>210616_MW_18Uhr_210518_2</v>
      </c>
      <c r="B136" s="319" t="str">
        <f>PE_aug!AP135</f>
        <v>Mischwasserüberlauf</v>
      </c>
      <c r="D136" s="26">
        <f>PE_aug!AF135</f>
        <v>40.181692757268024</v>
      </c>
      <c r="E136" s="27">
        <f>PE_aug!AL135</f>
        <v>13.665770967628491</v>
      </c>
      <c r="F136" s="27">
        <f>PP!Z135</f>
        <v>1.0250826122804115</v>
      </c>
      <c r="G136" s="27">
        <f>PS!Q135</f>
        <v>0.91501973967851225</v>
      </c>
      <c r="H136" s="27">
        <f>PMMA!G135</f>
        <v>0</v>
      </c>
      <c r="I136" s="27">
        <f>PET_aug!P135</f>
        <v>0</v>
      </c>
      <c r="J136" s="27">
        <f>PA!G135</f>
        <v>0</v>
      </c>
      <c r="K136" s="27">
        <f>SBR!G100</f>
        <v>0</v>
      </c>
      <c r="L136" s="28">
        <f t="shared" si="2"/>
        <v>15.605873319587417</v>
      </c>
    </row>
    <row r="137" spans="1:12">
      <c r="A137" s="24" t="str">
        <f>PE_aug!A136</f>
        <v>210616_MW_18Uhr_210518_3</v>
      </c>
      <c r="B137" s="319" t="str">
        <f>PE_aug!AP136</f>
        <v>Mischwasserüberlauf</v>
      </c>
      <c r="D137" s="26">
        <f>PE_aug!AF136</f>
        <v>25.262803645000371</v>
      </c>
      <c r="E137" s="27">
        <f>PE_aug!AL136</f>
        <v>16.837051549106004</v>
      </c>
      <c r="F137" s="27">
        <f>PP!Z136</f>
        <v>0.92303641812310755</v>
      </c>
      <c r="G137" s="27">
        <f>PS!Q136</f>
        <v>0.86612100140159054</v>
      </c>
      <c r="H137" s="27">
        <f>PMMA!G136</f>
        <v>0</v>
      </c>
      <c r="I137" s="27">
        <f>PET_aug!P136</f>
        <v>0</v>
      </c>
      <c r="J137" s="27">
        <f>PA!G136</f>
        <v>0</v>
      </c>
      <c r="K137" s="27">
        <f>SBR!G101</f>
        <v>0</v>
      </c>
      <c r="L137" s="28">
        <f t="shared" si="2"/>
        <v>18.626208968630703</v>
      </c>
    </row>
    <row r="138" spans="1:12">
      <c r="A138" s="24" t="str">
        <f>PE_aug!A137</f>
        <v>210616_Sickerwasser_120cm_Nov2020</v>
      </c>
      <c r="B138" s="319" t="str">
        <f>PE_aug!AP137</f>
        <v>Sickerwasser</v>
      </c>
      <c r="D138" s="26">
        <f>PE_aug!AF137</f>
        <v>37.068830560835892</v>
      </c>
      <c r="E138" s="27" t="e">
        <f>PE_aug!AL137</f>
        <v>#DIV/0!</v>
      </c>
      <c r="F138" s="27">
        <f>PP!Z137</f>
        <v>0</v>
      </c>
      <c r="G138" s="27">
        <f>PS!Q137</f>
        <v>0</v>
      </c>
      <c r="H138" s="27">
        <f>PMMA!G137</f>
        <v>0</v>
      </c>
      <c r="I138" s="27">
        <f>PET_aug!P137</f>
        <v>0</v>
      </c>
      <c r="J138" s="27" t="e">
        <f>PA!G137</f>
        <v>#DIV/0!</v>
      </c>
      <c r="K138" s="27">
        <f>SBR!G102</f>
        <v>0</v>
      </c>
      <c r="L138" s="28" t="e">
        <f t="shared" si="2"/>
        <v>#DIV/0!</v>
      </c>
    </row>
    <row r="139" spans="1:12">
      <c r="A139" s="24" t="str">
        <f>PE_aug!A138</f>
        <v>210616_Sickerwasser_40cm_Nov2020</v>
      </c>
      <c r="B139" s="319" t="str">
        <f>PE_aug!AP138</f>
        <v>Sickerwasser</v>
      </c>
      <c r="D139" s="26">
        <f>PE_aug!AF138</f>
        <v>55.987673998512356</v>
      </c>
      <c r="E139" s="27" t="e">
        <f>PE_aug!AL138</f>
        <v>#DIV/0!</v>
      </c>
      <c r="F139" s="27">
        <f>PP!Z138</f>
        <v>0</v>
      </c>
      <c r="G139" s="27">
        <f>PS!Q138</f>
        <v>0</v>
      </c>
      <c r="H139" s="27">
        <f>PMMA!G138</f>
        <v>0</v>
      </c>
      <c r="I139" s="27">
        <f>PET_aug!P138</f>
        <v>0</v>
      </c>
      <c r="J139" s="27" t="e">
        <f>PA!G138</f>
        <v>#DIV/0!</v>
      </c>
      <c r="K139" s="27">
        <f>SBR!G103</f>
        <v>0</v>
      </c>
      <c r="L139" s="28" t="e">
        <f t="shared" si="2"/>
        <v>#DIV/0!</v>
      </c>
    </row>
    <row r="140" spans="1:12">
      <c r="A140" s="24" t="str">
        <f>PE_aug!A139</f>
        <v>210616_Sickerwasser_80cm_Nov2020</v>
      </c>
      <c r="B140" s="319" t="str">
        <f>PE_aug!AP139</f>
        <v>Sickerwasser</v>
      </c>
      <c r="D140" s="26">
        <f>PE_aug!AF139</f>
        <v>36.738416636264127</v>
      </c>
      <c r="E140" s="27" t="e">
        <f>PE_aug!AL139</f>
        <v>#DIV/0!</v>
      </c>
      <c r="F140" s="27">
        <f>PP!Z139</f>
        <v>0</v>
      </c>
      <c r="G140" s="27">
        <f>PS!Q139</f>
        <v>0</v>
      </c>
      <c r="H140" s="27">
        <f>PMMA!G139</f>
        <v>0</v>
      </c>
      <c r="I140" s="27">
        <f>PET_aug!P139</f>
        <v>0</v>
      </c>
      <c r="J140" s="27" t="e">
        <f>PA!G139</f>
        <v>#DIV/0!</v>
      </c>
      <c r="K140" s="27">
        <f>SBR!G104</f>
        <v>0</v>
      </c>
      <c r="L140" s="28" t="e">
        <f t="shared" si="2"/>
        <v>#DIV/0!</v>
      </c>
    </row>
    <row r="141" spans="1:12">
      <c r="A141" s="24" t="str">
        <f>PE_aug!A140</f>
        <v>210616_Sickerwasser_80cm_Nov2021</v>
      </c>
      <c r="B141" s="319" t="str">
        <f>PE_aug!AP140</f>
        <v>Sickerwasser</v>
      </c>
      <c r="D141" s="26" t="e">
        <f>PE_aug!AF140</f>
        <v>#DIV/0!</v>
      </c>
      <c r="E141" s="27" t="str">
        <f>PE_aug!AL140</f>
        <v>n.d.</v>
      </c>
      <c r="F141" s="27">
        <f>PP!Z140</f>
        <v>0</v>
      </c>
      <c r="G141" s="27">
        <f>PS!Q140</f>
        <v>0</v>
      </c>
      <c r="H141" s="27">
        <f>PMMA!G140</f>
        <v>0</v>
      </c>
      <c r="I141" s="27">
        <f>PET_aug!P140</f>
        <v>0</v>
      </c>
      <c r="J141" s="27" t="e">
        <f>PA!G140</f>
        <v>#DIV/0!</v>
      </c>
      <c r="K141" s="27">
        <f>SBR!G105</f>
        <v>0</v>
      </c>
      <c r="L141" s="28">
        <f t="shared" si="2"/>
        <v>0</v>
      </c>
    </row>
    <row r="142" spans="1:12">
      <c r="A142" s="24" t="str">
        <f>PE_aug!A141</f>
        <v>210616_s_Bodenretentionsfilter_210519_Probe1</v>
      </c>
      <c r="B142" s="319" t="str">
        <f>PE_aug!AP141</f>
        <v>Bodenretentionsfilter</v>
      </c>
      <c r="D142" s="26" t="e">
        <f>PE_aug!AF141</f>
        <v>#DIV/0!</v>
      </c>
      <c r="E142" s="27" t="str">
        <f>PE_aug!AL141</f>
        <v>n.d.</v>
      </c>
      <c r="F142" s="27">
        <f>PP!Z141</f>
        <v>36.988583777093929</v>
      </c>
      <c r="G142" s="27">
        <f>PS!Q141</f>
        <v>14.489261613644489</v>
      </c>
      <c r="H142" s="27">
        <f>PMMA!G141</f>
        <v>0</v>
      </c>
      <c r="I142" s="27">
        <f>PET_aug!P141</f>
        <v>0</v>
      </c>
      <c r="J142" s="27" t="e">
        <f>PA!G141</f>
        <v>#DIV/0!</v>
      </c>
      <c r="K142" s="27">
        <f>SBR!G106</f>
        <v>0</v>
      </c>
      <c r="L142" s="28">
        <f t="shared" si="2"/>
        <v>51.477845390738416</v>
      </c>
    </row>
    <row r="143" spans="1:12">
      <c r="A143" s="24" t="str">
        <f>PE_aug!A142</f>
        <v>210616_s_Bodenretentionsfilter_210519_Probe2_1</v>
      </c>
      <c r="B143" s="319" t="str">
        <f>PE_aug!AP142</f>
        <v>Bodenretentionsfilter</v>
      </c>
      <c r="D143" s="26" t="e">
        <f>PE_aug!AF142</f>
        <v>#DIV/0!</v>
      </c>
      <c r="E143" s="27" t="str">
        <f>PE_aug!AL142</f>
        <v>n.d.</v>
      </c>
      <c r="F143" s="27">
        <f>PP!Z142</f>
        <v>72.045226007406868</v>
      </c>
      <c r="G143" s="27">
        <f>PS!Q142</f>
        <v>70.307965238433923</v>
      </c>
      <c r="H143" s="27">
        <f>PMMA!G142</f>
        <v>0</v>
      </c>
      <c r="I143" s="27">
        <f>PET_aug!P142</f>
        <v>0</v>
      </c>
      <c r="J143" s="27" t="e">
        <f>PA!G142</f>
        <v>#DIV/0!</v>
      </c>
      <c r="K143" s="27">
        <f>SBR!G107</f>
        <v>0</v>
      </c>
      <c r="L143" s="28">
        <f t="shared" si="2"/>
        <v>142.35319124584078</v>
      </c>
    </row>
    <row r="144" spans="1:12">
      <c r="A144" s="24" t="str">
        <f>PE_aug!A143</f>
        <v>210624_Hamm_Abl_NK_21051819_1</v>
      </c>
      <c r="B144" s="319" t="str">
        <f>PE_aug!AP143</f>
        <v>Kläranlage</v>
      </c>
      <c r="D144" s="26">
        <f>PE_aug!AF143</f>
        <v>44.213723261643437</v>
      </c>
      <c r="E144" s="27">
        <f>PE_aug!AL143</f>
        <v>19.940660761420656</v>
      </c>
      <c r="F144" s="27">
        <f>PP!Z143</f>
        <v>0</v>
      </c>
      <c r="G144" s="27">
        <f>PS!Q143</f>
        <v>1.3729517746208253</v>
      </c>
      <c r="H144" s="27">
        <f>PMMA!G143</f>
        <v>0</v>
      </c>
      <c r="I144" s="27">
        <f>PET_aug!P143</f>
        <v>0</v>
      </c>
      <c r="J144" s="27">
        <f>PA!G143</f>
        <v>0</v>
      </c>
      <c r="K144" s="27">
        <f>SBR!G108</f>
        <v>0</v>
      </c>
      <c r="L144" s="28">
        <f t="shared" si="2"/>
        <v>21.313612536041482</v>
      </c>
    </row>
    <row r="145" spans="1:12">
      <c r="A145" s="24" t="str">
        <f>PE_aug!A144</f>
        <v>210624_Hamm_Abl_NK_21051819_2</v>
      </c>
      <c r="B145" s="319" t="str">
        <f>PE_aug!AP144</f>
        <v>Kläranlage</v>
      </c>
      <c r="D145" s="26">
        <f>PE_aug!AF144</f>
        <v>89.124392429664752</v>
      </c>
      <c r="E145" s="27">
        <f>PE_aug!AL144</f>
        <v>21.613364994175086</v>
      </c>
      <c r="F145" s="27">
        <f>PP!Z144</f>
        <v>0.651563589451849</v>
      </c>
      <c r="G145" s="27">
        <f>PS!Q144</f>
        <v>0.87672830233420762</v>
      </c>
      <c r="H145" s="27">
        <f>PMMA!G144</f>
        <v>0</v>
      </c>
      <c r="I145" s="27">
        <f>PET_aug!P144</f>
        <v>0</v>
      </c>
      <c r="J145" s="27">
        <f>PA!G144</f>
        <v>0</v>
      </c>
      <c r="K145" s="27">
        <f>SBR!G109</f>
        <v>0</v>
      </c>
      <c r="L145" s="28">
        <f t="shared" si="2"/>
        <v>23.141656885961144</v>
      </c>
    </row>
    <row r="146" spans="1:12">
      <c r="A146" s="24" t="str">
        <f>PE_aug!A145</f>
        <v>210624_Hamm_Abl_NK_21051819_3</v>
      </c>
      <c r="B146" s="319" t="str">
        <f>PE_aug!AP145</f>
        <v>Kläranlage</v>
      </c>
      <c r="D146" s="26">
        <f>PE_aug!AF145</f>
        <v>78.78769716004102</v>
      </c>
      <c r="E146" s="27">
        <f>PE_aug!AL145</f>
        <v>21.128405606306291</v>
      </c>
      <c r="F146" s="27">
        <f>PP!Z145</f>
        <v>0.81076308057861191</v>
      </c>
      <c r="G146" s="27">
        <f>PS!Q145</f>
        <v>0.85892722397932153</v>
      </c>
      <c r="H146" s="27">
        <f>PMMA!G145</f>
        <v>0</v>
      </c>
      <c r="I146" s="27">
        <f>PET_aug!P145</f>
        <v>0</v>
      </c>
      <c r="J146" s="27">
        <f>PA!G145</f>
        <v>0</v>
      </c>
      <c r="K146" s="27">
        <f>SBR!G110</f>
        <v>0</v>
      </c>
      <c r="L146" s="28">
        <f t="shared" si="2"/>
        <v>22.798095910864227</v>
      </c>
    </row>
    <row r="147" spans="1:12">
      <c r="A147" s="24" t="str">
        <f>PE_aug!A146</f>
        <v>210624_KWS_Abl_Bio_20102829_1</v>
      </c>
      <c r="B147" s="319" t="str">
        <f>PE_aug!AP146</f>
        <v>KWS</v>
      </c>
      <c r="D147" s="26">
        <f>PE_aug!AF146</f>
        <v>48.874674766677238</v>
      </c>
      <c r="E147" s="27">
        <f>PE_aug!AL146</f>
        <v>5.6022652841718079</v>
      </c>
      <c r="F147" s="27">
        <f>PP!Z146</f>
        <v>0</v>
      </c>
      <c r="G147" s="27">
        <f>PS!Q146</f>
        <v>1.1465724048418573</v>
      </c>
      <c r="H147" s="27">
        <f>PMMA!G146</f>
        <v>0</v>
      </c>
      <c r="I147" s="27">
        <f>PET_aug!P146</f>
        <v>0</v>
      </c>
      <c r="J147" s="27">
        <f>PA!G146</f>
        <v>0</v>
      </c>
      <c r="K147" s="27">
        <f>SBR!G111</f>
        <v>0</v>
      </c>
      <c r="L147" s="28">
        <f t="shared" si="2"/>
        <v>6.7488376890136657</v>
      </c>
    </row>
    <row r="148" spans="1:12">
      <c r="A148" s="24" t="str">
        <f>PE_aug!A147</f>
        <v>210624_KWS_Abl_Bio_20102829_2</v>
      </c>
      <c r="B148" s="319" t="str">
        <f>PE_aug!AP147</f>
        <v>KWS</v>
      </c>
      <c r="D148" s="26">
        <f>PE_aug!AF147</f>
        <v>55.039521360685242</v>
      </c>
      <c r="E148" s="27">
        <f>PE_aug!AL147</f>
        <v>4.3719674118642677</v>
      </c>
      <c r="F148" s="27">
        <f>PP!Z147</f>
        <v>0</v>
      </c>
      <c r="G148" s="27">
        <f>PS!Q147</f>
        <v>1.2198483654683068</v>
      </c>
      <c r="H148" s="27">
        <f>PMMA!G147</f>
        <v>0</v>
      </c>
      <c r="I148" s="27">
        <f>PET_aug!P147</f>
        <v>0</v>
      </c>
      <c r="J148" s="27">
        <f>PA!G147</f>
        <v>0</v>
      </c>
      <c r="K148" s="27">
        <f>SBR!G112</f>
        <v>0</v>
      </c>
      <c r="L148" s="28">
        <f t="shared" si="2"/>
        <v>5.5918157773325747</v>
      </c>
    </row>
    <row r="149" spans="1:12">
      <c r="A149" s="24" t="str">
        <f>PE_aug!A148</f>
        <v>210624_KWS_Abl_Bio_20102829_3</v>
      </c>
      <c r="B149" s="319" t="str">
        <f>PE_aug!AP148</f>
        <v>KWS</v>
      </c>
      <c r="D149" s="26">
        <f>PE_aug!AF148</f>
        <v>43.06513265157502</v>
      </c>
      <c r="E149" s="27">
        <f>PE_aug!AL148</f>
        <v>3.9735220743587907</v>
      </c>
      <c r="F149" s="27">
        <f>PP!Z148</f>
        <v>0</v>
      </c>
      <c r="G149" s="27">
        <f>PS!Q148</f>
        <v>1.2511782310264703</v>
      </c>
      <c r="H149" s="27">
        <f>PMMA!G148</f>
        <v>0</v>
      </c>
      <c r="I149" s="27">
        <f>PET_aug!P148</f>
        <v>0</v>
      </c>
      <c r="J149" s="27">
        <f>PA!G148</f>
        <v>0</v>
      </c>
      <c r="K149" s="27">
        <f>SBR!G113</f>
        <v>0</v>
      </c>
      <c r="L149" s="28">
        <f t="shared" si="2"/>
        <v>5.2247003053852605</v>
      </c>
    </row>
    <row r="150" spans="1:12">
      <c r="A150" s="24" t="str">
        <f>PE_aug!A149</f>
        <v>210624_KWS_Hydrolysat_201030_1</v>
      </c>
      <c r="B150" s="319" t="str">
        <f>PE_aug!AP149</f>
        <v>KWS</v>
      </c>
      <c r="D150" s="26">
        <f>PE_aug!AF149</f>
        <v>77.133377149332887</v>
      </c>
      <c r="E150" s="27">
        <f>PE_aug!AL149</f>
        <v>12.45328652888467</v>
      </c>
      <c r="F150" s="27">
        <f>PP!Z149</f>
        <v>0.49547771609966662</v>
      </c>
      <c r="G150" s="27">
        <f>PS!Q149</f>
        <v>0.76757056358490727</v>
      </c>
      <c r="H150" s="27">
        <f>PMMA!G149</f>
        <v>0</v>
      </c>
      <c r="I150" s="27">
        <f>PET_aug!P149</f>
        <v>0</v>
      </c>
      <c r="J150" s="27">
        <f>PA!G149</f>
        <v>0</v>
      </c>
      <c r="K150" s="27">
        <f>SBR!G114</f>
        <v>0</v>
      </c>
      <c r="L150" s="28">
        <f t="shared" si="2"/>
        <v>13.716334808569243</v>
      </c>
    </row>
    <row r="151" spans="1:12">
      <c r="A151" s="24" t="str">
        <f>PE_aug!A150</f>
        <v>210624_KWS_Hydrolysat_201030_2</v>
      </c>
      <c r="B151" s="319" t="str">
        <f>PE_aug!AP150</f>
        <v>KWS</v>
      </c>
      <c r="D151" s="26">
        <f>PE_aug!AF150</f>
        <v>98.857735029507609</v>
      </c>
      <c r="E151" s="27">
        <f>PE_aug!AL150</f>
        <v>16.714656223614952</v>
      </c>
      <c r="F151" s="27">
        <f>PP!Z150</f>
        <v>1.0269437613166499</v>
      </c>
      <c r="G151" s="27">
        <f>PS!Q150</f>
        <v>1.1792655632344304</v>
      </c>
      <c r="H151" s="27">
        <f>PMMA!G150</f>
        <v>0</v>
      </c>
      <c r="I151" s="27">
        <f>PET_aug!P150</f>
        <v>0</v>
      </c>
      <c r="J151" s="27">
        <f>PA!G150</f>
        <v>0</v>
      </c>
      <c r="K151" s="27">
        <f>SBR!G115</f>
        <v>0</v>
      </c>
      <c r="L151" s="28">
        <f t="shared" si="2"/>
        <v>18.920865548166034</v>
      </c>
    </row>
    <row r="152" spans="1:12">
      <c r="A152" s="24" t="str">
        <f>PE_aug!A151</f>
        <v>210624_KWS_Hydrolysat_201030_3</v>
      </c>
      <c r="B152" s="319" t="str">
        <f>PE_aug!AP151</f>
        <v>KWS</v>
      </c>
      <c r="D152" s="26">
        <f>PE_aug!AF151</f>
        <v>87.312937748180232</v>
      </c>
      <c r="E152" s="27">
        <f>PE_aug!AL151</f>
        <v>14.430004860053256</v>
      </c>
      <c r="F152" s="27">
        <f>PP!Z151</f>
        <v>0.71625417432320615</v>
      </c>
      <c r="G152" s="27">
        <f>PS!Q151</f>
        <v>0.93153854865681951</v>
      </c>
      <c r="H152" s="27">
        <f>PMMA!G151</f>
        <v>0</v>
      </c>
      <c r="I152" s="27">
        <f>PET_aug!P151</f>
        <v>0</v>
      </c>
      <c r="J152" s="27">
        <f>PA!G151</f>
        <v>0</v>
      </c>
      <c r="K152" s="27">
        <f>SBR!G116</f>
        <v>0</v>
      </c>
      <c r="L152" s="28">
        <f t="shared" si="2"/>
        <v>16.077797583033281</v>
      </c>
    </row>
    <row r="153" spans="1:12">
      <c r="A153" s="24" t="str">
        <f>PE_aug!A152</f>
        <v>210624_KWS_UESS_201030_1</v>
      </c>
      <c r="B153" s="319" t="str">
        <f>PE_aug!AP152</f>
        <v>KWS, Schlamm</v>
      </c>
      <c r="D153" s="26">
        <f>PE_aug!AF152</f>
        <v>79.425836589744065</v>
      </c>
      <c r="E153" s="27">
        <f>PE_aug!AL152</f>
        <v>5.1395661109191746</v>
      </c>
      <c r="F153" s="27">
        <f>PP!Z152</f>
        <v>0</v>
      </c>
      <c r="G153" s="27">
        <f>PS!Q152</f>
        <v>0.98303551393880251</v>
      </c>
      <c r="H153" s="27">
        <f>PMMA!G152</f>
        <v>0</v>
      </c>
      <c r="I153" s="27">
        <f>PET_aug!P152</f>
        <v>0</v>
      </c>
      <c r="J153" s="27">
        <f>PA!G152</f>
        <v>0</v>
      </c>
      <c r="K153" s="27">
        <f>SBR!G117</f>
        <v>0</v>
      </c>
      <c r="L153" s="28">
        <f t="shared" si="2"/>
        <v>6.1226016248579773</v>
      </c>
    </row>
    <row r="154" spans="1:12">
      <c r="A154" s="24" t="str">
        <f>PE_aug!A153</f>
        <v>210624_KWS_UESS_201030_2</v>
      </c>
      <c r="B154" s="319" t="str">
        <f>PE_aug!AP153</f>
        <v>KWS, Schlamm</v>
      </c>
      <c r="D154" s="26">
        <f>PE_aug!AF153</f>
        <v>0</v>
      </c>
      <c r="E154" s="27">
        <f>PE_aug!AL153</f>
        <v>4.1604044948293533</v>
      </c>
      <c r="F154" s="27">
        <f>PP!Z153</f>
        <v>0</v>
      </c>
      <c r="G154" s="27">
        <f>PS!Q153</f>
        <v>1.4097238370909382</v>
      </c>
      <c r="H154" s="27">
        <f>PMMA!G153</f>
        <v>0</v>
      </c>
      <c r="I154" s="27">
        <f>PET_aug!P153</f>
        <v>0</v>
      </c>
      <c r="J154" s="27">
        <f>PA!G153</f>
        <v>0</v>
      </c>
      <c r="K154" s="27" t="e">
        <f>SBR!#REF!</f>
        <v>#REF!</v>
      </c>
      <c r="L154" s="28">
        <f t="shared" si="2"/>
        <v>5.5701283319202917</v>
      </c>
    </row>
    <row r="155" spans="1:12">
      <c r="A155" s="24" t="str">
        <f>PE_aug!A154</f>
        <v>210624_KWS_UESS_201030_3</v>
      </c>
      <c r="B155" s="319" t="str">
        <f>PE_aug!AP154</f>
        <v>KWS, Schlamm</v>
      </c>
      <c r="D155" s="26">
        <f>PE_aug!AF154</f>
        <v>74.511166814503596</v>
      </c>
      <c r="E155" s="27">
        <f>PE_aug!AL154</f>
        <v>6.9934942418952026</v>
      </c>
      <c r="F155" s="27">
        <f>PP!Z154</f>
        <v>0.69989744232109152</v>
      </c>
      <c r="G155" s="27">
        <f>PS!Q154</f>
        <v>0.61221454126967967</v>
      </c>
      <c r="H155" s="27">
        <f>PMMA!G154</f>
        <v>0</v>
      </c>
      <c r="I155" s="27">
        <f>PET_aug!P154</f>
        <v>0</v>
      </c>
      <c r="J155" s="27">
        <f>PA!G154</f>
        <v>0</v>
      </c>
      <c r="K155" s="27" t="e">
        <f>SBR!#REF!</f>
        <v>#REF!</v>
      </c>
      <c r="L155" s="28">
        <f t="shared" si="2"/>
        <v>8.3056062254859739</v>
      </c>
    </row>
    <row r="156" spans="1:12">
      <c r="A156" s="24" t="str">
        <f>PE_aug!A155</f>
        <v>210624_Lippe_Ruderklub_Sediment_210518_1</v>
      </c>
      <c r="B156" s="319" t="str">
        <f>PE_aug!AP155</f>
        <v>Flussproben, Lippe</v>
      </c>
      <c r="D156" s="26" t="e">
        <f>PE_aug!AF155</f>
        <v>#DIV/0!</v>
      </c>
      <c r="E156" s="27" t="str">
        <f>PE_aug!AL155</f>
        <v>n.d.</v>
      </c>
      <c r="F156" s="27">
        <f>PP!Z155</f>
        <v>0</v>
      </c>
      <c r="G156" s="27">
        <f>PS!Q155</f>
        <v>1.1657893254383054</v>
      </c>
      <c r="H156" s="27">
        <f>PMMA!G155</f>
        <v>0</v>
      </c>
      <c r="I156" s="27">
        <f>PET_aug!P155</f>
        <v>0</v>
      </c>
      <c r="J156" s="27">
        <f>PA!G155</f>
        <v>0</v>
      </c>
      <c r="K156" s="27" t="e">
        <f>SBR!#REF!</f>
        <v>#REF!</v>
      </c>
      <c r="L156" s="28">
        <f t="shared" si="2"/>
        <v>1.1657893254383054</v>
      </c>
    </row>
    <row r="157" spans="1:12">
      <c r="A157" s="24" t="str">
        <f>PE_aug!A156</f>
        <v>210624_Lippe_Ruderklub_Sediment_210518_2</v>
      </c>
      <c r="B157" s="319" t="str">
        <f>PE_aug!AP156</f>
        <v>Flussproben, Lippe</v>
      </c>
      <c r="D157" s="26" t="e">
        <f>PE_aug!AF156</f>
        <v>#DIV/0!</v>
      </c>
      <c r="E157" s="27" t="str">
        <f>PE_aug!AL156</f>
        <v>n.d.</v>
      </c>
      <c r="F157" s="27">
        <f>PP!Z156</f>
        <v>0</v>
      </c>
      <c r="G157" s="27">
        <f>PS!Q156</f>
        <v>1.0143751052362837</v>
      </c>
      <c r="H157" s="27">
        <f>PMMA!G156</f>
        <v>0</v>
      </c>
      <c r="I157" s="27">
        <f>PET_aug!P156</f>
        <v>0</v>
      </c>
      <c r="J157" s="27">
        <f>PA!G156</f>
        <v>0</v>
      </c>
      <c r="K157" s="27" t="e">
        <f>SBR!#REF!</f>
        <v>#REF!</v>
      </c>
      <c r="L157" s="28">
        <f t="shared" si="2"/>
        <v>1.0143751052362837</v>
      </c>
    </row>
    <row r="158" spans="1:12">
      <c r="A158" s="24" t="str">
        <f>PE_aug!A157</f>
        <v>210624_Lippe_Ruderklub_Sediment_210518_3</v>
      </c>
      <c r="B158" s="319" t="str">
        <f>PE_aug!AP157</f>
        <v>Flussproben, Lippe</v>
      </c>
      <c r="D158" s="26">
        <f>PE_aug!AF157</f>
        <v>0</v>
      </c>
      <c r="E158" s="27" t="str">
        <f>PE_aug!AL157</f>
        <v>n.d.</v>
      </c>
      <c r="F158" s="27">
        <f>PP!Z157</f>
        <v>0</v>
      </c>
      <c r="G158" s="27">
        <f>PS!Q157</f>
        <v>0.91565695386253021</v>
      </c>
      <c r="H158" s="27">
        <f>PMMA!G157</f>
        <v>0</v>
      </c>
      <c r="I158" s="27">
        <f>PET_aug!P157</f>
        <v>0</v>
      </c>
      <c r="J158" s="27">
        <f>PA!G157</f>
        <v>0</v>
      </c>
      <c r="K158" s="27" t="e">
        <f>SBR!#REF!</f>
        <v>#REF!</v>
      </c>
      <c r="L158" s="28">
        <f t="shared" si="2"/>
        <v>0.91565695386253021</v>
      </c>
    </row>
    <row r="159" spans="1:12">
      <c r="A159" s="24" t="str">
        <f>PE_aug!A158</f>
        <v>210624_Lippe_vor_KA_3_210519_1</v>
      </c>
      <c r="B159" s="319" t="str">
        <f>PE_aug!AP158</f>
        <v>Flussproben, Lippe</v>
      </c>
      <c r="D159" s="26" t="e">
        <f>PE_aug!AF158</f>
        <v>#DIV/0!</v>
      </c>
      <c r="E159" s="27" t="str">
        <f>PE_aug!AL158</f>
        <v>n.d.</v>
      </c>
      <c r="F159" s="27">
        <f>PP!Z158</f>
        <v>0</v>
      </c>
      <c r="G159" s="27">
        <f>PS!Q158</f>
        <v>1.2563010535205101</v>
      </c>
      <c r="H159" s="27">
        <f>PMMA!G158</f>
        <v>0</v>
      </c>
      <c r="I159" s="27">
        <f>PET_aug!P158</f>
        <v>0</v>
      </c>
      <c r="J159" s="27">
        <f>PA!G158</f>
        <v>0</v>
      </c>
      <c r="K159" s="27">
        <f>SBR!G118</f>
        <v>0</v>
      </c>
      <c r="L159" s="28">
        <f t="shared" si="2"/>
        <v>1.2563010535205101</v>
      </c>
    </row>
    <row r="160" spans="1:12">
      <c r="A160" s="24" t="str">
        <f>PE_aug!A159</f>
        <v>210624_Lippe_vor_KA_3_210519_2</v>
      </c>
      <c r="B160" s="319" t="str">
        <f>PE_aug!AP159</f>
        <v>Flussproben, Lippe</v>
      </c>
      <c r="D160" s="26">
        <f>PE_aug!AF159</f>
        <v>44.33576382713855</v>
      </c>
      <c r="E160" s="27">
        <f>PE_aug!AL159</f>
        <v>2.8672274323756533</v>
      </c>
      <c r="F160" s="27">
        <f>PP!Z159</f>
        <v>0</v>
      </c>
      <c r="G160" s="27">
        <f>PS!Q159</f>
        <v>0.80667860537405012</v>
      </c>
      <c r="H160" s="27">
        <f>PMMA!G159</f>
        <v>0</v>
      </c>
      <c r="I160" s="27">
        <f>PET_aug!P159</f>
        <v>0</v>
      </c>
      <c r="J160" s="27">
        <f>PA!G159</f>
        <v>0</v>
      </c>
      <c r="K160" s="27">
        <f>SBR!G119</f>
        <v>0</v>
      </c>
      <c r="L160" s="28">
        <f t="shared" si="2"/>
        <v>3.6739060377497035</v>
      </c>
    </row>
    <row r="161" spans="1:12">
      <c r="A161" s="24" t="str">
        <f>PE_aug!A160</f>
        <v>210624_Lippe_vor_KA_3_210519_3</v>
      </c>
      <c r="B161" s="319" t="str">
        <f>PE_aug!AP160</f>
        <v>Flussproben, Lippe</v>
      </c>
      <c r="D161" s="26" t="e">
        <f>PE_aug!AF160</f>
        <v>#DIV/0!</v>
      </c>
      <c r="E161" s="27" t="str">
        <f>PE_aug!AL160</f>
        <v>n.d.</v>
      </c>
      <c r="F161" s="27">
        <f>PP!Z160</f>
        <v>0</v>
      </c>
      <c r="G161" s="27">
        <f>PS!Q160</f>
        <v>0</v>
      </c>
      <c r="H161" s="27">
        <f>PMMA!G160</f>
        <v>0</v>
      </c>
      <c r="I161" s="27">
        <f>PET_aug!P160</f>
        <v>0</v>
      </c>
      <c r="J161" s="27">
        <f>PA!G160</f>
        <v>0</v>
      </c>
      <c r="K161" s="27">
        <f>SBR!G120</f>
        <v>0</v>
      </c>
      <c r="L161" s="28">
        <f t="shared" si="2"/>
        <v>0</v>
      </c>
    </row>
    <row r="162" spans="1:12">
      <c r="A162" s="24" t="str">
        <f>PE_aug!A161</f>
        <v>210624_Lippe_vor_KA_5_210520_1</v>
      </c>
      <c r="B162" s="319" t="str">
        <f>PE_aug!AP161</f>
        <v>Flussproben, Lippe</v>
      </c>
      <c r="D162" s="26">
        <f>PE_aug!AF161</f>
        <v>0</v>
      </c>
      <c r="E162" s="27">
        <f>PE_aug!AL161</f>
        <v>2.6891656272651878</v>
      </c>
      <c r="F162" s="27">
        <f>PP!Z161</f>
        <v>0</v>
      </c>
      <c r="G162" s="27">
        <f>PS!Q161</f>
        <v>0</v>
      </c>
      <c r="H162" s="27">
        <f>PMMA!G161</f>
        <v>0</v>
      </c>
      <c r="I162" s="27">
        <f>PET_aug!P161</f>
        <v>0</v>
      </c>
      <c r="J162" s="27">
        <f>PA!G161</f>
        <v>0</v>
      </c>
      <c r="K162" s="27">
        <f>SBR!G121</f>
        <v>0</v>
      </c>
      <c r="L162" s="28">
        <f t="shared" si="2"/>
        <v>2.6891656272651878</v>
      </c>
    </row>
    <row r="163" spans="1:12">
      <c r="A163" s="24" t="str">
        <f>PE_aug!A162</f>
        <v>210624_Lippe_vor_KA_5_210520_2</v>
      </c>
      <c r="B163" s="319" t="str">
        <f>PE_aug!AP162</f>
        <v>Flussproben, Lippe</v>
      </c>
      <c r="D163" s="26">
        <f>PE_aug!AF162</f>
        <v>0</v>
      </c>
      <c r="E163" s="27">
        <f>PE_aug!AL162</f>
        <v>1.6858374068836504</v>
      </c>
      <c r="F163" s="27">
        <f>PP!Z162</f>
        <v>0</v>
      </c>
      <c r="G163" s="27">
        <f>PS!Q162</f>
        <v>0</v>
      </c>
      <c r="H163" s="27">
        <f>PMMA!G162</f>
        <v>0</v>
      </c>
      <c r="I163" s="27">
        <f>PET_aug!P162</f>
        <v>0</v>
      </c>
      <c r="J163" s="27">
        <f>PA!G162</f>
        <v>0</v>
      </c>
      <c r="K163" s="27">
        <f>SBR!G122</f>
        <v>0</v>
      </c>
      <c r="L163" s="28">
        <f t="shared" si="2"/>
        <v>1.6858374068836504</v>
      </c>
    </row>
    <row r="164" spans="1:12">
      <c r="A164" s="24" t="str">
        <f>PE_aug!A163</f>
        <v>210624_Lippe_vor_KA_5_210520_3</v>
      </c>
      <c r="B164" s="319" t="str">
        <f>PE_aug!AP163</f>
        <v>Flussproben, Lippe</v>
      </c>
      <c r="D164" s="26" t="e">
        <f>PE_aug!AF163</f>
        <v>#DIV/0!</v>
      </c>
      <c r="E164" s="27" t="str">
        <f>PE_aug!AL163</f>
        <v>n.d.</v>
      </c>
      <c r="F164" s="27">
        <f>PP!Z163</f>
        <v>0</v>
      </c>
      <c r="G164" s="27">
        <f>PS!Q163</f>
        <v>1.3562208153524196</v>
      </c>
      <c r="H164" s="27">
        <f>PMMA!G163</f>
        <v>0</v>
      </c>
      <c r="I164" s="27">
        <f>PET_aug!P163</f>
        <v>0</v>
      </c>
      <c r="J164" s="27">
        <f>PA!G163</f>
        <v>0</v>
      </c>
      <c r="K164" s="27">
        <f>SBR!G123</f>
        <v>0</v>
      </c>
      <c r="L164" s="28">
        <f t="shared" si="2"/>
        <v>1.3562208153524196</v>
      </c>
    </row>
    <row r="165" spans="1:12">
      <c r="A165" s="24" t="str">
        <f>PE_aug!A164</f>
        <v>210624_Luebeck_Abl_SF_21060910_1</v>
      </c>
      <c r="B165" s="319" t="str">
        <f>PE_aug!AP164</f>
        <v>Kläranlage</v>
      </c>
      <c r="D165" s="26">
        <f>PE_aug!AF164</f>
        <v>35.151327981032779</v>
      </c>
      <c r="E165" s="27">
        <f>PE_aug!AL164</f>
        <v>48.915519819932044</v>
      </c>
      <c r="F165" s="27">
        <f>PP!Z164</f>
        <v>6.269693829686303</v>
      </c>
      <c r="G165" s="27">
        <f>PS!Q164</f>
        <v>0.84804380146234559</v>
      </c>
      <c r="H165" s="27">
        <f>PMMA!G164</f>
        <v>0</v>
      </c>
      <c r="I165" s="27">
        <f>PET_aug!P164</f>
        <v>0</v>
      </c>
      <c r="J165" s="27">
        <f>PA!G164</f>
        <v>0</v>
      </c>
      <c r="K165" s="27">
        <f>SBR!G124</f>
        <v>0</v>
      </c>
      <c r="L165" s="28">
        <f t="shared" si="2"/>
        <v>56.033257451080694</v>
      </c>
    </row>
    <row r="166" spans="1:12">
      <c r="A166" s="24" t="str">
        <f>PE_aug!A165</f>
        <v>210624_Luebeck_Abl_SF_21060910_2</v>
      </c>
      <c r="B166" s="319" t="str">
        <f>PE_aug!AP165</f>
        <v>Kläranlage</v>
      </c>
      <c r="D166" s="26">
        <f>PE_aug!AF165</f>
        <v>11.506204488447368</v>
      </c>
      <c r="E166" s="27">
        <f>PE_aug!AL165</f>
        <v>37.112417008747144</v>
      </c>
      <c r="F166" s="27">
        <f>PP!Z165</f>
        <v>5.1137784958847821</v>
      </c>
      <c r="G166" s="27">
        <f>PS!Q165</f>
        <v>0</v>
      </c>
      <c r="H166" s="27">
        <f>PMMA!G165</f>
        <v>0</v>
      </c>
      <c r="I166" s="27">
        <f>PET_aug!P165</f>
        <v>0</v>
      </c>
      <c r="J166" s="27">
        <f>PA!G165</f>
        <v>0</v>
      </c>
      <c r="K166" s="27">
        <f>SBR!G125</f>
        <v>0</v>
      </c>
      <c r="L166" s="28">
        <f t="shared" si="2"/>
        <v>42.226195504631924</v>
      </c>
    </row>
    <row r="167" spans="1:12">
      <c r="A167" s="24" t="str">
        <f>PE_aug!A166</f>
        <v>210624_Luebeck_Abl_SF_21060910_3</v>
      </c>
      <c r="B167" s="319" t="str">
        <f>PE_aug!AP166</f>
        <v>Kläranlage</v>
      </c>
      <c r="D167" s="26">
        <f>PE_aug!AF166</f>
        <v>48.325525994785465</v>
      </c>
      <c r="E167" s="27">
        <f>PE_aug!AL166</f>
        <v>83.672784104335008</v>
      </c>
      <c r="F167" s="27">
        <f>PP!Z166</f>
        <v>6.2763500992857226</v>
      </c>
      <c r="G167" s="27">
        <f>PS!Q166</f>
        <v>0</v>
      </c>
      <c r="H167" s="27">
        <f>PMMA!G166</f>
        <v>0</v>
      </c>
      <c r="I167" s="27">
        <f>PET_aug!P166</f>
        <v>0</v>
      </c>
      <c r="J167" s="27">
        <f>PA!G166</f>
        <v>0</v>
      </c>
      <c r="K167" s="27">
        <f>SBR!G126</f>
        <v>0</v>
      </c>
      <c r="L167" s="28">
        <f t="shared" si="2"/>
        <v>89.94913420362073</v>
      </c>
    </row>
    <row r="168" spans="1:12">
      <c r="A168" s="24" t="str">
        <f>PE_aug!A167</f>
        <v>210624_Standard_PMMA_PE</v>
      </c>
      <c r="B168" s="319" t="str">
        <f>PE_aug!AP167</f>
        <v>Methode</v>
      </c>
      <c r="D168" s="26">
        <f>PE_aug!AF167</f>
        <v>24.936168381463471</v>
      </c>
      <c r="E168" s="27">
        <f>PE_aug!AL167</f>
        <v>1028.9453125</v>
      </c>
      <c r="F168" s="27">
        <f>PP!Z167</f>
        <v>0</v>
      </c>
      <c r="G168" s="27">
        <f>PS!Q167</f>
        <v>27.152777777777782</v>
      </c>
      <c r="H168" s="27">
        <f>PMMA!G167</f>
        <v>755</v>
      </c>
      <c r="I168" s="27">
        <f>PET_aug!P167</f>
        <v>0</v>
      </c>
      <c r="J168" s="27">
        <f>PA!G167</f>
        <v>0</v>
      </c>
      <c r="K168" s="27">
        <f>SBR!G127</f>
        <v>0</v>
      </c>
      <c r="L168" s="28">
        <f t="shared" si="2"/>
        <v>1811.0980902777778</v>
      </c>
    </row>
    <row r="169" spans="1:12">
      <c r="A169" s="24" t="str">
        <f>PE_aug!A168</f>
        <v>210624_Standard_PP_PA</v>
      </c>
      <c r="B169" s="319" t="str">
        <f>PE_aug!AP168</f>
        <v>Methode</v>
      </c>
      <c r="D169" s="26" t="e">
        <f>PE_aug!AF168</f>
        <v>#DIV/0!</v>
      </c>
      <c r="E169" s="27" t="str">
        <f>PE_aug!AL168</f>
        <v>n.d.</v>
      </c>
      <c r="F169" s="27">
        <f>PP!Z168</f>
        <v>387.0959469682399</v>
      </c>
      <c r="G169" s="27">
        <f>PS!Q168</f>
        <v>247.46445102640047</v>
      </c>
      <c r="H169" s="27">
        <f>PMMA!G168</f>
        <v>0</v>
      </c>
      <c r="I169" s="27">
        <f>PET_aug!P168</f>
        <v>1752.54195996974</v>
      </c>
      <c r="J169" s="27">
        <f>PA!G168</f>
        <v>170.01961764819015</v>
      </c>
      <c r="K169" s="27">
        <f>SBR!G128</f>
        <v>0</v>
      </c>
      <c r="L169" s="28">
        <f t="shared" si="2"/>
        <v>2387.1023579643806</v>
      </c>
    </row>
    <row r="170" spans="1:12">
      <c r="A170" s="24" t="str">
        <f>PE_aug!A169</f>
        <v>210624_Standard_PS_PET</v>
      </c>
      <c r="B170" s="319" t="str">
        <f>PE_aug!AP169</f>
        <v>Methode</v>
      </c>
      <c r="D170" s="26" t="e">
        <f>PE_aug!AF169</f>
        <v>#DIV/0!</v>
      </c>
      <c r="E170" s="27" t="str">
        <f>PE_aug!AL169</f>
        <v>n.d.</v>
      </c>
      <c r="F170" s="27">
        <f>PP!Z169</f>
        <v>0</v>
      </c>
      <c r="G170" s="27">
        <f>PS!Q169</f>
        <v>143.42866343807671</v>
      </c>
      <c r="H170" s="27">
        <f>PMMA!G169</f>
        <v>0</v>
      </c>
      <c r="I170" s="27">
        <f>PET_aug!P169</f>
        <v>965.80254406282108</v>
      </c>
      <c r="J170" s="27">
        <f>PA!G169</f>
        <v>0</v>
      </c>
      <c r="K170" s="27">
        <f>SBR!G129</f>
        <v>0</v>
      </c>
      <c r="L170" s="28">
        <f t="shared" si="2"/>
        <v>1109.2312075008979</v>
      </c>
    </row>
    <row r="171" spans="1:12">
      <c r="A171" s="24" t="str">
        <f>PE_aug!A170</f>
        <v>210705_Hamm_Abl_NK_21051920_1</v>
      </c>
      <c r="B171" s="319" t="str">
        <f>PE_aug!AP170</f>
        <v>Kläranlage</v>
      </c>
      <c r="D171" s="26">
        <f>PE_aug!AF170</f>
        <v>59.543761550379813</v>
      </c>
      <c r="E171" s="27">
        <f>PE_aug!AL170</f>
        <v>7.9600430310630479</v>
      </c>
      <c r="F171" s="27">
        <f>PP!Z170</f>
        <v>0</v>
      </c>
      <c r="G171" s="27">
        <f>PS!Q170</f>
        <v>2.0389718828279162</v>
      </c>
      <c r="H171" s="27">
        <f>PMMA!G170</f>
        <v>0</v>
      </c>
      <c r="I171" s="27">
        <f>PET_aug!P170</f>
        <v>0</v>
      </c>
      <c r="J171" s="27">
        <f>PA!G170</f>
        <v>0</v>
      </c>
      <c r="K171" s="27">
        <f>SBR!G130</f>
        <v>0</v>
      </c>
      <c r="L171" s="28">
        <f t="shared" si="2"/>
        <v>9.9990149138909636</v>
      </c>
    </row>
    <row r="172" spans="1:12">
      <c r="A172" s="24" t="str">
        <f>PE_aug!A171</f>
        <v>210705_Hamm_Abl_NK_21051920_2</v>
      </c>
      <c r="B172" s="319" t="str">
        <f>PE_aug!AP171</f>
        <v>Kläranlage</v>
      </c>
      <c r="D172" s="26">
        <f>PE_aug!AF171</f>
        <v>17.90113319100023</v>
      </c>
      <c r="E172" s="27">
        <f>PE_aug!AL171</f>
        <v>4.2318518261111304</v>
      </c>
      <c r="F172" s="27">
        <f>PP!Z171</f>
        <v>0</v>
      </c>
      <c r="G172" s="27">
        <f>PS!Q171</f>
        <v>1.0001042499218125</v>
      </c>
      <c r="H172" s="27">
        <f>PMMA!G171</f>
        <v>0</v>
      </c>
      <c r="I172" s="27">
        <f>PET_aug!P171</f>
        <v>0</v>
      </c>
      <c r="J172" s="27">
        <f>PA!G171</f>
        <v>0</v>
      </c>
      <c r="K172" s="27">
        <f>SBR!G131</f>
        <v>0</v>
      </c>
      <c r="L172" s="28">
        <f t="shared" si="2"/>
        <v>5.2319560760329429</v>
      </c>
    </row>
    <row r="173" spans="1:12">
      <c r="A173" s="24" t="str">
        <f>PE_aug!A172</f>
        <v>210705_Hamm_Abl_NK_21051920_3</v>
      </c>
      <c r="B173" s="319" t="str">
        <f>PE_aug!AP172</f>
        <v>Kläranlage</v>
      </c>
      <c r="D173" s="26">
        <f>PE_aug!AF172</f>
        <v>70.275930372919078</v>
      </c>
      <c r="E173" s="27">
        <f>PE_aug!AL172</f>
        <v>6.3035625752532045</v>
      </c>
      <c r="F173" s="27">
        <f>PP!Z172</f>
        <v>0</v>
      </c>
      <c r="G173" s="27">
        <f>PS!Q172</f>
        <v>1.1001378791223506</v>
      </c>
      <c r="H173" s="27">
        <f>PMMA!G172</f>
        <v>0</v>
      </c>
      <c r="I173" s="27">
        <f>PET_aug!P172</f>
        <v>0</v>
      </c>
      <c r="J173" s="27">
        <f>PA!G172</f>
        <v>0</v>
      </c>
      <c r="K173" s="27">
        <f>SBR!G132</f>
        <v>0</v>
      </c>
      <c r="L173" s="28">
        <f t="shared" si="2"/>
        <v>7.4037004543755547</v>
      </c>
    </row>
    <row r="174" spans="1:12">
      <c r="A174" s="24" t="str">
        <f>PE_aug!A173</f>
        <v>210705_Hamm_Abl_NK_21051920_spike_PE</v>
      </c>
      <c r="B174" s="319" t="str">
        <f>PE_aug!AP173</f>
        <v>Kläranlage, Methode</v>
      </c>
      <c r="D174" s="26">
        <f>PE_aug!AF173</f>
        <v>56.693467207373928</v>
      </c>
      <c r="E174" s="27">
        <f>PE_aug!AL173</f>
        <v>11.404427631295064</v>
      </c>
      <c r="F174" s="27">
        <f>PP!Z173</f>
        <v>0</v>
      </c>
      <c r="G174" s="27">
        <f>PS!Q173</f>
        <v>1.8200434289356584</v>
      </c>
      <c r="H174" s="27">
        <f>PMMA!G173</f>
        <v>0</v>
      </c>
      <c r="I174" s="27">
        <f>PET_aug!P173</f>
        <v>0</v>
      </c>
      <c r="J174" s="27">
        <f>PA!G173</f>
        <v>0</v>
      </c>
      <c r="K174" s="27">
        <f>SBR!G133</f>
        <v>0</v>
      </c>
      <c r="L174" s="28">
        <f t="shared" si="2"/>
        <v>13.224471060230723</v>
      </c>
    </row>
    <row r="175" spans="1:12">
      <c r="A175" s="24" t="str">
        <f>PE_aug!A174</f>
        <v>210705_Hamm_Abl_NK_21051920_spike_PET</v>
      </c>
      <c r="B175" s="319" t="str">
        <f>PE_aug!AP174</f>
        <v>Kläranlage, Methode</v>
      </c>
      <c r="D175" s="26">
        <f>PE_aug!AF174</f>
        <v>40.158434612563006</v>
      </c>
      <c r="E175" s="27">
        <f>PE_aug!AL174</f>
        <v>7.2082650963448209</v>
      </c>
      <c r="F175" s="27">
        <f>PP!Z174</f>
        <v>0</v>
      </c>
      <c r="G175" s="27">
        <f>PS!Q174</f>
        <v>1.0244259381859997</v>
      </c>
      <c r="H175" s="27">
        <f>PMMA!G174</f>
        <v>0</v>
      </c>
      <c r="I175" s="27">
        <f>PET_aug!P174</f>
        <v>13.559705913098018</v>
      </c>
      <c r="J175" s="27">
        <f>PA!G174</f>
        <v>0</v>
      </c>
      <c r="K175" s="27">
        <f>SBR!G134</f>
        <v>0</v>
      </c>
      <c r="L175" s="28">
        <f t="shared" si="2"/>
        <v>21.792396947628838</v>
      </c>
    </row>
    <row r="176" spans="1:12">
      <c r="A176" s="24" t="str">
        <f>PE_aug!A175</f>
        <v>210705_Hamm_Abl_NK_21051920_spike_PP</v>
      </c>
      <c r="B176" s="319" t="str">
        <f>PE_aug!AP175</f>
        <v>Kläranlage, Methode</v>
      </c>
      <c r="D176" s="26">
        <f>PE_aug!AF175</f>
        <v>56.423102245589121</v>
      </c>
      <c r="E176" s="27">
        <f>PE_aug!AL175</f>
        <v>11.032232806994648</v>
      </c>
      <c r="F176" s="27">
        <f>PP!Z175</f>
        <v>8.0074528397639444</v>
      </c>
      <c r="G176" s="27">
        <f>PS!Q175</f>
        <v>1.8153609697391508</v>
      </c>
      <c r="H176" s="27">
        <f>PMMA!G175</f>
        <v>0</v>
      </c>
      <c r="I176" s="27">
        <f>PET_aug!P175</f>
        <v>0</v>
      </c>
      <c r="J176" s="27">
        <f>PA!G175</f>
        <v>0</v>
      </c>
      <c r="K176" s="27">
        <f>SBR!G135</f>
        <v>0</v>
      </c>
      <c r="L176" s="28">
        <f t="shared" si="2"/>
        <v>20.855046616497741</v>
      </c>
    </row>
    <row r="177" spans="1:12">
      <c r="A177" s="24" t="str">
        <f>PE_aug!A176</f>
        <v>210705_Hamm_Abl_NK_21052021_1</v>
      </c>
      <c r="B177" s="319" t="str">
        <f>PE_aug!AP176</f>
        <v>Kläranlage</v>
      </c>
      <c r="D177" s="26">
        <f>PE_aug!AF176</f>
        <v>63.722823449903842</v>
      </c>
      <c r="E177" s="27">
        <f>PE_aug!AL176</f>
        <v>9.9062070654955932</v>
      </c>
      <c r="F177" s="27">
        <f>PP!Z176</f>
        <v>1.7656228153595317</v>
      </c>
      <c r="G177" s="27">
        <f>PS!Q176</f>
        <v>1.1347130920700657</v>
      </c>
      <c r="H177" s="27">
        <f>PMMA!G176</f>
        <v>0</v>
      </c>
      <c r="I177" s="27">
        <f>PET_aug!P176</f>
        <v>0</v>
      </c>
      <c r="J177" s="27">
        <f>PA!G176</f>
        <v>0</v>
      </c>
      <c r="K177" s="27" t="e">
        <f>SBR!#REF!</f>
        <v>#REF!</v>
      </c>
      <c r="L177" s="28">
        <f t="shared" si="2"/>
        <v>12.80654297292519</v>
      </c>
    </row>
    <row r="178" spans="1:12">
      <c r="A178" s="24" t="str">
        <f>PE_aug!A177</f>
        <v>210705_Hamm_Abl_NK_21052021_3</v>
      </c>
      <c r="B178" s="319" t="str">
        <f>PE_aug!AP177</f>
        <v>Kläranlage</v>
      </c>
      <c r="D178" s="26">
        <f>PE_aug!AF177</f>
        <v>59.997803926940755</v>
      </c>
      <c r="E178" s="27">
        <f>PE_aug!AL177</f>
        <v>14.479967838085878</v>
      </c>
      <c r="F178" s="27">
        <f>PP!Z177</f>
        <v>1.2656308797691271</v>
      </c>
      <c r="G178" s="27">
        <f>PS!Q177</f>
        <v>1.0950752745809882</v>
      </c>
      <c r="H178" s="27">
        <f>PMMA!G177</f>
        <v>0</v>
      </c>
      <c r="I178" s="27">
        <f>PET_aug!P177</f>
        <v>0</v>
      </c>
      <c r="J178" s="27">
        <f>PA!G177</f>
        <v>0</v>
      </c>
      <c r="K178" s="27">
        <f>SBR!G136</f>
        <v>0</v>
      </c>
      <c r="L178" s="28">
        <f t="shared" si="2"/>
        <v>16.840673992435992</v>
      </c>
    </row>
    <row r="179" spans="1:12">
      <c r="A179" s="24" t="str">
        <f>PE_aug!A178</f>
        <v>210705_Luebeck_Abl_Filt_21060809_1</v>
      </c>
      <c r="B179" s="319" t="str">
        <f>PE_aug!AP178</f>
        <v>Kläranlage</v>
      </c>
      <c r="D179" s="26">
        <f>PE_aug!AF178</f>
        <v>0</v>
      </c>
      <c r="E179" s="27">
        <f>PE_aug!AL178</f>
        <v>1.7009681974716522</v>
      </c>
      <c r="F179" s="27">
        <f>PP!Z178</f>
        <v>0</v>
      </c>
      <c r="G179" s="27">
        <f>PS!Q178</f>
        <v>0</v>
      </c>
      <c r="H179" s="27">
        <f>PMMA!G178</f>
        <v>0</v>
      </c>
      <c r="I179" s="27">
        <f>PET_aug!P178</f>
        <v>0</v>
      </c>
      <c r="J179" s="27">
        <f>PA!G178</f>
        <v>0</v>
      </c>
      <c r="K179" s="27">
        <f>SBR!G137</f>
        <v>0</v>
      </c>
      <c r="L179" s="28">
        <f t="shared" si="2"/>
        <v>1.7009681974716522</v>
      </c>
    </row>
    <row r="180" spans="1:12">
      <c r="A180" s="24" t="str">
        <f>PE_aug!A179</f>
        <v>210705_Luebeck_Abl_Filt_21060809_2</v>
      </c>
      <c r="B180" s="319" t="str">
        <f>PE_aug!AP179</f>
        <v>Kläranlage</v>
      </c>
      <c r="D180" s="26">
        <f>PE_aug!AF179</f>
        <v>21.386360766304961</v>
      </c>
      <c r="E180" s="27">
        <f>PE_aug!AL179</f>
        <v>1.8632354696140505</v>
      </c>
      <c r="F180" s="27">
        <f>PP!Z179</f>
        <v>0</v>
      </c>
      <c r="G180" s="27">
        <f>PS!Q179</f>
        <v>0</v>
      </c>
      <c r="H180" s="27">
        <f>PMMA!G179</f>
        <v>0</v>
      </c>
      <c r="I180" s="27">
        <f>PET_aug!P179</f>
        <v>0</v>
      </c>
      <c r="J180" s="27">
        <f>PA!G179</f>
        <v>0</v>
      </c>
      <c r="K180" s="27">
        <f>SBR!G138</f>
        <v>0</v>
      </c>
      <c r="L180" s="28">
        <f t="shared" si="2"/>
        <v>1.8632354696140505</v>
      </c>
    </row>
    <row r="181" spans="1:12">
      <c r="A181" s="24" t="str">
        <f>PE_aug!A180</f>
        <v>210705_Luebeck_Abl_Filt_21060809_3</v>
      </c>
      <c r="B181" s="319" t="str">
        <f>PE_aug!AP180</f>
        <v>Kläranlage</v>
      </c>
      <c r="D181" s="26" t="e">
        <f>PE_aug!AF180</f>
        <v>#DIV/0!</v>
      </c>
      <c r="E181" s="27" t="str">
        <f>PE_aug!AL180</f>
        <v>n.d.</v>
      </c>
      <c r="F181" s="27">
        <f>PP!Z180</f>
        <v>0</v>
      </c>
      <c r="G181" s="27">
        <f>PS!Q180</f>
        <v>0</v>
      </c>
      <c r="H181" s="27">
        <f>PMMA!G180</f>
        <v>0</v>
      </c>
      <c r="I181" s="27">
        <f>PET_aug!P180</f>
        <v>0</v>
      </c>
      <c r="J181" s="27">
        <f>PA!G180</f>
        <v>0</v>
      </c>
      <c r="K181" s="27">
        <f>SBR!G139</f>
        <v>0</v>
      </c>
      <c r="L181" s="28">
        <f t="shared" si="2"/>
        <v>0</v>
      </c>
    </row>
    <row r="182" spans="1:12">
      <c r="A182" s="24" t="str">
        <f>PE_aug!A181</f>
        <v>210705_Luebeck_Abl_Filt_21060809_spike_PS</v>
      </c>
      <c r="B182" s="319" t="str">
        <f>PE_aug!AP181</f>
        <v>Kläranlage, Methode</v>
      </c>
      <c r="D182" s="26" t="e">
        <f>PE_aug!AF181</f>
        <v>#DIV/0!</v>
      </c>
      <c r="E182" s="27" t="str">
        <f>PE_aug!AL181</f>
        <v>n.d.</v>
      </c>
      <c r="F182" s="27">
        <f>PP!Z181</f>
        <v>0</v>
      </c>
      <c r="G182" s="27">
        <f>PS!Q181</f>
        <v>12.993228902250305</v>
      </c>
      <c r="H182" s="27">
        <f>PMMA!G181</f>
        <v>0</v>
      </c>
      <c r="I182" s="27">
        <f>PET_aug!P181</f>
        <v>0</v>
      </c>
      <c r="J182" s="27">
        <f>PA!G181</f>
        <v>0</v>
      </c>
      <c r="K182" s="27">
        <f>SBR!G140</f>
        <v>0</v>
      </c>
      <c r="L182" s="28">
        <f t="shared" si="2"/>
        <v>12.993228902250305</v>
      </c>
    </row>
    <row r="183" spans="1:12">
      <c r="A183" s="24" t="str">
        <f>PE_aug!A182</f>
        <v>210705_Luebeck_Zul_Filt_21060809_2</v>
      </c>
      <c r="B183" s="319" t="str">
        <f>PE_aug!AP182</f>
        <v>Kläranlage</v>
      </c>
      <c r="D183" s="26">
        <f>PE_aug!AF182</f>
        <v>57.575901088766493</v>
      </c>
      <c r="E183" s="27">
        <f>PE_aug!AL182</f>
        <v>8.3442279104811945</v>
      </c>
      <c r="F183" s="27">
        <f>PP!Z182</f>
        <v>0.78440955464597728</v>
      </c>
      <c r="G183" s="27">
        <f>PS!Q182</f>
        <v>0</v>
      </c>
      <c r="H183" s="27">
        <f>PMMA!G182</f>
        <v>0</v>
      </c>
      <c r="I183" s="27">
        <f>PET_aug!P182</f>
        <v>0</v>
      </c>
      <c r="J183" s="27">
        <f>PA!G182</f>
        <v>0</v>
      </c>
      <c r="K183" s="27">
        <f>SBR!G141</f>
        <v>0</v>
      </c>
      <c r="L183" s="28">
        <f t="shared" si="2"/>
        <v>9.1286374651271718</v>
      </c>
    </row>
    <row r="184" spans="1:12">
      <c r="A184" s="24" t="str">
        <f>PE_aug!A183</f>
        <v>210705_Luebeck_Zul_Filt_21060809_3</v>
      </c>
      <c r="B184" s="319" t="str">
        <f>PE_aug!AP183</f>
        <v>Kläranlage</v>
      </c>
      <c r="D184" s="26">
        <f>PE_aug!AF183</f>
        <v>71.280965827632912</v>
      </c>
      <c r="E184" s="27">
        <f>PE_aug!AL183</f>
        <v>24.136628132398126</v>
      </c>
      <c r="F184" s="27">
        <f>PP!Z183</f>
        <v>1.6573333961802266</v>
      </c>
      <c r="G184" s="27">
        <f>PS!Q183</f>
        <v>0</v>
      </c>
      <c r="H184" s="27">
        <f>PMMA!G183</f>
        <v>0</v>
      </c>
      <c r="I184" s="27">
        <f>PET_aug!P183</f>
        <v>0</v>
      </c>
      <c r="J184" s="27">
        <f>PA!G183</f>
        <v>0</v>
      </c>
      <c r="K184" s="27">
        <f>SBR!G142</f>
        <v>0</v>
      </c>
      <c r="L184" s="28">
        <f t="shared" si="2"/>
        <v>25.793961528578354</v>
      </c>
    </row>
    <row r="185" spans="1:12">
      <c r="A185" s="24" t="str">
        <f>PE_aug!A184</f>
        <v>210705_Luebeck_Zul_Filt_21060910_1</v>
      </c>
      <c r="B185" s="319" t="str">
        <f>PE_aug!AP184</f>
        <v>Kläranlage</v>
      </c>
      <c r="D185" s="26" t="e">
        <f>PE_aug!AF184</f>
        <v>#DIV/0!</v>
      </c>
      <c r="E185" s="27" t="str">
        <f>PE_aug!AL184</f>
        <v>n.d.</v>
      </c>
      <c r="F185" s="27">
        <f>PP!Z184</f>
        <v>0</v>
      </c>
      <c r="G185" s="27">
        <f>PS!Q184</f>
        <v>18.097717933791095</v>
      </c>
      <c r="H185" s="27">
        <f>PMMA!G184</f>
        <v>0</v>
      </c>
      <c r="I185" s="27">
        <f>PET_aug!P184</f>
        <v>0</v>
      </c>
      <c r="J185" s="27">
        <f>PA!G184</f>
        <v>0</v>
      </c>
      <c r="K185" s="27">
        <f>SBR!G143</f>
        <v>0</v>
      </c>
      <c r="L185" s="28">
        <f t="shared" si="2"/>
        <v>18.097717933791095</v>
      </c>
    </row>
    <row r="186" spans="1:12">
      <c r="A186" s="24" t="str">
        <f>PE_aug!A185</f>
        <v>210705_Luebeck_Zul_Filt_21060910_2</v>
      </c>
      <c r="B186" s="319" t="str">
        <f>PE_aug!AP185</f>
        <v>Kläranlage</v>
      </c>
      <c r="D186" s="26">
        <f>PE_aug!AF185</f>
        <v>46.49117370471393</v>
      </c>
      <c r="E186" s="27">
        <f>PE_aug!AL185</f>
        <v>18.995616787583455</v>
      </c>
      <c r="F186" s="27">
        <f>PP!Z185</f>
        <v>0</v>
      </c>
      <c r="G186" s="27">
        <f>PS!Q185</f>
        <v>0</v>
      </c>
      <c r="H186" s="27">
        <f>PMMA!G185</f>
        <v>0</v>
      </c>
      <c r="I186" s="27">
        <f>PET_aug!P185</f>
        <v>0</v>
      </c>
      <c r="J186" s="27">
        <f>PA!G185</f>
        <v>0</v>
      </c>
      <c r="K186" s="27">
        <f>SBR!G144</f>
        <v>0</v>
      </c>
      <c r="L186" s="28">
        <f t="shared" si="2"/>
        <v>18.995616787583455</v>
      </c>
    </row>
    <row r="187" spans="1:12">
      <c r="A187" s="24" t="str">
        <f>PE_aug!A186</f>
        <v>210705_Standard_PP</v>
      </c>
      <c r="B187" s="319" t="str">
        <f>PE_aug!AP186</f>
        <v>Methode</v>
      </c>
      <c r="D187" s="26" t="e">
        <f>PE_aug!AF186</f>
        <v>#DIV/0!</v>
      </c>
      <c r="E187" s="27" t="str">
        <f>PE_aug!AL186</f>
        <v>n.d.</v>
      </c>
      <c r="F187" s="27">
        <f>PP!Z186</f>
        <v>911.82961659741181</v>
      </c>
      <c r="G187" s="27">
        <f>PS!Q186</f>
        <v>175.0991462349505</v>
      </c>
      <c r="H187" s="27">
        <f>PMMA!G186</f>
        <v>126.48371104322597</v>
      </c>
      <c r="I187" s="27">
        <f>PET_aug!P186</f>
        <v>1315.4027350013027</v>
      </c>
      <c r="J187" s="27">
        <f>PA!G186</f>
        <v>0</v>
      </c>
      <c r="K187" s="27">
        <f>SBR!G145</f>
        <v>0</v>
      </c>
      <c r="L187" s="28">
        <f t="shared" si="2"/>
        <v>2528.8152088768911</v>
      </c>
    </row>
    <row r="188" spans="1:12">
      <c r="A188" s="24" t="str">
        <f>PE_aug!A187</f>
        <v>210714_KWS_Abl_VK_A_20102728_1</v>
      </c>
      <c r="B188" s="319" t="str">
        <f>PE_aug!AP187</f>
        <v>KWS</v>
      </c>
      <c r="D188" s="26">
        <f>PE_aug!AF187</f>
        <v>44.757682332504238</v>
      </c>
      <c r="E188" s="27">
        <f>PE_aug!AL187</f>
        <v>16.872315294043688</v>
      </c>
      <c r="F188" s="27">
        <f>PP!Z187</f>
        <v>1.9168483169092498</v>
      </c>
      <c r="G188" s="27">
        <f>PS!Q187</f>
        <v>1.4399030876309786</v>
      </c>
      <c r="H188" s="27">
        <f>PMMA!G187</f>
        <v>0</v>
      </c>
      <c r="I188" s="27">
        <f>PET_aug!P187</f>
        <v>0</v>
      </c>
      <c r="J188" s="27">
        <f>PA!G187</f>
        <v>0</v>
      </c>
      <c r="K188" s="27">
        <f>SBR!G146</f>
        <v>0</v>
      </c>
      <c r="L188" s="28">
        <f t="shared" si="2"/>
        <v>20.229066698583914</v>
      </c>
    </row>
    <row r="189" spans="1:12">
      <c r="A189" s="24" t="str">
        <f>PE_aug!A188</f>
        <v>210714_KWS_Abl_VK_A_20102728_2</v>
      </c>
      <c r="B189" s="319" t="str">
        <f>PE_aug!AP188</f>
        <v>KWS</v>
      </c>
      <c r="D189" s="26">
        <f>PE_aug!AF188</f>
        <v>48.672348494797994</v>
      </c>
      <c r="E189" s="27">
        <f>PE_aug!AL188</f>
        <v>15.484996195631405</v>
      </c>
      <c r="F189" s="27">
        <f>PP!Z188</f>
        <v>0</v>
      </c>
      <c r="G189" s="27">
        <f>PS!Q188</f>
        <v>0.93458918030622562</v>
      </c>
      <c r="H189" s="27">
        <f>PMMA!G188</f>
        <v>0</v>
      </c>
      <c r="I189" s="27">
        <f>PET_aug!P188</f>
        <v>0</v>
      </c>
      <c r="J189" s="27">
        <f>PA!G188</f>
        <v>0</v>
      </c>
      <c r="K189" s="27">
        <f>SBR!G147</f>
        <v>0</v>
      </c>
      <c r="L189" s="28">
        <f t="shared" si="2"/>
        <v>16.419585375937629</v>
      </c>
    </row>
    <row r="190" spans="1:12">
      <c r="A190" s="24" t="str">
        <f>PE_aug!A189</f>
        <v>210714_KWS_Abl_VK_A_20102728_3</v>
      </c>
      <c r="B190" s="319" t="str">
        <f>PE_aug!AP189</f>
        <v>KWS</v>
      </c>
      <c r="D190" s="26">
        <f>PE_aug!AF189</f>
        <v>53.685090771806912</v>
      </c>
      <c r="E190" s="27">
        <f>PE_aug!AL189</f>
        <v>18.622249046522093</v>
      </c>
      <c r="F190" s="27">
        <f>PP!Z189</f>
        <v>0</v>
      </c>
      <c r="G190" s="27">
        <f>PS!Q189</f>
        <v>0.98115946653916297</v>
      </c>
      <c r="H190" s="27">
        <f>PMMA!G189</f>
        <v>0</v>
      </c>
      <c r="I190" s="27">
        <f>PET_aug!P189</f>
        <v>0</v>
      </c>
      <c r="J190" s="27">
        <f>PA!G189</f>
        <v>0</v>
      </c>
      <c r="K190" s="27">
        <f>SBR!G148</f>
        <v>0</v>
      </c>
      <c r="L190" s="28">
        <f t="shared" si="2"/>
        <v>19.603408513061257</v>
      </c>
    </row>
    <row r="191" spans="1:12">
      <c r="A191" s="24" t="str">
        <f>PE_aug!A190</f>
        <v>210714_Luebeck_Abl_Filt_21060910_1</v>
      </c>
      <c r="B191" s="319" t="str">
        <f>PE_aug!AP190</f>
        <v>Kläranlagen</v>
      </c>
      <c r="D191" s="26">
        <f>PE_aug!AF190</f>
        <v>13.464247967128099</v>
      </c>
      <c r="E191" s="27">
        <f>PE_aug!AL190</f>
        <v>7.3034917165601589</v>
      </c>
      <c r="F191" s="27">
        <f>PP!Z190</f>
        <v>0</v>
      </c>
      <c r="G191" s="27">
        <f>PS!Q190</f>
        <v>0</v>
      </c>
      <c r="H191" s="27">
        <f>PMMA!G190</f>
        <v>0</v>
      </c>
      <c r="I191" s="27">
        <f>PET_aug!P190</f>
        <v>0</v>
      </c>
      <c r="J191" s="27">
        <f>PA!G190</f>
        <v>0</v>
      </c>
      <c r="K191" s="27">
        <f>SBR!G149</f>
        <v>0</v>
      </c>
      <c r="L191" s="28">
        <f t="shared" si="2"/>
        <v>7.3034917165601589</v>
      </c>
    </row>
    <row r="192" spans="1:12">
      <c r="A192" s="24" t="str">
        <f>PE_aug!A191</f>
        <v>210714_Luebeck_Abl_Filt_21060910_2</v>
      </c>
      <c r="B192" s="319" t="str">
        <f>PE_aug!AP191</f>
        <v>Kläranlagen</v>
      </c>
      <c r="D192" s="26">
        <f>PE_aug!AF191</f>
        <v>22.027182676802575</v>
      </c>
      <c r="E192" s="27">
        <f>PE_aug!AL191</f>
        <v>8.9486703772418075</v>
      </c>
      <c r="F192" s="27">
        <f>PP!Z191</f>
        <v>1.5048443619872192</v>
      </c>
      <c r="G192" s="27">
        <f>PS!Q191</f>
        <v>0</v>
      </c>
      <c r="H192" s="27">
        <f>PMMA!G191</f>
        <v>0</v>
      </c>
      <c r="I192" s="27">
        <f>PET_aug!P191</f>
        <v>0</v>
      </c>
      <c r="J192" s="27">
        <f>PA!G191</f>
        <v>0</v>
      </c>
      <c r="K192" s="27">
        <f>SBR!G150</f>
        <v>0</v>
      </c>
      <c r="L192" s="28">
        <f t="shared" si="2"/>
        <v>10.453514739229027</v>
      </c>
    </row>
    <row r="193" spans="1:12">
      <c r="A193" s="24" t="str">
        <f>PE_aug!A192</f>
        <v>210714_Luebeck_Abl_Filt_21060910_3</v>
      </c>
      <c r="B193" s="319" t="str">
        <f>PE_aug!AP192</f>
        <v>Kläranlagen</v>
      </c>
      <c r="D193" s="26">
        <f>PE_aug!AF192</f>
        <v>53.463648103875308</v>
      </c>
      <c r="E193" s="27">
        <f>PE_aug!AL192</f>
        <v>9.6159137009496796</v>
      </c>
      <c r="F193" s="27">
        <f>PP!Z192</f>
        <v>1.2930851210172603</v>
      </c>
      <c r="G193" s="27">
        <f>PS!Q192</f>
        <v>0</v>
      </c>
      <c r="H193" s="27">
        <f>PMMA!G192</f>
        <v>0</v>
      </c>
      <c r="I193" s="27">
        <f>PET_aug!P192</f>
        <v>0</v>
      </c>
      <c r="J193" s="27">
        <f>PA!G192</f>
        <v>0</v>
      </c>
      <c r="K193" s="27">
        <f>SBR!G151</f>
        <v>0</v>
      </c>
      <c r="L193" s="28">
        <f t="shared" si="2"/>
        <v>10.908998821966939</v>
      </c>
    </row>
    <row r="194" spans="1:12">
      <c r="A194" s="24" t="str">
        <f>PE_aug!A193</f>
        <v>210714_Luebeck_Zul_Filt_21060809_1</v>
      </c>
      <c r="B194" s="319" t="str">
        <f>PE_aug!AP193</f>
        <v>Kläranlagen</v>
      </c>
      <c r="D194" s="26">
        <f>PE_aug!AF193</f>
        <v>81.81408630863568</v>
      </c>
      <c r="E194" s="27">
        <f>PE_aug!AL193</f>
        <v>18.728232184235509</v>
      </c>
      <c r="F194" s="27">
        <f>PP!Z193</f>
        <v>0.98080898255747584</v>
      </c>
      <c r="G194" s="27">
        <f>PS!Q193</f>
        <v>0</v>
      </c>
      <c r="H194" s="27">
        <f>PMMA!G193</f>
        <v>0</v>
      </c>
      <c r="I194" s="27">
        <f>PET_aug!P193</f>
        <v>0</v>
      </c>
      <c r="J194" s="27">
        <f>PA!G193</f>
        <v>0</v>
      </c>
      <c r="K194" s="27">
        <f>SBR!G152</f>
        <v>0</v>
      </c>
      <c r="L194" s="28">
        <f t="shared" si="2"/>
        <v>19.709041166792986</v>
      </c>
    </row>
    <row r="195" spans="1:12">
      <c r="A195" s="24" t="str">
        <f>PE_aug!A194</f>
        <v>210714_Luebeck_Zul_Filt_21060809_2</v>
      </c>
      <c r="B195" s="319" t="str">
        <f>PE_aug!AP194</f>
        <v>Kläranlagen</v>
      </c>
      <c r="D195" s="26">
        <f>PE_aug!AF194</f>
        <v>22.32278184031669</v>
      </c>
      <c r="E195" s="27">
        <f>PE_aug!AL194</f>
        <v>7.915396115571304</v>
      </c>
      <c r="F195" s="27">
        <f>PP!Z194</f>
        <v>1.0972292655940252</v>
      </c>
      <c r="G195" s="27">
        <f>PS!Q194</f>
        <v>0</v>
      </c>
      <c r="H195" s="27">
        <f>PMMA!G194</f>
        <v>0</v>
      </c>
      <c r="I195" s="27">
        <f>PET_aug!P194</f>
        <v>0</v>
      </c>
      <c r="J195" s="27">
        <f>PA!G194</f>
        <v>0</v>
      </c>
      <c r="K195" s="27">
        <f>SBR!G153</f>
        <v>0</v>
      </c>
      <c r="L195" s="28">
        <f t="shared" ref="L195:L258" si="3">SUM(E195:I195)</f>
        <v>9.0126253811653285</v>
      </c>
    </row>
    <row r="196" spans="1:12">
      <c r="A196" s="24" t="str">
        <f>PE_aug!A195</f>
        <v>210714_Luebeck_Zul_Filt_21060910_1</v>
      </c>
      <c r="B196" s="319" t="str">
        <f>PE_aug!AP195</f>
        <v>Kläranlagen</v>
      </c>
      <c r="D196" s="26">
        <f>PE_aug!AF195</f>
        <v>19.584272135105465</v>
      </c>
      <c r="E196" s="27">
        <f>PE_aug!AL195</f>
        <v>12.702035605051957</v>
      </c>
      <c r="F196" s="27">
        <f>PP!Z195</f>
        <v>1.1182601053328873</v>
      </c>
      <c r="G196" s="27">
        <f>PS!Q195</f>
        <v>0</v>
      </c>
      <c r="H196" s="27">
        <f>PMMA!G195</f>
        <v>0</v>
      </c>
      <c r="I196" s="27">
        <f>PET_aug!P195</f>
        <v>0</v>
      </c>
      <c r="J196" s="27">
        <f>PA!G195</f>
        <v>0</v>
      </c>
      <c r="K196" s="27">
        <f>SBR!G154</f>
        <v>0</v>
      </c>
      <c r="L196" s="28">
        <f t="shared" si="3"/>
        <v>13.820295710384844</v>
      </c>
    </row>
    <row r="197" spans="1:12">
      <c r="A197" s="24" t="str">
        <f>PE_aug!A196</f>
        <v>210714_Luebeck_Zul_Filt_21060910_2</v>
      </c>
      <c r="B197" s="319" t="str">
        <f>PE_aug!AP196</f>
        <v>Kläranlagen</v>
      </c>
      <c r="D197" s="26">
        <f>PE_aug!AF196</f>
        <v>17.242879041627589</v>
      </c>
      <c r="E197" s="27">
        <f>PE_aug!AL196</f>
        <v>14.543678336232544</v>
      </c>
      <c r="F197" s="27">
        <f>PP!Z196</f>
        <v>0</v>
      </c>
      <c r="G197" s="27">
        <f>PS!Q196</f>
        <v>1.5445297582617863</v>
      </c>
      <c r="H197" s="27">
        <f>PMMA!G196</f>
        <v>0</v>
      </c>
      <c r="I197" s="27">
        <f>PET_aug!P196</f>
        <v>0</v>
      </c>
      <c r="J197" s="27">
        <f>PA!G196</f>
        <v>0</v>
      </c>
      <c r="K197" s="27">
        <f>SBR!G155</f>
        <v>0</v>
      </c>
      <c r="L197" s="28">
        <f t="shared" si="3"/>
        <v>16.08820809449433</v>
      </c>
    </row>
    <row r="198" spans="1:12">
      <c r="A198" s="24" t="str">
        <f>PE_aug!A197</f>
        <v>210714_Rostock_Abl_Filt_21060204_22Uhr_1</v>
      </c>
      <c r="B198" s="319" t="str">
        <f>PE_aug!AP197</f>
        <v>Kläranlagen</v>
      </c>
      <c r="D198" s="26">
        <f>PE_aug!AF197</f>
        <v>34.369644591172502</v>
      </c>
      <c r="E198" s="27">
        <f>PE_aug!AL197</f>
        <v>7.2344051422005489</v>
      </c>
      <c r="F198" s="27">
        <f>PP!Z197</f>
        <v>0.96842856398886201</v>
      </c>
      <c r="G198" s="27">
        <f>PS!Q197</f>
        <v>1.1434991739548119</v>
      </c>
      <c r="H198" s="27">
        <f>PMMA!G197</f>
        <v>0</v>
      </c>
      <c r="I198" s="27">
        <f>PET_aug!P197</f>
        <v>0</v>
      </c>
      <c r="J198" s="27">
        <f>PA!G197</f>
        <v>0</v>
      </c>
      <c r="K198" s="27">
        <f>SBR!G156</f>
        <v>0</v>
      </c>
      <c r="L198" s="28">
        <f t="shared" si="3"/>
        <v>9.3463328801442227</v>
      </c>
    </row>
    <row r="199" spans="1:12">
      <c r="A199" s="24" t="str">
        <f>PE_aug!A198</f>
        <v>210714_Rostock_Abl_Filt_21060204_22Uhr_2</v>
      </c>
      <c r="B199" s="319" t="str">
        <f>PE_aug!AP198</f>
        <v>Kläranlagen</v>
      </c>
      <c r="D199" s="26">
        <f>PE_aug!AF198</f>
        <v>58.898795405875383</v>
      </c>
      <c r="E199" s="27">
        <f>PE_aug!AL198</f>
        <v>6.0016590923760651</v>
      </c>
      <c r="F199" s="27">
        <f>PP!Z198</f>
        <v>0.90604612468055312</v>
      </c>
      <c r="G199" s="27">
        <f>PS!Q198</f>
        <v>0.96581170018718587</v>
      </c>
      <c r="H199" s="27">
        <f>PMMA!G198</f>
        <v>0</v>
      </c>
      <c r="I199" s="27">
        <f>PET_aug!P198</f>
        <v>0</v>
      </c>
      <c r="J199" s="27">
        <f>PA!G198</f>
        <v>0</v>
      </c>
      <c r="K199" s="27">
        <f>SBR!G157</f>
        <v>0</v>
      </c>
      <c r="L199" s="28">
        <f t="shared" si="3"/>
        <v>7.873516917243804</v>
      </c>
    </row>
    <row r="200" spans="1:12">
      <c r="A200" s="24" t="str">
        <f>PE_aug!A199</f>
        <v>210714_Rostock_PS_UESS_210621_1</v>
      </c>
      <c r="B200" s="319" t="str">
        <f>PE_aug!AP199</f>
        <v>Kläranlagen</v>
      </c>
      <c r="D200" s="26">
        <f>PE_aug!AF199</f>
        <v>61.082153752793268</v>
      </c>
      <c r="E200" s="27">
        <f>PE_aug!AL199</f>
        <v>7.668495056436698</v>
      </c>
      <c r="F200" s="27">
        <f>PP!Z199</f>
        <v>0</v>
      </c>
      <c r="G200" s="27">
        <f>PS!Q199</f>
        <v>0.98931361016085906</v>
      </c>
      <c r="H200" s="27">
        <f>PMMA!G199</f>
        <v>0</v>
      </c>
      <c r="I200" s="27">
        <f>PET_aug!P199</f>
        <v>0</v>
      </c>
      <c r="J200" s="27">
        <f>PA!G199</f>
        <v>0</v>
      </c>
      <c r="K200" s="27" t="e">
        <f>SBR!#REF!</f>
        <v>#REF!</v>
      </c>
      <c r="L200" s="28">
        <f t="shared" si="3"/>
        <v>8.6578086665975569</v>
      </c>
    </row>
    <row r="201" spans="1:12">
      <c r="A201" s="24" t="str">
        <f>PE_aug!A200</f>
        <v>210714_Rostock_PS_UESS_210621_2</v>
      </c>
      <c r="B201" s="319" t="str">
        <f>PE_aug!AP200</f>
        <v>Kläranlagen</v>
      </c>
      <c r="D201" s="26">
        <f>PE_aug!AF200</f>
        <v>61.815838391806551</v>
      </c>
      <c r="E201" s="27">
        <f>PE_aug!AL200</f>
        <v>8.6164296048552256</v>
      </c>
      <c r="F201" s="27">
        <f>PP!Z200</f>
        <v>0.79198060915803914</v>
      </c>
      <c r="G201" s="27">
        <f>PS!Q200</f>
        <v>0.85774412356024887</v>
      </c>
      <c r="H201" s="27">
        <f>PMMA!G200</f>
        <v>0</v>
      </c>
      <c r="I201" s="27">
        <f>PET_aug!P200</f>
        <v>0</v>
      </c>
      <c r="J201" s="27">
        <f>PA!G200</f>
        <v>0</v>
      </c>
      <c r="K201" s="27" t="e">
        <f>SBR!#REF!</f>
        <v>#REF!</v>
      </c>
      <c r="L201" s="28">
        <f t="shared" si="3"/>
        <v>10.266154337573512</v>
      </c>
    </row>
    <row r="202" spans="1:12">
      <c r="A202" s="24" t="str">
        <f>PE_aug!A201</f>
        <v>210714_Rostock_PS_UESS_210621_3</v>
      </c>
      <c r="B202" s="319" t="str">
        <f>PE_aug!AP201</f>
        <v>Kläranlagen</v>
      </c>
      <c r="D202" s="26">
        <f>PE_aug!AF201</f>
        <v>61.893205206328041</v>
      </c>
      <c r="E202" s="27">
        <f>PE_aug!AL201</f>
        <v>6.8520853561384945</v>
      </c>
      <c r="F202" s="27">
        <f>PP!Z201</f>
        <v>1.0719629400306852</v>
      </c>
      <c r="G202" s="27">
        <f>PS!Q201</f>
        <v>1.0826588008513904</v>
      </c>
      <c r="H202" s="27">
        <f>PMMA!G201</f>
        <v>0</v>
      </c>
      <c r="I202" s="27">
        <f>PET_aug!P201</f>
        <v>0</v>
      </c>
      <c r="J202" s="27">
        <f>PA!G201</f>
        <v>0</v>
      </c>
      <c r="K202" s="27" t="e">
        <f>SBR!#REF!</f>
        <v>#REF!</v>
      </c>
      <c r="L202" s="28">
        <f t="shared" si="3"/>
        <v>9.0067070970205698</v>
      </c>
    </row>
    <row r="203" spans="1:12">
      <c r="A203" s="24" t="str">
        <f>PE_aug!A202</f>
        <v>210730_KWS_Zul_SF_20061819_1</v>
      </c>
      <c r="B203" s="319" t="str">
        <f>PE_aug!AP202</f>
        <v>KWS</v>
      </c>
      <c r="D203" s="26">
        <f>PE_aug!AF202</f>
        <v>38.892236744607402</v>
      </c>
      <c r="E203" s="27">
        <f>PE_aug!AL202</f>
        <v>40.505171401063237</v>
      </c>
      <c r="F203" s="27">
        <f>PP!Z202</f>
        <v>0</v>
      </c>
      <c r="G203" s="27">
        <f>PS!Q202</f>
        <v>1.7697595062066598</v>
      </c>
      <c r="H203" s="27">
        <f>PMMA!G202</f>
        <v>0</v>
      </c>
      <c r="I203" s="27">
        <f>PET_aug!P202</f>
        <v>0</v>
      </c>
      <c r="J203" s="27">
        <f>PA!G202</f>
        <v>0</v>
      </c>
      <c r="K203" s="27" t="e">
        <f>SBR!#REF!</f>
        <v>#REF!</v>
      </c>
      <c r="L203" s="28">
        <f t="shared" si="3"/>
        <v>42.274930907269898</v>
      </c>
    </row>
    <row r="204" spans="1:12">
      <c r="A204" s="24" t="str">
        <f>PE_aug!A203</f>
        <v>210730_KWS_Zul_SF_20061819_2</v>
      </c>
      <c r="B204" s="319" t="str">
        <f>PE_aug!AP203</f>
        <v>KWS</v>
      </c>
      <c r="D204" s="26">
        <f>PE_aug!AF203</f>
        <v>55.745258920153319</v>
      </c>
      <c r="E204" s="27">
        <f>PE_aug!AL203</f>
        <v>30.522797936802704</v>
      </c>
      <c r="F204" s="27">
        <f>PP!Z203</f>
        <v>0</v>
      </c>
      <c r="G204" s="27">
        <f>PS!Q203</f>
        <v>1.5800144561488623</v>
      </c>
      <c r="H204" s="27">
        <f>PMMA!G203</f>
        <v>0</v>
      </c>
      <c r="I204" s="27">
        <f>PET_aug!P203</f>
        <v>0</v>
      </c>
      <c r="J204" s="27">
        <f>PA!G203</f>
        <v>0</v>
      </c>
      <c r="K204" s="27" t="e">
        <f>SBR!#REF!</f>
        <v>#REF!</v>
      </c>
      <c r="L204" s="28">
        <f t="shared" si="3"/>
        <v>32.102812392951563</v>
      </c>
    </row>
    <row r="205" spans="1:12">
      <c r="A205" s="24" t="str">
        <f>PE_aug!A204</f>
        <v>210730_KWS_Zul_SF_20102829_1</v>
      </c>
      <c r="B205" s="319" t="str">
        <f>PE_aug!AP204</f>
        <v>KWS</v>
      </c>
      <c r="D205" s="26">
        <f>PE_aug!AF204</f>
        <v>63.164502311785419</v>
      </c>
      <c r="E205" s="27">
        <f>PE_aug!AL204</f>
        <v>16.94138815964131</v>
      </c>
      <c r="F205" s="27">
        <f>PP!Z204</f>
        <v>0</v>
      </c>
      <c r="G205" s="27">
        <f>PS!Q204</f>
        <v>0</v>
      </c>
      <c r="H205" s="27">
        <f>PMMA!G204</f>
        <v>0</v>
      </c>
      <c r="I205" s="27">
        <f>PET_aug!P204</f>
        <v>0</v>
      </c>
      <c r="J205" s="27">
        <f>PA!G204</f>
        <v>0</v>
      </c>
      <c r="K205" s="27">
        <f>SBR!G158</f>
        <v>0</v>
      </c>
      <c r="L205" s="28">
        <f t="shared" si="3"/>
        <v>16.94138815964131</v>
      </c>
    </row>
    <row r="206" spans="1:12">
      <c r="A206" s="24" t="str">
        <f>PE_aug!A205</f>
        <v>210730_KWS_Zul_SF_20102829_2</v>
      </c>
      <c r="B206" s="319" t="str">
        <f>PE_aug!AP205</f>
        <v>KWS</v>
      </c>
      <c r="D206" s="26">
        <f>PE_aug!AF205</f>
        <v>0</v>
      </c>
      <c r="E206" s="27" t="str">
        <f>PE_aug!AL205</f>
        <v>n.d.</v>
      </c>
      <c r="F206" s="27">
        <f>PP!Z205</f>
        <v>0</v>
      </c>
      <c r="G206" s="27">
        <f>PS!Q205</f>
        <v>1.2126062911097606</v>
      </c>
      <c r="H206" s="27">
        <f>PMMA!G205</f>
        <v>0</v>
      </c>
      <c r="I206" s="27">
        <f>PET_aug!P205</f>
        <v>0</v>
      </c>
      <c r="J206" s="27">
        <f>PA!G205</f>
        <v>0</v>
      </c>
      <c r="K206" s="27">
        <f>SBR!G159</f>
        <v>0</v>
      </c>
      <c r="L206" s="28">
        <f t="shared" si="3"/>
        <v>1.2126062911097606</v>
      </c>
    </row>
    <row r="207" spans="1:12">
      <c r="A207" s="24" t="str">
        <f>PE_aug!A206</f>
        <v>210730_Standard_PE</v>
      </c>
      <c r="B207" s="319" t="str">
        <f>PE_aug!AP206</f>
        <v>Methode</v>
      </c>
      <c r="D207" s="26">
        <f>PE_aug!AF206</f>
        <v>25.878889163284224</v>
      </c>
      <c r="E207" s="27">
        <f>PE_aug!AL206</f>
        <v>1.0864335664335665</v>
      </c>
      <c r="F207" s="27">
        <f>PP!Z206</f>
        <v>0</v>
      </c>
      <c r="G207" s="27">
        <f>PS!Q206</f>
        <v>-9.6913034803181031E-2</v>
      </c>
      <c r="H207" s="27">
        <f>PMMA!G206</f>
        <v>0</v>
      </c>
      <c r="I207" s="27">
        <f>PET_aug!P206</f>
        <v>0</v>
      </c>
      <c r="J207" s="27">
        <f>PA!G206</f>
        <v>0</v>
      </c>
      <c r="K207" s="27">
        <f>SBR!G160</f>
        <v>0</v>
      </c>
      <c r="L207" s="28">
        <f t="shared" si="3"/>
        <v>0.98952053163038545</v>
      </c>
    </row>
    <row r="208" spans="1:12">
      <c r="A208" s="24" t="str">
        <f>PE_aug!A207</f>
        <v>210802_KWS_Zul_SF_20102829_spike_PE_PET_PA</v>
      </c>
      <c r="B208" s="319" t="str">
        <f>PE_aug!AP207</f>
        <v>KWS, Methode</v>
      </c>
      <c r="D208" s="26">
        <f>PE_aug!AF207</f>
        <v>69.189807280273456</v>
      </c>
      <c r="E208" s="27">
        <f>PE_aug!AL207</f>
        <v>37.483504929580995</v>
      </c>
      <c r="F208" s="27">
        <f>PP!Z207</f>
        <v>0</v>
      </c>
      <c r="G208" s="27">
        <f>PS!Q207</f>
        <v>1.6630357053765945</v>
      </c>
      <c r="H208" s="27">
        <f>PMMA!G207</f>
        <v>0</v>
      </c>
      <c r="I208" s="27">
        <f>PET_aug!P207</f>
        <v>0</v>
      </c>
      <c r="J208" s="27">
        <f>PA!G207</f>
        <v>0</v>
      </c>
      <c r="K208" s="27">
        <f>SBR!G161</f>
        <v>0</v>
      </c>
      <c r="L208" s="28">
        <f t="shared" si="3"/>
        <v>39.146540634957589</v>
      </c>
    </row>
    <row r="209" spans="1:12">
      <c r="A209" s="24" t="str">
        <f>PE_aug!A208</f>
        <v>210802_KWS_Zul_SF_20102829_spike_PP_PS_PMMA_1</v>
      </c>
      <c r="B209" s="319" t="str">
        <f>PE_aug!AP208</f>
        <v>KWS, Methode</v>
      </c>
      <c r="D209" s="26">
        <f>PE_aug!AF208</f>
        <v>25.193535243786563</v>
      </c>
      <c r="E209" s="27">
        <f>PE_aug!AL208</f>
        <v>47.218262504259997</v>
      </c>
      <c r="F209" s="27">
        <f>PP!Z208</f>
        <v>57.260270124019584</v>
      </c>
      <c r="G209" s="27">
        <f>PS!Q208</f>
        <v>16.77067797293385</v>
      </c>
      <c r="H209" s="27">
        <f>PMMA!G208</f>
        <v>2.6457837859626876</v>
      </c>
      <c r="I209" s="27">
        <f>PET_aug!P208</f>
        <v>0</v>
      </c>
      <c r="J209" s="27">
        <f>PA!G208</f>
        <v>0</v>
      </c>
      <c r="K209" s="27">
        <f>SBR!G162</f>
        <v>0</v>
      </c>
      <c r="L209" s="28">
        <f t="shared" si="3"/>
        <v>123.89499438717613</v>
      </c>
    </row>
    <row r="210" spans="1:12">
      <c r="A210" s="24" t="str">
        <f>PE_aug!A209</f>
        <v>210802_KWS_Zul_SF_20102829_spike_PP_PS_PMMA_2</v>
      </c>
      <c r="B210" s="319" t="str">
        <f>PE_aug!AP209</f>
        <v>KWS, Methode</v>
      </c>
      <c r="D210" s="26" t="e">
        <f>PE_aug!AF209</f>
        <v>#DIV/0!</v>
      </c>
      <c r="E210" s="27" t="str">
        <f>PE_aug!AL209</f>
        <v>n.d.</v>
      </c>
      <c r="F210" s="27">
        <f>PP!Z209</f>
        <v>0</v>
      </c>
      <c r="G210" s="27">
        <f>PS!Q209</f>
        <v>0</v>
      </c>
      <c r="H210" s="27">
        <f>PMMA!G209</f>
        <v>0</v>
      </c>
      <c r="I210" s="27">
        <f>PET_aug!P209</f>
        <v>0</v>
      </c>
      <c r="J210" s="27" t="e">
        <f>PA!G209</f>
        <v>#DIV/0!</v>
      </c>
      <c r="K210" s="27">
        <f>SBR!G163</f>
        <v>0</v>
      </c>
      <c r="L210" s="28">
        <f t="shared" si="3"/>
        <v>0</v>
      </c>
    </row>
    <row r="211" spans="1:12">
      <c r="A211" s="24" t="str">
        <f>PE_aug!A210</f>
        <v>210802_Luebeck_Zul_SF_21060809_1</v>
      </c>
      <c r="B211" s="319" t="str">
        <f>PE_aug!AP210</f>
        <v>Kläranlagen</v>
      </c>
      <c r="D211" s="26">
        <f>PE_aug!AF210</f>
        <v>59.435647620980525</v>
      </c>
      <c r="E211" s="27">
        <f>PE_aug!AL210</f>
        <v>36.496289746608497</v>
      </c>
      <c r="F211" s="27">
        <f>PP!Z210</f>
        <v>0</v>
      </c>
      <c r="G211" s="27">
        <f>PS!Q210</f>
        <v>0</v>
      </c>
      <c r="H211" s="27">
        <f>PMMA!G210</f>
        <v>0</v>
      </c>
      <c r="I211" s="27">
        <f>PET_aug!P210</f>
        <v>0</v>
      </c>
      <c r="J211" s="27">
        <f>PA!G210</f>
        <v>0</v>
      </c>
      <c r="K211" s="27">
        <f>SBR!G164</f>
        <v>0</v>
      </c>
      <c r="L211" s="28">
        <f t="shared" si="3"/>
        <v>36.496289746608497</v>
      </c>
    </row>
    <row r="212" spans="1:12">
      <c r="A212" s="24" t="str">
        <f>PE_aug!A211</f>
        <v>210802_Luebeck_Zul_SF_21060809_2</v>
      </c>
      <c r="B212" s="319" t="str">
        <f>PE_aug!AP211</f>
        <v>Kläranlagen</v>
      </c>
      <c r="D212" s="26">
        <f>PE_aug!AF211</f>
        <v>0</v>
      </c>
      <c r="E212" s="27">
        <f>PE_aug!AL211</f>
        <v>30.222105991949935</v>
      </c>
      <c r="F212" s="27">
        <f>PP!Z211</f>
        <v>0</v>
      </c>
      <c r="G212" s="27">
        <f>PS!Q211</f>
        <v>0</v>
      </c>
      <c r="H212" s="27">
        <f>PMMA!G211</f>
        <v>0</v>
      </c>
      <c r="I212" s="27">
        <f>PET_aug!P211</f>
        <v>0</v>
      </c>
      <c r="J212" s="27">
        <f>PA!G211</f>
        <v>0</v>
      </c>
      <c r="K212" s="27">
        <f>SBR!G165</f>
        <v>0</v>
      </c>
      <c r="L212" s="28">
        <f t="shared" si="3"/>
        <v>30.222105991949935</v>
      </c>
    </row>
    <row r="213" spans="1:12">
      <c r="A213" s="24" t="str">
        <f>PE_aug!A212</f>
        <v>210802_Luebeck_Zul_SF_21060809_Schlamm_1</v>
      </c>
      <c r="B213" s="319" t="str">
        <f>PE_aug!AP212</f>
        <v>Kläranlagen</v>
      </c>
      <c r="D213" s="26" t="e">
        <f>PE_aug!AF212</f>
        <v>#DIV/0!</v>
      </c>
      <c r="E213" s="27" t="str">
        <f>PE_aug!AL212</f>
        <v>n.d.</v>
      </c>
      <c r="F213" s="27">
        <f>PP!Z212</f>
        <v>0</v>
      </c>
      <c r="G213" s="27">
        <f>PS!Q212</f>
        <v>8.500568148989851</v>
      </c>
      <c r="H213" s="27">
        <f>PMMA!G212</f>
        <v>0</v>
      </c>
      <c r="I213" s="27">
        <f>PET_aug!P212</f>
        <v>0</v>
      </c>
      <c r="J213" s="27">
        <f>PA!G212</f>
        <v>0</v>
      </c>
      <c r="K213" s="27">
        <f>SBR!G166</f>
        <v>0</v>
      </c>
      <c r="L213" s="28">
        <f t="shared" si="3"/>
        <v>8.500568148989851</v>
      </c>
    </row>
    <row r="214" spans="1:12">
      <c r="A214" s="24" t="str">
        <f>PE_aug!A213</f>
        <v>210802_Luebeck_Zul_SF_21060809_Schlamm_2</v>
      </c>
      <c r="B214" s="319" t="str">
        <f>PE_aug!AP213</f>
        <v>Kläranlagen</v>
      </c>
      <c r="D214" s="26" t="e">
        <f>PE_aug!AF213</f>
        <v>#DIV/0!</v>
      </c>
      <c r="E214" s="27" t="str">
        <f>PE_aug!AL213</f>
        <v>n.d.</v>
      </c>
      <c r="F214" s="27">
        <f>PP!Z213</f>
        <v>0</v>
      </c>
      <c r="G214" s="27">
        <f>PS!Q213</f>
        <v>7.8204664736612406</v>
      </c>
      <c r="H214" s="27">
        <f>PMMA!G213</f>
        <v>0</v>
      </c>
      <c r="I214" s="27">
        <f>PET_aug!P213</f>
        <v>0</v>
      </c>
      <c r="J214" s="27">
        <f>PA!G213</f>
        <v>0</v>
      </c>
      <c r="K214" s="27">
        <f>SBR!G167</f>
        <v>0</v>
      </c>
      <c r="L214" s="28">
        <f t="shared" si="3"/>
        <v>7.8204664736612406</v>
      </c>
    </row>
    <row r="215" spans="1:12">
      <c r="A215" s="24" t="str">
        <f>PE_aug!A214</f>
        <v>210802_Rostock_PS_UESS_210621_spike_PP</v>
      </c>
      <c r="B215" s="319" t="str">
        <f>PE_aug!AP214</f>
        <v>Kläranlagen, Methode</v>
      </c>
      <c r="D215" s="26">
        <f>PE_aug!AF214</f>
        <v>49.610561868766652</v>
      </c>
      <c r="E215" s="27">
        <f>PE_aug!AL214</f>
        <v>10.280711571192091</v>
      </c>
      <c r="F215" s="27">
        <f>PP!Z214</f>
        <v>4.8285188034785849</v>
      </c>
      <c r="G215" s="27">
        <f>PS!Q214</f>
        <v>34.044438227133895</v>
      </c>
      <c r="H215" s="27">
        <f>PMMA!G214</f>
        <v>0</v>
      </c>
      <c r="I215" s="27">
        <f>PET_aug!P214</f>
        <v>0</v>
      </c>
      <c r="J215" s="27">
        <f>PA!G214</f>
        <v>0</v>
      </c>
      <c r="K215" s="27">
        <f>SBR!G168</f>
        <v>0</v>
      </c>
      <c r="L215" s="28">
        <f t="shared" si="3"/>
        <v>49.153668601804569</v>
      </c>
    </row>
    <row r="216" spans="1:12">
      <c r="A216" s="24" t="str">
        <f>PE_aug!A215</f>
        <v>210802_Standard_PET_PE_PA_1</v>
      </c>
      <c r="B216" s="319" t="str">
        <f>PE_aug!AP215</f>
        <v>Methode</v>
      </c>
      <c r="D216" s="26">
        <f>PE_aug!AF215</f>
        <v>54.560075266952765</v>
      </c>
      <c r="E216" s="27">
        <f>PE_aug!AL215</f>
        <v>157.43616843027826</v>
      </c>
      <c r="F216" s="27">
        <f>PP!Z215</f>
        <v>0</v>
      </c>
      <c r="G216" s="27">
        <f>PS!Q215</f>
        <v>120.01581020875491</v>
      </c>
      <c r="H216" s="27">
        <f>PMMA!G215</f>
        <v>0</v>
      </c>
      <c r="I216" s="27">
        <f>PET_aug!P215</f>
        <v>1260.1337852990835</v>
      </c>
      <c r="J216" s="27">
        <f>PA!G215</f>
        <v>145.68591817357716</v>
      </c>
      <c r="K216" s="27">
        <f>SBR!G169</f>
        <v>0</v>
      </c>
      <c r="L216" s="28">
        <f t="shared" si="3"/>
        <v>1537.5857639381165</v>
      </c>
    </row>
    <row r="217" spans="1:12">
      <c r="A217" s="24" t="str">
        <f>PE_aug!A216</f>
        <v>210802_Standard_PET_PE_PA_2</v>
      </c>
      <c r="B217" s="319" t="str">
        <f>PE_aug!AP216</f>
        <v>Methode</v>
      </c>
      <c r="D217" s="26" t="e">
        <f>PE_aug!AF216</f>
        <v>#DIV/0!</v>
      </c>
      <c r="E217" s="27" t="str">
        <f>PE_aug!AL216</f>
        <v>n.d.</v>
      </c>
      <c r="F217" s="27">
        <f>PP!Z216</f>
        <v>0</v>
      </c>
      <c r="G217" s="27">
        <f>PS!Q216</f>
        <v>0</v>
      </c>
      <c r="H217" s="27">
        <f>PMMA!G216</f>
        <v>0</v>
      </c>
      <c r="I217" s="27">
        <f>PET_aug!P216</f>
        <v>0</v>
      </c>
      <c r="J217" s="27" t="e">
        <f>PA!G216</f>
        <v>#DIV/0!</v>
      </c>
      <c r="K217" s="27">
        <f>SBR!G170</f>
        <v>0</v>
      </c>
      <c r="L217" s="28">
        <f t="shared" si="3"/>
        <v>0</v>
      </c>
    </row>
    <row r="218" spans="1:12">
      <c r="A218" s="24" t="str">
        <f>PE_aug!A217</f>
        <v>210802_Standard_PS_PP_PMMA</v>
      </c>
      <c r="B218" s="319" t="str">
        <f>PE_aug!AP217</f>
        <v>Methode</v>
      </c>
      <c r="D218" s="26" t="e">
        <f>PE_aug!AF217</f>
        <v>#DIV/0!</v>
      </c>
      <c r="E218" s="27" t="str">
        <f>PE_aug!AL217</f>
        <v>n.d.</v>
      </c>
      <c r="F218" s="27">
        <f>PP!Z217</f>
        <v>149.43464595229975</v>
      </c>
      <c r="G218" s="27">
        <f>PS!Q217</f>
        <v>904.08969379559244</v>
      </c>
      <c r="H218" s="27">
        <f>PMMA!G217</f>
        <v>905.4100146335561</v>
      </c>
      <c r="I218" s="27">
        <f>PET_aug!P217</f>
        <v>705.1888608931971</v>
      </c>
      <c r="J218" s="27">
        <f>PA!G217</f>
        <v>38.784424615181493</v>
      </c>
      <c r="K218" s="27">
        <f>SBR!G171</f>
        <v>0</v>
      </c>
      <c r="L218" s="28">
        <f t="shared" si="3"/>
        <v>2664.1232152746452</v>
      </c>
    </row>
    <row r="219" spans="1:12">
      <c r="A219" s="24" t="str">
        <f>PE_may!A218</f>
        <v>210820_FK3_1</v>
      </c>
      <c r="B219" s="319" t="str">
        <f>PE_may!AH218</f>
        <v>Methodenvergleich</v>
      </c>
      <c r="D219" s="26">
        <f>PE_may!X218</f>
        <v>41.728327604128197</v>
      </c>
      <c r="E219" s="27">
        <f>PE_may!AD218</f>
        <v>28.532868809341078</v>
      </c>
      <c r="F219" s="27">
        <f>PP!Z218</f>
        <v>0.58252343460301304</v>
      </c>
      <c r="G219" s="27">
        <f>PS!Q218</f>
        <v>0</v>
      </c>
      <c r="H219" s="27">
        <f>PMMA!G218</f>
        <v>0</v>
      </c>
      <c r="I219" s="27">
        <f>PET_may!Q218</f>
        <v>0</v>
      </c>
      <c r="J219" s="27">
        <f>PA!G218</f>
        <v>0</v>
      </c>
      <c r="K219" s="27" t="e">
        <f>SBR!#REF!</f>
        <v>#REF!</v>
      </c>
      <c r="L219" s="28">
        <f t="shared" si="3"/>
        <v>29.11539224394409</v>
      </c>
    </row>
    <row r="220" spans="1:12">
      <c r="A220" s="24" t="str">
        <f>PE_may!A219</f>
        <v>210820_FK3_2</v>
      </c>
      <c r="B220" s="319" t="str">
        <f>PE_may!AH219</f>
        <v>Methodenvergleich</v>
      </c>
      <c r="D220" s="26">
        <f>PE_may!X219</f>
        <v>13.41658132321777</v>
      </c>
      <c r="E220" s="27">
        <f>PE_may!AD219</f>
        <v>27.31828622990728</v>
      </c>
      <c r="F220" s="27">
        <f>PP!Z219</f>
        <v>0.83212200269262115</v>
      </c>
      <c r="G220" s="27">
        <f>PS!Q219</f>
        <v>1.0296855599356805</v>
      </c>
      <c r="H220" s="27">
        <f>PMMA!G219</f>
        <v>0</v>
      </c>
      <c r="I220" s="27">
        <f>PET_may!Q219</f>
        <v>0</v>
      </c>
      <c r="J220" s="27">
        <f>PA!G219</f>
        <v>0</v>
      </c>
      <c r="K220" s="27" t="e">
        <f>SBR!#REF!</f>
        <v>#REF!</v>
      </c>
      <c r="L220" s="28">
        <f t="shared" si="3"/>
        <v>29.18009379253558</v>
      </c>
    </row>
    <row r="221" spans="1:12">
      <c r="A221" s="24" t="str">
        <f>PE_may!A220</f>
        <v>210820_FK3_3</v>
      </c>
      <c r="B221" s="319" t="str">
        <f>PE_may!AH220</f>
        <v>Methodenvergleich</v>
      </c>
      <c r="D221" s="26">
        <f>PE_may!X220</f>
        <v>16.374961990872514</v>
      </c>
      <c r="E221" s="27">
        <f>PE_may!AD220</f>
        <v>19.434587237546591</v>
      </c>
      <c r="F221" s="27">
        <f>PP!Z220</f>
        <v>1.027624365328055</v>
      </c>
      <c r="G221" s="27">
        <f>PS!Q220</f>
        <v>0.40750621383698743</v>
      </c>
      <c r="H221" s="27">
        <f>PMMA!G220</f>
        <v>0</v>
      </c>
      <c r="I221" s="27">
        <f>PET_may!Q220</f>
        <v>0</v>
      </c>
      <c r="J221" s="27">
        <f>PA!G220</f>
        <v>0</v>
      </c>
      <c r="K221" s="27" t="e">
        <f>SBR!#REF!</f>
        <v>#REF!</v>
      </c>
      <c r="L221" s="28">
        <f t="shared" si="3"/>
        <v>20.869717816711635</v>
      </c>
    </row>
    <row r="222" spans="1:12">
      <c r="A222" s="24" t="str">
        <f>PE_may!A221</f>
        <v>210820_gefaul_UESS_NeueS_R-Metallkugeln_PM_210209</v>
      </c>
      <c r="B222" s="319" t="str">
        <f>PE_may!AH221</f>
        <v>Methode</v>
      </c>
      <c r="D222" s="26" t="e">
        <f>PE_may!X221</f>
        <v>#DIV/0!</v>
      </c>
      <c r="E222" s="27" t="str">
        <f>PE_may!AD221</f>
        <v>n.d.</v>
      </c>
      <c r="F222" s="27">
        <f>PP!Z221</f>
        <v>0</v>
      </c>
      <c r="G222" s="27">
        <f>PS!Q221</f>
        <v>0</v>
      </c>
      <c r="H222" s="27">
        <f>PMMA!G221</f>
        <v>0</v>
      </c>
      <c r="I222" s="27">
        <f>PET_may!Q221</f>
        <v>0</v>
      </c>
      <c r="J222" s="27" t="e">
        <f>PA!G221</f>
        <v>#DIV/0!</v>
      </c>
      <c r="K222" s="27" t="e">
        <f>SBR!#REF!</f>
        <v>#REF!</v>
      </c>
      <c r="L222" s="28">
        <f t="shared" si="3"/>
        <v>0</v>
      </c>
    </row>
    <row r="223" spans="1:12">
      <c r="A223" s="24" t="str">
        <f>PE_may!A222</f>
        <v>210820_Luebeck_Zul_Filt_190806_1</v>
      </c>
      <c r="B223" s="319" t="str">
        <f>PE_may!AH222</f>
        <v>Kläranlagen</v>
      </c>
      <c r="D223" s="26">
        <f>PE_may!X222</f>
        <v>63.801728058208262</v>
      </c>
      <c r="E223" s="27">
        <f>PE_may!AD222</f>
        <v>1.9466378669310578</v>
      </c>
      <c r="F223" s="27">
        <f>PP!Z222</f>
        <v>0</v>
      </c>
      <c r="G223" s="27">
        <f>PS!Q222</f>
        <v>0.97553202790269455</v>
      </c>
      <c r="H223" s="27">
        <f>PMMA!G222</f>
        <v>0</v>
      </c>
      <c r="I223" s="27">
        <f>PET_may!Q222</f>
        <v>0</v>
      </c>
      <c r="J223" s="27">
        <f>PA!G222</f>
        <v>0</v>
      </c>
      <c r="K223" s="27" t="e">
        <f>SBR!#REF!</f>
        <v>#REF!</v>
      </c>
      <c r="L223" s="28">
        <f t="shared" si="3"/>
        <v>2.9221698948337522</v>
      </c>
    </row>
    <row r="224" spans="1:12">
      <c r="A224" s="24" t="str">
        <f>PE_may!A223</f>
        <v>210820_Luebeck_Zul_Filt_190806_2</v>
      </c>
      <c r="B224" s="319" t="str">
        <f>PE_may!AH223</f>
        <v>Kläranlagen</v>
      </c>
      <c r="D224" s="26">
        <f>PE_may!X223</f>
        <v>38.953369985746264</v>
      </c>
      <c r="E224" s="27">
        <f>PE_may!AD223</f>
        <v>1.7376689547802702</v>
      </c>
      <c r="F224" s="27">
        <f>PP!Z223</f>
        <v>0.91265067346024109</v>
      </c>
      <c r="G224" s="27">
        <f>PS!Q223</f>
        <v>0.87042672139268285</v>
      </c>
      <c r="H224" s="27">
        <f>PMMA!G223</f>
        <v>0</v>
      </c>
      <c r="I224" s="27">
        <f>PET_may!Q223</f>
        <v>0</v>
      </c>
      <c r="J224" s="27">
        <f>PA!G223</f>
        <v>0</v>
      </c>
      <c r="K224" s="27" t="e">
        <f>SBR!#REF!</f>
        <v>#REF!</v>
      </c>
      <c r="L224" s="28">
        <f t="shared" si="3"/>
        <v>3.5207463496331943</v>
      </c>
    </row>
    <row r="225" spans="1:12">
      <c r="A225" s="24" t="str">
        <f>PE_may!A224</f>
        <v>210820_Luebeck_Zul_Filt_190806_3</v>
      </c>
      <c r="B225" s="319" t="str">
        <f>PE_may!AH224</f>
        <v>Kläranlagen</v>
      </c>
      <c r="D225" s="26">
        <f>PE_may!X224</f>
        <v>13.475760065735376</v>
      </c>
      <c r="E225" s="27">
        <f>PE_may!AD224</f>
        <v>1.0466116271069832</v>
      </c>
      <c r="F225" s="27">
        <f>PP!Z224</f>
        <v>0</v>
      </c>
      <c r="G225" s="27">
        <f>PS!Q224</f>
        <v>0</v>
      </c>
      <c r="H225" s="27">
        <f>PMMA!G224</f>
        <v>0</v>
      </c>
      <c r="I225" s="27">
        <f>PET_may!Q224</f>
        <v>0</v>
      </c>
      <c r="J225" s="27">
        <f>PA!G224</f>
        <v>0</v>
      </c>
      <c r="K225" s="27" t="e">
        <f>SBR!#REF!</f>
        <v>#REF!</v>
      </c>
      <c r="L225" s="28">
        <f t="shared" si="3"/>
        <v>1.0466116271069832</v>
      </c>
    </row>
    <row r="226" spans="1:12">
      <c r="A226" s="24" t="str">
        <f>PE_may!A225</f>
        <v>210820_Rostock_Abl_Filt_21060102_1</v>
      </c>
      <c r="B226" s="319" t="str">
        <f>PE_may!AH225</f>
        <v>Kläranlagen</v>
      </c>
      <c r="D226" s="26">
        <f>PE_may!X225</f>
        <v>23.390347532410985</v>
      </c>
      <c r="E226" s="27">
        <f>PE_may!AD225</f>
        <v>6.0680020810622661</v>
      </c>
      <c r="F226" s="27">
        <f>PP!Z225</f>
        <v>3.8857954278771114</v>
      </c>
      <c r="G226" s="27">
        <f>PS!Q225</f>
        <v>0</v>
      </c>
      <c r="H226" s="27">
        <f>PMMA!G225</f>
        <v>0</v>
      </c>
      <c r="I226" s="27">
        <f>PET_may!Q225</f>
        <v>0</v>
      </c>
      <c r="J226" s="27">
        <f>PA!G225</f>
        <v>0</v>
      </c>
      <c r="K226" s="27" t="e">
        <f>SBR!#REF!</f>
        <v>#REF!</v>
      </c>
      <c r="L226" s="28">
        <f t="shared" si="3"/>
        <v>9.9537975089393775</v>
      </c>
    </row>
    <row r="227" spans="1:12">
      <c r="A227" s="24" t="str">
        <f>PE_may!A226</f>
        <v>210820_Rostock_Abl_Filt_21060102_2</v>
      </c>
      <c r="B227" s="319" t="str">
        <f>PE_may!AH226</f>
        <v>Kläranlagen</v>
      </c>
      <c r="D227" s="26" t="e">
        <f>PE_may!X226</f>
        <v>#DIV/0!</v>
      </c>
      <c r="E227" s="27" t="str">
        <f>PE_may!AD226</f>
        <v>n.d.</v>
      </c>
      <c r="F227" s="27">
        <f>PP!Z226</f>
        <v>4.1795387396966568</v>
      </c>
      <c r="G227" s="27">
        <f>PS!Q226</f>
        <v>0.4659467233888579</v>
      </c>
      <c r="H227" s="27">
        <f>PMMA!G226</f>
        <v>0</v>
      </c>
      <c r="I227" s="27">
        <f>PET_may!Q226</f>
        <v>0</v>
      </c>
      <c r="J227" s="27">
        <f>PA!G226</f>
        <v>0</v>
      </c>
      <c r="K227" s="27">
        <f>SBR!G172</f>
        <v>0</v>
      </c>
      <c r="L227" s="28">
        <f t="shared" si="3"/>
        <v>4.6454854630855147</v>
      </c>
    </row>
    <row r="228" spans="1:12">
      <c r="A228" s="24" t="str">
        <f>PE_may!A227</f>
        <v>210820_Rostock_Abl_Filt_21060102_3</v>
      </c>
      <c r="B228" s="319" t="str">
        <f>PE_may!AH227</f>
        <v>Kläranlagen</v>
      </c>
      <c r="D228" s="26">
        <f>PE_may!X227</f>
        <v>16.826774093585335</v>
      </c>
      <c r="E228" s="27">
        <f>PE_may!AD227</f>
        <v>4.6215759473729445</v>
      </c>
      <c r="F228" s="27">
        <f>PP!Z227</f>
        <v>4.2310740235064976</v>
      </c>
      <c r="G228" s="27">
        <f>PS!Q227</f>
        <v>0.48884348415555157</v>
      </c>
      <c r="H228" s="27">
        <f>PMMA!G227</f>
        <v>0</v>
      </c>
      <c r="I228" s="27">
        <f>PET_may!Q227</f>
        <v>0</v>
      </c>
      <c r="J228" s="27">
        <f>PA!G227</f>
        <v>0</v>
      </c>
      <c r="K228" s="27">
        <f>SBR!G173</f>
        <v>0</v>
      </c>
      <c r="L228" s="28">
        <f t="shared" si="3"/>
        <v>9.3414934550349944</v>
      </c>
    </row>
    <row r="229" spans="1:12">
      <c r="A229" s="24" t="str">
        <f>PE_may!A228</f>
        <v>210820_gefaul_UESS_neueS_R-Metallkugeln_PM_210209</v>
      </c>
      <c r="B229" s="319" t="str">
        <f>PE_may!AH228</f>
        <v>Kläranlagen</v>
      </c>
      <c r="D229" s="26" t="e">
        <f>PE_may!X228</f>
        <v>#DIV/0!</v>
      </c>
      <c r="E229" s="27" t="str">
        <f>PE_may!AD228</f>
        <v>n.d.</v>
      </c>
      <c r="F229" s="27">
        <f>PP!Z228</f>
        <v>0</v>
      </c>
      <c r="G229" s="27">
        <f>PS!Q228</f>
        <v>0</v>
      </c>
      <c r="H229" s="27">
        <f>PMMA!G228</f>
        <v>0</v>
      </c>
      <c r="I229" s="27">
        <f>PET_may!Q228</f>
        <v>0</v>
      </c>
      <c r="J229" s="27">
        <f>PA!G228</f>
        <v>0</v>
      </c>
      <c r="K229" s="27">
        <f>SBR!G174</f>
        <v>0</v>
      </c>
      <c r="L229" s="28">
        <f t="shared" si="3"/>
        <v>0</v>
      </c>
    </row>
    <row r="230" spans="1:12">
      <c r="A230" s="24" t="str">
        <f>PE_aug!A218</f>
        <v>210827_E-FS_201030_10µL_1</v>
      </c>
      <c r="B230" s="319">
        <f>PE_aug!AP218</f>
        <v>0</v>
      </c>
      <c r="D230" s="26">
        <f>PE_aug!AF218</f>
        <v>23.971626589013759</v>
      </c>
      <c r="E230" s="27" t="e">
        <f>PE_aug!AL218</f>
        <v>#DIV/0!</v>
      </c>
      <c r="F230" s="27">
        <f>PP!Z229</f>
        <v>0</v>
      </c>
      <c r="G230" s="27">
        <f>PS!Q229</f>
        <v>0</v>
      </c>
      <c r="H230" s="27">
        <f>PMMA!G229</f>
        <v>0</v>
      </c>
      <c r="I230" s="27">
        <f>PET_aug!P218</f>
        <v>0</v>
      </c>
      <c r="J230" s="27" t="e">
        <f>PA!G229</f>
        <v>#DIV/0!</v>
      </c>
      <c r="K230" s="27">
        <f>SBR!G175</f>
        <v>0</v>
      </c>
      <c r="L230" s="28" t="e">
        <f t="shared" si="3"/>
        <v>#DIV/0!</v>
      </c>
    </row>
    <row r="231" spans="1:12">
      <c r="A231" s="24" t="str">
        <f>PE_aug!A219</f>
        <v>210827_Lippe_vor_KA_210520_10µL_1</v>
      </c>
      <c r="B231" s="319">
        <f>PE_aug!AP219</f>
        <v>0</v>
      </c>
      <c r="D231" s="26">
        <f>PE_aug!AF219</f>
        <v>36.655209609426223</v>
      </c>
      <c r="E231" s="27" t="e">
        <f>PE_aug!AL219</f>
        <v>#DIV/0!</v>
      </c>
      <c r="F231" s="27">
        <f>PP!Z230</f>
        <v>0</v>
      </c>
      <c r="G231" s="27">
        <f>PS!Q230</f>
        <v>0</v>
      </c>
      <c r="H231" s="27">
        <f>PMMA!G230</f>
        <v>0</v>
      </c>
      <c r="I231" s="27">
        <f>PET_aug!P219</f>
        <v>0</v>
      </c>
      <c r="J231" s="27" t="e">
        <f>PA!G230</f>
        <v>#DIV/0!</v>
      </c>
      <c r="K231" s="27">
        <f>SBR!G176</f>
        <v>0</v>
      </c>
      <c r="L231" s="28" t="e">
        <f t="shared" si="3"/>
        <v>#DIV/0!</v>
      </c>
    </row>
    <row r="232" spans="1:12">
      <c r="A232" s="24" t="str">
        <f>PE_aug!A220</f>
        <v>210827_Malchow_Abl_Filt_21062223_1</v>
      </c>
      <c r="B232" s="319" t="str">
        <f>PE_aug!AP220</f>
        <v>Kläranlagen</v>
      </c>
      <c r="D232" s="26">
        <f>PE_aug!AF220</f>
        <v>38.596470398251128</v>
      </c>
      <c r="E232" s="27">
        <f>PE_aug!AL220</f>
        <v>2.2111435619162418</v>
      </c>
      <c r="F232" s="27">
        <f>PP!Z231</f>
        <v>0</v>
      </c>
      <c r="G232" s="27">
        <f>PS!Q231</f>
        <v>0</v>
      </c>
      <c r="H232" s="27">
        <f>PMMA!G231</f>
        <v>0</v>
      </c>
      <c r="I232" s="27">
        <f>PET_aug!P220</f>
        <v>0</v>
      </c>
      <c r="J232" s="27">
        <f>PA!G231</f>
        <v>0</v>
      </c>
      <c r="K232" s="27">
        <f>SBR!G177</f>
        <v>0</v>
      </c>
      <c r="L232" s="28">
        <f t="shared" si="3"/>
        <v>2.2111435619162418</v>
      </c>
    </row>
    <row r="233" spans="1:12">
      <c r="A233" s="24" t="str">
        <f>PE_aug!A221</f>
        <v>210827_Malchow_Abl_Filt_21062223_2</v>
      </c>
      <c r="B233" s="319" t="str">
        <f>PE_aug!AP221</f>
        <v>Kläranlagen</v>
      </c>
      <c r="D233" s="26">
        <f>PE_aug!AF221</f>
        <v>52.019554953470696</v>
      </c>
      <c r="E233" s="27">
        <f>PE_aug!AL221</f>
        <v>3.2878253825940016</v>
      </c>
      <c r="F233" s="27">
        <f>PP!Z232</f>
        <v>0</v>
      </c>
      <c r="G233" s="27">
        <f>PS!Q232</f>
        <v>0</v>
      </c>
      <c r="H233" s="27">
        <f>PMMA!G232</f>
        <v>0</v>
      </c>
      <c r="I233" s="27">
        <f>PET_aug!P221</f>
        <v>0</v>
      </c>
      <c r="J233" s="27">
        <f>PA!G232</f>
        <v>0</v>
      </c>
      <c r="K233" s="27">
        <f>SBR!G178</f>
        <v>0</v>
      </c>
      <c r="L233" s="28">
        <f t="shared" si="3"/>
        <v>3.2878253825940016</v>
      </c>
    </row>
    <row r="234" spans="1:12">
      <c r="A234" s="24" t="str">
        <f>PE_aug!A222</f>
        <v>210827_Malchow_Abl_Filt_21062223_3</v>
      </c>
      <c r="B234" s="319" t="str">
        <f>PE_aug!AP222</f>
        <v>Kläranlagen</v>
      </c>
      <c r="D234" s="26">
        <f>PE_aug!AF222</f>
        <v>36.599389857061986</v>
      </c>
      <c r="E234" s="27">
        <f>PE_aug!AL222</f>
        <v>2.5560150519559901</v>
      </c>
      <c r="F234" s="27">
        <f>PP!Z233</f>
        <v>0</v>
      </c>
      <c r="G234" s="27">
        <f>PS!Q233</f>
        <v>0</v>
      </c>
      <c r="H234" s="27">
        <f>PMMA!G233</f>
        <v>0</v>
      </c>
      <c r="I234" s="27">
        <f>PET_aug!P222</f>
        <v>0</v>
      </c>
      <c r="J234" s="27">
        <f>PA!G233</f>
        <v>0</v>
      </c>
      <c r="K234" s="27">
        <f>SBR!G179</f>
        <v>0</v>
      </c>
      <c r="L234" s="28">
        <f t="shared" si="3"/>
        <v>2.5560150519559901</v>
      </c>
    </row>
    <row r="235" spans="1:12">
      <c r="A235" s="24" t="str">
        <f>PE_aug!A223</f>
        <v>210827_Malchow_Abl_SF_21062223_1</v>
      </c>
      <c r="B235" s="319" t="str">
        <f>PE_aug!AP223</f>
        <v>Kläranlagen</v>
      </c>
      <c r="D235" s="26">
        <f>PE_aug!AF223</f>
        <v>40.935912619654665</v>
      </c>
      <c r="E235" s="27">
        <f>PE_aug!AL223</f>
        <v>56.744685432732325</v>
      </c>
      <c r="F235" s="27">
        <f>PP!Z234</f>
        <v>0</v>
      </c>
      <c r="G235" s="27">
        <f>PS!Q234</f>
        <v>0.48564084262074381</v>
      </c>
      <c r="H235" s="27">
        <f>PMMA!G234</f>
        <v>0</v>
      </c>
      <c r="I235" s="27">
        <f>PET_aug!P223</f>
        <v>0</v>
      </c>
      <c r="J235" s="27">
        <f>PA!G234</f>
        <v>0</v>
      </c>
      <c r="K235" s="27">
        <f>SBR!G180</f>
        <v>0</v>
      </c>
      <c r="L235" s="28">
        <f t="shared" si="3"/>
        <v>57.230326275353072</v>
      </c>
    </row>
    <row r="236" spans="1:12">
      <c r="A236" s="24" t="str">
        <f>PE_aug!A224</f>
        <v>210827_Malchow_Abl_SF_21062223_2</v>
      </c>
      <c r="B236" s="319" t="str">
        <f>PE_aug!AP224</f>
        <v>Kläranlagen</v>
      </c>
      <c r="D236" s="26">
        <f>PE_aug!AF224</f>
        <v>32.555352512969748</v>
      </c>
      <c r="E236" s="27">
        <f>PE_aug!AL224</f>
        <v>28.387790196961063</v>
      </c>
      <c r="F236" s="27">
        <f>PP!Z235</f>
        <v>0</v>
      </c>
      <c r="G236" s="27">
        <f>PS!Q235</f>
        <v>0</v>
      </c>
      <c r="H236" s="27">
        <f>PMMA!G235</f>
        <v>0</v>
      </c>
      <c r="I236" s="27">
        <f>PET_aug!P224</f>
        <v>0</v>
      </c>
      <c r="J236" s="27">
        <f>PA!G235</f>
        <v>0</v>
      </c>
      <c r="K236" s="27">
        <f>SBR!G181</f>
        <v>0</v>
      </c>
      <c r="L236" s="28">
        <f t="shared" si="3"/>
        <v>28.387790196961063</v>
      </c>
    </row>
    <row r="237" spans="1:12">
      <c r="A237" s="24" t="str">
        <f>PE_aug!A225</f>
        <v>210827_Malchow_Abl_SF_21062223_3</v>
      </c>
      <c r="B237" s="319" t="str">
        <f>PE_aug!AP225</f>
        <v>Kläranlagen</v>
      </c>
      <c r="D237" s="26">
        <f>PE_aug!AF225</f>
        <v>35.930068086666047</v>
      </c>
      <c r="E237" s="27">
        <f>PE_aug!AL225</f>
        <v>24.197355816134817</v>
      </c>
      <c r="F237" s="27">
        <f>PP!Z236</f>
        <v>0</v>
      </c>
      <c r="G237" s="27">
        <f>PS!Q236</f>
        <v>0</v>
      </c>
      <c r="H237" s="27">
        <f>PMMA!G236</f>
        <v>0</v>
      </c>
      <c r="I237" s="27">
        <f>PET_aug!P225</f>
        <v>0</v>
      </c>
      <c r="J237" s="27">
        <f>PA!G236</f>
        <v>0</v>
      </c>
      <c r="K237" s="27">
        <f>SBR!G182</f>
        <v>0</v>
      </c>
      <c r="L237" s="28">
        <f t="shared" si="3"/>
        <v>24.197355816134817</v>
      </c>
    </row>
    <row r="238" spans="1:12">
      <c r="A238" s="24" t="str">
        <f>PE_aug!A226</f>
        <v>210827_Malchow_Zul_Filt_21062223_1</v>
      </c>
      <c r="B238" s="319" t="str">
        <f>PE_aug!AP226</f>
        <v>Kläranlagen</v>
      </c>
      <c r="D238" s="26">
        <f>PE_aug!AF226</f>
        <v>56.230766681215968</v>
      </c>
      <c r="E238" s="27">
        <f>PE_aug!AL226</f>
        <v>12.989146159687555</v>
      </c>
      <c r="F238" s="27">
        <f>PP!Z237</f>
        <v>2.3193738072631218</v>
      </c>
      <c r="G238" s="27">
        <f>PS!Q237</f>
        <v>0</v>
      </c>
      <c r="H238" s="27">
        <f>PMMA!G237</f>
        <v>0</v>
      </c>
      <c r="I238" s="27">
        <f>PET_aug!P226</f>
        <v>0</v>
      </c>
      <c r="J238" s="27">
        <f>PA!G237</f>
        <v>0</v>
      </c>
      <c r="K238" s="27">
        <f>SBR!G183</f>
        <v>0</v>
      </c>
      <c r="L238" s="28">
        <f t="shared" si="3"/>
        <v>15.308519966950676</v>
      </c>
    </row>
    <row r="239" spans="1:12">
      <c r="A239" s="24" t="str">
        <f>PE_aug!A227</f>
        <v>210827_Malchow_Zul_Filt_21062223_2</v>
      </c>
      <c r="B239" s="319" t="str">
        <f>PE_aug!AP227</f>
        <v>Kläranlagen</v>
      </c>
      <c r="D239" s="26">
        <f>PE_aug!AF227</f>
        <v>37.10312248790617</v>
      </c>
      <c r="E239" s="27">
        <f>PE_aug!AL227</f>
        <v>12.166338039372125</v>
      </c>
      <c r="F239" s="27">
        <f>PP!Z238</f>
        <v>10.117616994447914</v>
      </c>
      <c r="G239" s="27">
        <f>PS!Q238</f>
        <v>0</v>
      </c>
      <c r="H239" s="27">
        <f>PMMA!G238</f>
        <v>0</v>
      </c>
      <c r="I239" s="27">
        <f>PET_aug!P227</f>
        <v>0</v>
      </c>
      <c r="J239" s="27">
        <f>PA!G238</f>
        <v>0</v>
      </c>
      <c r="K239" s="27">
        <f>SBR!G184</f>
        <v>0</v>
      </c>
      <c r="L239" s="28">
        <f t="shared" si="3"/>
        <v>22.283955033820039</v>
      </c>
    </row>
    <row r="240" spans="1:12">
      <c r="A240" s="24" t="str">
        <f>PE_aug!A228</f>
        <v>210827_Malchow_Zul_Filt_21062223_3</v>
      </c>
      <c r="B240" s="319" t="str">
        <f>PE_aug!AP228</f>
        <v>Kläranlagen</v>
      </c>
      <c r="D240" s="26">
        <f>PE_aug!AF228</f>
        <v>26.75680824432914</v>
      </c>
      <c r="E240" s="27">
        <f>PE_aug!AL228</f>
        <v>10.544865986339293</v>
      </c>
      <c r="F240" s="27">
        <f>PP!Z239</f>
        <v>1.262334318620681</v>
      </c>
      <c r="G240" s="27">
        <f>PS!Q239</f>
        <v>0</v>
      </c>
      <c r="H240" s="27">
        <f>PMMA!G239</f>
        <v>0</v>
      </c>
      <c r="I240" s="27">
        <f>PET_aug!P228</f>
        <v>0</v>
      </c>
      <c r="J240" s="27">
        <f>PA!G239</f>
        <v>0</v>
      </c>
      <c r="K240" s="27">
        <f>SBR!G185</f>
        <v>0</v>
      </c>
      <c r="L240" s="28">
        <f t="shared" si="3"/>
        <v>11.807200304959974</v>
      </c>
    </row>
    <row r="241" spans="1:12">
      <c r="A241" s="24" t="str">
        <f>PE_aug!A229</f>
        <v>210827_Rostock_Abl_SF_21060203_1</v>
      </c>
      <c r="B241" s="319" t="str">
        <f>PE_aug!AP229</f>
        <v>Kläranlagen</v>
      </c>
      <c r="D241" s="26">
        <f>PE_aug!AF229</f>
        <v>36.552755084063321</v>
      </c>
      <c r="E241" s="27">
        <f>PE_aug!AL229</f>
        <v>8.4477986383679013</v>
      </c>
      <c r="F241" s="27">
        <f>PP!Z240</f>
        <v>0</v>
      </c>
      <c r="G241" s="27">
        <f>PS!Q240</f>
        <v>0</v>
      </c>
      <c r="H241" s="27">
        <f>PMMA!G240</f>
        <v>0</v>
      </c>
      <c r="I241" s="27">
        <f>PET_aug!P229</f>
        <v>0</v>
      </c>
      <c r="J241" s="27">
        <f>PA!G240</f>
        <v>0</v>
      </c>
      <c r="K241" s="27" t="e">
        <f>SBR!#REF!</f>
        <v>#REF!</v>
      </c>
      <c r="L241" s="28">
        <f t="shared" si="3"/>
        <v>8.4477986383679013</v>
      </c>
    </row>
    <row r="242" spans="1:12">
      <c r="A242" s="24" t="str">
        <f>PE_aug!A230</f>
        <v>210827_Rostock_Abl_SF_21060203_2</v>
      </c>
      <c r="B242" s="319" t="str">
        <f>PE_aug!AP230</f>
        <v>Kläranlagen</v>
      </c>
      <c r="D242" s="26">
        <f>PE_aug!AF230</f>
        <v>0</v>
      </c>
      <c r="E242" s="27">
        <f>PE_aug!AL230</f>
        <v>18.797398501762483</v>
      </c>
      <c r="F242" s="27">
        <f>PP!Z241</f>
        <v>0</v>
      </c>
      <c r="G242" s="27">
        <f>PS!Q241</f>
        <v>0</v>
      </c>
      <c r="H242" s="27">
        <f>PMMA!G241</f>
        <v>0</v>
      </c>
      <c r="I242" s="27">
        <f>PET_aug!P230</f>
        <v>0</v>
      </c>
      <c r="J242" s="27">
        <f>PA!G241</f>
        <v>0</v>
      </c>
      <c r="K242" s="27">
        <f>SBR!G186</f>
        <v>0</v>
      </c>
      <c r="L242" s="28">
        <f t="shared" si="3"/>
        <v>18.797398501762483</v>
      </c>
    </row>
    <row r="243" spans="1:12">
      <c r="A243" s="24" t="str">
        <f>PE_aug!A231</f>
        <v>210901_Malchow_Abl_Filt_21062122_1</v>
      </c>
      <c r="B243" s="319" t="str">
        <f>PE_aug!AP231</f>
        <v>Kläranlagen</v>
      </c>
      <c r="D243" s="26">
        <f>PE_aug!AF231</f>
        <v>37.867808105660679</v>
      </c>
      <c r="E243" s="27">
        <f>PE_aug!AL231</f>
        <v>2.7419537260919675</v>
      </c>
      <c r="F243" s="27">
        <f>PP!Z242</f>
        <v>0.85132008106645807</v>
      </c>
      <c r="G243" s="27">
        <f>PS!Q242</f>
        <v>0</v>
      </c>
      <c r="H243" s="27">
        <f>PMMA!G242</f>
        <v>0</v>
      </c>
      <c r="I243" s="27">
        <f>PET_aug!P231</f>
        <v>0</v>
      </c>
      <c r="J243" s="27">
        <f>PA!G242</f>
        <v>0</v>
      </c>
      <c r="K243" s="27">
        <f>SBR!G187</f>
        <v>0</v>
      </c>
      <c r="L243" s="28">
        <f t="shared" si="3"/>
        <v>3.5932738071584254</v>
      </c>
    </row>
    <row r="244" spans="1:12">
      <c r="A244" s="24" t="str">
        <f>PE_aug!A232</f>
        <v>210901_Malchow_Abl_Filt_21062122_2</v>
      </c>
      <c r="B244" s="319" t="str">
        <f>PE_aug!AP232</f>
        <v>Kläranlagen</v>
      </c>
      <c r="D244" s="26">
        <f>PE_aug!AF232</f>
        <v>53.307310312099276</v>
      </c>
      <c r="E244" s="27">
        <f>PE_aug!AL232</f>
        <v>8.1701629257068209</v>
      </c>
      <c r="F244" s="27">
        <f>PP!Z243</f>
        <v>1.0406301691563937</v>
      </c>
      <c r="G244" s="27">
        <f>PS!Q243</f>
        <v>0</v>
      </c>
      <c r="H244" s="27">
        <f>PMMA!G243</f>
        <v>0</v>
      </c>
      <c r="I244" s="27">
        <f>PET_aug!P232</f>
        <v>0</v>
      </c>
      <c r="J244" s="27">
        <f>PA!G243</f>
        <v>0</v>
      </c>
      <c r="K244" s="27">
        <f>SBR!G188</f>
        <v>0</v>
      </c>
      <c r="L244" s="28">
        <f t="shared" si="3"/>
        <v>9.2107930948632148</v>
      </c>
    </row>
    <row r="245" spans="1:12">
      <c r="A245" s="24" t="str">
        <f>PE_aug!A233</f>
        <v>210901_Malchow_Abl_Filt_21062122_3</v>
      </c>
      <c r="B245" s="319" t="str">
        <f>PE_aug!AP233</f>
        <v>Kläranlagen</v>
      </c>
      <c r="D245" s="26">
        <f>PE_aug!AF233</f>
        <v>61.25196530235948</v>
      </c>
      <c r="E245" s="27">
        <f>PE_aug!AL233</f>
        <v>3.6275962150352457</v>
      </c>
      <c r="F245" s="27">
        <f>PP!Z244</f>
        <v>0.52206369708196665</v>
      </c>
      <c r="G245" s="27">
        <f>PS!Q244</f>
        <v>0</v>
      </c>
      <c r="H245" s="27">
        <f>PMMA!G244</f>
        <v>0</v>
      </c>
      <c r="I245" s="27">
        <f>PET_aug!P233</f>
        <v>0</v>
      </c>
      <c r="J245" s="27">
        <f>PA!G244</f>
        <v>0</v>
      </c>
      <c r="K245" s="27">
        <f>SBR!G189</f>
        <v>0</v>
      </c>
      <c r="L245" s="28">
        <f t="shared" si="3"/>
        <v>4.1496599121172126</v>
      </c>
    </row>
    <row r="246" spans="1:12">
      <c r="A246" s="24" t="str">
        <f>PE_aug!A234</f>
        <v>210901_Malchow_Abl_SF_21062122_1</v>
      </c>
      <c r="B246" s="319" t="str">
        <f>PE_aug!AP234</f>
        <v>Kläranlagen</v>
      </c>
      <c r="D246" s="26">
        <f>PE_aug!AF234</f>
        <v>39.386054760764473</v>
      </c>
      <c r="E246" s="27">
        <f>PE_aug!AL234</f>
        <v>11.643542258529703</v>
      </c>
      <c r="F246" s="27">
        <f>PP!Z245</f>
        <v>0</v>
      </c>
      <c r="G246" s="27">
        <f>PS!Q245</f>
        <v>0</v>
      </c>
      <c r="H246" s="27">
        <f>PMMA!G245</f>
        <v>0</v>
      </c>
      <c r="I246" s="27">
        <f>PET_aug!P234</f>
        <v>0</v>
      </c>
      <c r="J246" s="27">
        <f>PA!G245</f>
        <v>0</v>
      </c>
      <c r="K246" s="27">
        <f>SBR!G190</f>
        <v>0</v>
      </c>
      <c r="L246" s="28">
        <f t="shared" si="3"/>
        <v>11.643542258529703</v>
      </c>
    </row>
    <row r="247" spans="1:12">
      <c r="A247" s="24" t="str">
        <f>PE_aug!A235</f>
        <v>210901_Malchow_Abl_SF_21062122_2</v>
      </c>
      <c r="B247" s="319" t="str">
        <f>PE_aug!AP235</f>
        <v>Kläranlagen</v>
      </c>
      <c r="D247" s="26">
        <f>PE_aug!AF235</f>
        <v>35.577124238986947</v>
      </c>
      <c r="E247" s="27">
        <f>PE_aug!AL235</f>
        <v>10.411630353222113</v>
      </c>
      <c r="F247" s="27">
        <f>PP!Z246</f>
        <v>0</v>
      </c>
      <c r="G247" s="27">
        <f>PS!Q246</f>
        <v>0</v>
      </c>
      <c r="H247" s="27">
        <f>PMMA!G246</f>
        <v>0</v>
      </c>
      <c r="I247" s="27">
        <f>PET_aug!P235</f>
        <v>0</v>
      </c>
      <c r="J247" s="27">
        <f>PA!G246</f>
        <v>0</v>
      </c>
      <c r="K247" s="27">
        <f>SBR!G191</f>
        <v>0</v>
      </c>
      <c r="L247" s="28">
        <f t="shared" si="3"/>
        <v>10.411630353222113</v>
      </c>
    </row>
    <row r="248" spans="1:12">
      <c r="A248" s="24" t="str">
        <f>PE_aug!A236</f>
        <v>210901_Malchow_Abl_SF_21062122_3</v>
      </c>
      <c r="B248" s="319" t="str">
        <f>PE_aug!AP236</f>
        <v>Kläranlagen</v>
      </c>
      <c r="D248" s="26">
        <f>PE_aug!AF236</f>
        <v>59.159937580345137</v>
      </c>
      <c r="E248" s="27">
        <f>PE_aug!AL236</f>
        <v>15.860190108015578</v>
      </c>
      <c r="F248" s="27">
        <f>PP!Z247</f>
        <v>0</v>
      </c>
      <c r="G248" s="27">
        <f>PS!Q247</f>
        <v>0</v>
      </c>
      <c r="H248" s="27">
        <f>PMMA!G247</f>
        <v>0</v>
      </c>
      <c r="I248" s="27">
        <f>PET_aug!P236</f>
        <v>0</v>
      </c>
      <c r="J248" s="27">
        <f>PA!G247</f>
        <v>0</v>
      </c>
      <c r="K248" s="27">
        <f>SBR!G192</f>
        <v>0</v>
      </c>
      <c r="L248" s="28">
        <f t="shared" si="3"/>
        <v>15.860190108015578</v>
      </c>
    </row>
    <row r="249" spans="1:12">
      <c r="A249" s="24" t="str">
        <f>PE_aug!A237</f>
        <v>210901_Rostock_Zul_Filt_21060203_1</v>
      </c>
      <c r="B249" s="319" t="str">
        <f>PE_aug!AP237</f>
        <v>Kläranlagen</v>
      </c>
      <c r="D249" s="26">
        <f>PE_aug!AF237</f>
        <v>60.293984420494539</v>
      </c>
      <c r="E249" s="27">
        <f>PE_aug!AL237</f>
        <v>2.535959811163695</v>
      </c>
      <c r="F249" s="27">
        <f>PP!Z248</f>
        <v>0</v>
      </c>
      <c r="G249" s="27">
        <f>PS!Q248</f>
        <v>0</v>
      </c>
      <c r="H249" s="27">
        <f>PMMA!G248</f>
        <v>0</v>
      </c>
      <c r="I249" s="27">
        <f>PET_aug!P237</f>
        <v>0</v>
      </c>
      <c r="J249" s="27">
        <f>PA!G248</f>
        <v>0</v>
      </c>
      <c r="K249" s="27">
        <f>SBR!G193</f>
        <v>0</v>
      </c>
      <c r="L249" s="28">
        <f t="shared" si="3"/>
        <v>2.535959811163695</v>
      </c>
    </row>
    <row r="250" spans="1:12">
      <c r="A250" s="24" t="str">
        <f>PE_aug!A238</f>
        <v>210901_Rostock_Zul_Filt_21060203_2</v>
      </c>
      <c r="B250" s="319" t="str">
        <f>PE_aug!AP238</f>
        <v>Kläranlagen</v>
      </c>
      <c r="D250" s="26">
        <f>PE_aug!AF238</f>
        <v>58.130531699205868</v>
      </c>
      <c r="E250" s="27">
        <f>PE_aug!AL238</f>
        <v>5.1429867470630475</v>
      </c>
      <c r="F250" s="27">
        <f>PP!Z249</f>
        <v>0</v>
      </c>
      <c r="G250" s="27">
        <f>PS!Q249</f>
        <v>0</v>
      </c>
      <c r="H250" s="27">
        <f>PMMA!G249</f>
        <v>0</v>
      </c>
      <c r="I250" s="27">
        <f>PET_aug!P238</f>
        <v>0</v>
      </c>
      <c r="J250" s="27">
        <f>PA!G249</f>
        <v>0</v>
      </c>
      <c r="K250" s="27">
        <f>SBR!G194</f>
        <v>0</v>
      </c>
      <c r="L250" s="28">
        <f t="shared" si="3"/>
        <v>5.1429867470630475</v>
      </c>
    </row>
    <row r="251" spans="1:12">
      <c r="A251" s="24" t="str">
        <f>PE_aug!A239</f>
        <v>210901_Rostock_Zul_Filt_21060203_3</v>
      </c>
      <c r="B251" s="319" t="str">
        <f>PE_aug!AP239</f>
        <v>Kläranlagen</v>
      </c>
      <c r="D251" s="26">
        <f>PE_aug!AF239</f>
        <v>46.312872252522666</v>
      </c>
      <c r="E251" s="27">
        <f>PE_aug!AL239</f>
        <v>7.9674665021273947</v>
      </c>
      <c r="F251" s="27">
        <f>PP!Z250</f>
        <v>0</v>
      </c>
      <c r="G251" s="27">
        <f>PS!Q250</f>
        <v>0.34624271170189391</v>
      </c>
      <c r="H251" s="27">
        <f>PMMA!G250</f>
        <v>0</v>
      </c>
      <c r="I251" s="27">
        <f>PET_aug!P239</f>
        <v>0</v>
      </c>
      <c r="J251" s="27">
        <f>PA!G250</f>
        <v>0</v>
      </c>
      <c r="K251" s="27">
        <f>SBR!G195</f>
        <v>0</v>
      </c>
      <c r="L251" s="28">
        <f t="shared" si="3"/>
        <v>8.3137092138292878</v>
      </c>
    </row>
    <row r="252" spans="1:12">
      <c r="A252" s="24" t="str">
        <f>PE_aug!A240</f>
        <v>210901_Standard_PA_SBR</v>
      </c>
      <c r="B252" s="319" t="str">
        <f>PE_aug!AP240</f>
        <v>Methode</v>
      </c>
      <c r="D252" s="26" t="e">
        <f>PE_aug!AF240</f>
        <v>#DIV/0!</v>
      </c>
      <c r="E252" s="27" t="str">
        <f>PE_aug!AL240</f>
        <v>n.d.</v>
      </c>
      <c r="F252" s="27">
        <f>PP!Z251</f>
        <v>0</v>
      </c>
      <c r="G252" s="27">
        <f>PS!Q251</f>
        <v>13.06</v>
      </c>
      <c r="H252" s="27">
        <f>PMMA!G251</f>
        <v>0</v>
      </c>
      <c r="I252" s="27">
        <f>PET_aug!P240</f>
        <v>0</v>
      </c>
      <c r="J252" s="27">
        <f>PA!G251</f>
        <v>-1.135316568448747</v>
      </c>
      <c r="K252" s="27">
        <f>SBR!G196</f>
        <v>0</v>
      </c>
      <c r="L252" s="28">
        <f t="shared" si="3"/>
        <v>13.06</v>
      </c>
    </row>
    <row r="253" spans="1:12">
      <c r="A253" s="24" t="str">
        <f>PE_aug!A241</f>
        <v>210901_Standard_PE_PP</v>
      </c>
      <c r="B253" s="319" t="str">
        <f>PE_aug!AP241</f>
        <v>Methode</v>
      </c>
      <c r="D253" s="26">
        <f>PE_aug!AF241</f>
        <v>21.830442251787815</v>
      </c>
      <c r="E253" s="27" t="e">
        <f>PE_aug!AL241</f>
        <v>#DIV/0!</v>
      </c>
      <c r="F253" s="27">
        <f>PP!Z252</f>
        <v>0</v>
      </c>
      <c r="G253" s="27">
        <f>PS!Q252</f>
        <v>0</v>
      </c>
      <c r="H253" s="27">
        <f>PMMA!G252</f>
        <v>0</v>
      </c>
      <c r="I253" s="27">
        <f>PET_aug!P241</f>
        <v>0</v>
      </c>
      <c r="J253" s="27">
        <f>PA!G252</f>
        <v>0</v>
      </c>
      <c r="K253" s="27">
        <f>SBR!G197</f>
        <v>0</v>
      </c>
      <c r="L253" s="28" t="e">
        <f t="shared" si="3"/>
        <v>#DIV/0!</v>
      </c>
    </row>
    <row r="254" spans="1:12">
      <c r="A254" s="24" t="str">
        <f>PE_aug!A242</f>
        <v>210901_Waren_Abl_Filt_21061617_1</v>
      </c>
      <c r="B254" s="319" t="str">
        <f>PE_aug!AP242</f>
        <v>Kläranlagen</v>
      </c>
      <c r="D254" s="26" t="e">
        <f>PE_aug!AF242</f>
        <v>#DIV/0!</v>
      </c>
      <c r="E254" s="27" t="str">
        <f>PE_aug!AL242</f>
        <v>n.d.</v>
      </c>
      <c r="F254" s="27">
        <f>PP!Z253</f>
        <v>0</v>
      </c>
      <c r="G254" s="27">
        <f>PS!Q253</f>
        <v>0</v>
      </c>
      <c r="H254" s="27">
        <f>PMMA!G253</f>
        <v>0</v>
      </c>
      <c r="I254" s="27">
        <f>PET_aug!P242</f>
        <v>0</v>
      </c>
      <c r="J254" s="27" t="e">
        <f>PA!G253</f>
        <v>#DIV/0!</v>
      </c>
      <c r="K254" s="27">
        <f>SBR!G198</f>
        <v>0</v>
      </c>
      <c r="L254" s="28">
        <f t="shared" si="3"/>
        <v>0</v>
      </c>
    </row>
    <row r="255" spans="1:12">
      <c r="A255" s="24" t="str">
        <f>PE_aug!A243</f>
        <v>210901_Waren_Abl_Filt_21061617_2</v>
      </c>
      <c r="B255" s="319" t="str">
        <f>PE_aug!AP243</f>
        <v>Kläranlagen</v>
      </c>
      <c r="D255" s="26" t="e">
        <f>PE_aug!AF243</f>
        <v>#DIV/0!</v>
      </c>
      <c r="E255" s="27" t="str">
        <f>PE_aug!AL243</f>
        <v>n.d.</v>
      </c>
      <c r="F255" s="27">
        <f>PP!Z254</f>
        <v>0</v>
      </c>
      <c r="G255" s="27">
        <f>PS!Q254</f>
        <v>0</v>
      </c>
      <c r="H255" s="27">
        <f>PMMA!G254</f>
        <v>0</v>
      </c>
      <c r="I255" s="27">
        <f>PET_aug!P243</f>
        <v>0</v>
      </c>
      <c r="J255" s="27" t="e">
        <f>PA!G254</f>
        <v>#DIV/0!</v>
      </c>
      <c r="K255" s="27">
        <f>SBR!G199</f>
        <v>0</v>
      </c>
      <c r="L255" s="28">
        <f t="shared" si="3"/>
        <v>0</v>
      </c>
    </row>
    <row r="256" spans="1:12">
      <c r="A256" s="24" t="str">
        <f>PE_aug!A244</f>
        <v>210901_Waren_Abl_Filt_21061617_3</v>
      </c>
      <c r="B256" s="319" t="str">
        <f>PE_aug!AP244</f>
        <v>Kläranlagen</v>
      </c>
      <c r="D256" s="26" t="e">
        <f>PE_aug!AF244</f>
        <v>#DIV/0!</v>
      </c>
      <c r="E256" s="27" t="str">
        <f>PE_aug!AL244</f>
        <v>n.d.</v>
      </c>
      <c r="F256" s="27">
        <f>PP!Z255</f>
        <v>0</v>
      </c>
      <c r="G256" s="27">
        <f>PS!Q255</f>
        <v>0</v>
      </c>
      <c r="H256" s="27">
        <f>PMMA!G255</f>
        <v>0</v>
      </c>
      <c r="I256" s="27">
        <f>PET_aug!P244</f>
        <v>0</v>
      </c>
      <c r="J256" s="27" t="e">
        <f>PA!G255</f>
        <v>#DIV/0!</v>
      </c>
      <c r="K256" s="27">
        <f>SBR!G200</f>
        <v>0</v>
      </c>
      <c r="L256" s="28">
        <f t="shared" si="3"/>
        <v>0</v>
      </c>
    </row>
    <row r="257" spans="1:12">
      <c r="A257" s="24" t="str">
        <f>PE_aug!A245</f>
        <v>210901_Waren_Abl_Filt_21061617_spike_PS_PET</v>
      </c>
      <c r="B257" s="319" t="str">
        <f>PE_aug!AP245</f>
        <v>Kläranlage, Methode</v>
      </c>
      <c r="D257" s="26" t="e">
        <f>PE_aug!AF245</f>
        <v>#DIV/0!</v>
      </c>
      <c r="E257" s="27" t="str">
        <f>PE_aug!AL245</f>
        <v>n.d.</v>
      </c>
      <c r="F257" s="27">
        <f>PP!Z256</f>
        <v>0</v>
      </c>
      <c r="G257" s="27">
        <f>PS!Q256</f>
        <v>7.9917404031943748</v>
      </c>
      <c r="H257" s="27">
        <f>PMMA!G256</f>
        <v>0</v>
      </c>
      <c r="I257" s="27">
        <f>PET_aug!P245</f>
        <v>0</v>
      </c>
      <c r="J257" s="27">
        <f>PA!G256</f>
        <v>0</v>
      </c>
      <c r="K257" s="27">
        <f>SBR!G201</f>
        <v>0</v>
      </c>
      <c r="L257" s="28">
        <f t="shared" si="3"/>
        <v>7.9917404031943748</v>
      </c>
    </row>
    <row r="258" spans="1:12">
      <c r="A258" s="24" t="str">
        <f>PE_aug!A246</f>
        <v>210901_Waren_Abl_SF_21061617_1</v>
      </c>
      <c r="B258" s="319" t="str">
        <f>PE_aug!AP246</f>
        <v>Kläranlagen</v>
      </c>
      <c r="D258" s="26">
        <f>PE_aug!AF246</f>
        <v>2.8227672373900994</v>
      </c>
      <c r="E258" s="27">
        <f>PE_aug!AL246</f>
        <v>19.274290124594621</v>
      </c>
      <c r="F258" s="27">
        <f>PP!Z257</f>
        <v>0</v>
      </c>
      <c r="G258" s="27">
        <f>PS!Q257</f>
        <v>0</v>
      </c>
      <c r="H258" s="27">
        <f>PMMA!G257</f>
        <v>0</v>
      </c>
      <c r="I258" s="27">
        <f>PET_aug!P246</f>
        <v>0</v>
      </c>
      <c r="J258" s="27">
        <f>PA!G257</f>
        <v>0</v>
      </c>
      <c r="K258" s="27">
        <f>SBR!G202</f>
        <v>0</v>
      </c>
      <c r="L258" s="28">
        <f t="shared" si="3"/>
        <v>19.274290124594621</v>
      </c>
    </row>
    <row r="259" spans="1:12">
      <c r="A259" s="24" t="str">
        <f>PE_aug!A247</f>
        <v>210901_Waren_Abl_SF_21061617_2</v>
      </c>
      <c r="B259" s="319" t="str">
        <f>PE_aug!AP247</f>
        <v>Kläranlagen</v>
      </c>
      <c r="D259" s="26" t="e">
        <f>PE_aug!AF247</f>
        <v>#DIV/0!</v>
      </c>
      <c r="E259" s="27" t="str">
        <f>PE_aug!AL247</f>
        <v>n.d.</v>
      </c>
      <c r="F259" s="27">
        <f>PP!Z258</f>
        <v>0</v>
      </c>
      <c r="G259" s="27">
        <f>PS!Q258</f>
        <v>0</v>
      </c>
      <c r="H259" s="27">
        <f>PMMA!G258</f>
        <v>0</v>
      </c>
      <c r="I259" s="27">
        <f>PET_aug!P247</f>
        <v>0</v>
      </c>
      <c r="J259" s="27">
        <f>PA!G258</f>
        <v>0</v>
      </c>
      <c r="K259" s="27">
        <f>SBR!G203</f>
        <v>0</v>
      </c>
      <c r="L259" s="28">
        <f t="shared" ref="L259:L322" si="4">SUM(E259:I259)</f>
        <v>0</v>
      </c>
    </row>
    <row r="260" spans="1:12">
      <c r="A260" s="24" t="str">
        <f>PE_aug!A248</f>
        <v>210901_Waren_Abl_SF_21061617_3</v>
      </c>
      <c r="B260" s="319" t="str">
        <f>PE_aug!AP248</f>
        <v>Kläranlagen</v>
      </c>
      <c r="D260" s="26">
        <f>PE_aug!AF248</f>
        <v>0</v>
      </c>
      <c r="E260" s="27" t="str">
        <f>PE_aug!AL248</f>
        <v>n.d.</v>
      </c>
      <c r="F260" s="27">
        <f>PP!Z259</f>
        <v>0</v>
      </c>
      <c r="G260" s="27">
        <f>PS!Q259</f>
        <v>0</v>
      </c>
      <c r="H260" s="27">
        <f>PMMA!G259</f>
        <v>0</v>
      </c>
      <c r="I260" s="27">
        <f>PET_aug!P248</f>
        <v>0</v>
      </c>
      <c r="J260" s="27">
        <f>PA!G259</f>
        <v>0</v>
      </c>
      <c r="K260" s="27">
        <f>SBR!G204</f>
        <v>0</v>
      </c>
      <c r="L260" s="28">
        <f t="shared" si="4"/>
        <v>0</v>
      </c>
    </row>
    <row r="261" spans="1:12">
      <c r="A261" s="24" t="str">
        <f>PE_aug!A249</f>
        <v>210901_Rostock_Zul_Filt_21060102_1</v>
      </c>
      <c r="B261" s="319" t="str">
        <f>PE_aug!AP249</f>
        <v>Kläranlagen</v>
      </c>
      <c r="D261" s="26" t="e">
        <f>PE_aug!AF249</f>
        <v>#DIV/0!</v>
      </c>
      <c r="E261" s="27" t="str">
        <f>PE_aug!AL249</f>
        <v>n.d.</v>
      </c>
      <c r="F261" s="27">
        <f>PP!Z260</f>
        <v>0</v>
      </c>
      <c r="G261" s="27">
        <f>PS!Q260</f>
        <v>0</v>
      </c>
      <c r="H261" s="27">
        <f>PMMA!G260</f>
        <v>0</v>
      </c>
      <c r="I261" s="27">
        <f>PET_aug!P249</f>
        <v>0</v>
      </c>
      <c r="J261" s="27">
        <f>PA!G260</f>
        <v>0</v>
      </c>
      <c r="K261" s="27">
        <f>SBR!G205</f>
        <v>0</v>
      </c>
      <c r="L261" s="28">
        <f t="shared" si="4"/>
        <v>0</v>
      </c>
    </row>
    <row r="262" spans="1:12">
      <c r="A262" s="24" t="str">
        <f>PE_aug!A250</f>
        <v>210901_Rostock_Zul_Filt_21060102_2</v>
      </c>
      <c r="B262" s="319" t="str">
        <f>PE_aug!AP250</f>
        <v>Kläranlagen</v>
      </c>
      <c r="D262" s="26" t="e">
        <f>PE_aug!AF250</f>
        <v>#DIV/0!</v>
      </c>
      <c r="E262" s="27" t="str">
        <f>PE_aug!AL250</f>
        <v>n.d.</v>
      </c>
      <c r="F262" s="27">
        <f>PP!Z261</f>
        <v>0</v>
      </c>
      <c r="G262" s="27">
        <f>PS!Q261</f>
        <v>0</v>
      </c>
      <c r="H262" s="27">
        <f>PMMA!G261</f>
        <v>0</v>
      </c>
      <c r="I262" s="27">
        <f>PET_aug!P250</f>
        <v>0</v>
      </c>
      <c r="J262" s="27">
        <f>PA!G261</f>
        <v>0</v>
      </c>
      <c r="K262" s="27">
        <f>SBR!G206</f>
        <v>0</v>
      </c>
      <c r="L262" s="28">
        <f t="shared" si="4"/>
        <v>0</v>
      </c>
    </row>
    <row r="263" spans="1:12">
      <c r="A263" s="24" t="str">
        <f>PE_aug!A251</f>
        <v>210901_Rostock_Zul_Filt_21060102_3</v>
      </c>
      <c r="B263" s="319" t="str">
        <f>PE_aug!AP251</f>
        <v>Kläranlagen</v>
      </c>
      <c r="D263" s="26" t="e">
        <f>PE_aug!AF251</f>
        <v>#DIV/0!</v>
      </c>
      <c r="E263" s="27" t="str">
        <f>PE_aug!AL251</f>
        <v>n.d.</v>
      </c>
      <c r="F263" s="27">
        <f>PP!Z262</f>
        <v>0</v>
      </c>
      <c r="G263" s="27">
        <f>PS!Q262</f>
        <v>0</v>
      </c>
      <c r="H263" s="27">
        <f>PMMA!G262</f>
        <v>0</v>
      </c>
      <c r="I263" s="27">
        <f>PET_aug!P251</f>
        <v>0</v>
      </c>
      <c r="J263" s="27">
        <f>PA!G262</f>
        <v>0</v>
      </c>
      <c r="K263" s="27">
        <f>SBR!G207</f>
        <v>0</v>
      </c>
      <c r="L263" s="28">
        <f t="shared" si="4"/>
        <v>0</v>
      </c>
    </row>
    <row r="264" spans="1:12">
      <c r="A264" s="24" t="str">
        <f>PE_aug!A252</f>
        <v>210901_Waren_Abl_FIlt_21061617_1</v>
      </c>
      <c r="B264" s="319" t="str">
        <f>PE_aug!AP252</f>
        <v>Kläranlagen</v>
      </c>
      <c r="D264" s="26" t="e">
        <f>PE_aug!AF252</f>
        <v>#DIV/0!</v>
      </c>
      <c r="E264" s="27">
        <f>PE_aug!AL252</f>
        <v>0</v>
      </c>
      <c r="F264" s="27">
        <f>PP!Z263</f>
        <v>0</v>
      </c>
      <c r="G264" s="27">
        <f>PS!Q263</f>
        <v>0</v>
      </c>
      <c r="H264" s="27">
        <f>PMMA!G263</f>
        <v>0</v>
      </c>
      <c r="I264" s="27">
        <f>PET_aug!P252</f>
        <v>0</v>
      </c>
      <c r="J264" s="27">
        <f>PA!G263</f>
        <v>0</v>
      </c>
      <c r="K264" s="27">
        <f>SBR!G208</f>
        <v>0</v>
      </c>
      <c r="L264" s="28">
        <f t="shared" si="4"/>
        <v>0</v>
      </c>
    </row>
    <row r="265" spans="1:12">
      <c r="A265" s="24" t="str">
        <f>PE_aug!A253</f>
        <v>210901_Waren_Abl_FIlt_21061617_2</v>
      </c>
      <c r="B265" s="319" t="str">
        <f>PE_aug!AP253</f>
        <v>Kläranlagen</v>
      </c>
      <c r="D265" s="26" t="e">
        <f>PE_aug!AF253</f>
        <v>#DIV/0!</v>
      </c>
      <c r="E265" s="27">
        <f>PE_aug!AL253</f>
        <v>0</v>
      </c>
      <c r="F265" s="27">
        <f>PP!Z264</f>
        <v>0</v>
      </c>
      <c r="G265" s="27">
        <f>PS!Q264</f>
        <v>0</v>
      </c>
      <c r="H265" s="27">
        <f>PMMA!G264</f>
        <v>0</v>
      </c>
      <c r="I265" s="27">
        <f>PET_aug!P253</f>
        <v>0</v>
      </c>
      <c r="J265" s="27">
        <f>PA!G264</f>
        <v>0</v>
      </c>
      <c r="K265" s="27">
        <f>SBR!G209</f>
        <v>0</v>
      </c>
      <c r="L265" s="28">
        <f t="shared" si="4"/>
        <v>0</v>
      </c>
    </row>
    <row r="266" spans="1:12">
      <c r="A266" s="24" t="str">
        <f>PE_aug!A254</f>
        <v>210901_Waren_Abl_FIlt_21061617_3</v>
      </c>
      <c r="B266" s="319" t="str">
        <f>PE_aug!AP254</f>
        <v>Kläranlagen</v>
      </c>
      <c r="D266" s="26" t="e">
        <f>PE_aug!AF254</f>
        <v>#DIV/0!</v>
      </c>
      <c r="E266" s="27">
        <f>PE_aug!AL254</f>
        <v>0</v>
      </c>
      <c r="F266" s="27">
        <f>PP!Z265</f>
        <v>0</v>
      </c>
      <c r="G266" s="27">
        <f>PS!Q265</f>
        <v>0</v>
      </c>
      <c r="H266" s="27">
        <f>PMMA!G265</f>
        <v>0</v>
      </c>
      <c r="I266" s="27">
        <f>PET_aug!P254</f>
        <v>0</v>
      </c>
      <c r="J266" s="27">
        <f>PA!G265</f>
        <v>0</v>
      </c>
      <c r="K266" s="27">
        <f>SBR!G210</f>
        <v>0</v>
      </c>
      <c r="L266" s="28">
        <f t="shared" si="4"/>
        <v>0</v>
      </c>
    </row>
    <row r="267" spans="1:12">
      <c r="A267" s="24" t="str">
        <f>PE_aug!A255</f>
        <v>210914_Sickerwasser_40_cm_19</v>
      </c>
      <c r="B267" s="319" t="str">
        <f>PE_aug!AP255</f>
        <v>Sickerwasser</v>
      </c>
      <c r="D267" s="26" t="e">
        <f>PE_aug!AF255</f>
        <v>#DIV/0!</v>
      </c>
      <c r="E267" s="27" t="str">
        <f>PE_aug!AL255</f>
        <v>n.d.</v>
      </c>
      <c r="F267" s="27">
        <f>PP!Z266</f>
        <v>0</v>
      </c>
      <c r="G267" s="27">
        <f>PS!Q266</f>
        <v>0</v>
      </c>
      <c r="H267" s="27">
        <f>PMMA!G266</f>
        <v>0</v>
      </c>
      <c r="I267" s="27">
        <f>PET_aug!P255</f>
        <v>0</v>
      </c>
      <c r="J267" s="27" t="e">
        <f>PA!G266</f>
        <v>#DIV/0!</v>
      </c>
      <c r="K267" s="27">
        <f>SBR!G211</f>
        <v>0</v>
      </c>
      <c r="L267" s="28">
        <f t="shared" si="4"/>
        <v>0</v>
      </c>
    </row>
    <row r="268" spans="1:12">
      <c r="A268" s="24" t="str">
        <f>PE_aug!A256</f>
        <v>210914_Sickerwasser_40_cm_20</v>
      </c>
      <c r="B268" s="319" t="str">
        <f>PE_aug!AP256</f>
        <v>Sickerwasser</v>
      </c>
      <c r="D268" s="26" t="e">
        <f>PE_aug!AF256</f>
        <v>#DIV/0!</v>
      </c>
      <c r="E268" s="27" t="str">
        <f>PE_aug!AL256</f>
        <v>n.d.</v>
      </c>
      <c r="F268" s="27">
        <f>PP!Z267</f>
        <v>0</v>
      </c>
      <c r="G268" s="27">
        <f>PS!Q267</f>
        <v>0</v>
      </c>
      <c r="H268" s="27">
        <f>PMMA!G267</f>
        <v>0</v>
      </c>
      <c r="I268" s="27">
        <f>PET_aug!P256</f>
        <v>0</v>
      </c>
      <c r="J268" s="27" t="e">
        <f>PA!G267</f>
        <v>#DIV/0!</v>
      </c>
      <c r="K268" s="27">
        <f>SBR!G212</f>
        <v>0</v>
      </c>
      <c r="L268" s="28">
        <f t="shared" si="4"/>
        <v>0</v>
      </c>
    </row>
    <row r="269" spans="1:12">
      <c r="A269" s="24" t="str">
        <f>PE_aug!A257</f>
        <v>210914_Sickerwasser_Blindprobe_17</v>
      </c>
      <c r="B269" s="319" t="str">
        <f>PE_aug!AP257</f>
        <v>Sickerwasser</v>
      </c>
      <c r="D269" s="26">
        <f>PE_aug!AF257</f>
        <v>55.331046936092811</v>
      </c>
      <c r="E269" s="27">
        <f>PE_aug!AL257</f>
        <v>24.190883091842316</v>
      </c>
      <c r="F269" s="27">
        <f>PP!Z268</f>
        <v>0</v>
      </c>
      <c r="G269" s="27">
        <f>PS!Q268</f>
        <v>0</v>
      </c>
      <c r="H269" s="27">
        <f>PMMA!G268</f>
        <v>0</v>
      </c>
      <c r="I269" s="27">
        <f>PET_aug!P257</f>
        <v>0</v>
      </c>
      <c r="J269" s="27" t="e">
        <f>PA!G268</f>
        <v>#DIV/0!</v>
      </c>
      <c r="K269" s="27">
        <f>SBR!G213</f>
        <v>0</v>
      </c>
      <c r="L269" s="28">
        <f t="shared" si="4"/>
        <v>24.190883091842316</v>
      </c>
    </row>
    <row r="270" spans="1:12">
      <c r="A270" s="24" t="str">
        <f>PE_aug!A258</f>
        <v>210914_Sickerwasser_Blindprobe_18</v>
      </c>
      <c r="B270" s="319" t="str">
        <f>PE_aug!AP258</f>
        <v>Sickerwasser</v>
      </c>
      <c r="D270" s="26">
        <f>PE_aug!AF258</f>
        <v>24.883046793173662</v>
      </c>
      <c r="E270" s="27">
        <f>PE_aug!AL258</f>
        <v>26.136459937886652</v>
      </c>
      <c r="F270" s="27">
        <f>PP!Z269</f>
        <v>0</v>
      </c>
      <c r="G270" s="27">
        <f>PS!Q269</f>
        <v>0</v>
      </c>
      <c r="H270" s="27">
        <f>PMMA!G269</f>
        <v>0</v>
      </c>
      <c r="I270" s="27">
        <f>PET_aug!P258</f>
        <v>0</v>
      </c>
      <c r="J270" s="27" t="e">
        <f>PA!G269</f>
        <v>#DIV/0!</v>
      </c>
      <c r="K270" s="27">
        <f>SBR!G214</f>
        <v>0</v>
      </c>
      <c r="L270" s="28">
        <f t="shared" si="4"/>
        <v>26.136459937886652</v>
      </c>
    </row>
    <row r="271" spans="1:12">
      <c r="A271" s="24" t="str">
        <f>PE_aug!A259</f>
        <v>210924_Waren_Abl_Filt_21061415_1</v>
      </c>
      <c r="B271" s="319" t="str">
        <f>PE_aug!AP259</f>
        <v>Kläranlagen</v>
      </c>
      <c r="D271" s="26">
        <f>PE_aug!AF259</f>
        <v>0</v>
      </c>
      <c r="E271" s="27">
        <f>PE_aug!AL259</f>
        <v>0.74780743958430707</v>
      </c>
      <c r="F271" s="27">
        <f>PP!Z270</f>
        <v>0.47425287988343001</v>
      </c>
      <c r="G271" s="27">
        <f>PS!Q270</f>
        <v>0</v>
      </c>
      <c r="H271" s="27">
        <f>PMMA!G270</f>
        <v>0</v>
      </c>
      <c r="I271" s="27">
        <f>PET_aug!P259</f>
        <v>0</v>
      </c>
      <c r="J271" s="27">
        <f>PA!G270</f>
        <v>0</v>
      </c>
      <c r="K271" s="27">
        <f>SBR!G215</f>
        <v>0</v>
      </c>
      <c r="L271" s="28">
        <f t="shared" si="4"/>
        <v>1.2220603194677371</v>
      </c>
    </row>
    <row r="272" spans="1:12">
      <c r="A272" s="24" t="str">
        <f>PE_aug!A260</f>
        <v>210924_Waren_Abl_Filt_21061415_2</v>
      </c>
      <c r="B272" s="319" t="str">
        <f>PE_aug!AP260</f>
        <v>Kläranlagen</v>
      </c>
      <c r="D272" s="26">
        <f>PE_aug!AF260</f>
        <v>51.239592459880612</v>
      </c>
      <c r="E272" s="27">
        <f>PE_aug!AL260</f>
        <v>0.60202747129675782</v>
      </c>
      <c r="F272" s="27">
        <f>PP!Z271</f>
        <v>0.49181472891181782</v>
      </c>
      <c r="G272" s="27">
        <f>PS!Q271</f>
        <v>0</v>
      </c>
      <c r="H272" s="27">
        <f>PMMA!G271</f>
        <v>0</v>
      </c>
      <c r="I272" s="27">
        <f>PET_aug!P260</f>
        <v>0</v>
      </c>
      <c r="J272" s="27">
        <f>PA!G271</f>
        <v>0</v>
      </c>
      <c r="K272" s="27">
        <f>SBR!G216</f>
        <v>0</v>
      </c>
      <c r="L272" s="28">
        <f t="shared" si="4"/>
        <v>1.0938422002085757</v>
      </c>
    </row>
    <row r="273" spans="1:12">
      <c r="A273" s="24" t="str">
        <f>PE_aug!A261</f>
        <v>210924_Waren_Abl_Filt_21061415_3</v>
      </c>
      <c r="B273" s="319" t="str">
        <f>PE_aug!AP261</f>
        <v>Kläranlagen</v>
      </c>
      <c r="D273" s="26">
        <f>PE_aug!AF261</f>
        <v>28.898920070591576</v>
      </c>
      <c r="E273" s="27">
        <f>PE_aug!AL261</f>
        <v>0.5743060785163886</v>
      </c>
      <c r="F273" s="27">
        <f>PP!Z272</f>
        <v>0.47567249593675276</v>
      </c>
      <c r="G273" s="27">
        <f>PS!Q272</f>
        <v>0</v>
      </c>
      <c r="H273" s="27">
        <f>PMMA!G272</f>
        <v>0</v>
      </c>
      <c r="I273" s="27">
        <f>PET_aug!P261</f>
        <v>0</v>
      </c>
      <c r="J273" s="27">
        <f>PA!G272</f>
        <v>0</v>
      </c>
      <c r="K273" s="27">
        <f>SBR!G217</f>
        <v>0</v>
      </c>
      <c r="L273" s="28">
        <f t="shared" si="4"/>
        <v>1.0499785744531414</v>
      </c>
    </row>
    <row r="274" spans="1:12">
      <c r="A274" s="24" t="str">
        <f>PE_aug!A262</f>
        <v>210924_Waren_Zul_Filt_21061415_1</v>
      </c>
      <c r="B274" s="319" t="str">
        <f>PE_aug!AP262</f>
        <v>Kläranlagen</v>
      </c>
      <c r="D274" s="26">
        <f>PE_aug!AF262</f>
        <v>31.141912667738897</v>
      </c>
      <c r="E274" s="27">
        <f>PE_aug!AL262</f>
        <v>3.1227032691836563</v>
      </c>
      <c r="F274" s="27">
        <f>PP!Z273</f>
        <v>0</v>
      </c>
      <c r="G274" s="27">
        <f>PS!Q273</f>
        <v>0.84837266697516578</v>
      </c>
      <c r="H274" s="27">
        <f>PMMA!G273</f>
        <v>0</v>
      </c>
      <c r="I274" s="27">
        <f>PET_aug!P262</f>
        <v>0</v>
      </c>
      <c r="J274" s="27">
        <f>PA!G273</f>
        <v>0</v>
      </c>
      <c r="K274" s="27">
        <f>SBR!G218</f>
        <v>0</v>
      </c>
      <c r="L274" s="28">
        <f t="shared" si="4"/>
        <v>3.9710759361588219</v>
      </c>
    </row>
    <row r="275" spans="1:12">
      <c r="A275" s="24" t="str">
        <f>PE_aug!A263</f>
        <v>210924_Waren_Zul_Filt_21061415_2</v>
      </c>
      <c r="B275" s="319" t="str">
        <f>PE_aug!AP263</f>
        <v>Kläranlagen</v>
      </c>
      <c r="D275" s="26">
        <f>PE_aug!AF263</f>
        <v>37.056070912131631</v>
      </c>
      <c r="E275" s="27">
        <f>PE_aug!AL263</f>
        <v>2.5956691954283286</v>
      </c>
      <c r="F275" s="27">
        <f>PP!Z274</f>
        <v>0</v>
      </c>
      <c r="G275" s="27">
        <f>PS!Q274</f>
        <v>0.85607331693240962</v>
      </c>
      <c r="H275" s="27">
        <f>PMMA!G274</f>
        <v>0</v>
      </c>
      <c r="I275" s="27">
        <f>PET_aug!P263</f>
        <v>0</v>
      </c>
      <c r="J275" s="27">
        <f>PA!G274</f>
        <v>0</v>
      </c>
      <c r="K275" s="27">
        <f>SBR!G219</f>
        <v>0</v>
      </c>
      <c r="L275" s="28">
        <f t="shared" si="4"/>
        <v>3.4517425123607381</v>
      </c>
    </row>
    <row r="276" spans="1:12">
      <c r="A276" s="24" t="str">
        <f>PE_aug!A264</f>
        <v>210924_Waren_Zul_Filt_21061415_3</v>
      </c>
      <c r="B276" s="319" t="str">
        <f>PE_aug!AP264</f>
        <v>Kläranlagen</v>
      </c>
      <c r="D276" s="26">
        <f>PE_aug!AF264</f>
        <v>49.961349590369785</v>
      </c>
      <c r="E276" s="27">
        <f>PE_aug!AL264</f>
        <v>1.8423595831013979</v>
      </c>
      <c r="F276" s="27">
        <f>PP!Z275</f>
        <v>0</v>
      </c>
      <c r="G276" s="27">
        <f>PS!Q275</f>
        <v>0.61327576276173001</v>
      </c>
      <c r="H276" s="27">
        <f>PMMA!G275</f>
        <v>0</v>
      </c>
      <c r="I276" s="27">
        <f>PET_aug!P264</f>
        <v>0</v>
      </c>
      <c r="J276" s="27">
        <f>PA!G275</f>
        <v>0</v>
      </c>
      <c r="K276" s="27">
        <f>SBR!G220</f>
        <v>0</v>
      </c>
      <c r="L276" s="28">
        <f t="shared" si="4"/>
        <v>2.4556353458631279</v>
      </c>
    </row>
    <row r="277" spans="1:12">
      <c r="A277" s="24" t="str">
        <f>PE_aug!A265</f>
        <v>210924_Waren_Zul_Filt_21061617_1</v>
      </c>
      <c r="B277" s="319" t="str">
        <f>PE_aug!AP265</f>
        <v>Kläranlagen</v>
      </c>
      <c r="D277" s="26">
        <f>PE_aug!AF265</f>
        <v>45.504993047127726</v>
      </c>
      <c r="E277" s="27">
        <f>PE_aug!AL265</f>
        <v>3.8242347669769141</v>
      </c>
      <c r="F277" s="27">
        <f>PP!Z276</f>
        <v>0.33402177661836124</v>
      </c>
      <c r="G277" s="27">
        <f>PS!Q276</f>
        <v>0</v>
      </c>
      <c r="H277" s="27">
        <f>PMMA!G276</f>
        <v>0</v>
      </c>
      <c r="I277" s="27">
        <f>PET_aug!P265</f>
        <v>0</v>
      </c>
      <c r="J277" s="27">
        <f>PA!G276</f>
        <v>0</v>
      </c>
      <c r="K277" s="27">
        <f>SBR!G221</f>
        <v>0</v>
      </c>
      <c r="L277" s="28">
        <f t="shared" si="4"/>
        <v>4.1582565435952752</v>
      </c>
    </row>
    <row r="278" spans="1:12">
      <c r="A278" s="24" t="str">
        <f>PE_aug!A266</f>
        <v>210924_Waren_Zul_Filt_21061617_2</v>
      </c>
      <c r="B278" s="319" t="str">
        <f>PE_aug!AP266</f>
        <v>Kläranlagen</v>
      </c>
      <c r="D278" s="26">
        <f>PE_aug!AF266</f>
        <v>45.886419919817818</v>
      </c>
      <c r="E278" s="27">
        <f>PE_aug!AL266</f>
        <v>3.958669689050994</v>
      </c>
      <c r="F278" s="27">
        <f>PP!Z277</f>
        <v>0.36002901225043321</v>
      </c>
      <c r="G278" s="27">
        <f>PS!Q277</f>
        <v>0</v>
      </c>
      <c r="H278" s="27">
        <f>PMMA!G277</f>
        <v>0</v>
      </c>
      <c r="I278" s="27">
        <f>PET_aug!P266</f>
        <v>0</v>
      </c>
      <c r="J278" s="27">
        <f>PA!G277</f>
        <v>0</v>
      </c>
      <c r="K278" s="27">
        <f>SBR!G222</f>
        <v>0</v>
      </c>
      <c r="L278" s="28">
        <f t="shared" si="4"/>
        <v>4.3186987013014271</v>
      </c>
    </row>
    <row r="279" spans="1:12">
      <c r="A279" s="24" t="str">
        <f>PE_aug!A267</f>
        <v>211011_c_1E_KWB_1</v>
      </c>
      <c r="B279" s="319" t="str">
        <f>PE_aug!AP267</f>
        <v>KWB</v>
      </c>
      <c r="D279" s="26">
        <f>PE_aug!AF267</f>
        <v>42.316641270585933</v>
      </c>
      <c r="E279" s="27">
        <f>PE_aug!AL267</f>
        <v>2.2249270166335258</v>
      </c>
      <c r="F279" s="27">
        <f>PP!Z278</f>
        <v>0</v>
      </c>
      <c r="G279" s="27">
        <f>PS!Q278</f>
        <v>0</v>
      </c>
      <c r="H279" s="27">
        <f>PMMA!G278</f>
        <v>0</v>
      </c>
      <c r="I279" s="27">
        <f>PET_aug!P267</f>
        <v>0</v>
      </c>
      <c r="J279" s="27">
        <f>PA!G278</f>
        <v>0</v>
      </c>
      <c r="K279" s="27" t="e">
        <f>SBR!#REF!</f>
        <v>#REF!</v>
      </c>
      <c r="L279" s="28">
        <f t="shared" si="4"/>
        <v>2.2249270166335258</v>
      </c>
    </row>
    <row r="280" spans="1:12">
      <c r="A280" s="24" t="str">
        <f>PE_aug!A268</f>
        <v>211011_c_1E_KWB_2</v>
      </c>
      <c r="B280" s="319" t="str">
        <f>PE_aug!AP268</f>
        <v>KWB</v>
      </c>
      <c r="D280" s="26">
        <f>PE_aug!AF268</f>
        <v>45.858461675172265</v>
      </c>
      <c r="E280" s="27">
        <f>PE_aug!AL268</f>
        <v>1.5051448640026759</v>
      </c>
      <c r="F280" s="27">
        <f>PP!Z279</f>
        <v>0</v>
      </c>
      <c r="G280" s="27">
        <f>PS!Q279</f>
        <v>0</v>
      </c>
      <c r="H280" s="27">
        <f>PMMA!G279</f>
        <v>0</v>
      </c>
      <c r="I280" s="27">
        <f>PET_aug!P268</f>
        <v>0</v>
      </c>
      <c r="J280" s="27">
        <f>PA!G279</f>
        <v>0</v>
      </c>
      <c r="K280" s="27" t="e">
        <f>SBR!#REF!</f>
        <v>#REF!</v>
      </c>
      <c r="L280" s="28">
        <f t="shared" si="4"/>
        <v>1.5051448640026759</v>
      </c>
    </row>
    <row r="281" spans="1:12">
      <c r="A281" s="24" t="str">
        <f>PE_aug!A269</f>
        <v>211011_c_1R_KWB_1</v>
      </c>
      <c r="B281" s="319" t="str">
        <f>PE_aug!AP269</f>
        <v>KWB</v>
      </c>
      <c r="D281" s="26">
        <f>PE_aug!AF269</f>
        <v>55.89401417175899</v>
      </c>
      <c r="E281" s="27">
        <f>PE_aug!AL269</f>
        <v>2.6716865636840175</v>
      </c>
      <c r="F281" s="27">
        <f>PP!Z280</f>
        <v>0</v>
      </c>
      <c r="G281" s="27">
        <f>PS!Q280</f>
        <v>0</v>
      </c>
      <c r="H281" s="27">
        <f>PMMA!G280</f>
        <v>0</v>
      </c>
      <c r="I281" s="27">
        <f>PET_aug!P269</f>
        <v>0</v>
      </c>
      <c r="J281" s="27">
        <f>PA!G280</f>
        <v>0</v>
      </c>
      <c r="K281" s="27" t="e">
        <f>SBR!#REF!</f>
        <v>#REF!</v>
      </c>
      <c r="L281" s="28">
        <f t="shared" si="4"/>
        <v>2.6716865636840175</v>
      </c>
    </row>
    <row r="282" spans="1:12">
      <c r="A282" s="24" t="str">
        <f>PE_aug!A270</f>
        <v>211011_c_2E_KWB_1</v>
      </c>
      <c r="B282" s="319" t="str">
        <f>PE_aug!AP270</f>
        <v>KWB</v>
      </c>
      <c r="D282" s="26">
        <f>PE_aug!AF270</f>
        <v>42.626775333217999</v>
      </c>
      <c r="E282" s="27">
        <f>PE_aug!AL270</f>
        <v>2.2905169544064967</v>
      </c>
      <c r="F282" s="27">
        <f>PP!Z281</f>
        <v>0</v>
      </c>
      <c r="G282" s="27">
        <f>PS!Q281</f>
        <v>0</v>
      </c>
      <c r="H282" s="27">
        <f>PMMA!G281</f>
        <v>0</v>
      </c>
      <c r="I282" s="27">
        <f>PET_aug!P270</f>
        <v>0</v>
      </c>
      <c r="J282" s="27">
        <f>PA!G281</f>
        <v>0</v>
      </c>
      <c r="K282" s="27">
        <f>SBR!G223</f>
        <v>0</v>
      </c>
      <c r="L282" s="28">
        <f t="shared" si="4"/>
        <v>2.2905169544064967</v>
      </c>
    </row>
    <row r="283" spans="1:12">
      <c r="A283" s="24" t="str">
        <f>PE_aug!A271</f>
        <v>211011_c_2E_KWB_2</v>
      </c>
      <c r="B283" s="319" t="str">
        <f>PE_aug!AP271</f>
        <v>KWB</v>
      </c>
      <c r="D283" s="26">
        <f>PE_aug!AF271</f>
        <v>51.786279284963854</v>
      </c>
      <c r="E283" s="27">
        <f>PE_aug!AL271</f>
        <v>3.0093811418966889</v>
      </c>
      <c r="F283" s="27">
        <f>PP!Z282</f>
        <v>0</v>
      </c>
      <c r="G283" s="27">
        <f>PS!Q282</f>
        <v>0</v>
      </c>
      <c r="H283" s="27">
        <f>PMMA!G282</f>
        <v>0</v>
      </c>
      <c r="I283" s="27">
        <f>PET_aug!P271</f>
        <v>0</v>
      </c>
      <c r="J283" s="27">
        <f>PA!G282</f>
        <v>0</v>
      </c>
      <c r="K283" s="27">
        <f>SBR!G224</f>
        <v>0</v>
      </c>
      <c r="L283" s="28">
        <f t="shared" si="4"/>
        <v>3.0093811418966889</v>
      </c>
    </row>
    <row r="284" spans="1:12">
      <c r="A284" s="24" t="str">
        <f>PE_aug!A272</f>
        <v>211011_Malchow_Abl_Filt_21062122_1</v>
      </c>
      <c r="B284" s="319" t="str">
        <f>PE_aug!AP272</f>
        <v>Kläranlagen</v>
      </c>
      <c r="D284" s="26">
        <f>PE_aug!AF272</f>
        <v>35.064914663750969</v>
      </c>
      <c r="E284" s="27">
        <f>PE_aug!AL272</f>
        <v>4.5613565109209659</v>
      </c>
      <c r="F284" s="27">
        <f>PP!Z283</f>
        <v>0.54655911805903967</v>
      </c>
      <c r="G284" s="27">
        <f>PS!Q283</f>
        <v>0</v>
      </c>
      <c r="H284" s="27">
        <f>PMMA!G283</f>
        <v>0</v>
      </c>
      <c r="I284" s="27">
        <f>PET_aug!P272</f>
        <v>0</v>
      </c>
      <c r="J284" s="27">
        <f>PA!G283</f>
        <v>0</v>
      </c>
      <c r="K284" s="27">
        <f>SBR!G225</f>
        <v>0</v>
      </c>
      <c r="L284" s="28">
        <f t="shared" si="4"/>
        <v>5.1079156289800061</v>
      </c>
    </row>
    <row r="285" spans="1:12">
      <c r="A285" s="24" t="str">
        <f>PE_aug!A273</f>
        <v>211011_Malchow_Abl_Filt_21062122_2</v>
      </c>
      <c r="B285" s="319" t="str">
        <f>PE_aug!AP273</f>
        <v>Kläranlagen</v>
      </c>
      <c r="D285" s="26">
        <f>PE_aug!AF273</f>
        <v>46.230826835002887</v>
      </c>
      <c r="E285" s="27">
        <f>PE_aug!AL273</f>
        <v>7.019950884362669</v>
      </c>
      <c r="F285" s="27">
        <f>PP!Z284</f>
        <v>0</v>
      </c>
      <c r="G285" s="27">
        <f>PS!Q284</f>
        <v>0</v>
      </c>
      <c r="H285" s="27">
        <f>PMMA!G284</f>
        <v>0</v>
      </c>
      <c r="I285" s="27">
        <f>PET_aug!P273</f>
        <v>0</v>
      </c>
      <c r="J285" s="27">
        <f>PA!G284</f>
        <v>0</v>
      </c>
      <c r="K285" s="27">
        <f>SBR!G226</f>
        <v>0</v>
      </c>
      <c r="L285" s="28">
        <f t="shared" si="4"/>
        <v>7.019950884362669</v>
      </c>
    </row>
    <row r="286" spans="1:12">
      <c r="A286" s="24" t="str">
        <f>PE_aug!A274</f>
        <v>211011_Malchow_Zul_Filt_21062122_1</v>
      </c>
      <c r="B286" s="319" t="str">
        <f>PE_aug!AP274</f>
        <v>Kläranlagen</v>
      </c>
      <c r="D286" s="26">
        <f>PE_aug!AF274</f>
        <v>41.821289135302067</v>
      </c>
      <c r="E286" s="27">
        <f>PE_aug!AL274</f>
        <v>3.1549051501639411</v>
      </c>
      <c r="F286" s="27">
        <f>PP!Z285</f>
        <v>1.0468673299570179</v>
      </c>
      <c r="G286" s="27">
        <f>PS!Q285</f>
        <v>0</v>
      </c>
      <c r="H286" s="27">
        <f>PMMA!G285</f>
        <v>0</v>
      </c>
      <c r="I286" s="27">
        <f>PET_aug!P274</f>
        <v>0</v>
      </c>
      <c r="J286" s="27">
        <f>PA!G285</f>
        <v>0</v>
      </c>
      <c r="K286" s="27">
        <f>SBR!G227</f>
        <v>0</v>
      </c>
      <c r="L286" s="28">
        <f t="shared" si="4"/>
        <v>4.2017724801209591</v>
      </c>
    </row>
    <row r="287" spans="1:12">
      <c r="A287" s="24" t="str">
        <f>PE_aug!A275</f>
        <v>211011_Malchow_Zul_Filt_21062122_2</v>
      </c>
      <c r="B287" s="319" t="str">
        <f>PE_aug!AP275</f>
        <v>Kläranlagen</v>
      </c>
      <c r="D287" s="26">
        <f>PE_aug!AF275</f>
        <v>60.215420134531662</v>
      </c>
      <c r="E287" s="27">
        <f>PE_aug!AL275</f>
        <v>4.1578398616146535</v>
      </c>
      <c r="F287" s="27">
        <f>PP!Z286</f>
        <v>0.88173266036349829</v>
      </c>
      <c r="G287" s="27">
        <f>PS!Q286</f>
        <v>0</v>
      </c>
      <c r="H287" s="27">
        <f>PMMA!G286</f>
        <v>0</v>
      </c>
      <c r="I287" s="27">
        <f>PET_aug!P275</f>
        <v>0</v>
      </c>
      <c r="J287" s="27">
        <f>PA!G286</f>
        <v>0</v>
      </c>
      <c r="K287" s="27">
        <f>SBR!G228</f>
        <v>0</v>
      </c>
      <c r="L287" s="28">
        <f t="shared" si="4"/>
        <v>5.039572521978152</v>
      </c>
    </row>
    <row r="288" spans="1:12">
      <c r="A288" s="24" t="str">
        <f>PE_aug!A276</f>
        <v>211011_Malchow_Zul_Filt_21062122_3</v>
      </c>
      <c r="B288" s="319" t="str">
        <f>PE_aug!AP276</f>
        <v>Kläranlagen</v>
      </c>
      <c r="D288" s="26">
        <f>PE_aug!AF276</f>
        <v>46.280681424410638</v>
      </c>
      <c r="E288" s="27">
        <f>PE_aug!AL276</f>
        <v>4.2483960257598756</v>
      </c>
      <c r="F288" s="27">
        <f>PP!Z287</f>
        <v>0.85804543431522395</v>
      </c>
      <c r="G288" s="27">
        <f>PS!Q287</f>
        <v>0</v>
      </c>
      <c r="H288" s="27">
        <f>PMMA!G287</f>
        <v>0</v>
      </c>
      <c r="I288" s="27">
        <f>PET_aug!P276</f>
        <v>0</v>
      </c>
      <c r="J288" s="27">
        <f>PA!G287</f>
        <v>0</v>
      </c>
      <c r="K288" s="27">
        <f>SBR!G229</f>
        <v>0</v>
      </c>
      <c r="L288" s="28">
        <f t="shared" si="4"/>
        <v>5.1064414600751</v>
      </c>
    </row>
    <row r="289" spans="1:12">
      <c r="A289" s="24" t="str">
        <f>PE_aug!A277</f>
        <v>211011_PW_neueS_Schale_c_1</v>
      </c>
      <c r="B289" s="319" t="str">
        <f>PE_aug!AP277</f>
        <v>KWS, Schlamm</v>
      </c>
      <c r="D289" s="26">
        <f>PE_aug!AF277</f>
        <v>7.8057241977450076</v>
      </c>
      <c r="E289" s="27">
        <f>PE_aug!AL277</f>
        <v>1.298645714131248</v>
      </c>
      <c r="F289" s="27">
        <f>PP!Z288</f>
        <v>0</v>
      </c>
      <c r="G289" s="27">
        <f>PS!Q288</f>
        <v>0</v>
      </c>
      <c r="H289" s="27">
        <f>PMMA!G288</f>
        <v>0</v>
      </c>
      <c r="I289" s="27">
        <f>PET_aug!P277</f>
        <v>0</v>
      </c>
      <c r="J289" s="27">
        <f>PA!G288</f>
        <v>0</v>
      </c>
      <c r="K289" s="27">
        <f>SBR!G230</f>
        <v>0</v>
      </c>
      <c r="L289" s="28">
        <f t="shared" si="4"/>
        <v>1.298645714131248</v>
      </c>
    </row>
    <row r="290" spans="1:12">
      <c r="A290" s="24" t="str">
        <f>PE_aug!A278</f>
        <v>211011_PW_neueS_Schale_c_2</v>
      </c>
      <c r="B290" s="319" t="str">
        <f>PE_aug!AP278</f>
        <v>KWS, Schlamm</v>
      </c>
      <c r="D290" s="26">
        <f>PE_aug!AF278</f>
        <v>57.070861587361186</v>
      </c>
      <c r="E290" s="27">
        <f>PE_aug!AL278</f>
        <v>1.2088178294573644</v>
      </c>
      <c r="F290" s="27">
        <f>PP!Z289</f>
        <v>0</v>
      </c>
      <c r="G290" s="27">
        <f>PS!Q289</f>
        <v>0</v>
      </c>
      <c r="H290" s="27">
        <f>PMMA!G289</f>
        <v>0</v>
      </c>
      <c r="I290" s="27">
        <f>PET_aug!P278</f>
        <v>0</v>
      </c>
      <c r="J290" s="27">
        <f>PA!G289</f>
        <v>0</v>
      </c>
      <c r="K290" s="27">
        <f>SBR!G231</f>
        <v>0</v>
      </c>
      <c r="L290" s="28">
        <f t="shared" si="4"/>
        <v>1.2088178294573644</v>
      </c>
    </row>
    <row r="291" spans="1:12">
      <c r="A291" s="24" t="str">
        <f>PE_aug!A279</f>
        <v>211011_PW_neueS_Schale_c_3</v>
      </c>
      <c r="B291" s="319" t="str">
        <f>PE_aug!AP279</f>
        <v>KWS, Schlamm</v>
      </c>
      <c r="D291" s="26">
        <f>PE_aug!AF279</f>
        <v>60.774218704789476</v>
      </c>
      <c r="E291" s="27">
        <f>PE_aug!AL279</f>
        <v>1.378434606215734</v>
      </c>
      <c r="F291" s="27">
        <f>PP!Z290</f>
        <v>0</v>
      </c>
      <c r="G291" s="27">
        <f>PS!Q290</f>
        <v>0</v>
      </c>
      <c r="H291" s="27">
        <f>PMMA!G290</f>
        <v>0</v>
      </c>
      <c r="I291" s="27">
        <f>PET_aug!P279</f>
        <v>0</v>
      </c>
      <c r="J291" s="27">
        <f>PA!G290</f>
        <v>0</v>
      </c>
      <c r="K291" s="27">
        <f>SBR!G232</f>
        <v>0</v>
      </c>
      <c r="L291" s="28">
        <f t="shared" si="4"/>
        <v>1.378434606215734</v>
      </c>
    </row>
    <row r="292" spans="1:12">
      <c r="A292" s="24" t="str">
        <f>PE_aug!A280</f>
        <v>211011_Rostock_Zul_Filt_21060102_1</v>
      </c>
      <c r="B292" s="319" t="str">
        <f>PE_aug!AP280</f>
        <v>Kläranlagen</v>
      </c>
      <c r="D292" s="26">
        <f>PE_aug!AF280</f>
        <v>45.574924548670971</v>
      </c>
      <c r="E292" s="27">
        <f>PE_aug!AL280</f>
        <v>6.1295297444902621</v>
      </c>
      <c r="F292" s="27">
        <f>PP!Z291</f>
        <v>0</v>
      </c>
      <c r="G292" s="27">
        <f>PS!Q291</f>
        <v>0</v>
      </c>
      <c r="H292" s="27">
        <f>PMMA!G291</f>
        <v>0</v>
      </c>
      <c r="I292" s="27">
        <f>PET_aug!P280</f>
        <v>0</v>
      </c>
      <c r="J292" s="27">
        <f>PA!G291</f>
        <v>0</v>
      </c>
      <c r="K292" s="27">
        <f>SBR!G233</f>
        <v>0</v>
      </c>
      <c r="L292" s="28">
        <f t="shared" si="4"/>
        <v>6.1295297444902621</v>
      </c>
    </row>
    <row r="293" spans="1:12">
      <c r="A293" s="24" t="str">
        <f>PE_aug!A281</f>
        <v>211011_Rostock_Zul_Filt_21060102_2</v>
      </c>
      <c r="B293" s="319" t="str">
        <f>PE_aug!AP281</f>
        <v>Kläranlagen</v>
      </c>
      <c r="D293" s="26">
        <f>PE_aug!AF281</f>
        <v>55.909391568647948</v>
      </c>
      <c r="E293" s="27">
        <f>PE_aug!AL281</f>
        <v>5.5751655881555084</v>
      </c>
      <c r="F293" s="27">
        <f>PP!Z292</f>
        <v>0.99582069814966767</v>
      </c>
      <c r="G293" s="27">
        <f>PS!Q292</f>
        <v>0.45932823976348985</v>
      </c>
      <c r="H293" s="27">
        <f>PMMA!G292</f>
        <v>0</v>
      </c>
      <c r="I293" s="27">
        <f>PET_aug!P281</f>
        <v>0</v>
      </c>
      <c r="J293" s="27">
        <f>PA!G292</f>
        <v>0</v>
      </c>
      <c r="K293" s="27">
        <f>SBR!G234</f>
        <v>0</v>
      </c>
      <c r="L293" s="28">
        <f t="shared" si="4"/>
        <v>7.0303145260686666</v>
      </c>
    </row>
    <row r="294" spans="1:12">
      <c r="A294" s="24" t="str">
        <f>PE_aug!A282</f>
        <v>211011_Rostock_Zul_Filt_21060102_3</v>
      </c>
      <c r="B294" s="319" t="str">
        <f>PE_aug!AP282</f>
        <v>Kläranlagen</v>
      </c>
      <c r="D294" s="26">
        <f>PE_aug!AF282</f>
        <v>62.144326013151129</v>
      </c>
      <c r="E294" s="27">
        <f>PE_aug!AL282</f>
        <v>4.3816931219120603</v>
      </c>
      <c r="F294" s="27">
        <f>PP!Z293</f>
        <v>0</v>
      </c>
      <c r="G294" s="27">
        <f>PS!Q293</f>
        <v>0</v>
      </c>
      <c r="H294" s="27">
        <f>PMMA!G293</f>
        <v>0</v>
      </c>
      <c r="I294" s="27">
        <f>PET_aug!P282</f>
        <v>0</v>
      </c>
      <c r="J294" s="27">
        <f>PA!G293</f>
        <v>0</v>
      </c>
      <c r="K294" s="27">
        <f>SBR!G235</f>
        <v>0</v>
      </c>
      <c r="L294" s="28">
        <f t="shared" si="4"/>
        <v>4.3816931219120603</v>
      </c>
    </row>
    <row r="295" spans="1:12">
      <c r="A295" s="24" t="str">
        <f>PE_aug!A283</f>
        <v>211011_Waren_Zul_Filt_21061617_1</v>
      </c>
      <c r="B295" s="319" t="str">
        <f>PE_aug!AP283</f>
        <v>Kläranlagen</v>
      </c>
      <c r="D295" s="26">
        <f>PE_aug!AF283</f>
        <v>46.407094829852426</v>
      </c>
      <c r="E295" s="27">
        <f>PE_aug!AL283</f>
        <v>2.8174877900990154</v>
      </c>
      <c r="F295" s="27">
        <f>PP!Z294</f>
        <v>0</v>
      </c>
      <c r="G295" s="27">
        <f>PS!Q294</f>
        <v>0</v>
      </c>
      <c r="H295" s="27">
        <f>PMMA!G294</f>
        <v>0</v>
      </c>
      <c r="I295" s="27">
        <f>PET_aug!P283</f>
        <v>0</v>
      </c>
      <c r="J295" s="27">
        <f>PA!G294</f>
        <v>0</v>
      </c>
      <c r="K295" s="27">
        <f>SBR!G236</f>
        <v>0</v>
      </c>
      <c r="L295" s="28">
        <f t="shared" si="4"/>
        <v>2.8174877900990154</v>
      </c>
    </row>
    <row r="296" spans="1:12">
      <c r="A296" s="24" t="str">
        <f>PE_aug!A284</f>
        <v>211011_Waren_Zul_Filt_21061617_2</v>
      </c>
      <c r="B296" s="319" t="str">
        <f>PE_aug!AP284</f>
        <v>Kläranlagen</v>
      </c>
      <c r="D296" s="26">
        <f>PE_aug!AF284</f>
        <v>46.891303781950768</v>
      </c>
      <c r="E296" s="27">
        <f>PE_aug!AL284</f>
        <v>1.9521646693054937</v>
      </c>
      <c r="F296" s="27">
        <f>PP!Z295</f>
        <v>0</v>
      </c>
      <c r="G296" s="27">
        <f>PS!Q295</f>
        <v>0</v>
      </c>
      <c r="H296" s="27">
        <f>PMMA!G295</f>
        <v>0</v>
      </c>
      <c r="I296" s="27">
        <f>PET_aug!P284</f>
        <v>0</v>
      </c>
      <c r="J296" s="27">
        <f>PA!G295</f>
        <v>0</v>
      </c>
      <c r="K296" s="27">
        <f>SBR!G237</f>
        <v>0</v>
      </c>
      <c r="L296" s="28">
        <f t="shared" si="4"/>
        <v>1.9521646693054937</v>
      </c>
    </row>
    <row r="297" spans="1:12">
      <c r="A297" s="24" t="str">
        <f>PE_aug!A285</f>
        <v>211015_Ringversuch_Vergleichsprobe_6_1 (Julia)</v>
      </c>
      <c r="B297" s="319" t="str">
        <f>PE_aug!AP285</f>
        <v>Ringversuch</v>
      </c>
      <c r="D297" s="26">
        <f>PE_aug!AF285</f>
        <v>38.713251397799588</v>
      </c>
      <c r="E297" s="27">
        <f>PE_aug!AL285</f>
        <v>14.986793735133299</v>
      </c>
      <c r="F297" s="27">
        <f>PP!Z296</f>
        <v>0</v>
      </c>
      <c r="G297" s="27">
        <f>PS!Q296</f>
        <v>0</v>
      </c>
      <c r="H297" s="27">
        <f>PMMA!G296</f>
        <v>0</v>
      </c>
      <c r="I297" s="27">
        <f>PET_aug!P285</f>
        <v>0</v>
      </c>
      <c r="J297" s="27">
        <f>PA!G296</f>
        <v>0</v>
      </c>
      <c r="K297" s="27">
        <f>SBR!G238</f>
        <v>0</v>
      </c>
      <c r="L297" s="28">
        <f t="shared" si="4"/>
        <v>14.986793735133299</v>
      </c>
    </row>
    <row r="298" spans="1:12">
      <c r="A298" s="24" t="str">
        <f>PE_aug!A286</f>
        <v>211015_Ringversuch_Vergleichsprobe_6_2 (Julia)</v>
      </c>
      <c r="B298" s="319" t="str">
        <f>PE_aug!AP286</f>
        <v>Ringversuch</v>
      </c>
      <c r="D298" s="26">
        <f>PE_aug!AF286</f>
        <v>30.411939098881529</v>
      </c>
      <c r="E298" s="27">
        <f>PE_aug!AL286</f>
        <v>15.238110906378871</v>
      </c>
      <c r="F298" s="27">
        <f>PP!Z297</f>
        <v>0</v>
      </c>
      <c r="G298" s="27">
        <f>PS!Q297</f>
        <v>0</v>
      </c>
      <c r="H298" s="27">
        <f>PMMA!G297</f>
        <v>0</v>
      </c>
      <c r="I298" s="27">
        <f>PET_aug!P286</f>
        <v>0</v>
      </c>
      <c r="J298" s="27">
        <f>PA!G297</f>
        <v>0</v>
      </c>
      <c r="K298" s="27">
        <f>SBR!G239</f>
        <v>0</v>
      </c>
      <c r="L298" s="28">
        <f t="shared" si="4"/>
        <v>15.238110906378871</v>
      </c>
    </row>
    <row r="299" spans="1:12">
      <c r="A299" s="24" t="str">
        <f>PE_aug!A287</f>
        <v>211015_Ringversuch_Vergleichsprobe_6_3 (Julia)</v>
      </c>
      <c r="B299" s="319" t="str">
        <f>PE_aug!AP287</f>
        <v>Ringversuch</v>
      </c>
      <c r="D299" s="26">
        <f>PE_aug!AF287</f>
        <v>25.29750228629204</v>
      </c>
      <c r="E299" s="27">
        <f>PE_aug!AL287</f>
        <v>12.775904424745697</v>
      </c>
      <c r="F299" s="27">
        <f>PP!Z298</f>
        <v>0</v>
      </c>
      <c r="G299" s="27">
        <f>PS!Q298</f>
        <v>0</v>
      </c>
      <c r="H299" s="27">
        <f>PMMA!G298</f>
        <v>0</v>
      </c>
      <c r="I299" s="27">
        <f>PET_aug!P287</f>
        <v>0</v>
      </c>
      <c r="J299" s="27">
        <f>PA!G298</f>
        <v>0</v>
      </c>
      <c r="K299" s="27" t="e">
        <f>SBR!#REF!</f>
        <v>#REF!</v>
      </c>
      <c r="L299" s="28">
        <f t="shared" si="4"/>
        <v>12.775904424745697</v>
      </c>
    </row>
    <row r="300" spans="1:12">
      <c r="A300" s="24" t="str">
        <f>PE_aug!A288</f>
        <v>211015_Ringversuch_Vergleichsprobe_6_spike_PE (Julia)</v>
      </c>
      <c r="B300" s="319" t="str">
        <f>PE_aug!AP288</f>
        <v>Ringversuch</v>
      </c>
      <c r="D300" s="26">
        <f>PE_aug!AF288</f>
        <v>70.07468421888737</v>
      </c>
      <c r="E300" s="27">
        <f>PE_aug!AL288</f>
        <v>17.091382558587313</v>
      </c>
      <c r="F300" s="27">
        <f>PP!Z299</f>
        <v>0</v>
      </c>
      <c r="G300" s="27">
        <f>PS!Q299</f>
        <v>0</v>
      </c>
      <c r="H300" s="27">
        <f>PMMA!G299</f>
        <v>0</v>
      </c>
      <c r="I300" s="27">
        <f>PET_aug!P288</f>
        <v>0</v>
      </c>
      <c r="J300" s="27">
        <f>PA!G299</f>
        <v>0</v>
      </c>
      <c r="K300" s="27">
        <f>SBR!G240</f>
        <v>0</v>
      </c>
      <c r="L300" s="28">
        <f t="shared" si="4"/>
        <v>17.091382558587313</v>
      </c>
    </row>
    <row r="301" spans="1:12">
      <c r="A301" s="24" t="str">
        <f>PE_aug!A289</f>
        <v>211015_Ringversuch_Vergleichsprobe_6_spike_PET (Julia)</v>
      </c>
      <c r="B301" s="319" t="str">
        <f>PE_aug!AP289</f>
        <v>Ringversuch</v>
      </c>
      <c r="D301" s="26">
        <f>PE_aug!AF289</f>
        <v>54.988441852414674</v>
      </c>
      <c r="E301" s="27">
        <f>PE_aug!AL289</f>
        <v>10.035060210361264</v>
      </c>
      <c r="F301" s="27">
        <f>PP!Z300</f>
        <v>0</v>
      </c>
      <c r="G301" s="27">
        <f>PS!Q300</f>
        <v>0</v>
      </c>
      <c r="H301" s="27">
        <f>PMMA!G300</f>
        <v>0</v>
      </c>
      <c r="I301" s="27">
        <f>PET_aug!P289</f>
        <v>0</v>
      </c>
      <c r="J301" s="27">
        <f>PA!G300</f>
        <v>0</v>
      </c>
      <c r="K301" s="27">
        <f>SBR!G241</f>
        <v>0</v>
      </c>
      <c r="L301" s="28">
        <f t="shared" si="4"/>
        <v>10.035060210361264</v>
      </c>
    </row>
    <row r="302" spans="1:12">
      <c r="A302" s="24" t="str">
        <f>PE_aug!A290</f>
        <v>211015_Ringversuch_Vergleichsprobe_6_spike_PP_PA (Julia)</v>
      </c>
      <c r="B302" s="319" t="str">
        <f>PE_aug!AP290</f>
        <v>Ringversuch</v>
      </c>
      <c r="D302" s="26">
        <f>PE_aug!AF290</f>
        <v>37.723950927686865</v>
      </c>
      <c r="E302" s="27">
        <f>PE_aug!AL290</f>
        <v>11.711833194401315</v>
      </c>
      <c r="F302" s="27">
        <f>PP!Z301</f>
        <v>14.581732890930192</v>
      </c>
      <c r="G302" s="27">
        <f>PS!Q301</f>
        <v>0</v>
      </c>
      <c r="H302" s="27">
        <f>PMMA!G301</f>
        <v>0</v>
      </c>
      <c r="I302" s="27">
        <f>PET_aug!P290</f>
        <v>0</v>
      </c>
      <c r="J302" s="27">
        <f>PA!G301</f>
        <v>0</v>
      </c>
      <c r="K302" s="27">
        <f>SBR!G242</f>
        <v>0</v>
      </c>
      <c r="L302" s="28">
        <f t="shared" si="4"/>
        <v>26.293566085331506</v>
      </c>
    </row>
    <row r="303" spans="1:12">
      <c r="A303" s="24" t="str">
        <f>PE_aug!A291</f>
        <v>211015_Ringversuch_Vergleichsprobe_6_spike_SBR (Julia)</v>
      </c>
      <c r="B303" s="319" t="str">
        <f>PE_aug!AP291</f>
        <v>Ringversuch</v>
      </c>
      <c r="D303" s="26">
        <f>PE_aug!AF291</f>
        <v>71.487031823970028</v>
      </c>
      <c r="E303" s="27">
        <f>PE_aug!AL291</f>
        <v>6.3607887543497501</v>
      </c>
      <c r="F303" s="27">
        <f>PP!Z302</f>
        <v>0</v>
      </c>
      <c r="G303" s="27">
        <f>PS!Q302</f>
        <v>0</v>
      </c>
      <c r="H303" s="27">
        <f>PMMA!G302</f>
        <v>0</v>
      </c>
      <c r="I303" s="27">
        <f>PET_aug!P291</f>
        <v>0</v>
      </c>
      <c r="J303" s="27">
        <f>PA!G302</f>
        <v>0</v>
      </c>
      <c r="K303" s="27">
        <f>SBR!G243</f>
        <v>0</v>
      </c>
      <c r="L303" s="28">
        <f t="shared" si="4"/>
        <v>6.3607887543497501</v>
      </c>
    </row>
    <row r="304" spans="1:12">
      <c r="A304" s="24" t="str">
        <f>PE_aug!A292</f>
        <v>211015_Ringversuch_VP_6_spike_15µL_PS_PMMA (Julia)</v>
      </c>
      <c r="B304" s="319" t="str">
        <f>PE_aug!AP292</f>
        <v>Ringversuch</v>
      </c>
      <c r="D304" s="26">
        <f>PE_aug!AF292</f>
        <v>53.542760975595385</v>
      </c>
      <c r="E304" s="27">
        <f>PE_aug!AL292</f>
        <v>10.348064516129034</v>
      </c>
      <c r="F304" s="27">
        <f>PP!Z303</f>
        <v>0</v>
      </c>
      <c r="G304" s="27">
        <f>PS!Q303</f>
        <v>2.4438709677419355</v>
      </c>
      <c r="H304" s="27">
        <f>PMMA!G303</f>
        <v>6.1496774193548385</v>
      </c>
      <c r="I304" s="27">
        <f>PET_aug!P292</f>
        <v>0</v>
      </c>
      <c r="J304" s="27">
        <f>PA!G303</f>
        <v>0</v>
      </c>
      <c r="K304" s="27">
        <f>SBR!G244</f>
        <v>0</v>
      </c>
      <c r="L304" s="28">
        <f t="shared" si="4"/>
        <v>18.941612903225806</v>
      </c>
    </row>
    <row r="305" spans="1:12">
      <c r="A305" s="24" t="str">
        <f>PE_aug!A293</f>
        <v>211015_Waren_Abl_Filt_21061617_spike_PE_PS_PMMA</v>
      </c>
      <c r="B305" s="319" t="str">
        <f>PE_aug!AP293</f>
        <v>Kläranlagen, Methode</v>
      </c>
      <c r="D305" s="26">
        <f>PE_aug!AF293</f>
        <v>35.157194185336863</v>
      </c>
      <c r="E305" s="27">
        <f>PE_aug!AL293</f>
        <v>21.161914047748194</v>
      </c>
      <c r="F305" s="27">
        <f>PP!Z304</f>
        <v>0</v>
      </c>
      <c r="G305" s="27">
        <f>PS!Q304</f>
        <v>5.0421475932499762</v>
      </c>
      <c r="H305" s="27">
        <f>PMMA!G304</f>
        <v>18.035462112941357</v>
      </c>
      <c r="I305" s="27">
        <f>PET_aug!P293</f>
        <v>0</v>
      </c>
      <c r="J305" s="27">
        <f>PA!G304</f>
        <v>0</v>
      </c>
      <c r="K305" s="27">
        <f>SBR!G245</f>
        <v>0</v>
      </c>
      <c r="L305" s="28">
        <f t="shared" si="4"/>
        <v>44.239523753939523</v>
      </c>
    </row>
    <row r="306" spans="1:12">
      <c r="A306" s="24" t="str">
        <f>PE_aug!A294</f>
        <v>211015_c_2R_KWB_1</v>
      </c>
      <c r="B306" s="319" t="str">
        <f>PE_aug!AP294</f>
        <v>KWB</v>
      </c>
      <c r="D306" s="26">
        <f>PE_aug!AF294</f>
        <v>30.620268163061127</v>
      </c>
      <c r="E306" s="27">
        <f>PE_aug!AL294</f>
        <v>3.0903152480370446</v>
      </c>
      <c r="F306" s="27">
        <f>PP!Z305</f>
        <v>0</v>
      </c>
      <c r="G306" s="27">
        <f>PS!Q305</f>
        <v>0</v>
      </c>
      <c r="H306" s="27">
        <f>PMMA!G305</f>
        <v>0</v>
      </c>
      <c r="I306" s="27">
        <f>PET_aug!P294</f>
        <v>0</v>
      </c>
      <c r="J306" s="27">
        <f>PA!G305</f>
        <v>0</v>
      </c>
      <c r="K306" s="27">
        <f>SBR!G246</f>
        <v>0</v>
      </c>
      <c r="L306" s="28">
        <f t="shared" si="4"/>
        <v>3.0903152480370446</v>
      </c>
    </row>
    <row r="307" spans="1:12">
      <c r="A307" s="24" t="str">
        <f>PE_aug!A295</f>
        <v>211015_c_2R_KWB_2</v>
      </c>
      <c r="B307" s="319" t="str">
        <f>PE_aug!AP295</f>
        <v>KWB</v>
      </c>
      <c r="D307" s="26">
        <f>PE_aug!AF295</f>
        <v>34.111836685395311</v>
      </c>
      <c r="E307" s="27">
        <f>PE_aug!AL295</f>
        <v>3.61176564475414</v>
      </c>
      <c r="F307" s="27">
        <f>PP!Z306</f>
        <v>0</v>
      </c>
      <c r="G307" s="27">
        <f>PS!Q306</f>
        <v>0</v>
      </c>
      <c r="H307" s="27">
        <f>PMMA!G306</f>
        <v>0</v>
      </c>
      <c r="I307" s="27">
        <f>PET_aug!P295</f>
        <v>0</v>
      </c>
      <c r="J307" s="27">
        <f>PA!G306</f>
        <v>0</v>
      </c>
      <c r="K307" s="27">
        <f>SBR!G247</f>
        <v>0</v>
      </c>
      <c r="L307" s="28">
        <f t="shared" si="4"/>
        <v>3.61176564475414</v>
      </c>
    </row>
    <row r="308" spans="1:12">
      <c r="A308" s="24" t="str">
        <f>PE_aug!A296</f>
        <v>211015_H_1-1_1</v>
      </c>
      <c r="B308" s="319" t="str">
        <f>PE_aug!AP296</f>
        <v>Bodenproben</v>
      </c>
      <c r="D308" s="26" t="e">
        <f>PE_aug!AF296</f>
        <v>#DIV/0!</v>
      </c>
      <c r="E308" s="27" t="str">
        <f>PE_aug!AL296</f>
        <v>n.d.</v>
      </c>
      <c r="F308" s="27">
        <f>PP!Z307</f>
        <v>0</v>
      </c>
      <c r="G308" s="27">
        <f>PS!Q307</f>
        <v>0</v>
      </c>
      <c r="H308" s="27">
        <f>PMMA!G307</f>
        <v>0</v>
      </c>
      <c r="I308" s="27">
        <f>PET_aug!P296</f>
        <v>0</v>
      </c>
      <c r="J308" s="27">
        <f>PA!G307</f>
        <v>0</v>
      </c>
      <c r="K308" s="27">
        <f>SBR!G248</f>
        <v>0</v>
      </c>
      <c r="L308" s="28">
        <f t="shared" si="4"/>
        <v>0</v>
      </c>
    </row>
    <row r="309" spans="1:12">
      <c r="A309" s="24" t="str">
        <f>PE_aug!A297</f>
        <v>211015_H_1-1_2</v>
      </c>
      <c r="B309" s="319" t="str">
        <f>PE_aug!AP297</f>
        <v>Bodenproben</v>
      </c>
      <c r="D309" s="26" t="e">
        <f>PE_aug!AF297</f>
        <v>#DIV/0!</v>
      </c>
      <c r="E309" s="27" t="str">
        <f>PE_aug!AL297</f>
        <v>n.d.</v>
      </c>
      <c r="F309" s="27">
        <f>PP!Z308</f>
        <v>0</v>
      </c>
      <c r="G309" s="27">
        <f>PS!Q308</f>
        <v>0</v>
      </c>
      <c r="H309" s="27">
        <f>PMMA!G308</f>
        <v>0</v>
      </c>
      <c r="I309" s="27">
        <f>PET_aug!P297</f>
        <v>127.69776652111319</v>
      </c>
      <c r="J309" s="27">
        <f>PA!G308</f>
        <v>0</v>
      </c>
      <c r="K309" s="27">
        <f>SBR!G249</f>
        <v>0</v>
      </c>
      <c r="L309" s="28">
        <f t="shared" si="4"/>
        <v>127.69776652111319</v>
      </c>
    </row>
    <row r="310" spans="1:12">
      <c r="A310" s="24" t="str">
        <f>PE_aug!A298</f>
        <v>211015_Rostock_Abl_SF_21060203_1</v>
      </c>
      <c r="B310" s="319" t="str">
        <f>PE_aug!AP298</f>
        <v>Kläranlagen</v>
      </c>
      <c r="D310" s="26">
        <f>PE_aug!AF298</f>
        <v>7.3250920568122044</v>
      </c>
      <c r="E310" s="27">
        <f>PE_aug!AL298</f>
        <v>11.311851172060114</v>
      </c>
      <c r="F310" s="27">
        <f>PP!Z309</f>
        <v>0</v>
      </c>
      <c r="G310" s="27">
        <f>PS!Q309</f>
        <v>0</v>
      </c>
      <c r="H310" s="27">
        <f>PMMA!G309</f>
        <v>0</v>
      </c>
      <c r="I310" s="27">
        <f>PET_aug!P298</f>
        <v>0</v>
      </c>
      <c r="J310" s="27">
        <f>PA!G309</f>
        <v>0</v>
      </c>
      <c r="K310" s="27">
        <f>SBR!G250</f>
        <v>0</v>
      </c>
      <c r="L310" s="28">
        <f t="shared" si="4"/>
        <v>11.311851172060114</v>
      </c>
    </row>
    <row r="311" spans="1:12">
      <c r="A311" s="24" t="str">
        <f>PE_aug!A299</f>
        <v>211015_Rostock_Abl_SF_21060203_2</v>
      </c>
      <c r="B311" s="319" t="str">
        <f>PE_aug!AP299</f>
        <v>Kläranlagen</v>
      </c>
      <c r="D311" s="26">
        <f>PE_aug!AF299</f>
        <v>37.438789450264622</v>
      </c>
      <c r="E311" s="27">
        <f>PE_aug!AL299</f>
        <v>4.7859100055997139</v>
      </c>
      <c r="F311" s="27">
        <f>PP!Z310</f>
        <v>0</v>
      </c>
      <c r="G311" s="27">
        <f>PS!Q310</f>
        <v>0</v>
      </c>
      <c r="H311" s="27">
        <f>PMMA!G310</f>
        <v>0</v>
      </c>
      <c r="I311" s="27">
        <f>PET_aug!P299</f>
        <v>0</v>
      </c>
      <c r="J311" s="27">
        <f>PA!G310</f>
        <v>0</v>
      </c>
      <c r="K311" s="27">
        <f>SBR!G251</f>
        <v>0</v>
      </c>
      <c r="L311" s="28">
        <f t="shared" si="4"/>
        <v>4.7859100055997139</v>
      </c>
    </row>
    <row r="312" spans="1:12">
      <c r="A312" s="24" t="str">
        <f>PE_aug!A300</f>
        <v>211015_Rostock_Abl_SF_21060203_3</v>
      </c>
      <c r="B312" s="319" t="str">
        <f>PE_aug!AP300</f>
        <v>Kläranlagen</v>
      </c>
      <c r="D312" s="26">
        <f>PE_aug!AF300</f>
        <v>15.721766515860336</v>
      </c>
      <c r="E312" s="27">
        <f>PE_aug!AL300</f>
        <v>9.9507025370695441</v>
      </c>
      <c r="F312" s="27">
        <f>PP!Z311</f>
        <v>0</v>
      </c>
      <c r="G312" s="27">
        <f>PS!Q311</f>
        <v>0</v>
      </c>
      <c r="H312" s="27">
        <f>PMMA!G311</f>
        <v>0</v>
      </c>
      <c r="I312" s="27">
        <f>PET_aug!P300</f>
        <v>0</v>
      </c>
      <c r="J312" s="27">
        <f>PA!G311</f>
        <v>0</v>
      </c>
      <c r="K312" s="27">
        <f>SBR!G252</f>
        <v>0</v>
      </c>
      <c r="L312" s="28">
        <f t="shared" si="4"/>
        <v>9.9507025370695441</v>
      </c>
    </row>
    <row r="313" spans="1:12">
      <c r="A313" s="24" t="str">
        <f>PE_aug!A301</f>
        <v>211015_Waren_Zul_Filt_21061617_1</v>
      </c>
      <c r="B313" s="319" t="str">
        <f>PE_aug!AP301</f>
        <v>Kläranlagen, Methode</v>
      </c>
      <c r="D313" s="26">
        <f>PE_aug!AF301</f>
        <v>43.883794732323246</v>
      </c>
      <c r="E313" s="27">
        <f>PE_aug!AL301</f>
        <v>1.9820352395328646</v>
      </c>
      <c r="F313" s="27">
        <f>PP!Z312</f>
        <v>0</v>
      </c>
      <c r="G313" s="27">
        <f>PS!Q312</f>
        <v>0</v>
      </c>
      <c r="H313" s="27">
        <f>PMMA!G312</f>
        <v>0</v>
      </c>
      <c r="I313" s="27">
        <f>PET_aug!P301</f>
        <v>0</v>
      </c>
      <c r="J313" s="27">
        <f>PA!G312</f>
        <v>0</v>
      </c>
      <c r="K313" s="27">
        <f>SBR!G253</f>
        <v>0</v>
      </c>
      <c r="L313" s="28">
        <f t="shared" si="4"/>
        <v>1.9820352395328646</v>
      </c>
    </row>
    <row r="314" spans="1:12">
      <c r="A314" s="24" t="str">
        <f>PE_aug!A302</f>
        <v>211015_Ringversuch_Vergleichsprobe_6_2 (Luisa)</v>
      </c>
      <c r="B314" s="319" t="str">
        <f>PE_aug!AP302</f>
        <v>Ringversuch</v>
      </c>
      <c r="D314" s="26">
        <f>PE_aug!AF302</f>
        <v>47.990330960104984</v>
      </c>
      <c r="E314" s="27">
        <f>PE_aug!AL302</f>
        <v>19.698234732824428</v>
      </c>
      <c r="F314" s="27">
        <f>PP!Z313</f>
        <v>0</v>
      </c>
      <c r="G314" s="27">
        <f>PS!Q313</f>
        <v>0</v>
      </c>
      <c r="H314" s="27">
        <f>PMMA!G313</f>
        <v>0</v>
      </c>
      <c r="I314" s="27">
        <f>PET_aug!P302</f>
        <v>0</v>
      </c>
      <c r="J314" s="27">
        <f>PA!G313</f>
        <v>0</v>
      </c>
      <c r="K314" s="27">
        <f>SBR!G254</f>
        <v>0</v>
      </c>
      <c r="L314" s="28">
        <f t="shared" si="4"/>
        <v>19.698234732824428</v>
      </c>
    </row>
    <row r="315" spans="1:12">
      <c r="A315" s="24" t="str">
        <f>PE_aug!A303</f>
        <v>211015_Ringversuch_Vergleichsprobe_6_3 (Luisa)</v>
      </c>
      <c r="B315" s="319" t="str">
        <f>PE_aug!AP303</f>
        <v>Ringversuch</v>
      </c>
      <c r="D315" s="26">
        <f>PE_aug!AF303</f>
        <v>35.987535253913556</v>
      </c>
      <c r="E315" s="27">
        <f>PE_aug!AL303</f>
        <v>8.2531968951119499</v>
      </c>
      <c r="F315" s="27">
        <f>PP!Z314</f>
        <v>0</v>
      </c>
      <c r="G315" s="27">
        <f>PS!Q314</f>
        <v>0</v>
      </c>
      <c r="H315" s="27">
        <f>PMMA!G314</f>
        <v>0</v>
      </c>
      <c r="I315" s="27">
        <f>PET_aug!P303</f>
        <v>0</v>
      </c>
      <c r="J315" s="27">
        <f>PA!G314</f>
        <v>0</v>
      </c>
      <c r="K315" s="27">
        <f>SBR!G255</f>
        <v>0</v>
      </c>
      <c r="L315" s="28">
        <f t="shared" si="4"/>
        <v>8.2531968951119499</v>
      </c>
    </row>
    <row r="316" spans="1:12">
      <c r="A316" s="24" t="str">
        <f>PE_aug!A304</f>
        <v>211015_Ringversuch_Vergleichsprobe_6_spike_PE (Luisa)</v>
      </c>
      <c r="B316" s="319" t="str">
        <f>PE_aug!AP304</f>
        <v>Ringversuch</v>
      </c>
      <c r="D316" s="26">
        <f>PE_aug!AF304</f>
        <v>69.685544814800096</v>
      </c>
      <c r="E316" s="27">
        <f>PE_aug!AL304</f>
        <v>11.564981790489615</v>
      </c>
      <c r="F316" s="27">
        <f>PP!Z315</f>
        <v>0</v>
      </c>
      <c r="G316" s="27">
        <f>PS!Q315</f>
        <v>1.7458335707736068</v>
      </c>
      <c r="H316" s="27">
        <f>PMMA!G315</f>
        <v>0</v>
      </c>
      <c r="I316" s="27">
        <f>PET_aug!P304</f>
        <v>0</v>
      </c>
      <c r="J316" s="27">
        <f>PA!G315</f>
        <v>0</v>
      </c>
      <c r="K316" s="27">
        <f>SBR!G256</f>
        <v>0</v>
      </c>
      <c r="L316" s="28">
        <f t="shared" si="4"/>
        <v>13.310815361263222</v>
      </c>
    </row>
    <row r="317" spans="1:12">
      <c r="A317" s="24" t="str">
        <f>PE_aug!A305</f>
        <v>211015_Ringversuch_Vergleichsprobe_6_spike_PET (Luisa)</v>
      </c>
      <c r="B317" s="319" t="str">
        <f>PE_aug!AP305</f>
        <v>Ringversuch</v>
      </c>
      <c r="D317" s="26">
        <f>PE_aug!AF305</f>
        <v>58.639865939422918</v>
      </c>
      <c r="E317" s="27">
        <f>PE_aug!AL305</f>
        <v>10.008726719026985</v>
      </c>
      <c r="F317" s="27">
        <f>PP!Z316</f>
        <v>0</v>
      </c>
      <c r="G317" s="27">
        <f>PS!Q316</f>
        <v>0</v>
      </c>
      <c r="H317" s="27">
        <f>PMMA!G316</f>
        <v>0</v>
      </c>
      <c r="I317" s="27">
        <f>PET_aug!P305</f>
        <v>13.822082932497597</v>
      </c>
      <c r="J317" s="27">
        <f>PA!G316</f>
        <v>0</v>
      </c>
      <c r="K317" s="27">
        <f>SBR!G257</f>
        <v>0</v>
      </c>
      <c r="L317" s="28">
        <f t="shared" si="4"/>
        <v>23.830809651524582</v>
      </c>
    </row>
    <row r="318" spans="1:12">
      <c r="A318" s="24" t="str">
        <f>PE_aug!A306</f>
        <v>211015_Ringversuch_Vergleichsprobe_6_spike_PP_PA (Luisa)</v>
      </c>
      <c r="B318" s="319" t="str">
        <f>PE_aug!AP306</f>
        <v>Ringversuch</v>
      </c>
      <c r="D318" s="26">
        <f>PE_aug!AF306</f>
        <v>81.105403176697209</v>
      </c>
      <c r="E318" s="27">
        <f>PE_aug!AL306</f>
        <v>16.953209096194666</v>
      </c>
      <c r="F318" s="27">
        <f>PP!Z317</f>
        <v>15.140866173049369</v>
      </c>
      <c r="G318" s="27">
        <f>PS!Q317</f>
        <v>0</v>
      </c>
      <c r="H318" s="27">
        <f>PMMA!G317</f>
        <v>0</v>
      </c>
      <c r="I318" s="27">
        <f>PET_aug!P306</f>
        <v>0</v>
      </c>
      <c r="J318" s="27">
        <f>PA!G317</f>
        <v>0</v>
      </c>
      <c r="K318" s="27">
        <f>SBR!G258</f>
        <v>0</v>
      </c>
      <c r="L318" s="28">
        <f t="shared" si="4"/>
        <v>32.094075269244037</v>
      </c>
    </row>
    <row r="319" spans="1:12">
      <c r="A319" s="24" t="str">
        <f>PE_aug!A307</f>
        <v>211015_Ringversuch_Vergleichsprobe_6_spike_SBR (Luisa)</v>
      </c>
      <c r="B319" s="319" t="str">
        <f>PE_aug!AP307</f>
        <v>Ringversuch</v>
      </c>
      <c r="D319" s="26">
        <f>PE_aug!AF307</f>
        <v>75.33046072935916</v>
      </c>
      <c r="E319" s="27">
        <f>PE_aug!AL307</f>
        <v>5.2589903988441113</v>
      </c>
      <c r="F319" s="27">
        <f>PP!Z318</f>
        <v>0</v>
      </c>
      <c r="G319" s="27">
        <f>PS!Q318</f>
        <v>0</v>
      </c>
      <c r="H319" s="27">
        <f>PMMA!G318</f>
        <v>0</v>
      </c>
      <c r="I319" s="27">
        <f>PET_aug!P307</f>
        <v>0</v>
      </c>
      <c r="J319" s="27">
        <f>PA!G318</f>
        <v>0</v>
      </c>
      <c r="K319" s="27">
        <f>SBR!G259</f>
        <v>0</v>
      </c>
      <c r="L319" s="28">
        <f t="shared" si="4"/>
        <v>5.2589903988441113</v>
      </c>
    </row>
    <row r="320" spans="1:12">
      <c r="A320" s="24" t="str">
        <f>PE_aug!A308</f>
        <v>211015_Ringversuch_VP_6_spike_15µL_PS_PMMA (Luisa)</v>
      </c>
      <c r="B320" s="319" t="str">
        <f>PE_aug!AP308</f>
        <v>Ringversuch</v>
      </c>
      <c r="D320" s="26">
        <f>PE_aug!AF308</f>
        <v>53.542760975595385</v>
      </c>
      <c r="E320" s="27">
        <f>PE_aug!AL308</f>
        <v>10.348064516129034</v>
      </c>
      <c r="F320" s="27">
        <f>PP!Z319</f>
        <v>0</v>
      </c>
      <c r="G320" s="27">
        <f>PS!Q319</f>
        <v>2.4438709677419355</v>
      </c>
      <c r="H320" s="27">
        <f>PMMA!G319</f>
        <v>6.1496774193548385</v>
      </c>
      <c r="I320" s="27">
        <f>PET_aug!P308</f>
        <v>0</v>
      </c>
      <c r="J320" s="27">
        <f>PA!G319</f>
        <v>0</v>
      </c>
      <c r="K320" s="27">
        <f>SBR!G260</f>
        <v>0</v>
      </c>
      <c r="L320" s="28">
        <f t="shared" si="4"/>
        <v>18.941612903225806</v>
      </c>
    </row>
    <row r="321" spans="1:12">
      <c r="A321" s="24" t="str">
        <f>PE_aug!A309</f>
        <v>211026_Lippe_nach_KA_4_210915_1</v>
      </c>
      <c r="B321" s="319" t="str">
        <f>PE_aug!AP309</f>
        <v>Flussproben</v>
      </c>
      <c r="D321" s="26">
        <f>PE_aug!AF309</f>
        <v>25.42432318886015</v>
      </c>
      <c r="E321" s="27">
        <f>PE_aug!AL309</f>
        <v>1.1726668479328919</v>
      </c>
      <c r="F321" s="27">
        <f>PP!Z320</f>
        <v>0</v>
      </c>
      <c r="G321" s="27">
        <f>PS!Q320</f>
        <v>0</v>
      </c>
      <c r="H321" s="27">
        <f>PMMA!G320</f>
        <v>0</v>
      </c>
      <c r="I321" s="27">
        <f>PET_aug!P309</f>
        <v>0</v>
      </c>
      <c r="J321" s="27">
        <f>PA!G320</f>
        <v>0</v>
      </c>
      <c r="K321" s="27">
        <f>SBR!G261</f>
        <v>0</v>
      </c>
      <c r="L321" s="28">
        <f t="shared" si="4"/>
        <v>1.1726668479328919</v>
      </c>
    </row>
    <row r="322" spans="1:12">
      <c r="A322" s="24" t="str">
        <f>PE_aug!A310</f>
        <v>211026_Lippe_nach_KA_4_210915_2</v>
      </c>
      <c r="B322" s="319" t="str">
        <f>PE_aug!AP310</f>
        <v>Flussproben</v>
      </c>
      <c r="D322" s="26">
        <f>PE_aug!AF310</f>
        <v>45.930275413245461</v>
      </c>
      <c r="E322" s="27">
        <f>PE_aug!AL310</f>
        <v>1.5617373133841046</v>
      </c>
      <c r="F322" s="27">
        <f>PP!Z321</f>
        <v>0.30201369672927331</v>
      </c>
      <c r="G322" s="27">
        <f>PS!Q321</f>
        <v>0</v>
      </c>
      <c r="H322" s="27">
        <f>PMMA!G321</f>
        <v>0</v>
      </c>
      <c r="I322" s="27">
        <f>PET_aug!P310</f>
        <v>0</v>
      </c>
      <c r="J322" s="27">
        <f>PA!G321</f>
        <v>0</v>
      </c>
      <c r="K322" s="27">
        <f>SBR!G262</f>
        <v>0</v>
      </c>
      <c r="L322" s="28">
        <f t="shared" si="4"/>
        <v>1.8637510101133778</v>
      </c>
    </row>
    <row r="323" spans="1:12">
      <c r="A323" s="24" t="str">
        <f>PE_aug!A311</f>
        <v>211026_Lippe_nach_KA_4_210915_3</v>
      </c>
      <c r="B323" s="319" t="str">
        <f>PE_aug!AP311</f>
        <v>Flussproben</v>
      </c>
      <c r="D323" s="26">
        <f>PE_aug!AF311</f>
        <v>51.670307031665985</v>
      </c>
      <c r="E323" s="27">
        <f>PE_aug!AL311</f>
        <v>1.6079298646120679</v>
      </c>
      <c r="F323" s="27">
        <f>PP!Z322</f>
        <v>0.40208154982719813</v>
      </c>
      <c r="G323" s="27">
        <f>PS!Q322</f>
        <v>0</v>
      </c>
      <c r="H323" s="27">
        <f>PMMA!G322</f>
        <v>0</v>
      </c>
      <c r="I323" s="27">
        <f>PET_aug!P311</f>
        <v>0</v>
      </c>
      <c r="J323" s="27">
        <f>PA!G322</f>
        <v>0</v>
      </c>
      <c r="K323" s="27">
        <f>SBR!G263</f>
        <v>0</v>
      </c>
      <c r="L323" s="28">
        <f t="shared" ref="L323:L386" si="5">SUM(E323:I323)</f>
        <v>2.010011414439266</v>
      </c>
    </row>
    <row r="324" spans="1:12">
      <c r="A324" s="24" t="str">
        <f>PE_aug!A312</f>
        <v>211026_Lippe_vor_KA_1_210914_1</v>
      </c>
      <c r="B324" s="319" t="str">
        <f>PE_aug!AP312</f>
        <v>Flussproben</v>
      </c>
      <c r="D324" s="26">
        <f>PE_aug!AF312</f>
        <v>58.400804731982547</v>
      </c>
      <c r="E324" s="27">
        <f>PE_aug!AL312</f>
        <v>1.5915997892502347</v>
      </c>
      <c r="F324" s="27">
        <f>PP!Z323</f>
        <v>0</v>
      </c>
      <c r="G324" s="27">
        <f>PS!Q323</f>
        <v>0</v>
      </c>
      <c r="H324" s="27">
        <f>PMMA!G323</f>
        <v>0</v>
      </c>
      <c r="I324" s="27">
        <f>PET_aug!P312</f>
        <v>0</v>
      </c>
      <c r="J324" s="27">
        <f>PA!G323</f>
        <v>0</v>
      </c>
      <c r="K324" s="27">
        <f>SBR!G264</f>
        <v>0</v>
      </c>
      <c r="L324" s="28">
        <f t="shared" si="5"/>
        <v>1.5915997892502347</v>
      </c>
    </row>
    <row r="325" spans="1:12">
      <c r="A325" s="24" t="str">
        <f>PE_aug!A313</f>
        <v>211026_Lippe_vor_KA_1_210914_2</v>
      </c>
      <c r="B325" s="319" t="str">
        <f>PE_aug!AP313</f>
        <v>Flussproben</v>
      </c>
      <c r="D325" s="26">
        <f>PE_aug!AF313</f>
        <v>32.004802775255506</v>
      </c>
      <c r="E325" s="27">
        <f>PE_aug!AL313</f>
        <v>3.6901716178595345</v>
      </c>
      <c r="F325" s="27">
        <f>PP!Z324</f>
        <v>0</v>
      </c>
      <c r="G325" s="27">
        <f>PS!Q324</f>
        <v>0</v>
      </c>
      <c r="H325" s="27">
        <f>PMMA!G324</f>
        <v>0</v>
      </c>
      <c r="I325" s="27">
        <f>PET_aug!P313</f>
        <v>0</v>
      </c>
      <c r="J325" s="27">
        <f>PA!G324</f>
        <v>0</v>
      </c>
      <c r="K325" s="27">
        <f>SBR!G265</f>
        <v>0</v>
      </c>
      <c r="L325" s="28">
        <f t="shared" si="5"/>
        <v>3.6901716178595345</v>
      </c>
    </row>
    <row r="326" spans="1:12">
      <c r="A326" s="24" t="str">
        <f>PE_aug!A314</f>
        <v>211026_Lippe_vor_KA_1_210914_3</v>
      </c>
      <c r="B326" s="319" t="str">
        <f>PE_aug!AP314</f>
        <v>Flussproben</v>
      </c>
      <c r="D326" s="26">
        <f>PE_aug!AF314</f>
        <v>35.582830637305705</v>
      </c>
      <c r="E326" s="27">
        <f>PE_aug!AL314</f>
        <v>2.121217576008497</v>
      </c>
      <c r="F326" s="27">
        <f>PP!Z325</f>
        <v>0</v>
      </c>
      <c r="G326" s="27">
        <f>PS!Q325</f>
        <v>0</v>
      </c>
      <c r="H326" s="27">
        <f>PMMA!G325</f>
        <v>0</v>
      </c>
      <c r="I326" s="27">
        <f>PET_aug!P314</f>
        <v>0</v>
      </c>
      <c r="J326" s="27">
        <f>PA!G325</f>
        <v>0</v>
      </c>
      <c r="K326" s="27">
        <f>SBR!G266</f>
        <v>0</v>
      </c>
      <c r="L326" s="28">
        <f t="shared" si="5"/>
        <v>2.121217576008497</v>
      </c>
    </row>
    <row r="327" spans="1:12">
      <c r="A327" s="24" t="str">
        <f>PE_aug!A315</f>
        <v>211026_Lippe_vor_KA_3_210915_1</v>
      </c>
      <c r="B327" s="319" t="str">
        <f>PE_aug!AP315</f>
        <v>Flussproben</v>
      </c>
      <c r="D327" s="26">
        <f>PE_aug!AF315</f>
        <v>38.513944519086621</v>
      </c>
      <c r="E327" s="27">
        <f>PE_aug!AL315</f>
        <v>1.335498163424317</v>
      </c>
      <c r="F327" s="27">
        <f>PP!Z326</f>
        <v>0</v>
      </c>
      <c r="G327" s="27">
        <f>PS!Q326</f>
        <v>0</v>
      </c>
      <c r="H327" s="27">
        <f>PMMA!G326</f>
        <v>0</v>
      </c>
      <c r="I327" s="27">
        <f>PET_aug!P315</f>
        <v>0</v>
      </c>
      <c r="J327" s="27">
        <f>PA!G326</f>
        <v>0</v>
      </c>
      <c r="K327" s="27">
        <f>SBR!G267</f>
        <v>0</v>
      </c>
      <c r="L327" s="28">
        <f t="shared" si="5"/>
        <v>1.335498163424317</v>
      </c>
    </row>
    <row r="328" spans="1:12">
      <c r="A328" s="24" t="str">
        <f>PE_aug!A316</f>
        <v>211026_Lippe_vor_KA_3_210915_2</v>
      </c>
      <c r="B328" s="319" t="str">
        <f>PE_aug!AP316</f>
        <v>Flussproben</v>
      </c>
      <c r="D328" s="26">
        <f>PE_aug!AF316</f>
        <v>46.981822743705543</v>
      </c>
      <c r="E328" s="27">
        <f>PE_aug!AL316</f>
        <v>1.1676843974980622</v>
      </c>
      <c r="F328" s="27">
        <f>PP!Z327</f>
        <v>0</v>
      </c>
      <c r="G328" s="27">
        <f>PS!Q327</f>
        <v>0</v>
      </c>
      <c r="H328" s="27">
        <f>PMMA!G327</f>
        <v>0</v>
      </c>
      <c r="I328" s="27">
        <f>PET_aug!P316</f>
        <v>0</v>
      </c>
      <c r="J328" s="27">
        <f>PA!G327</f>
        <v>0</v>
      </c>
      <c r="K328" s="27">
        <f>SBR!G268</f>
        <v>0</v>
      </c>
      <c r="L328" s="28">
        <f t="shared" si="5"/>
        <v>1.1676843974980622</v>
      </c>
    </row>
    <row r="329" spans="1:12">
      <c r="A329" s="24" t="str">
        <f>PE_aug!A317</f>
        <v>211026_Lippe_vor_KA_3_210915_3</v>
      </c>
      <c r="B329" s="319" t="str">
        <f>PE_aug!AP317</f>
        <v>Flussproben</v>
      </c>
      <c r="D329" s="26">
        <f>PE_aug!AF317</f>
        <v>41.394510195362102</v>
      </c>
      <c r="E329" s="27">
        <f>PE_aug!AL317</f>
        <v>1.4362877028433234</v>
      </c>
      <c r="F329" s="27">
        <f>PP!Z328</f>
        <v>0</v>
      </c>
      <c r="G329" s="27">
        <f>PS!Q328</f>
        <v>0</v>
      </c>
      <c r="H329" s="27">
        <f>PMMA!G328</f>
        <v>0</v>
      </c>
      <c r="I329" s="27">
        <f>PET_aug!P317</f>
        <v>0</v>
      </c>
      <c r="J329" s="27">
        <f>PA!G328</f>
        <v>0</v>
      </c>
      <c r="K329" s="27">
        <f>SBR!G269</f>
        <v>0</v>
      </c>
      <c r="L329" s="28">
        <f t="shared" si="5"/>
        <v>1.4362877028433234</v>
      </c>
    </row>
    <row r="330" spans="1:12">
      <c r="A330" s="24" t="str">
        <f>PE_aug!A318</f>
        <v>211026_Lippe_vor_KA_5_210916_1</v>
      </c>
      <c r="B330" s="319" t="str">
        <f>PE_aug!AP318</f>
        <v>Flussproben</v>
      </c>
      <c r="D330" s="26">
        <f>PE_aug!AF318</f>
        <v>36.008005200933766</v>
      </c>
      <c r="E330" s="27">
        <f>PE_aug!AL318</f>
        <v>0.93427923295475768</v>
      </c>
      <c r="F330" s="27">
        <f>PP!Z329</f>
        <v>0</v>
      </c>
      <c r="G330" s="27">
        <f>PS!Q329</f>
        <v>0</v>
      </c>
      <c r="H330" s="27">
        <f>PMMA!G329</f>
        <v>0</v>
      </c>
      <c r="I330" s="27">
        <f>PET_aug!P318</f>
        <v>0</v>
      </c>
      <c r="J330" s="27">
        <f>PA!G329</f>
        <v>0</v>
      </c>
      <c r="K330" s="27">
        <f>SBR!G270</f>
        <v>0</v>
      </c>
      <c r="L330" s="28">
        <f t="shared" si="5"/>
        <v>0.93427923295475768</v>
      </c>
    </row>
    <row r="331" spans="1:12">
      <c r="A331" s="24" t="str">
        <f>PE_aug!A319</f>
        <v>211026_Lippe_vor_KA_5_210916_2</v>
      </c>
      <c r="B331" s="319" t="str">
        <f>PE_aug!AP319</f>
        <v>Flussproben</v>
      </c>
      <c r="D331" s="26">
        <f>PE_aug!AF319</f>
        <v>38.134267675837016</v>
      </c>
      <c r="E331" s="27">
        <f>PE_aug!AL319</f>
        <v>1.1829836757224186</v>
      </c>
      <c r="F331" s="27">
        <f>PP!Z330</f>
        <v>0</v>
      </c>
      <c r="G331" s="27">
        <f>PS!Q330</f>
        <v>0</v>
      </c>
      <c r="H331" s="27">
        <f>PMMA!G330</f>
        <v>0</v>
      </c>
      <c r="I331" s="27">
        <f>PET_aug!P319</f>
        <v>0</v>
      </c>
      <c r="J331" s="27">
        <f>PA!G330</f>
        <v>0</v>
      </c>
      <c r="K331" s="27">
        <f>SBR!G271</f>
        <v>0</v>
      </c>
      <c r="L331" s="28">
        <f t="shared" si="5"/>
        <v>1.1829836757224186</v>
      </c>
    </row>
    <row r="332" spans="1:12">
      <c r="A332" s="24" t="str">
        <f>PE_aug!A320</f>
        <v>211026_Lippe_vor_KA_5_210916_3</v>
      </c>
      <c r="B332" s="319" t="str">
        <f>PE_aug!AP320</f>
        <v>Flussproben</v>
      </c>
      <c r="D332" s="26">
        <f>PE_aug!AF320</f>
        <v>30.179891123593659</v>
      </c>
      <c r="E332" s="27">
        <f>PE_aug!AL320</f>
        <v>1.2479362139089116</v>
      </c>
      <c r="F332" s="27">
        <f>PP!Z331</f>
        <v>0</v>
      </c>
      <c r="G332" s="27">
        <f>PS!Q331</f>
        <v>0</v>
      </c>
      <c r="H332" s="27">
        <f>PMMA!G331</f>
        <v>0</v>
      </c>
      <c r="I332" s="27">
        <f>PET_aug!P320</f>
        <v>0</v>
      </c>
      <c r="J332" s="27">
        <f>PA!G331</f>
        <v>0</v>
      </c>
      <c r="K332" s="27">
        <f>SBR!G272</f>
        <v>0</v>
      </c>
      <c r="L332" s="28">
        <f t="shared" si="5"/>
        <v>1.2479362139089116</v>
      </c>
    </row>
    <row r="333" spans="1:12">
      <c r="A333" s="24" t="str">
        <f>PE_aug!A321</f>
        <v>211026_Standard_PP</v>
      </c>
      <c r="B333" s="319" t="str">
        <f>PE_aug!AP321</f>
        <v>Methode</v>
      </c>
      <c r="D333" s="26" t="e">
        <f>PE_aug!AF321</f>
        <v>#DIV/0!</v>
      </c>
      <c r="E333" s="27" t="str">
        <f>PE_aug!AL321</f>
        <v>n.d.</v>
      </c>
      <c r="F333" s="27">
        <f>PP!Z332</f>
        <v>0.64282453114958138</v>
      </c>
      <c r="G333" s="27">
        <f>PS!Q332</f>
        <v>0</v>
      </c>
      <c r="H333" s="27">
        <f>PMMA!G332</f>
        <v>0</v>
      </c>
      <c r="I333" s="27">
        <f>PET_aug!P321</f>
        <v>0</v>
      </c>
      <c r="J333" s="27">
        <f>PA!G332</f>
        <v>0</v>
      </c>
      <c r="K333" s="27">
        <f>SBR!G273</f>
        <v>0</v>
      </c>
      <c r="L333" s="28">
        <f t="shared" si="5"/>
        <v>0.64282453114958138</v>
      </c>
    </row>
    <row r="334" spans="1:12">
      <c r="A334" s="24" t="str">
        <f>PE_aug!A322</f>
        <v>211026_Urban-Filters_TGA-Probe_1</v>
      </c>
      <c r="B334" s="319" t="str">
        <f>PE_aug!AP322</f>
        <v>Straßenabfluss</v>
      </c>
      <c r="D334" s="26">
        <f>PE_aug!AF322</f>
        <v>36.953353911031023</v>
      </c>
      <c r="E334" s="27">
        <f>PE_aug!AL322</f>
        <v>0.79900014296225219</v>
      </c>
      <c r="F334" s="27">
        <f>PP!Z333</f>
        <v>0</v>
      </c>
      <c r="G334" s="27">
        <f>PS!Q333</f>
        <v>0</v>
      </c>
      <c r="H334" s="27">
        <f>PMMA!G333</f>
        <v>0</v>
      </c>
      <c r="I334" s="27">
        <f>PET_aug!P322</f>
        <v>0</v>
      </c>
      <c r="J334" s="27">
        <f>PA!G333</f>
        <v>0</v>
      </c>
      <c r="K334" s="27">
        <f>SBR!G274</f>
        <v>0</v>
      </c>
      <c r="L334" s="28">
        <f t="shared" si="5"/>
        <v>0.79900014296225219</v>
      </c>
    </row>
    <row r="335" spans="1:12">
      <c r="A335" s="24" t="str">
        <f>PE_aug!A323</f>
        <v>211026_Urban-Filters_TGA-Probe_2</v>
      </c>
      <c r="B335" s="319" t="str">
        <f>PE_aug!AP323</f>
        <v>Straßenabfluss</v>
      </c>
      <c r="D335" s="26">
        <f>PE_aug!AF323</f>
        <v>51.550238414257535</v>
      </c>
      <c r="E335" s="27">
        <f>PE_aug!AL323</f>
        <v>1.2085010646034577</v>
      </c>
      <c r="F335" s="27">
        <f>PP!Z334</f>
        <v>0</v>
      </c>
      <c r="G335" s="27">
        <f>PS!Q334</f>
        <v>0</v>
      </c>
      <c r="H335" s="27">
        <f>PMMA!G334</f>
        <v>0</v>
      </c>
      <c r="I335" s="27">
        <f>PET_aug!P323</f>
        <v>0</v>
      </c>
      <c r="J335" s="27">
        <f>PA!G334</f>
        <v>0</v>
      </c>
      <c r="K335" s="27">
        <f>SBR!G275</f>
        <v>0</v>
      </c>
      <c r="L335" s="28">
        <f t="shared" si="5"/>
        <v>1.2085010646034577</v>
      </c>
    </row>
    <row r="336" spans="1:12">
      <c r="A336" s="24" t="str">
        <f>PE_aug!A324</f>
        <v>211026_Waren_Abl_SF_21061415_1</v>
      </c>
      <c r="B336" s="319" t="str">
        <f>PE_aug!AP324</f>
        <v>Kläranlagen</v>
      </c>
      <c r="D336" s="26">
        <f>PE_aug!AF324</f>
        <v>39.340209446149046</v>
      </c>
      <c r="E336" s="27">
        <f>PE_aug!AL324</f>
        <v>9.3763851717192104</v>
      </c>
      <c r="F336" s="27">
        <f>PP!Z335</f>
        <v>0</v>
      </c>
      <c r="G336" s="27">
        <f>PS!Q335</f>
        <v>0</v>
      </c>
      <c r="H336" s="27">
        <f>PMMA!G335</f>
        <v>0</v>
      </c>
      <c r="I336" s="27">
        <f>PET_aug!P324</f>
        <v>0</v>
      </c>
      <c r="J336" s="27">
        <f>PA!G335</f>
        <v>0</v>
      </c>
      <c r="K336" s="27">
        <f>SBR!G276</f>
        <v>0</v>
      </c>
      <c r="L336" s="28">
        <f t="shared" si="5"/>
        <v>9.3763851717192104</v>
      </c>
    </row>
    <row r="337" spans="1:12">
      <c r="A337" s="24" t="str">
        <f>PE_aug!A325</f>
        <v>211026_Waren_Abl_SF_21061415_2</v>
      </c>
      <c r="B337" s="319" t="str">
        <f>PE_aug!AP325</f>
        <v>Kläranlagen</v>
      </c>
      <c r="D337" s="26">
        <f>PE_aug!AF325</f>
        <v>37.318248015386793</v>
      </c>
      <c r="E337" s="27">
        <f>PE_aug!AL325</f>
        <v>12.124742225288502</v>
      </c>
      <c r="F337" s="27">
        <f>PP!Z336</f>
        <v>0</v>
      </c>
      <c r="G337" s="27">
        <f>PS!Q336</f>
        <v>0</v>
      </c>
      <c r="H337" s="27">
        <f>PMMA!G336</f>
        <v>0</v>
      </c>
      <c r="I337" s="27">
        <f>PET_aug!P325</f>
        <v>0</v>
      </c>
      <c r="J337" s="27">
        <f>PA!G336</f>
        <v>0</v>
      </c>
      <c r="K337" s="27">
        <f>SBR!G277</f>
        <v>0</v>
      </c>
      <c r="L337" s="28">
        <f t="shared" si="5"/>
        <v>12.124742225288502</v>
      </c>
    </row>
    <row r="338" spans="1:12">
      <c r="A338" s="24" t="str">
        <f>PE_aug!A326</f>
        <v>211026_Waren_Abl_SF_21061415_3</v>
      </c>
      <c r="B338" s="319" t="str">
        <f>PE_aug!AP326</f>
        <v>Kläranlagen</v>
      </c>
      <c r="D338" s="26">
        <f>PE_aug!AF326</f>
        <v>42.756791327975328</v>
      </c>
      <c r="E338" s="27">
        <f>PE_aug!AL326</f>
        <v>8.1926188510093745</v>
      </c>
      <c r="F338" s="27">
        <f>PP!Z337</f>
        <v>0</v>
      </c>
      <c r="G338" s="27">
        <f>PS!Q337</f>
        <v>0</v>
      </c>
      <c r="H338" s="27">
        <f>PMMA!G337</f>
        <v>0</v>
      </c>
      <c r="I338" s="27">
        <f>PET_aug!P326</f>
        <v>0</v>
      </c>
      <c r="J338" s="27">
        <f>PA!G337</f>
        <v>0</v>
      </c>
      <c r="K338" s="27">
        <f>SBR!G278</f>
        <v>0</v>
      </c>
      <c r="L338" s="28">
        <f t="shared" si="5"/>
        <v>8.1926188510093745</v>
      </c>
    </row>
    <row r="339" spans="1:12">
      <c r="A339" s="24" t="str">
        <f>PE_aug!A327</f>
        <v>211101_Ringversuch_Vergleichsprobe_6_spike_PE</v>
      </c>
      <c r="B339" s="319" t="str">
        <f>PE_aug!AP327</f>
        <v>Ringversuch</v>
      </c>
      <c r="D339" s="26">
        <f>PE_aug!AF327</f>
        <v>49.918081817855182</v>
      </c>
      <c r="E339" s="27">
        <f>PE_aug!AL327</f>
        <v>21.565331554348852</v>
      </c>
      <c r="F339" s="27">
        <f>PP!Z338</f>
        <v>0</v>
      </c>
      <c r="G339" s="27">
        <f>PS!Q338</f>
        <v>0</v>
      </c>
      <c r="H339" s="27">
        <f>PMMA!G338</f>
        <v>0</v>
      </c>
      <c r="I339" s="27">
        <f>PET_aug!P327</f>
        <v>0</v>
      </c>
      <c r="J339" s="27">
        <f>PA!G338</f>
        <v>0</v>
      </c>
      <c r="K339" s="27">
        <f>SBR!G279</f>
        <v>0</v>
      </c>
      <c r="L339" s="28">
        <f t="shared" si="5"/>
        <v>21.565331554348852</v>
      </c>
    </row>
    <row r="340" spans="1:12">
      <c r="A340" s="24" t="str">
        <f>PE_aug!A328</f>
        <v>211101_Waren_Abl_Filt_21061617_spike_PE</v>
      </c>
      <c r="B340" s="319" t="str">
        <f>PE_aug!AP328</f>
        <v>Kläranlagen, Methode</v>
      </c>
      <c r="D340" s="26">
        <f>PE_aug!AF328</f>
        <v>50.056386934822129</v>
      </c>
      <c r="E340" s="27">
        <f>PE_aug!AL328</f>
        <v>3.4379489593158636</v>
      </c>
      <c r="F340" s="27">
        <f>PP!Z339</f>
        <v>0</v>
      </c>
      <c r="G340" s="27">
        <f>PS!Q339</f>
        <v>0</v>
      </c>
      <c r="H340" s="27">
        <f>PMMA!G339</f>
        <v>0</v>
      </c>
      <c r="I340" s="27">
        <f>PET_aug!P328</f>
        <v>0</v>
      </c>
      <c r="J340" s="27">
        <f>PA!G339</f>
        <v>0</v>
      </c>
      <c r="K340" s="27">
        <f>SBR!G280</f>
        <v>0</v>
      </c>
      <c r="L340" s="28">
        <f t="shared" si="5"/>
        <v>3.4379489593158636</v>
      </c>
    </row>
    <row r="341" spans="1:12">
      <c r="A341" s="24" t="str">
        <f>PE_aug!A329</f>
        <v>211101_Waren_Zul_Filt_21061617_1</v>
      </c>
      <c r="B341" s="319" t="str">
        <f>PE_aug!AP329</f>
        <v>Kläranlagen</v>
      </c>
      <c r="D341" s="26">
        <f>PE_aug!AF329</f>
        <v>51.58095257118174</v>
      </c>
      <c r="E341" s="27">
        <f>PE_aug!AL329</f>
        <v>2.17911786090407</v>
      </c>
      <c r="F341" s="27">
        <f>PP!Z340</f>
        <v>0</v>
      </c>
      <c r="G341" s="27">
        <f>PS!Q340</f>
        <v>0</v>
      </c>
      <c r="H341" s="27">
        <f>PMMA!G340</f>
        <v>0</v>
      </c>
      <c r="I341" s="27">
        <f>PET_aug!P329</f>
        <v>2.8741110437651116</v>
      </c>
      <c r="J341" s="27">
        <f>PA!G340</f>
        <v>0</v>
      </c>
      <c r="K341" s="27">
        <f>SBR!G281</f>
        <v>0</v>
      </c>
      <c r="L341" s="28">
        <f t="shared" si="5"/>
        <v>5.0532289046691812</v>
      </c>
    </row>
    <row r="342" spans="1:12">
      <c r="A342" s="24" t="str">
        <f>PE_aug!A330</f>
        <v>211101_Waren_Zul_Filt_21061617_2</v>
      </c>
      <c r="B342" s="319" t="str">
        <f>PE_aug!AP330</f>
        <v>Kläranlagen</v>
      </c>
      <c r="D342" s="26">
        <f>PE_aug!AF330</f>
        <v>42.160117514001286</v>
      </c>
      <c r="E342" s="27">
        <f>PE_aug!AL330</f>
        <v>1.9215788446105615</v>
      </c>
      <c r="F342" s="27">
        <f>PP!Z341</f>
        <v>0</v>
      </c>
      <c r="G342" s="27">
        <f>PS!Q341</f>
        <v>0</v>
      </c>
      <c r="H342" s="27">
        <f>PMMA!G341</f>
        <v>0</v>
      </c>
      <c r="I342" s="27">
        <f>PET_aug!P330</f>
        <v>0</v>
      </c>
      <c r="J342" s="27">
        <f>PA!G341</f>
        <v>0</v>
      </c>
      <c r="K342" s="27">
        <f>SBR!G282</f>
        <v>0</v>
      </c>
      <c r="L342" s="28">
        <f t="shared" si="5"/>
        <v>1.9215788446105615</v>
      </c>
    </row>
    <row r="343" spans="1:12">
      <c r="A343" s="24" t="str">
        <f>PE_aug!A331</f>
        <v>210906_E-FS_201030_1</v>
      </c>
      <c r="B343" s="319" t="str">
        <f>PE_aug!AP331</f>
        <v>KWS, Schlamm</v>
      </c>
      <c r="D343" s="26">
        <f>PE_aug!AF331</f>
        <v>43.672186213356355</v>
      </c>
      <c r="E343" s="27">
        <f>PE_aug!AL331</f>
        <v>4.7986880692874818</v>
      </c>
      <c r="F343" s="27">
        <f>PP!Z342</f>
        <v>0</v>
      </c>
      <c r="G343" s="27">
        <f>PS!Q342</f>
        <v>0.45565838639831169</v>
      </c>
      <c r="H343" s="27">
        <f>PMMA!G342</f>
        <v>0</v>
      </c>
      <c r="I343" s="27">
        <f>PET_aug!P331</f>
        <v>0</v>
      </c>
      <c r="J343" s="27">
        <f>PA!G342</f>
        <v>0</v>
      </c>
      <c r="K343" s="27">
        <f>SBR!G283</f>
        <v>0</v>
      </c>
      <c r="L343" s="28">
        <f t="shared" si="5"/>
        <v>5.2543464556857931</v>
      </c>
    </row>
    <row r="344" spans="1:12">
      <c r="A344" s="24" t="str">
        <f>PE_aug!A332</f>
        <v>210906_E-FS_201030_2</v>
      </c>
      <c r="B344" s="319" t="str">
        <f>PE_aug!AP332</f>
        <v>KWS, Schlamm</v>
      </c>
      <c r="D344" s="26">
        <f>PE_aug!AF332</f>
        <v>54.786656856330318</v>
      </c>
      <c r="E344" s="27">
        <f>PE_aug!AL332</f>
        <v>4.5816359278527639</v>
      </c>
      <c r="F344" s="27">
        <f>PP!Z343</f>
        <v>0</v>
      </c>
      <c r="G344" s="27">
        <f>PS!Q343</f>
        <v>0.41262373394702251</v>
      </c>
      <c r="H344" s="27">
        <f>PMMA!G343</f>
        <v>0</v>
      </c>
      <c r="I344" s="27">
        <f>PET_aug!P332</f>
        <v>0</v>
      </c>
      <c r="J344" s="27">
        <f>PA!G343</f>
        <v>0</v>
      </c>
      <c r="K344" s="27">
        <f>SBR!G284</f>
        <v>0</v>
      </c>
      <c r="L344" s="28">
        <f t="shared" si="5"/>
        <v>4.9942596617997861</v>
      </c>
    </row>
    <row r="345" spans="1:12">
      <c r="A345" s="24" t="str">
        <f>PE_aug!A333</f>
        <v>210906_E-FS_201030_3</v>
      </c>
      <c r="B345" s="319" t="str">
        <f>PE_aug!AP333</f>
        <v>KWS, Schlamm</v>
      </c>
      <c r="D345" s="26">
        <f>PE_aug!AF333</f>
        <v>42.14868422952128</v>
      </c>
      <c r="E345" s="27">
        <f>PE_aug!AL333</f>
        <v>5.3910616693709459</v>
      </c>
      <c r="F345" s="27">
        <f>PP!Z344</f>
        <v>0</v>
      </c>
      <c r="G345" s="27">
        <f>PS!Q344</f>
        <v>0.47374104204126866</v>
      </c>
      <c r="H345" s="27">
        <f>PMMA!G344</f>
        <v>0</v>
      </c>
      <c r="I345" s="27">
        <f>PET_aug!P333</f>
        <v>0</v>
      </c>
      <c r="J345" s="27">
        <f>PA!G344</f>
        <v>0</v>
      </c>
      <c r="K345" s="27">
        <f>SBR!G285</f>
        <v>0</v>
      </c>
      <c r="L345" s="28">
        <f t="shared" si="5"/>
        <v>5.8648027114122145</v>
      </c>
    </row>
    <row r="346" spans="1:12">
      <c r="A346" s="24" t="str">
        <f>PE_aug!A334</f>
        <v>211104_Blindprobe_Lab_VE-Wasser_210819</v>
      </c>
      <c r="B346" s="319" t="str">
        <f>PE_aug!AP334</f>
        <v>Sickerwasser</v>
      </c>
      <c r="D346" s="26">
        <f>PE_aug!AF334</f>
        <v>0</v>
      </c>
      <c r="E346" s="27" t="str">
        <f>PE_aug!AL334</f>
        <v>n.d.</v>
      </c>
      <c r="F346" s="27">
        <f>PP!Z345</f>
        <v>0</v>
      </c>
      <c r="G346" s="27">
        <f>PS!Q345</f>
        <v>0</v>
      </c>
      <c r="H346" s="27">
        <f>PMMA!G345</f>
        <v>0</v>
      </c>
      <c r="I346" s="27">
        <f>PET_aug!P334</f>
        <v>0</v>
      </c>
      <c r="J346" s="27">
        <f>PA!G345</f>
        <v>0</v>
      </c>
      <c r="K346" s="27">
        <f>SBR!G286</f>
        <v>0</v>
      </c>
      <c r="L346" s="28">
        <f t="shared" si="5"/>
        <v>0</v>
      </c>
    </row>
    <row r="347" spans="1:12">
      <c r="A347" s="24" t="str">
        <f>PE_aug!A335</f>
        <v>211104_Boden_Retentionsfilter_Probe_2_210519</v>
      </c>
      <c r="B347" s="319" t="str">
        <f>PE_aug!AP335</f>
        <v>Sickerwasser</v>
      </c>
      <c r="D347" s="26" t="e">
        <f>PE_aug!AF335</f>
        <v>#DIV/0!</v>
      </c>
      <c r="E347" s="27" t="str">
        <f>PE_aug!AL335</f>
        <v>n.d.</v>
      </c>
      <c r="F347" s="27">
        <f>PP!Z346</f>
        <v>0</v>
      </c>
      <c r="G347" s="27">
        <f>PS!Q346</f>
        <v>0</v>
      </c>
      <c r="H347" s="27">
        <f>PMMA!G346</f>
        <v>0</v>
      </c>
      <c r="I347" s="27">
        <f>PET_aug!P335</f>
        <v>0</v>
      </c>
      <c r="J347" s="27">
        <f>PA!G346</f>
        <v>0</v>
      </c>
      <c r="K347" s="27">
        <f>SBR!G287</f>
        <v>0</v>
      </c>
      <c r="L347" s="28">
        <f t="shared" si="5"/>
        <v>0</v>
      </c>
    </row>
    <row r="348" spans="1:12">
      <c r="A348" s="24" t="str">
        <f>PE_aug!A336</f>
        <v>211104_November2020_TUBS_Sickerwasser_120cm</v>
      </c>
      <c r="B348" s="319" t="str">
        <f>PE_aug!AP336</f>
        <v>Sickerwasser</v>
      </c>
      <c r="D348" s="26" t="e">
        <f>PE_aug!AF336</f>
        <v>#DIV/0!</v>
      </c>
      <c r="E348" s="27" t="str">
        <f>PE_aug!AL336</f>
        <v>n.d.</v>
      </c>
      <c r="F348" s="27">
        <f>PP!Z347</f>
        <v>0</v>
      </c>
      <c r="G348" s="27">
        <f>PS!Q347</f>
        <v>0</v>
      </c>
      <c r="H348" s="27">
        <f>PMMA!G347</f>
        <v>0</v>
      </c>
      <c r="I348" s="27">
        <f>PET_aug!P336</f>
        <v>0</v>
      </c>
      <c r="J348" s="27">
        <f>PA!G347</f>
        <v>0</v>
      </c>
      <c r="K348" s="27">
        <f>SBR!G288</f>
        <v>0</v>
      </c>
      <c r="L348" s="28">
        <f t="shared" si="5"/>
        <v>0</v>
      </c>
    </row>
    <row r="349" spans="1:12">
      <c r="A349" s="24" t="str">
        <f>PE_aug!A337</f>
        <v>211104_RBF_Waltrop_Probe_1a_210916</v>
      </c>
      <c r="B349" s="319" t="str">
        <f>PE_aug!AP337</f>
        <v>Sickerwasser</v>
      </c>
      <c r="D349" s="26" t="e">
        <f>PE_aug!AF337</f>
        <v>#DIV/0!</v>
      </c>
      <c r="E349" s="27" t="str">
        <f>PE_aug!AL337</f>
        <v>n.d.</v>
      </c>
      <c r="F349" s="27">
        <f>PP!Z348</f>
        <v>0</v>
      </c>
      <c r="G349" s="27">
        <f>PS!Q348</f>
        <v>0</v>
      </c>
      <c r="H349" s="27">
        <f>PMMA!G348</f>
        <v>0</v>
      </c>
      <c r="I349" s="27">
        <f>PET_aug!P337</f>
        <v>0</v>
      </c>
      <c r="J349" s="27">
        <f>PA!G348</f>
        <v>0</v>
      </c>
      <c r="K349" s="27">
        <f>SBR!G289</f>
        <v>0</v>
      </c>
      <c r="L349" s="28">
        <f t="shared" si="5"/>
        <v>0</v>
      </c>
    </row>
    <row r="350" spans="1:12">
      <c r="A350" s="24" t="str">
        <f>PE_aug!A338</f>
        <v>211104_RBF_Waltrop_Probe_1b_210916</v>
      </c>
      <c r="B350" s="319" t="str">
        <f>PE_aug!AP338</f>
        <v>Sickerwasser</v>
      </c>
      <c r="D350" s="26">
        <f>PE_aug!AF338</f>
        <v>18.777943368107312</v>
      </c>
      <c r="E350" s="27">
        <f>PE_aug!AL338</f>
        <v>6.8469387755100772</v>
      </c>
      <c r="F350" s="27">
        <f>PP!Z349</f>
        <v>0</v>
      </c>
      <c r="G350" s="27">
        <f>PS!Q349</f>
        <v>0</v>
      </c>
      <c r="H350" s="27">
        <f>PMMA!G349</f>
        <v>0</v>
      </c>
      <c r="I350" s="27">
        <f>PET_aug!P338</f>
        <v>0</v>
      </c>
      <c r="J350" s="27">
        <f>PA!G349</f>
        <v>0</v>
      </c>
      <c r="K350" s="27">
        <f>SBR!G290</f>
        <v>0</v>
      </c>
      <c r="L350" s="28">
        <f t="shared" si="5"/>
        <v>6.8469387755100772</v>
      </c>
    </row>
    <row r="351" spans="1:12">
      <c r="A351" s="24" t="str">
        <f>PE_aug!A339</f>
        <v>211104_RBF_Waltrop_Probe_1c_210916</v>
      </c>
      <c r="B351" s="319" t="str">
        <f>PE_aug!AP339</f>
        <v>Sickerwasser</v>
      </c>
      <c r="D351" s="26">
        <f>PE_aug!AF339</f>
        <v>68.468011227178863</v>
      </c>
      <c r="E351" s="27">
        <f>PE_aug!AL339</f>
        <v>1.0277063696086768</v>
      </c>
      <c r="F351" s="27">
        <f>PP!Z350</f>
        <v>0</v>
      </c>
      <c r="G351" s="27">
        <f>PS!Q350</f>
        <v>0.3487574978577529</v>
      </c>
      <c r="H351" s="27">
        <f>PMMA!G350</f>
        <v>0</v>
      </c>
      <c r="I351" s="27">
        <f>PET_aug!P339</f>
        <v>0</v>
      </c>
      <c r="J351" s="27">
        <f>PA!G350</f>
        <v>0</v>
      </c>
      <c r="K351" s="27">
        <f>SBR!G291</f>
        <v>0</v>
      </c>
      <c r="L351" s="28">
        <f t="shared" si="5"/>
        <v>1.3764638674664296</v>
      </c>
    </row>
    <row r="352" spans="1:12">
      <c r="A352" s="24" t="str">
        <f>PE_aug!A340</f>
        <v>211104_RBF_Waltrop_Probe_1d_210916</v>
      </c>
      <c r="B352" s="319" t="str">
        <f>PE_aug!AP340</f>
        <v>Sickerwasser</v>
      </c>
      <c r="D352" s="26">
        <f>PE_aug!AF340</f>
        <v>16.336633663366278</v>
      </c>
      <c r="E352" s="27">
        <f>PE_aug!AL340</f>
        <v>6.1836734693876405</v>
      </c>
      <c r="F352" s="27">
        <f>PP!Z351</f>
        <v>0</v>
      </c>
      <c r="G352" s="27">
        <f>PS!Q351</f>
        <v>0</v>
      </c>
      <c r="H352" s="27">
        <f>PMMA!G351</f>
        <v>0</v>
      </c>
      <c r="I352" s="27">
        <f>PET_aug!P340</f>
        <v>0</v>
      </c>
      <c r="J352" s="27">
        <f>PA!G351</f>
        <v>0</v>
      </c>
      <c r="K352" s="27">
        <f>SBR!G292</f>
        <v>0</v>
      </c>
      <c r="L352" s="28">
        <f t="shared" si="5"/>
        <v>6.1836734693876405</v>
      </c>
    </row>
    <row r="353" spans="1:12">
      <c r="A353" s="24" t="str">
        <f>PE_aug!A341</f>
        <v>211108_KWS_E-FS_201030_1</v>
      </c>
      <c r="B353" s="319" t="str">
        <f>PE_aug!AP341</f>
        <v>KWS, Schlamm</v>
      </c>
      <c r="D353" s="26">
        <f>PE_aug!AF341</f>
        <v>52.422708649241557</v>
      </c>
      <c r="E353" s="27">
        <f>PE_aug!AL341</f>
        <v>3.585025794083387</v>
      </c>
      <c r="F353" s="27">
        <f>PP!Z352</f>
        <v>0</v>
      </c>
      <c r="G353" s="27">
        <f>PS!Q352</f>
        <v>0</v>
      </c>
      <c r="H353" s="27">
        <f>PMMA!G352</f>
        <v>0</v>
      </c>
      <c r="I353" s="27">
        <f>PET_aug!P341</f>
        <v>0</v>
      </c>
      <c r="J353" s="27">
        <f>PA!G352</f>
        <v>0</v>
      </c>
      <c r="K353" s="27">
        <f>SBR!G293</f>
        <v>0</v>
      </c>
      <c r="L353" s="28">
        <f t="shared" si="5"/>
        <v>3.585025794083387</v>
      </c>
    </row>
    <row r="354" spans="1:12">
      <c r="A354" s="24" t="str">
        <f>PE_aug!A342</f>
        <v>211108_KWS_E-FS_201030_2</v>
      </c>
      <c r="B354" s="319" t="str">
        <f>PE_aug!AP342</f>
        <v>KWS, Schlamm</v>
      </c>
      <c r="D354" s="26">
        <f>PE_aug!AF342</f>
        <v>59.22929784311215</v>
      </c>
      <c r="E354" s="27">
        <f>PE_aug!AL342</f>
        <v>3.0950611296225139</v>
      </c>
      <c r="F354" s="27">
        <f>PP!Z353</f>
        <v>0</v>
      </c>
      <c r="G354" s="27">
        <f>PS!Q353</f>
        <v>0</v>
      </c>
      <c r="H354" s="27">
        <f>PMMA!G353</f>
        <v>0</v>
      </c>
      <c r="I354" s="27">
        <f>PET_aug!P342</f>
        <v>0</v>
      </c>
      <c r="J354" s="27">
        <f>PA!G353</f>
        <v>0</v>
      </c>
      <c r="K354" s="27">
        <f>SBR!G294</f>
        <v>0</v>
      </c>
      <c r="L354" s="28">
        <f t="shared" si="5"/>
        <v>3.0950611296225139</v>
      </c>
    </row>
    <row r="355" spans="1:12">
      <c r="A355" s="24" t="str">
        <f>PE_aug!A343</f>
        <v>211108_KWS_E-FS_201030_3</v>
      </c>
      <c r="B355" s="319" t="str">
        <f>PE_aug!AP343</f>
        <v>KWS, Schlamm</v>
      </c>
      <c r="D355" s="26">
        <f>PE_aug!AF343</f>
        <v>40.614464122861349</v>
      </c>
      <c r="E355" s="27">
        <f>PE_aug!AL343</f>
        <v>3.7466184611744837</v>
      </c>
      <c r="F355" s="27">
        <f>PP!Z354</f>
        <v>0</v>
      </c>
      <c r="G355" s="27">
        <f>PS!Q354</f>
        <v>0</v>
      </c>
      <c r="H355" s="27">
        <f>PMMA!G354</f>
        <v>0</v>
      </c>
      <c r="I355" s="27">
        <f>PET_aug!P343</f>
        <v>0</v>
      </c>
      <c r="J355" s="27">
        <f>PA!G354</f>
        <v>0</v>
      </c>
      <c r="K355" s="27">
        <f>SBR!G295</f>
        <v>0</v>
      </c>
      <c r="L355" s="28">
        <f t="shared" si="5"/>
        <v>3.7466184611744837</v>
      </c>
    </row>
    <row r="356" spans="1:12">
      <c r="A356" s="24" t="str">
        <f>PE_aug!A344</f>
        <v>211108_Lippe_nach_KA_2_210914_1</v>
      </c>
      <c r="B356" s="319" t="str">
        <f>PE_aug!AP344</f>
        <v>Flussproben</v>
      </c>
      <c r="D356" s="26">
        <f>PE_aug!AF344</f>
        <v>27.044432951557635</v>
      </c>
      <c r="E356" s="27">
        <f>PE_aug!AL344</f>
        <v>1.0260504367039323</v>
      </c>
      <c r="F356" s="27">
        <f>PP!Z355</f>
        <v>0</v>
      </c>
      <c r="G356" s="27">
        <f>PS!Q355</f>
        <v>0</v>
      </c>
      <c r="H356" s="27">
        <f>PMMA!G355</f>
        <v>0</v>
      </c>
      <c r="I356" s="27">
        <f>PET_aug!P344</f>
        <v>0</v>
      </c>
      <c r="J356" s="27">
        <f>PA!G355</f>
        <v>0</v>
      </c>
      <c r="K356" s="27">
        <f>SBR!G296</f>
        <v>0</v>
      </c>
      <c r="L356" s="28">
        <f t="shared" si="5"/>
        <v>1.0260504367039323</v>
      </c>
    </row>
    <row r="357" spans="1:12">
      <c r="A357" s="24" t="str">
        <f>PE_aug!A345</f>
        <v>211108_Lippe_nach_KA_2_210914_2</v>
      </c>
      <c r="B357" s="319" t="str">
        <f>PE_aug!AP345</f>
        <v>Flussproben</v>
      </c>
      <c r="D357" s="26">
        <f>PE_aug!AF345</f>
        <v>54.798429399781377</v>
      </c>
      <c r="E357" s="27">
        <f>PE_aug!AL345</f>
        <v>1.7613513632626678</v>
      </c>
      <c r="F357" s="27">
        <f>PP!Z356</f>
        <v>0</v>
      </c>
      <c r="G357" s="27">
        <f>PS!Q356</f>
        <v>0</v>
      </c>
      <c r="H357" s="27">
        <f>PMMA!G356</f>
        <v>0</v>
      </c>
      <c r="I357" s="27">
        <f>PET_aug!P345</f>
        <v>0</v>
      </c>
      <c r="J357" s="27">
        <f>PA!G356</f>
        <v>0</v>
      </c>
      <c r="K357" s="27">
        <f>SBR!G297</f>
        <v>0</v>
      </c>
      <c r="L357" s="28">
        <f t="shared" si="5"/>
        <v>1.7613513632626678</v>
      </c>
    </row>
    <row r="358" spans="1:12">
      <c r="A358" s="24" t="str">
        <f>PE_aug!A346</f>
        <v>211108_Lippe_nach_KA_6_210914_1</v>
      </c>
      <c r="B358" s="319" t="str">
        <f>PE_aug!AP346</f>
        <v>Flussproben</v>
      </c>
      <c r="D358" s="26">
        <f>PE_aug!AF346</f>
        <v>44.968213003339621</v>
      </c>
      <c r="E358" s="27">
        <f>PE_aug!AL346</f>
        <v>0.86860656110590062</v>
      </c>
      <c r="F358" s="27">
        <f>PP!Z357</f>
        <v>0</v>
      </c>
      <c r="G358" s="27">
        <f>PS!Q357</f>
        <v>0</v>
      </c>
      <c r="H358" s="27">
        <f>PMMA!G357</f>
        <v>0</v>
      </c>
      <c r="I358" s="27">
        <f>PET_aug!P346</f>
        <v>0</v>
      </c>
      <c r="J358" s="27">
        <f>PA!G357</f>
        <v>0</v>
      </c>
      <c r="K358" s="27">
        <f>SBR!G298</f>
        <v>0</v>
      </c>
      <c r="L358" s="28">
        <f t="shared" si="5"/>
        <v>0.86860656110590062</v>
      </c>
    </row>
    <row r="359" spans="1:12">
      <c r="A359" s="24" t="str">
        <f>PE_aug!A347</f>
        <v>211108_Lippe_nach_KA_6_210914_2</v>
      </c>
      <c r="B359" s="319" t="str">
        <f>PE_aug!AP347</f>
        <v>Flussproben</v>
      </c>
      <c r="D359" s="26">
        <f>PE_aug!AF347</f>
        <v>34.172908985927641</v>
      </c>
      <c r="E359" s="27">
        <f>PE_aug!AL347</f>
        <v>0.88129687278901936</v>
      </c>
      <c r="F359" s="27">
        <f>PP!Z358</f>
        <v>0</v>
      </c>
      <c r="G359" s="27">
        <f>PS!Q358</f>
        <v>0</v>
      </c>
      <c r="H359" s="27">
        <f>PMMA!G358</f>
        <v>0</v>
      </c>
      <c r="I359" s="27">
        <f>PET_aug!P347</f>
        <v>0</v>
      </c>
      <c r="J359" s="27">
        <f>PA!G358</f>
        <v>0</v>
      </c>
      <c r="K359" s="27">
        <f>SBR!G299</f>
        <v>0</v>
      </c>
      <c r="L359" s="28">
        <f t="shared" si="5"/>
        <v>0.88129687278901936</v>
      </c>
    </row>
    <row r="360" spans="1:12">
      <c r="A360" s="24" t="str">
        <f>PE_aug!A348</f>
        <v>211108_Lippe_nach_KA_6_210914_3</v>
      </c>
      <c r="B360" s="319" t="str">
        <f>PE_aug!AP348</f>
        <v>Flussproben</v>
      </c>
      <c r="D360" s="26">
        <f>PE_aug!AF348</f>
        <v>15.114280948207526</v>
      </c>
      <c r="E360" s="27">
        <f>PE_aug!AL348</f>
        <v>0.96809812046796384</v>
      </c>
      <c r="F360" s="27">
        <f>PP!Z359</f>
        <v>0</v>
      </c>
      <c r="G360" s="27">
        <f>PS!Q359</f>
        <v>0</v>
      </c>
      <c r="H360" s="27">
        <f>PMMA!G359</f>
        <v>0</v>
      </c>
      <c r="I360" s="27">
        <f>PET_aug!P348</f>
        <v>0</v>
      </c>
      <c r="J360" s="27">
        <f>PA!G359</f>
        <v>0</v>
      </c>
      <c r="K360" s="27">
        <f>SBR!G300</f>
        <v>0</v>
      </c>
      <c r="L360" s="28">
        <f t="shared" si="5"/>
        <v>0.96809812046796384</v>
      </c>
    </row>
    <row r="361" spans="1:12">
      <c r="A361" s="24" t="str">
        <f>PE_aug!A349</f>
        <v>211108_RUEB_210915_1</v>
      </c>
      <c r="B361" s="319" t="str">
        <f>PE_aug!AP349</f>
        <v>RÜB</v>
      </c>
      <c r="D361" s="26">
        <f>PE_aug!AF349</f>
        <v>60.846629406146931</v>
      </c>
      <c r="E361" s="27">
        <f>PE_aug!AL349</f>
        <v>7.797421204874845</v>
      </c>
      <c r="F361" s="27">
        <f>PP!Z360</f>
        <v>0</v>
      </c>
      <c r="G361" s="27">
        <f>PS!Q360</f>
        <v>0</v>
      </c>
      <c r="H361" s="27">
        <f>PMMA!G360</f>
        <v>0</v>
      </c>
      <c r="I361" s="27">
        <f>PET_aug!P349</f>
        <v>0</v>
      </c>
      <c r="J361" s="27">
        <f>PA!G360</f>
        <v>0</v>
      </c>
      <c r="K361" s="27">
        <f>SBR!G301</f>
        <v>0</v>
      </c>
      <c r="L361" s="28">
        <f t="shared" si="5"/>
        <v>7.797421204874845</v>
      </c>
    </row>
    <row r="362" spans="1:12">
      <c r="A362" s="24" t="str">
        <f>PE_aug!A350</f>
        <v>211108_RUEB_210915_2</v>
      </c>
      <c r="B362" s="319" t="str">
        <f>PE_aug!AP350</f>
        <v>RÜB</v>
      </c>
      <c r="D362" s="26">
        <f>PE_aug!AF350</f>
        <v>65.989082855967339</v>
      </c>
      <c r="E362" s="27">
        <f>PE_aug!AL350</f>
        <v>4.9207563628243953</v>
      </c>
      <c r="F362" s="27">
        <f>PP!Z361</f>
        <v>0</v>
      </c>
      <c r="G362" s="27">
        <f>PS!Q361</f>
        <v>0</v>
      </c>
      <c r="H362" s="27">
        <f>PMMA!G361</f>
        <v>0</v>
      </c>
      <c r="I362" s="27">
        <f>PET_aug!P350</f>
        <v>0</v>
      </c>
      <c r="J362" s="27">
        <f>PA!G361</f>
        <v>0</v>
      </c>
      <c r="K362" s="27">
        <f>SBR!G302</f>
        <v>0</v>
      </c>
      <c r="L362" s="28">
        <f t="shared" si="5"/>
        <v>4.9207563628243953</v>
      </c>
    </row>
    <row r="363" spans="1:12">
      <c r="A363" s="24" t="str">
        <f>PE_aug!A351</f>
        <v>211108_RUEB_210915_3</v>
      </c>
      <c r="B363" s="319" t="str">
        <f>PE_aug!AP351</f>
        <v>RÜB</v>
      </c>
      <c r="D363" s="26">
        <f>PE_aug!AF351</f>
        <v>28.497469241064731</v>
      </c>
      <c r="E363" s="27">
        <f>PE_aug!AL351</f>
        <v>6.6641251221896383</v>
      </c>
      <c r="F363" s="27">
        <f>PP!Z362</f>
        <v>0</v>
      </c>
      <c r="G363" s="27">
        <f>PS!Q362</f>
        <v>0</v>
      </c>
      <c r="H363" s="27">
        <f>PMMA!G362</f>
        <v>0</v>
      </c>
      <c r="I363" s="27">
        <f>PET_aug!P351</f>
        <v>0</v>
      </c>
      <c r="J363" s="27">
        <f>PA!G362</f>
        <v>0</v>
      </c>
      <c r="K363" s="27">
        <f>SBR!G303</f>
        <v>0</v>
      </c>
      <c r="L363" s="28">
        <f t="shared" si="5"/>
        <v>6.6641251221896383</v>
      </c>
    </row>
    <row r="364" spans="1:12">
      <c r="A364" s="24" t="str">
        <f>PE_aug!A352</f>
        <v>211118_KWS_E-FS_201030_1</v>
      </c>
      <c r="B364" s="319" t="str">
        <f>PE_aug!AP352</f>
        <v>KWS</v>
      </c>
      <c r="D364" s="26">
        <f>PE_aug!AF352</f>
        <v>66.193144494923629</v>
      </c>
      <c r="E364" s="27">
        <f>PE_aug!AL352</f>
        <v>2.4761081186304499</v>
      </c>
      <c r="F364" s="27">
        <f>PP!Z363</f>
        <v>0</v>
      </c>
      <c r="G364" s="27">
        <f>PS!Q363</f>
        <v>0</v>
      </c>
      <c r="H364" s="27">
        <f>PMMA!G363</f>
        <v>0</v>
      </c>
      <c r="I364" s="27">
        <f>PET_aug!P353</f>
        <v>0</v>
      </c>
      <c r="J364" s="27">
        <f>PA!G363</f>
        <v>0</v>
      </c>
      <c r="K364" s="27">
        <f>SBR!G304</f>
        <v>0</v>
      </c>
      <c r="L364" s="28">
        <f t="shared" si="5"/>
        <v>2.4761081186304499</v>
      </c>
    </row>
    <row r="365" spans="1:12">
      <c r="A365" s="24" t="str">
        <f>PE_aug!A353</f>
        <v>211118_KWS_E-FS_201030_2</v>
      </c>
      <c r="B365" s="319" t="str">
        <f>PE_aug!AP353</f>
        <v>KWS</v>
      </c>
      <c r="D365" s="26">
        <f>PE_aug!AF353</f>
        <v>62.316623691580631</v>
      </c>
      <c r="E365" s="27">
        <f>PE_aug!AL353</f>
        <v>2.0755201408437784</v>
      </c>
      <c r="F365" s="27">
        <f>PP!Z364</f>
        <v>0</v>
      </c>
      <c r="G365" s="27">
        <f>PS!Q364</f>
        <v>0</v>
      </c>
      <c r="H365" s="27">
        <f>PMMA!G364</f>
        <v>0</v>
      </c>
      <c r="I365" s="27">
        <f>PET_aug!P354</f>
        <v>0</v>
      </c>
      <c r="J365" s="27">
        <f>PA!G364</f>
        <v>0</v>
      </c>
      <c r="K365" s="27">
        <f>SBR!G305</f>
        <v>0</v>
      </c>
      <c r="L365" s="28">
        <f t="shared" si="5"/>
        <v>2.0755201408437784</v>
      </c>
    </row>
    <row r="366" spans="1:12">
      <c r="A366" s="24" t="str">
        <f>PE_aug!A354</f>
        <v>211118_KWS_E-FS_201030_3</v>
      </c>
      <c r="B366" s="319" t="str">
        <f>PE_aug!AP354</f>
        <v>KWS</v>
      </c>
      <c r="D366" s="26">
        <f>PE_aug!AF354</f>
        <v>41.649369016516218</v>
      </c>
      <c r="E366" s="27">
        <f>PE_aug!AL354</f>
        <v>3.3038810671898529</v>
      </c>
      <c r="F366" s="27">
        <f>PP!Z365</f>
        <v>0</v>
      </c>
      <c r="G366" s="27">
        <f>PS!Q365</f>
        <v>0</v>
      </c>
      <c r="H366" s="27">
        <f>PMMA!G365</f>
        <v>0</v>
      </c>
      <c r="I366" s="27">
        <f>PET_aug!P355</f>
        <v>0</v>
      </c>
      <c r="J366" s="27">
        <f>PA!G365</f>
        <v>0</v>
      </c>
      <c r="K366" s="27">
        <f>SBR!G306</f>
        <v>0</v>
      </c>
      <c r="L366" s="28">
        <f t="shared" si="5"/>
        <v>3.3038810671898529</v>
      </c>
    </row>
    <row r="367" spans="1:12">
      <c r="A367" s="24" t="str">
        <f>PE_aug!A355</f>
        <v>211118_KWS_Zul_SF_20102728_gr1mm_spike_PS</v>
      </c>
      <c r="B367" s="319" t="str">
        <f>PE_aug!AP355</f>
        <v>KWS, Methode</v>
      </c>
      <c r="D367" s="26">
        <f>PE_aug!AF355</f>
        <v>37.614213767218722</v>
      </c>
      <c r="E367" s="27">
        <f>PE_aug!AL355</f>
        <v>6.4520928387224759</v>
      </c>
      <c r="F367" s="27">
        <f>PP!Z366</f>
        <v>0</v>
      </c>
      <c r="G367" s="27">
        <f>PS!Q366</f>
        <v>12.514051444819151</v>
      </c>
      <c r="H367" s="27">
        <f>PMMA!G366</f>
        <v>0</v>
      </c>
      <c r="I367" s="27">
        <f>PET_aug!P356</f>
        <v>0</v>
      </c>
      <c r="J367" s="27">
        <f>PA!G366</f>
        <v>0</v>
      </c>
      <c r="K367" s="27">
        <f>SBR!G307</f>
        <v>0</v>
      </c>
      <c r="L367" s="28">
        <f t="shared" si="5"/>
        <v>18.966144283541627</v>
      </c>
    </row>
    <row r="368" spans="1:12">
      <c r="A368" s="24" t="str">
        <f>PE_aug!A356</f>
        <v>211118_Lippe_nach_KA_4_210519_1</v>
      </c>
      <c r="B368" s="319" t="str">
        <f>PE_aug!AP356</f>
        <v>Flussproben</v>
      </c>
      <c r="D368" s="26">
        <f>PE_aug!AF356</f>
        <v>24.205035537814783</v>
      </c>
      <c r="E368" s="27">
        <f>PE_aug!AL356</f>
        <v>1.4829175865229955</v>
      </c>
      <c r="F368" s="27">
        <f>PP!Z367</f>
        <v>0</v>
      </c>
      <c r="G368" s="27">
        <f>PS!Q367</f>
        <v>0</v>
      </c>
      <c r="H368" s="27">
        <f>PMMA!G367</f>
        <v>0</v>
      </c>
      <c r="I368" s="27">
        <f>PET_aug!P357</f>
        <v>0</v>
      </c>
      <c r="J368" s="27">
        <f>PA!G367</f>
        <v>0</v>
      </c>
      <c r="K368" s="27">
        <f>SBR!G308</f>
        <v>0</v>
      </c>
      <c r="L368" s="28">
        <f t="shared" si="5"/>
        <v>1.4829175865229955</v>
      </c>
    </row>
    <row r="369" spans="1:12">
      <c r="A369" s="24" t="str">
        <f>PE_aug!A357</f>
        <v>211118_Lippe_nach_KA_4_210519_2</v>
      </c>
      <c r="B369" s="319" t="str">
        <f>PE_aug!AP357</f>
        <v>Flussproben</v>
      </c>
      <c r="D369" s="26">
        <f>PE_aug!AF357</f>
        <v>30.322997042422472</v>
      </c>
      <c r="E369" s="27">
        <f>PE_aug!AL357</f>
        <v>1.2891139038113801</v>
      </c>
      <c r="F369" s="27">
        <f>PP!Z368</f>
        <v>0</v>
      </c>
      <c r="G369" s="27">
        <f>PS!Q368</f>
        <v>0</v>
      </c>
      <c r="H369" s="27">
        <f>PMMA!G368</f>
        <v>0</v>
      </c>
      <c r="I369" s="27">
        <f>PET_aug!P358</f>
        <v>0</v>
      </c>
      <c r="J369" s="27">
        <f>PA!G368</f>
        <v>0</v>
      </c>
      <c r="K369" s="27">
        <f>SBR!G309</f>
        <v>0</v>
      </c>
      <c r="L369" s="28">
        <f t="shared" si="5"/>
        <v>1.2891139038113801</v>
      </c>
    </row>
    <row r="370" spans="1:12">
      <c r="A370" s="24" t="str">
        <f>PE_aug!A358</f>
        <v>211118_Lippe_nach_KA_4_210519_3</v>
      </c>
      <c r="B370" s="319" t="str">
        <f>PE_aug!AP358</f>
        <v>Flussproben</v>
      </c>
      <c r="D370" s="26">
        <f>PE_aug!AF358</f>
        <v>36.797557964390194</v>
      </c>
      <c r="E370" s="27">
        <f>PE_aug!AL358</f>
        <v>1.6057272466272023</v>
      </c>
      <c r="F370" s="27">
        <f>PP!Z369</f>
        <v>0</v>
      </c>
      <c r="G370" s="27">
        <f>PS!Q369</f>
        <v>0</v>
      </c>
      <c r="H370" s="27">
        <f>PMMA!G369</f>
        <v>0</v>
      </c>
      <c r="I370" s="27">
        <f>PET_aug!P359</f>
        <v>0</v>
      </c>
      <c r="J370" s="27">
        <f>PA!G369</f>
        <v>0</v>
      </c>
      <c r="K370" s="27">
        <f>SBR!G310</f>
        <v>0</v>
      </c>
      <c r="L370" s="28">
        <f t="shared" si="5"/>
        <v>1.6057272466272023</v>
      </c>
    </row>
    <row r="371" spans="1:12">
      <c r="A371" s="24" t="str">
        <f>PE_aug!A359</f>
        <v>211118_Malchow_Zul_Filt_19081314_gr1mm_1</v>
      </c>
      <c r="B371" s="319" t="str">
        <f>PE_aug!AP359</f>
        <v>Kläranlagen</v>
      </c>
      <c r="D371" s="26">
        <f>PE_aug!AF359</f>
        <v>35.44479263773804</v>
      </c>
      <c r="E371" s="27">
        <f>PE_aug!AL359</f>
        <v>11.975897115971977</v>
      </c>
      <c r="F371" s="27">
        <f>PP!Z370</f>
        <v>0</v>
      </c>
      <c r="G371" s="27">
        <f>PS!Q370</f>
        <v>0</v>
      </c>
      <c r="H371" s="27">
        <f>PMMA!G370</f>
        <v>0</v>
      </c>
      <c r="I371" s="27">
        <f>PET_aug!P360</f>
        <v>0</v>
      </c>
      <c r="J371" s="27">
        <f>PA!G370</f>
        <v>0</v>
      </c>
      <c r="K371" s="27">
        <f>SBR!G311</f>
        <v>0</v>
      </c>
      <c r="L371" s="28">
        <f t="shared" si="5"/>
        <v>11.975897115971977</v>
      </c>
    </row>
    <row r="372" spans="1:12">
      <c r="A372" s="24" t="str">
        <f>PE_aug!A360</f>
        <v>211118_Malchow_Zul_Filt_19081314_gr1mm_2</v>
      </c>
      <c r="B372" s="319" t="str">
        <f>PE_aug!AP360</f>
        <v>Kläranlagen</v>
      </c>
      <c r="D372" s="26">
        <f>PE_aug!AF360</f>
        <v>55.652510983118688</v>
      </c>
      <c r="E372" s="27">
        <f>PE_aug!AL360</f>
        <v>-0.67032270770515079</v>
      </c>
      <c r="F372" s="27">
        <f>PP!Z371</f>
        <v>0</v>
      </c>
      <c r="G372" s="27">
        <f>PS!Q371</f>
        <v>0</v>
      </c>
      <c r="H372" s="27">
        <f>PMMA!G371</f>
        <v>0</v>
      </c>
      <c r="I372" s="27">
        <f>PET_aug!P361</f>
        <v>0</v>
      </c>
      <c r="J372" s="27">
        <f>PA!G371</f>
        <v>0</v>
      </c>
      <c r="K372" s="27">
        <f>SBR!G312</f>
        <v>0</v>
      </c>
      <c r="L372" s="28">
        <f t="shared" si="5"/>
        <v>-0.67032270770515079</v>
      </c>
    </row>
    <row r="373" spans="1:12">
      <c r="A373" s="24" t="str">
        <f>PE_aug!A361</f>
        <v>211118_Malchow_Zul_Filt_19081314_gr1mm_3</v>
      </c>
      <c r="B373" s="319" t="str">
        <f>PE_aug!AP361</f>
        <v>Kläranlagen</v>
      </c>
      <c r="D373" s="26">
        <f>PE_aug!AF361</f>
        <v>51.529864710373531</v>
      </c>
      <c r="E373" s="27">
        <f>PE_aug!AL361</f>
        <v>10.07246638962709</v>
      </c>
      <c r="F373" s="27">
        <f>PP!Z372</f>
        <v>0</v>
      </c>
      <c r="G373" s="27">
        <f>PS!Q372</f>
        <v>0</v>
      </c>
      <c r="H373" s="27">
        <f>PMMA!G372</f>
        <v>0</v>
      </c>
      <c r="I373" s="27">
        <f>PET_aug!P362</f>
        <v>0</v>
      </c>
      <c r="J373" s="27">
        <f>PA!G372</f>
        <v>0</v>
      </c>
      <c r="K373" s="27">
        <f>SBR!G313</f>
        <v>0</v>
      </c>
      <c r="L373" s="28">
        <f t="shared" si="5"/>
        <v>10.07246638962709</v>
      </c>
    </row>
    <row r="374" spans="1:12">
      <c r="A374" s="24" t="str">
        <f>PE_aug!A362</f>
        <v>211118_Münchehofe_Abl_SF_19102324_gr1mm_1</v>
      </c>
      <c r="B374" s="319" t="str">
        <f>PE_aug!AP362</f>
        <v>Münchehofe</v>
      </c>
      <c r="D374" s="26">
        <f>PE_aug!AF362</f>
        <v>52.610329252662339</v>
      </c>
      <c r="E374" s="27">
        <f>PE_aug!AL362</f>
        <v>8.5427916439472558</v>
      </c>
      <c r="F374" s="27">
        <f>PP!Z373</f>
        <v>1.0870138778956255</v>
      </c>
      <c r="G374" s="27">
        <f>PS!Q373</f>
        <v>0</v>
      </c>
      <c r="H374" s="27">
        <f>PMMA!G373</f>
        <v>0</v>
      </c>
      <c r="I374" s="27">
        <f>PET_aug!P363</f>
        <v>0</v>
      </c>
      <c r="J374" s="27">
        <f>PA!G373</f>
        <v>0</v>
      </c>
      <c r="K374" s="27">
        <f>SBR!G314</f>
        <v>0</v>
      </c>
      <c r="L374" s="28">
        <f t="shared" si="5"/>
        <v>9.6298055218428811</v>
      </c>
    </row>
    <row r="375" spans="1:12">
      <c r="A375" s="24" t="str">
        <f>PE_aug!A363</f>
        <v>211118_Münchehofe_Abl_SF_19102324_gr1mm_2</v>
      </c>
      <c r="B375" s="319" t="str">
        <f>PE_aug!AP363</f>
        <v>Münchehofe</v>
      </c>
      <c r="D375" s="26">
        <f>PE_aug!AF363</f>
        <v>17.653588886015431</v>
      </c>
      <c r="E375" s="27">
        <f>PE_aug!AL363</f>
        <v>9.5328007047160384</v>
      </c>
      <c r="F375" s="27">
        <f>PP!Z374</f>
        <v>0.39279254560617494</v>
      </c>
      <c r="G375" s="27">
        <f>PS!Q374</f>
        <v>0</v>
      </c>
      <c r="H375" s="27">
        <f>PMMA!G374</f>
        <v>0</v>
      </c>
      <c r="I375" s="27">
        <f>PET_aug!P364</f>
        <v>0</v>
      </c>
      <c r="J375" s="27">
        <f>PA!G374</f>
        <v>0</v>
      </c>
      <c r="K375" s="27">
        <f>SBR!G315</f>
        <v>0</v>
      </c>
      <c r="L375" s="28">
        <f t="shared" si="5"/>
        <v>9.9255932503222137</v>
      </c>
    </row>
    <row r="376" spans="1:12">
      <c r="A376" s="24" t="str">
        <f>PE_aug!A364</f>
        <v>211118_Münchehofe_Abl_SF_19102324_gr1mm_3</v>
      </c>
      <c r="B376" s="319" t="str">
        <f>PE_aug!AP364</f>
        <v>Münchehofe</v>
      </c>
      <c r="D376" s="26">
        <f>PE_aug!AF364</f>
        <v>38.024849313178251</v>
      </c>
      <c r="E376" s="27">
        <f>PE_aug!AL364</f>
        <v>8.694014048952809</v>
      </c>
      <c r="F376" s="27">
        <f>PP!Z375</f>
        <v>0.44760126413447937</v>
      </c>
      <c r="G376" s="27">
        <f>PS!Q375</f>
        <v>0</v>
      </c>
      <c r="H376" s="27">
        <f>PMMA!G375</f>
        <v>0</v>
      </c>
      <c r="I376" s="27">
        <f>PET_aug!P365</f>
        <v>0</v>
      </c>
      <c r="J376" s="27">
        <f>PA!G375</f>
        <v>0</v>
      </c>
      <c r="K376" s="27">
        <f>SBR!G316</f>
        <v>0</v>
      </c>
      <c r="L376" s="28">
        <f t="shared" si="5"/>
        <v>9.1416153130872893</v>
      </c>
    </row>
    <row r="377" spans="1:12">
      <c r="A377" s="24" t="str">
        <f>PE_aug!A365</f>
        <v>211118_Münchehofe_KA_Zul_19102930_gr1mm_1</v>
      </c>
      <c r="B377" s="319" t="str">
        <f>PE_aug!AP365</f>
        <v>Münchehofe</v>
      </c>
      <c r="D377" s="26">
        <f>PE_aug!AF365</f>
        <v>25.385724386144155</v>
      </c>
      <c r="E377" s="27">
        <f>PE_aug!AL365</f>
        <v>15.547736344017668</v>
      </c>
      <c r="F377" s="27">
        <f>PP!Z376</f>
        <v>4.4879855914617437</v>
      </c>
      <c r="G377" s="27">
        <f>PS!Q376</f>
        <v>0</v>
      </c>
      <c r="H377" s="27">
        <f>PMMA!G376</f>
        <v>0</v>
      </c>
      <c r="I377" s="27">
        <f>PET_aug!P366</f>
        <v>0</v>
      </c>
      <c r="J377" s="27">
        <f>PA!G376</f>
        <v>0</v>
      </c>
      <c r="K377" s="27">
        <f>SBR!G317</f>
        <v>0</v>
      </c>
      <c r="L377" s="28">
        <f t="shared" si="5"/>
        <v>20.035721935479412</v>
      </c>
    </row>
    <row r="378" spans="1:12">
      <c r="A378" s="24" t="str">
        <f>PE_aug!A366</f>
        <v>211118_Münchehofe_KA_Zul_19102930_gr1mm_2</v>
      </c>
      <c r="B378" s="319" t="str">
        <f>PE_aug!AP366</f>
        <v>Münchehofe</v>
      </c>
      <c r="D378" s="26">
        <f>PE_aug!AF366</f>
        <v>55.44084595303169</v>
      </c>
      <c r="E378" s="27">
        <f>PE_aug!AL366</f>
        <v>25.290375792794602</v>
      </c>
      <c r="F378" s="27">
        <f>PP!Z377</f>
        <v>8.179611476055987</v>
      </c>
      <c r="G378" s="27">
        <f>PS!Q377</f>
        <v>0</v>
      </c>
      <c r="H378" s="27">
        <f>PMMA!G377</f>
        <v>0</v>
      </c>
      <c r="I378" s="27">
        <f>PET_aug!P367</f>
        <v>0</v>
      </c>
      <c r="J378" s="27">
        <f>PA!G377</f>
        <v>0</v>
      </c>
      <c r="K378" s="27">
        <f>SBR!G318</f>
        <v>0</v>
      </c>
      <c r="L378" s="28">
        <f t="shared" si="5"/>
        <v>33.469987268850588</v>
      </c>
    </row>
    <row r="379" spans="1:12">
      <c r="A379" s="24" t="str">
        <f>PE_aug!A367</f>
        <v>211118_Münchehofe_KA_Zul_19102930_gr1mm_3</v>
      </c>
      <c r="B379" s="319" t="str">
        <f>PE_aug!AP367</f>
        <v>Münchehofe</v>
      </c>
      <c r="D379" s="26">
        <f>PE_aug!AF367</f>
        <v>30.658323130963016</v>
      </c>
      <c r="E379" s="27">
        <f>PE_aug!AL367</f>
        <v>23.457711211758159</v>
      </c>
      <c r="F379" s="27">
        <f>PP!Z378</f>
        <v>6.496481652895632</v>
      </c>
      <c r="G379" s="27">
        <f>PS!Q378</f>
        <v>0</v>
      </c>
      <c r="H379" s="27">
        <f>PMMA!G378</f>
        <v>0</v>
      </c>
      <c r="I379" s="27">
        <f>PET_aug!P368</f>
        <v>0</v>
      </c>
      <c r="J379" s="27">
        <f>PA!G378</f>
        <v>0</v>
      </c>
      <c r="K379" s="27">
        <f>SBR!G319</f>
        <v>0</v>
      </c>
      <c r="L379" s="28">
        <f t="shared" si="5"/>
        <v>29.954192864653791</v>
      </c>
    </row>
    <row r="380" spans="1:12">
      <c r="A380" s="24" t="str">
        <f>PE_aug!A368</f>
        <v>211118_RBF_Waltrop_Probe_2</v>
      </c>
      <c r="B380" s="319" t="str">
        <f>PE_aug!AP368</f>
        <v>RBF</v>
      </c>
      <c r="D380" s="26" t="e">
        <f>PE_aug!AF368</f>
        <v>#DIV/0!</v>
      </c>
      <c r="E380" s="27" t="str">
        <f>PE_aug!AL368</f>
        <v>n.d.</v>
      </c>
      <c r="F380" s="27">
        <f>PP!Z379</f>
        <v>60.329024415347433</v>
      </c>
      <c r="G380" s="27">
        <f>PS!Q379</f>
        <v>0</v>
      </c>
      <c r="H380" s="27">
        <f>PMMA!G379</f>
        <v>0</v>
      </c>
      <c r="I380" s="27">
        <f>PET_aug!P369</f>
        <v>0</v>
      </c>
      <c r="J380" s="27">
        <f>PA!G379</f>
        <v>0</v>
      </c>
      <c r="K380" s="27">
        <f>SBR!G320</f>
        <v>0</v>
      </c>
      <c r="L380" s="28">
        <f t="shared" si="5"/>
        <v>60.329024415347433</v>
      </c>
    </row>
    <row r="381" spans="1:12">
      <c r="A381" s="24" t="str">
        <f>PE_aug!A369</f>
        <v>211118_Standard_SBR</v>
      </c>
      <c r="B381" s="319" t="str">
        <f>PE_aug!AP369</f>
        <v>Methode</v>
      </c>
      <c r="D381" s="26" t="e">
        <f>PE_aug!AF369</f>
        <v>#DIV/0!</v>
      </c>
      <c r="E381" s="27" t="str">
        <f>PE_aug!AL369</f>
        <v>n.d.</v>
      </c>
      <c r="F381" s="27">
        <f>PP!Z380</f>
        <v>0</v>
      </c>
      <c r="G381" s="27">
        <f>PS!Q380</f>
        <v>740.17828326674214</v>
      </c>
      <c r="H381" s="27">
        <f>PMMA!G380</f>
        <v>0</v>
      </c>
      <c r="I381" s="27">
        <f>PET_aug!P370</f>
        <v>0</v>
      </c>
      <c r="J381" s="27">
        <f>PA!G380</f>
        <v>0</v>
      </c>
      <c r="K381" s="27">
        <f>SBR!G321</f>
        <v>0</v>
      </c>
      <c r="L381" s="28">
        <f t="shared" si="5"/>
        <v>740.17828326674214</v>
      </c>
    </row>
    <row r="382" spans="1:12">
      <c r="A382" s="24" t="str">
        <f>PE_aug!A370</f>
        <v>211118_Urban-Filters_TGA-Probe_1</v>
      </c>
      <c r="B382" s="319" t="str">
        <f>PE_aug!AP370</f>
        <v>Straßenabfluss</v>
      </c>
      <c r="D382" s="26">
        <f>PE_aug!AF370</f>
        <v>43.466836053094035</v>
      </c>
      <c r="E382" s="27">
        <f>PE_aug!AL370</f>
        <v>2.4163292096179654</v>
      </c>
      <c r="F382" s="27">
        <f>PP!Z381</f>
        <v>0</v>
      </c>
      <c r="G382" s="27">
        <f>PS!Q381</f>
        <v>0.27320835213520944</v>
      </c>
      <c r="H382" s="27">
        <f>PMMA!G381</f>
        <v>0</v>
      </c>
      <c r="I382" s="27">
        <f>PET_aug!P371</f>
        <v>0</v>
      </c>
      <c r="J382" s="27">
        <f>PA!G381</f>
        <v>0</v>
      </c>
      <c r="K382" s="27">
        <f>SBR!G322</f>
        <v>0</v>
      </c>
      <c r="L382" s="28">
        <f t="shared" si="5"/>
        <v>2.6895375617531747</v>
      </c>
    </row>
    <row r="383" spans="1:12">
      <c r="A383" s="24" t="str">
        <f>PE_aug!A371</f>
        <v>211118_Urban-Filters_TGA-Probe_2</v>
      </c>
      <c r="B383" s="319" t="str">
        <f>PE_aug!AP371</f>
        <v>Straßenabfluss</v>
      </c>
      <c r="D383" s="26">
        <f>PE_aug!AF371</f>
        <v>48.039449963440241</v>
      </c>
      <c r="E383" s="27">
        <f>PE_aug!AL371</f>
        <v>0.89873065876030789</v>
      </c>
      <c r="F383" s="27">
        <f>PP!Z382</f>
        <v>0</v>
      </c>
      <c r="G383" s="27">
        <f>PS!Q382</f>
        <v>0</v>
      </c>
      <c r="H383" s="27">
        <f>PMMA!G382</f>
        <v>0</v>
      </c>
      <c r="I383" s="27">
        <f>PET_aug!P372</f>
        <v>0</v>
      </c>
      <c r="J383" s="27">
        <f>PA!G382</f>
        <v>0</v>
      </c>
      <c r="K383" s="27">
        <f>SBR!G323</f>
        <v>0</v>
      </c>
      <c r="L383" s="28">
        <f t="shared" si="5"/>
        <v>0.89873065876030789</v>
      </c>
    </row>
    <row r="384" spans="1:12">
      <c r="A384" s="24" t="str">
        <f>PE_aug!A372</f>
        <v>211118_Waren_Zul_Filt_21061617_1</v>
      </c>
      <c r="B384" s="319" t="str">
        <f>PE_aug!AP372</f>
        <v>Kläranlagen</v>
      </c>
      <c r="D384" s="26">
        <f>PE_aug!AF372</f>
        <v>51.209415516706159</v>
      </c>
      <c r="E384" s="27">
        <f>PE_aug!AL372</f>
        <v>2.5989611526642382</v>
      </c>
      <c r="F384" s="27">
        <f>PP!Z383</f>
        <v>0</v>
      </c>
      <c r="G384" s="27">
        <f>PS!Q383</f>
        <v>0</v>
      </c>
      <c r="H384" s="27">
        <f>PMMA!G383</f>
        <v>0</v>
      </c>
      <c r="I384" s="27">
        <f>PET_aug!P373</f>
        <v>0</v>
      </c>
      <c r="J384" s="27">
        <f>PA!G383</f>
        <v>0</v>
      </c>
      <c r="K384" s="27">
        <f>SBR!G324</f>
        <v>0</v>
      </c>
      <c r="L384" s="28">
        <f t="shared" si="5"/>
        <v>2.5989611526642382</v>
      </c>
    </row>
    <row r="385" spans="1:12">
      <c r="A385" s="24" t="str">
        <f>PE_aug!A373</f>
        <v>211118_Waren_Zul_Filt_21061617_2</v>
      </c>
      <c r="B385" s="319" t="str">
        <f>PE_aug!AP373</f>
        <v>Kläranlagen</v>
      </c>
      <c r="D385" s="26">
        <f>PE_aug!AF373</f>
        <v>53.968324156691907</v>
      </c>
      <c r="E385" s="27">
        <f>PE_aug!AL373</f>
        <v>2.6443380401706773</v>
      </c>
      <c r="F385" s="27">
        <f>PP!Z384</f>
        <v>0</v>
      </c>
      <c r="G385" s="27">
        <f>PS!Q384</f>
        <v>0</v>
      </c>
      <c r="H385" s="27">
        <f>PMMA!G384</f>
        <v>0</v>
      </c>
      <c r="I385" s="27">
        <f>PET_aug!P374</f>
        <v>0</v>
      </c>
      <c r="J385" s="27">
        <f>PA!G384</f>
        <v>0</v>
      </c>
      <c r="K385" s="27">
        <f>SBR!G325</f>
        <v>0</v>
      </c>
      <c r="L385" s="28">
        <f t="shared" si="5"/>
        <v>2.6443380401706773</v>
      </c>
    </row>
    <row r="386" spans="1:12">
      <c r="A386" s="24" t="str">
        <f>PE_aug!A374</f>
        <v>211122_KWS_Abl_NK_20102728_gr1mm_1</v>
      </c>
      <c r="B386" s="319" t="str">
        <f>PE_aug!AP374</f>
        <v>KWS</v>
      </c>
      <c r="D386" s="26">
        <f>PE_aug!AF374</f>
        <v>54.936428509239541</v>
      </c>
      <c r="E386" s="27">
        <f>PE_aug!AL374</f>
        <v>1.3613175207723607</v>
      </c>
      <c r="F386" s="27">
        <f>PP!Z385</f>
        <v>0</v>
      </c>
      <c r="G386" s="27">
        <f>PS!Q385</f>
        <v>0</v>
      </c>
      <c r="H386" s="27">
        <f>PMMA!G385</f>
        <v>0</v>
      </c>
      <c r="I386" s="27">
        <f>PET_aug!P378</f>
        <v>0</v>
      </c>
      <c r="J386" s="27">
        <f>PA!G385</f>
        <v>0</v>
      </c>
      <c r="K386" s="27">
        <f>SBR!G326</f>
        <v>0</v>
      </c>
      <c r="L386" s="28">
        <f t="shared" si="5"/>
        <v>1.3613175207723607</v>
      </c>
    </row>
    <row r="387" spans="1:12">
      <c r="A387" s="24" t="str">
        <f>PE_aug!A375</f>
        <v>211122_KWS_Abl_NK_20102728_gr1mm_2</v>
      </c>
      <c r="B387" s="319" t="str">
        <f>PE_aug!AP375</f>
        <v>KWS</v>
      </c>
      <c r="D387" s="26">
        <f>PE_aug!AF375</f>
        <v>25.848896319203519</v>
      </c>
      <c r="E387" s="27">
        <f>PE_aug!AL375</f>
        <v>1.9105215926756984</v>
      </c>
      <c r="F387" s="27">
        <f>PP!Z386</f>
        <v>0</v>
      </c>
      <c r="G387" s="27">
        <f>PS!Q386</f>
        <v>0</v>
      </c>
      <c r="H387" s="27">
        <f>PMMA!G386</f>
        <v>0</v>
      </c>
      <c r="I387" s="27">
        <f>PET_aug!P379</f>
        <v>0</v>
      </c>
      <c r="J387" s="27">
        <f>PA!G386</f>
        <v>0</v>
      </c>
      <c r="K387" s="27">
        <f>SBR!G327</f>
        <v>0</v>
      </c>
      <c r="L387" s="28">
        <f t="shared" ref="L387:L425" si="6">SUM(E387:I387)</f>
        <v>1.9105215926756984</v>
      </c>
    </row>
    <row r="388" spans="1:12">
      <c r="A388" s="24" t="str">
        <f>PE_aug!A376</f>
        <v>211122_KWS_Abl_NK_20102728_gr1mm_3</v>
      </c>
      <c r="B388" s="319" t="str">
        <f>PE_aug!AP376</f>
        <v>KWS</v>
      </c>
      <c r="D388" s="26">
        <f>PE_aug!AF376</f>
        <v>57.325335414565906</v>
      </c>
      <c r="E388" s="27">
        <f>PE_aug!AL376</f>
        <v>0.93201066808861044</v>
      </c>
      <c r="F388" s="27">
        <f>PP!Z387</f>
        <v>0</v>
      </c>
      <c r="G388" s="27">
        <f>PS!Q387</f>
        <v>0</v>
      </c>
      <c r="H388" s="27">
        <f>PMMA!G387</f>
        <v>0</v>
      </c>
      <c r="I388" s="27">
        <f>PET_aug!P380</f>
        <v>0</v>
      </c>
      <c r="J388" s="27">
        <f>PA!G387</f>
        <v>0</v>
      </c>
      <c r="K388" s="27">
        <f>SBR!G328</f>
        <v>0</v>
      </c>
      <c r="L388" s="28">
        <f t="shared" si="6"/>
        <v>0.93201066808861044</v>
      </c>
    </row>
    <row r="389" spans="1:12">
      <c r="A389" s="24" t="str">
        <f>PE_aug!A377</f>
        <v>211122_KWS_Zul_SF_20102728_gr1mm_1</v>
      </c>
      <c r="B389" s="319" t="str">
        <f>PE_aug!AP377</f>
        <v>KWS</v>
      </c>
      <c r="D389" s="26">
        <f>PE_aug!AF377</f>
        <v>73.463499576542034</v>
      </c>
      <c r="E389" s="27">
        <f>PE_aug!AL377</f>
        <v>2.9459576910902352</v>
      </c>
      <c r="F389" s="27">
        <f>PP!Z388</f>
        <v>0</v>
      </c>
      <c r="G389" s="27">
        <f>PS!Q388</f>
        <v>0</v>
      </c>
      <c r="H389" s="27">
        <f>PMMA!G388</f>
        <v>0</v>
      </c>
      <c r="I389" s="27">
        <f>PET_aug!P381</f>
        <v>0</v>
      </c>
      <c r="J389" s="27">
        <f>PA!G388</f>
        <v>0</v>
      </c>
      <c r="K389" s="27">
        <f>SBR!G329</f>
        <v>0</v>
      </c>
      <c r="L389" s="28">
        <f t="shared" si="6"/>
        <v>2.9459576910902352</v>
      </c>
    </row>
    <row r="390" spans="1:12">
      <c r="A390" s="24" t="str">
        <f>PE_aug!A378</f>
        <v>211122_KWS_Zul_SF_20102728_gr1mm_2</v>
      </c>
      <c r="B390" s="319" t="str">
        <f>PE_aug!AP378</f>
        <v>KWS</v>
      </c>
      <c r="D390" s="26">
        <f>PE_aug!AF378</f>
        <v>43.509047848309947</v>
      </c>
      <c r="E390" s="27">
        <f>PE_aug!AL378</f>
        <v>4.5272636318159085</v>
      </c>
      <c r="F390" s="27">
        <f>PP!Z389</f>
        <v>0</v>
      </c>
      <c r="G390" s="27">
        <f>PS!Q389</f>
        <v>0</v>
      </c>
      <c r="H390" s="27">
        <f>PMMA!G389</f>
        <v>0</v>
      </c>
      <c r="I390" s="27">
        <f>PET_aug!P382</f>
        <v>0</v>
      </c>
      <c r="J390" s="27">
        <f>PA!G389</f>
        <v>0</v>
      </c>
      <c r="K390" s="27">
        <f>SBR!G330</f>
        <v>0</v>
      </c>
      <c r="L390" s="28">
        <f t="shared" si="6"/>
        <v>4.5272636318159085</v>
      </c>
    </row>
    <row r="391" spans="1:12">
      <c r="A391" s="24" t="str">
        <f>PE_aug!A379</f>
        <v>211122_KWS_Zul_SF_20102728_gr1mm_3</v>
      </c>
      <c r="B391" s="319" t="str">
        <f>PE_aug!AP379</f>
        <v>KWS</v>
      </c>
      <c r="D391" s="26">
        <f>PE_aug!AF379</f>
        <v>79.270936446207031</v>
      </c>
      <c r="E391" s="27">
        <f>PE_aug!AL379</f>
        <v>4.9530909524043079</v>
      </c>
      <c r="F391" s="27">
        <f>PP!Z390</f>
        <v>0</v>
      </c>
      <c r="G391" s="27">
        <f>PS!Q390</f>
        <v>0</v>
      </c>
      <c r="H391" s="27">
        <f>PMMA!G390</f>
        <v>0</v>
      </c>
      <c r="I391" s="27">
        <f>PET_aug!P383</f>
        <v>0</v>
      </c>
      <c r="J391" s="27">
        <f>PA!G390</f>
        <v>0</v>
      </c>
      <c r="K391" s="27">
        <f>SBR!G331</f>
        <v>0</v>
      </c>
      <c r="L391" s="28">
        <f t="shared" si="6"/>
        <v>4.9530909524043079</v>
      </c>
    </row>
    <row r="392" spans="1:12">
      <c r="A392" s="24" t="str">
        <f>PE_aug!A380</f>
        <v>211122_Lippe_nach_KA_4_210519_1</v>
      </c>
      <c r="B392" s="319" t="str">
        <f>PE_aug!AP380</f>
        <v>Flussproben</v>
      </c>
      <c r="D392" s="26">
        <f>PE_aug!AF380</f>
        <v>45.053639017472591</v>
      </c>
      <c r="E392" s="27">
        <f>PE_aug!AL380</f>
        <v>0.62335608591115199</v>
      </c>
      <c r="F392" s="27">
        <f>PP!Z391</f>
        <v>0</v>
      </c>
      <c r="G392" s="27">
        <f>PS!Q391</f>
        <v>0</v>
      </c>
      <c r="H392" s="27">
        <f>PMMA!G391</f>
        <v>0</v>
      </c>
      <c r="I392" s="27">
        <f>PET_aug!P384</f>
        <v>0</v>
      </c>
      <c r="J392" s="27">
        <f>PA!G391</f>
        <v>0</v>
      </c>
      <c r="K392" s="27">
        <f>SBR!G332</f>
        <v>0</v>
      </c>
      <c r="L392" s="28">
        <f t="shared" si="6"/>
        <v>0.62335608591115199</v>
      </c>
    </row>
    <row r="393" spans="1:12">
      <c r="A393" s="24" t="str">
        <f>PE_aug!A381</f>
        <v>211122_Lippe_nach_KA_4_210519_2</v>
      </c>
      <c r="B393" s="319" t="str">
        <f>PE_aug!AP381</f>
        <v>Flussproben</v>
      </c>
      <c r="D393" s="26">
        <f>PE_aug!AF381</f>
        <v>29.457915004141949</v>
      </c>
      <c r="E393" s="27">
        <f>PE_aug!AL381</f>
        <v>1.2123176411683607</v>
      </c>
      <c r="F393" s="27">
        <f>PP!Z392</f>
        <v>0</v>
      </c>
      <c r="G393" s="27">
        <f>PS!Q392</f>
        <v>0</v>
      </c>
      <c r="H393" s="27">
        <f>PMMA!G392</f>
        <v>0</v>
      </c>
      <c r="I393" s="27">
        <f>PET_aug!P385</f>
        <v>0</v>
      </c>
      <c r="J393" s="27">
        <f>PA!G392</f>
        <v>0</v>
      </c>
      <c r="K393" s="27">
        <f>SBR!G333</f>
        <v>0</v>
      </c>
      <c r="L393" s="28">
        <f t="shared" si="6"/>
        <v>1.2123176411683607</v>
      </c>
    </row>
    <row r="394" spans="1:12">
      <c r="A394" s="24" t="str">
        <f>PE_aug!A382</f>
        <v>211122_Lippe_nach_KA_4_210519_3</v>
      </c>
      <c r="B394" s="319" t="str">
        <f>PE_aug!AP382</f>
        <v>Flussproben</v>
      </c>
      <c r="D394" s="26">
        <f>PE_aug!AF382</f>
        <v>43.084574528582522</v>
      </c>
      <c r="E394" s="27">
        <f>PE_aug!AL382</f>
        <v>1.1026821126720865</v>
      </c>
      <c r="F394" s="27">
        <f>PP!Z393</f>
        <v>0</v>
      </c>
      <c r="G394" s="27">
        <f>PS!Q393</f>
        <v>0</v>
      </c>
      <c r="H394" s="27">
        <f>PMMA!G393</f>
        <v>0</v>
      </c>
      <c r="I394" s="27">
        <f>PET_aug!P386</f>
        <v>0</v>
      </c>
      <c r="J394" s="27">
        <f>PA!G393</f>
        <v>0</v>
      </c>
      <c r="K394" s="27">
        <f>SBR!G334</f>
        <v>0</v>
      </c>
      <c r="L394" s="28">
        <f t="shared" si="6"/>
        <v>1.1026821126720865</v>
      </c>
    </row>
    <row r="395" spans="1:12">
      <c r="A395" s="24" t="str">
        <f>PE_aug!A383</f>
        <v>211122_Lippe_nach_KA_4_210519_spike_PE</v>
      </c>
      <c r="B395" s="319" t="str">
        <f>PE_aug!AP383</f>
        <v>Flussproben, Methode</v>
      </c>
      <c r="D395" s="26">
        <f>PE_aug!AF383</f>
        <v>15.675890655907107</v>
      </c>
      <c r="E395" s="27">
        <f>PE_aug!AL383</f>
        <v>7.3261546105967872</v>
      </c>
      <c r="F395" s="27">
        <f>PP!Z394</f>
        <v>5.2879334693237094</v>
      </c>
      <c r="G395" s="27">
        <f>PS!Q394</f>
        <v>0</v>
      </c>
      <c r="H395" s="27">
        <f>PMMA!G394</f>
        <v>0</v>
      </c>
      <c r="I395" s="27">
        <f>PET_aug!P387</f>
        <v>0</v>
      </c>
      <c r="J395" s="27">
        <f>PA!G394</f>
        <v>0</v>
      </c>
      <c r="K395" s="27">
        <f>SBR!G335</f>
        <v>0</v>
      </c>
      <c r="L395" s="28">
        <f t="shared" si="6"/>
        <v>12.614088079920496</v>
      </c>
    </row>
    <row r="396" spans="1:12">
      <c r="A396" s="24" t="str">
        <f>PE_aug!A384</f>
        <v>211122_Standard_PET</v>
      </c>
      <c r="B396" s="319" t="str">
        <f>PE_aug!AP384</f>
        <v>Methode</v>
      </c>
      <c r="D396" s="26" t="e">
        <f>PE_aug!AF384</f>
        <v>#DIV/0!</v>
      </c>
      <c r="E396" s="27" t="str">
        <f>PE_aug!AL384</f>
        <v>n.d.</v>
      </c>
      <c r="F396" s="27">
        <f>PP!Z395</f>
        <v>0</v>
      </c>
      <c r="G396" s="27">
        <f>PS!Q395</f>
        <v>16.580256336026526</v>
      </c>
      <c r="H396" s="27">
        <f>PMMA!G395</f>
        <v>0</v>
      </c>
      <c r="I396" s="27">
        <f>PET_aug!P388</f>
        <v>946.51739423037156</v>
      </c>
      <c r="J396" s="27">
        <f>PA!G395</f>
        <v>0</v>
      </c>
      <c r="K396" s="27">
        <f>SBR!G336</f>
        <v>0</v>
      </c>
      <c r="L396" s="28">
        <f t="shared" si="6"/>
        <v>963.0976505663981</v>
      </c>
    </row>
    <row r="397" spans="1:12">
      <c r="A397" s="24" t="str">
        <f>PE_aug!A385</f>
        <v>211122_Standard_PP</v>
      </c>
      <c r="B397" s="319" t="str">
        <f>PE_aug!AP385</f>
        <v>Methode</v>
      </c>
      <c r="D397" s="26" t="e">
        <f>PE_aug!AF385</f>
        <v>#DIV/0!</v>
      </c>
      <c r="E397" s="27" t="str">
        <f>PE_aug!AL385</f>
        <v>n.d.</v>
      </c>
      <c r="F397" s="27">
        <f>PP!Z396</f>
        <v>733.57247320590523</v>
      </c>
      <c r="G397" s="27">
        <f>PS!Q396</f>
        <v>68.686016138303359</v>
      </c>
      <c r="H397" s="27">
        <f>PMMA!G396</f>
        <v>0</v>
      </c>
      <c r="I397" s="27">
        <f>PET_aug!P389</f>
        <v>0</v>
      </c>
      <c r="J397" s="27">
        <f>PA!G396</f>
        <v>0</v>
      </c>
      <c r="K397" s="27">
        <f>SBR!G337</f>
        <v>0</v>
      </c>
      <c r="L397" s="28">
        <f t="shared" si="6"/>
        <v>802.25848934420856</v>
      </c>
    </row>
    <row r="398" spans="1:12">
      <c r="A398" s="24" t="str">
        <f>PE_aug!A386</f>
        <v>211122_Urban-Filters_TGA-Probe_1</v>
      </c>
      <c r="B398" s="319" t="str">
        <f>PE_aug!AP386</f>
        <v>Straßenabfluss</v>
      </c>
      <c r="D398" s="26">
        <f>PE_aug!AF386</f>
        <v>38.765130298924106</v>
      </c>
      <c r="E398" s="27">
        <f>PE_aug!AL386</f>
        <v>0.92236144098530848</v>
      </c>
      <c r="F398" s="27">
        <f>PP!Z397</f>
        <v>0</v>
      </c>
      <c r="G398" s="27">
        <f>PS!Q397</f>
        <v>0</v>
      </c>
      <c r="H398" s="27">
        <f>PMMA!G397</f>
        <v>0</v>
      </c>
      <c r="I398" s="27">
        <f>PET_aug!P390</f>
        <v>0</v>
      </c>
      <c r="J398" s="27">
        <f>PA!G397</f>
        <v>0</v>
      </c>
      <c r="K398" s="27">
        <f>SBR!G338</f>
        <v>0</v>
      </c>
      <c r="L398" s="28">
        <f t="shared" si="6"/>
        <v>0.92236144098530848</v>
      </c>
    </row>
    <row r="399" spans="1:12">
      <c r="A399" s="24" t="str">
        <f>PE_aug!A387</f>
        <v>211122_Urban-Filters_TGA-Probe_2</v>
      </c>
      <c r="B399" s="319" t="str">
        <f>PE_aug!AP387</f>
        <v>Straßenabfluss</v>
      </c>
      <c r="D399" s="26">
        <f>PE_aug!AF387</f>
        <v>42.606745575793134</v>
      </c>
      <c r="E399" s="27">
        <f>PE_aug!AL387</f>
        <v>0.54584320722445745</v>
      </c>
      <c r="F399" s="27">
        <f>PP!Z398</f>
        <v>0</v>
      </c>
      <c r="G399" s="27">
        <f>PS!Q398</f>
        <v>7.3584390614429659E-2</v>
      </c>
      <c r="H399" s="27">
        <f>PMMA!G398</f>
        <v>0</v>
      </c>
      <c r="I399" s="27">
        <f>PET_aug!P391</f>
        <v>0</v>
      </c>
      <c r="J399" s="27">
        <f>PA!G398</f>
        <v>0</v>
      </c>
      <c r="K399" s="27">
        <f>SBR!G339</f>
        <v>0</v>
      </c>
      <c r="L399" s="28">
        <f t="shared" si="6"/>
        <v>0.61942759783888712</v>
      </c>
    </row>
    <row r="400" spans="1:12">
      <c r="A400" s="24" t="str">
        <f>PE_aug!A388</f>
        <v>211124_KWS_Abl_Bio_20102728_spike_B2_1</v>
      </c>
      <c r="B400" s="319" t="str">
        <f>PE_aug!AP388</f>
        <v>KWS, Methode</v>
      </c>
      <c r="D400" s="26">
        <f>PE_aug!AF388</f>
        <v>30.701412568269891</v>
      </c>
      <c r="E400" s="27">
        <f>PE_aug!AL388</f>
        <v>6.0971923114157907</v>
      </c>
      <c r="F400" s="27">
        <f>PP!Z399</f>
        <v>4.8744111452687955</v>
      </c>
      <c r="G400" s="27">
        <f>PS!Q399</f>
        <v>3.6145040468636118</v>
      </c>
      <c r="H400" s="27">
        <f>PMMA!G399</f>
        <v>11.455610536640966</v>
      </c>
      <c r="I400" s="27">
        <f>PET_aug!P398</f>
        <v>4.032616021963209</v>
      </c>
      <c r="J400" s="27">
        <f>PA!G399</f>
        <v>2.990349997534071</v>
      </c>
      <c r="K400" s="27">
        <f>SBR!G340</f>
        <v>0</v>
      </c>
      <c r="L400" s="28">
        <f t="shared" si="6"/>
        <v>30.074334062152374</v>
      </c>
    </row>
    <row r="401" spans="1:12">
      <c r="A401" s="24" t="str">
        <f>PE_aug!A389</f>
        <v>211124_KWS_Abl_Bio_20102728_spike_B2_2</v>
      </c>
      <c r="B401" s="319" t="str">
        <f>PE_aug!AP389</f>
        <v>KWS, Methode</v>
      </c>
      <c r="D401" s="26">
        <f>PE_aug!AF389</f>
        <v>36.71127156232528</v>
      </c>
      <c r="E401" s="27">
        <f>PE_aug!AL389</f>
        <v>6.1489118434286354</v>
      </c>
      <c r="F401" s="27">
        <f>PP!Z400</f>
        <v>2.9925534249986079</v>
      </c>
      <c r="G401" s="27">
        <f>PS!Q400</f>
        <v>3.9146117330240693</v>
      </c>
      <c r="H401" s="27">
        <f>PMMA!G400</f>
        <v>13.493272528919771</v>
      </c>
      <c r="I401" s="27">
        <f>PET_aug!P399</f>
        <v>9.6110941845951245</v>
      </c>
      <c r="J401" s="27">
        <f>PA!G400</f>
        <v>5.7977139375116717</v>
      </c>
      <c r="K401" s="27">
        <f>SBR!G341</f>
        <v>0</v>
      </c>
      <c r="L401" s="28">
        <f t="shared" si="6"/>
        <v>36.160443714966206</v>
      </c>
    </row>
    <row r="402" spans="1:12">
      <c r="A402" s="24" t="str">
        <f>PE_aug!A390</f>
        <v>211124_KWS_FS_201028_spike_B2_1</v>
      </c>
      <c r="B402" s="319" t="str">
        <f>PE_aug!AP390</f>
        <v>KWS, Methode</v>
      </c>
      <c r="D402" s="26">
        <f>PE_aug!AF390</f>
        <v>32.42099752956554</v>
      </c>
      <c r="E402" s="27">
        <f>PE_aug!AL390</f>
        <v>10.155079087857503</v>
      </c>
      <c r="F402" s="27">
        <f>PP!Z401</f>
        <v>9.384638252015904</v>
      </c>
      <c r="G402" s="27">
        <f>PS!Q401</f>
        <v>4.9319980677046562</v>
      </c>
      <c r="H402" s="27">
        <f>PMMA!G401</f>
        <v>6.3830775519304366</v>
      </c>
      <c r="I402" s="27">
        <f>PET_aug!P400</f>
        <v>6.0988071792203939</v>
      </c>
      <c r="J402" s="27">
        <f>PA!G401</f>
        <v>0</v>
      </c>
      <c r="K402" s="27">
        <f>SBR!G342</f>
        <v>0</v>
      </c>
      <c r="L402" s="28">
        <f t="shared" si="6"/>
        <v>36.953600138728888</v>
      </c>
    </row>
    <row r="403" spans="1:12">
      <c r="A403" s="24" t="str">
        <f>PE_aug!A391</f>
        <v>211124_KWS_FS_201028_spike_B2_2</v>
      </c>
      <c r="B403" s="319" t="str">
        <f>PE_aug!AP391</f>
        <v>KWS, Methode</v>
      </c>
      <c r="D403" s="26">
        <f>PE_aug!AF391</f>
        <v>31.057652637239197</v>
      </c>
      <c r="E403" s="27">
        <f>PE_aug!AL391</f>
        <v>11.028095060469255</v>
      </c>
      <c r="F403" s="27">
        <f>PP!Z402</f>
        <v>7.8942357063751611</v>
      </c>
      <c r="G403" s="27">
        <f>PS!Q402</f>
        <v>5.4161466975818486</v>
      </c>
      <c r="H403" s="27">
        <f>PMMA!G402</f>
        <v>8.2447372106193892</v>
      </c>
      <c r="I403" s="27">
        <f>PET_aug!P401</f>
        <v>5.2122899004757484</v>
      </c>
      <c r="J403" s="27">
        <f>PA!G402</f>
        <v>4.0188911429488474</v>
      </c>
      <c r="K403" s="27">
        <f>SBR!G343</f>
        <v>0</v>
      </c>
      <c r="L403" s="28">
        <f t="shared" si="6"/>
        <v>37.795504575521399</v>
      </c>
    </row>
    <row r="404" spans="1:12">
      <c r="A404" s="24" t="str">
        <f>PE_aug!A392</f>
        <v>211124_KWS_FS_201028_spike_B2_3</v>
      </c>
      <c r="B404" s="319" t="str">
        <f>PE_aug!AP392</f>
        <v>KWS, Methode</v>
      </c>
      <c r="D404" s="26">
        <f>PE_aug!AF392</f>
        <v>32.423701641874509</v>
      </c>
      <c r="E404" s="27">
        <f>PE_aug!AL392</f>
        <v>14.330133791512127</v>
      </c>
      <c r="F404" s="27">
        <f>PP!Z403</f>
        <v>9.9616715816254899</v>
      </c>
      <c r="G404" s="27">
        <f>PS!Q403</f>
        <v>5.5952056435291881</v>
      </c>
      <c r="H404" s="27">
        <f>PMMA!G403</f>
        <v>6.7149076070345872</v>
      </c>
      <c r="I404" s="27">
        <f>PET_aug!P402</f>
        <v>5.7732180176608097</v>
      </c>
      <c r="J404" s="27">
        <f>PA!G403</f>
        <v>3.911315969898975</v>
      </c>
      <c r="K404" s="27">
        <f>SBR!G344</f>
        <v>0</v>
      </c>
      <c r="L404" s="28">
        <f t="shared" si="6"/>
        <v>42.375136641362204</v>
      </c>
    </row>
    <row r="405" spans="1:12">
      <c r="A405" s="24" t="str">
        <f>PE_aug!A393</f>
        <v>211124_KWS_UESS_201028_spike_B2_1</v>
      </c>
      <c r="B405" s="319" t="str">
        <f>PE_aug!AP393</f>
        <v>KWS, Methode</v>
      </c>
      <c r="D405" s="26">
        <f>PE_aug!AF393</f>
        <v>34.267782622927029</v>
      </c>
      <c r="E405" s="27">
        <f>PE_aug!AL393</f>
        <v>10.493927710607277</v>
      </c>
      <c r="F405" s="27">
        <f>PP!Z404</f>
        <v>14.47057507528104</v>
      </c>
      <c r="G405" s="27">
        <f>PS!Q404</f>
        <v>3.6783197141606729</v>
      </c>
      <c r="H405" s="27">
        <f>PMMA!G404</f>
        <v>14.805951284513334</v>
      </c>
      <c r="I405" s="27">
        <f>PET_aug!P403</f>
        <v>13.813090735696603</v>
      </c>
      <c r="J405" s="27">
        <f>PA!G404</f>
        <v>0</v>
      </c>
      <c r="K405" s="27">
        <f>SBR!G345</f>
        <v>0</v>
      </c>
      <c r="L405" s="28">
        <f t="shared" si="6"/>
        <v>57.261864520258925</v>
      </c>
    </row>
    <row r="406" spans="1:12">
      <c r="A406" s="24" t="str">
        <f>PE_aug!A394</f>
        <v>211124_KWS_UESS_201028_spike_B2_2</v>
      </c>
      <c r="B406" s="319" t="str">
        <f>PE_aug!AP394</f>
        <v>KWS, Methode</v>
      </c>
      <c r="D406" s="26">
        <f>PE_aug!AF394</f>
        <v>35.262521470842117</v>
      </c>
      <c r="E406" s="27">
        <f>PE_aug!AL394</f>
        <v>5.6428143985451396</v>
      </c>
      <c r="F406" s="27">
        <f>PP!Z405</f>
        <v>4.6830338523175783</v>
      </c>
      <c r="G406" s="27">
        <f>PS!Q405</f>
        <v>4.2320401471534757</v>
      </c>
      <c r="H406" s="27">
        <f>PMMA!G405</f>
        <v>11.454062581911879</v>
      </c>
      <c r="I406" s="27">
        <f>PET_aug!P404</f>
        <v>13.880950379152646</v>
      </c>
      <c r="J406" s="27">
        <f>PA!G405</f>
        <v>0</v>
      </c>
      <c r="K406" s="27">
        <f>SBR!G346</f>
        <v>0</v>
      </c>
      <c r="L406" s="28">
        <f t="shared" si="6"/>
        <v>39.892901359080717</v>
      </c>
    </row>
    <row r="407" spans="1:12">
      <c r="A407" s="24" t="str">
        <f>PE_aug!A395</f>
        <v>211124_KWS_UESS_201028_spike_B2_3</v>
      </c>
      <c r="B407" s="319" t="str">
        <f>PE_aug!AP395</f>
        <v>KWS, Methode</v>
      </c>
      <c r="D407" s="26">
        <f>PE_aug!AF395</f>
        <v>35.86850468710476</v>
      </c>
      <c r="E407" s="27">
        <f>PE_aug!AL395</f>
        <v>10.286870346732137</v>
      </c>
      <c r="F407" s="27">
        <f>PP!Z406</f>
        <v>13.216381133102821</v>
      </c>
      <c r="G407" s="27">
        <f>PS!Q406</f>
        <v>5.1660137623428266</v>
      </c>
      <c r="H407" s="27">
        <f>PMMA!G406</f>
        <v>10.415168899257107</v>
      </c>
      <c r="I407" s="27">
        <f>PET_aug!P405</f>
        <v>8.0324349174210532</v>
      </c>
      <c r="J407" s="27">
        <f>PA!G406</f>
        <v>0</v>
      </c>
      <c r="K407" s="27">
        <f>SBR!G347</f>
        <v>0</v>
      </c>
      <c r="L407" s="28">
        <f t="shared" si="6"/>
        <v>47.116869058855954</v>
      </c>
    </row>
    <row r="408" spans="1:12">
      <c r="A408" s="24" t="str">
        <f>PE_aug!A396</f>
        <v>211124_Malchow_Zul_KA_19081314_gr1mm_1</v>
      </c>
      <c r="B408" s="319" t="str">
        <f>PE_aug!AP396</f>
        <v>Kläranlagen</v>
      </c>
      <c r="D408" s="26">
        <f>PE_aug!AF396</f>
        <v>55.56734502055621</v>
      </c>
      <c r="E408" s="27">
        <f>PE_aug!AL396</f>
        <v>8.4263670454980275</v>
      </c>
      <c r="F408" s="27">
        <f>PP!Z407</f>
        <v>0</v>
      </c>
      <c r="G408" s="27">
        <f>PS!Q407</f>
        <v>0</v>
      </c>
      <c r="H408" s="27">
        <f>PMMA!G407</f>
        <v>0</v>
      </c>
      <c r="I408" s="27">
        <f>PET_aug!P406</f>
        <v>0</v>
      </c>
      <c r="J408" s="27">
        <f>PA!G407</f>
        <v>0</v>
      </c>
      <c r="K408" s="27">
        <f>SBR!G348</f>
        <v>0</v>
      </c>
      <c r="L408" s="28">
        <f t="shared" si="6"/>
        <v>8.4263670454980275</v>
      </c>
    </row>
    <row r="409" spans="1:12">
      <c r="A409" s="24" t="str">
        <f>PE_aug!A397</f>
        <v>211124_Malchow_Zul_KA_19081314_gr1mm_2</v>
      </c>
      <c r="B409" s="319" t="str">
        <f>PE_aug!AP397</f>
        <v>Kläranlagen</v>
      </c>
      <c r="D409" s="26">
        <f>PE_aug!AF397</f>
        <v>69.850296224804225</v>
      </c>
      <c r="E409" s="27">
        <f>PE_aug!AL397</f>
        <v>6.1670204242279407</v>
      </c>
      <c r="F409" s="27">
        <f>PP!Z408</f>
        <v>0</v>
      </c>
      <c r="G409" s="27">
        <f>PS!Q408</f>
        <v>0</v>
      </c>
      <c r="H409" s="27">
        <f>PMMA!G408</f>
        <v>0</v>
      </c>
      <c r="I409" s="27">
        <f>PET_aug!P407</f>
        <v>0</v>
      </c>
      <c r="J409" s="27">
        <f>PA!G408</f>
        <v>0</v>
      </c>
      <c r="K409" s="27">
        <f>SBR!G349</f>
        <v>0</v>
      </c>
      <c r="L409" s="28">
        <f t="shared" si="6"/>
        <v>6.1670204242279407</v>
      </c>
    </row>
    <row r="410" spans="1:12">
      <c r="A410" s="24" t="str">
        <f>PE_aug!A398</f>
        <v>211124_Malchow_Zul_KA_19081314_gr1mm_3</v>
      </c>
      <c r="B410" s="319" t="str">
        <f>PE_aug!AP398</f>
        <v>Kläranlagen</v>
      </c>
      <c r="D410" s="26">
        <f>PE_aug!AF398</f>
        <v>69.677440052080712</v>
      </c>
      <c r="E410" s="27">
        <f>PE_aug!AL398</f>
        <v>4.8208472138098131</v>
      </c>
      <c r="F410" s="27">
        <f>PP!Z409</f>
        <v>0</v>
      </c>
      <c r="G410" s="27">
        <f>PS!Q409</f>
        <v>0</v>
      </c>
      <c r="H410" s="27">
        <f>PMMA!G409</f>
        <v>0</v>
      </c>
      <c r="I410" s="27">
        <f>PET_aug!P408</f>
        <v>0</v>
      </c>
      <c r="J410" s="27">
        <f>PA!G409</f>
        <v>0</v>
      </c>
      <c r="K410" s="27">
        <f>SBR!G350</f>
        <v>0</v>
      </c>
      <c r="L410" s="28">
        <f t="shared" si="6"/>
        <v>4.8208472138098131</v>
      </c>
    </row>
    <row r="411" spans="1:12">
      <c r="A411" s="24" t="str">
        <f>PE_aug!A399</f>
        <v>211124_WEB_4A_211014_1</v>
      </c>
      <c r="B411" s="319" t="str">
        <f>PE_aug!AP399</f>
        <v>Straßenabfluss</v>
      </c>
      <c r="D411" s="26" t="e">
        <f>PE_aug!AF399</f>
        <v>#DIV/0!</v>
      </c>
      <c r="E411" s="27" t="str">
        <f>PE_aug!AL399</f>
        <v>n.d.</v>
      </c>
      <c r="F411" s="27">
        <f>PP!Z410</f>
        <v>0</v>
      </c>
      <c r="G411" s="27">
        <f>PS!Q410</f>
        <v>0.27330535020674102</v>
      </c>
      <c r="H411" s="27">
        <f>PMMA!G410</f>
        <v>0</v>
      </c>
      <c r="I411" s="27">
        <f>PET_aug!P409</f>
        <v>0</v>
      </c>
      <c r="J411" s="27">
        <f>PA!G410</f>
        <v>0</v>
      </c>
      <c r="K411" s="27">
        <f>SBR!G351</f>
        <v>0</v>
      </c>
      <c r="L411" s="28">
        <f t="shared" si="6"/>
        <v>0.27330535020674102</v>
      </c>
    </row>
    <row r="412" spans="1:12">
      <c r="A412" s="24" t="str">
        <f>PE_aug!A400</f>
        <v>211124_WEB_4A_211014_2</v>
      </c>
      <c r="B412" s="319" t="str">
        <f>PE_aug!AP400</f>
        <v>Straßenabfluss</v>
      </c>
      <c r="D412" s="26" t="e">
        <f>PE_aug!AF400</f>
        <v>#DIV/0!</v>
      </c>
      <c r="E412" s="27" t="str">
        <f>PE_aug!AL400</f>
        <v>n.d.</v>
      </c>
      <c r="F412" s="27">
        <f>PP!Z411</f>
        <v>0</v>
      </c>
      <c r="G412" s="27">
        <f>PS!Q411</f>
        <v>0</v>
      </c>
      <c r="H412" s="27">
        <f>PMMA!G411</f>
        <v>0</v>
      </c>
      <c r="I412" s="27">
        <f>PET_aug!P410</f>
        <v>0</v>
      </c>
      <c r="J412" s="27">
        <f>PA!G411</f>
        <v>0</v>
      </c>
      <c r="K412" s="27">
        <f>SBR!G352</f>
        <v>0</v>
      </c>
      <c r="L412" s="28">
        <f t="shared" si="6"/>
        <v>0</v>
      </c>
    </row>
    <row r="413" spans="1:12">
      <c r="A413" s="24" t="str">
        <f>PE_aug!A401</f>
        <v>211124_WEB_4A_211014_3</v>
      </c>
      <c r="B413" s="319" t="str">
        <f>PE_aug!AP401</f>
        <v>Straßenabfluss</v>
      </c>
      <c r="D413" s="26" t="e">
        <f>PE_aug!AF401</f>
        <v>#DIV/0!</v>
      </c>
      <c r="E413" s="27" t="str">
        <f>PE_aug!AL401</f>
        <v>n.d.</v>
      </c>
      <c r="F413" s="27">
        <f>PP!Z412</f>
        <v>0</v>
      </c>
      <c r="G413" s="27">
        <f>PS!Q412</f>
        <v>0.23919792355845079</v>
      </c>
      <c r="H413" s="27">
        <f>PMMA!G412</f>
        <v>0</v>
      </c>
      <c r="I413" s="27">
        <f>PET_aug!P411</f>
        <v>0</v>
      </c>
      <c r="J413" s="27">
        <f>PA!G412</f>
        <v>0</v>
      </c>
      <c r="K413" s="27">
        <f>SBR!G353</f>
        <v>0</v>
      </c>
      <c r="L413" s="28">
        <f t="shared" si="6"/>
        <v>0.23919792355845079</v>
      </c>
    </row>
    <row r="414" spans="1:12">
      <c r="A414" s="24" t="str">
        <f>PE_aug!A402</f>
        <v>211101_BP2_1-1_1</v>
      </c>
      <c r="B414" s="319" t="str">
        <f>PE_aug!AP402</f>
        <v>Bodenproben</v>
      </c>
      <c r="D414" s="26" t="e">
        <f>PE_aug!AF402</f>
        <v>#DIV/0!</v>
      </c>
      <c r="E414" s="27" t="str">
        <f>PE_aug!AL402</f>
        <v>n.d.</v>
      </c>
      <c r="F414" s="27">
        <f>PP!Z413</f>
        <v>0</v>
      </c>
      <c r="G414" s="27">
        <f>PS!Q413</f>
        <v>0</v>
      </c>
      <c r="H414" s="27">
        <f>PMMA!G413</f>
        <v>0</v>
      </c>
      <c r="I414" s="27">
        <f>PET_aug!P412</f>
        <v>0</v>
      </c>
      <c r="J414" s="27">
        <f>PA!G413</f>
        <v>0</v>
      </c>
      <c r="K414" s="27">
        <f>SBR!G354</f>
        <v>0</v>
      </c>
      <c r="L414" s="28">
        <f t="shared" si="6"/>
        <v>0</v>
      </c>
    </row>
    <row r="415" spans="1:12">
      <c r="A415" s="24" t="str">
        <f>PE_aug!A403</f>
        <v>211101_BP2_1-1_2</v>
      </c>
      <c r="B415" s="319" t="str">
        <f>PE_aug!AP403</f>
        <v>Bodenproben</v>
      </c>
      <c r="D415" s="26">
        <f>PE_aug!AF403</f>
        <v>31.075741736729039</v>
      </c>
      <c r="E415" s="27">
        <f>PE_aug!AL403</f>
        <v>0.43692765469889611</v>
      </c>
      <c r="F415" s="27">
        <f>PP!Z414</f>
        <v>0</v>
      </c>
      <c r="G415" s="27">
        <f>PS!Q414</f>
        <v>0</v>
      </c>
      <c r="H415" s="27">
        <f>PMMA!G414</f>
        <v>0</v>
      </c>
      <c r="I415" s="27">
        <f>PET_aug!P413</f>
        <v>0</v>
      </c>
      <c r="J415" s="27">
        <f>PA!G414</f>
        <v>0</v>
      </c>
      <c r="K415" s="27">
        <f>SBR!G355</f>
        <v>0</v>
      </c>
      <c r="L415" s="28">
        <f t="shared" si="6"/>
        <v>0.43692765469889611</v>
      </c>
    </row>
    <row r="416" spans="1:12">
      <c r="A416" s="24" t="str">
        <f>PE_aug!A404</f>
        <v>211101_BP2_1-2_1</v>
      </c>
      <c r="B416" s="319" t="str">
        <f>PE_aug!AP404</f>
        <v>Bodenproben</v>
      </c>
      <c r="D416" s="26">
        <f>PE_aug!AF404</f>
        <v>30.740811562747744</v>
      </c>
      <c r="E416" s="27">
        <f>PE_aug!AL404</f>
        <v>1.0016424331819864</v>
      </c>
      <c r="F416" s="27">
        <f>PP!Z415</f>
        <v>0</v>
      </c>
      <c r="G416" s="27">
        <f>PS!Q415</f>
        <v>0</v>
      </c>
      <c r="H416" s="27">
        <f>PMMA!G415</f>
        <v>0</v>
      </c>
      <c r="I416" s="27">
        <f>PET_aug!P414</f>
        <v>0</v>
      </c>
      <c r="J416" s="27">
        <f>PA!G415</f>
        <v>0</v>
      </c>
      <c r="K416" s="27">
        <f>SBR!G356</f>
        <v>0</v>
      </c>
      <c r="L416" s="28">
        <f t="shared" si="6"/>
        <v>1.0016424331819864</v>
      </c>
    </row>
    <row r="417" spans="1:12">
      <c r="A417" s="24" t="str">
        <f>PE_aug!A405</f>
        <v>211101_BP2_1-2_2</v>
      </c>
      <c r="B417" s="319" t="str">
        <f>PE_aug!AP405</f>
        <v>Bodenproben</v>
      </c>
      <c r="D417" s="26">
        <f>PE_aug!AF405</f>
        <v>29.496239892168113</v>
      </c>
      <c r="E417" s="27">
        <f>PE_aug!AL405</f>
        <v>0.48737858429237002</v>
      </c>
      <c r="F417" s="27">
        <f>PP!Z416</f>
        <v>0</v>
      </c>
      <c r="G417" s="27">
        <f>PS!Q416</f>
        <v>0</v>
      </c>
      <c r="H417" s="27">
        <f>PMMA!G416</f>
        <v>0</v>
      </c>
      <c r="I417" s="27">
        <f>PET_aug!P415</f>
        <v>0</v>
      </c>
      <c r="J417" s="27">
        <f>PA!G416</f>
        <v>0</v>
      </c>
      <c r="K417" s="27">
        <f>SBR!G357</f>
        <v>0</v>
      </c>
      <c r="L417" s="28">
        <f t="shared" si="6"/>
        <v>0.48737858429237002</v>
      </c>
    </row>
    <row r="418" spans="1:12">
      <c r="A418" s="24" t="str">
        <f>PE_aug!A406</f>
        <v>211101_BP2_1-3_1</v>
      </c>
      <c r="B418" s="319" t="str">
        <f>PE_aug!AP406</f>
        <v>Bodenproben</v>
      </c>
      <c r="D418" s="26">
        <f>PE_aug!AF406</f>
        <v>33.03567427219253</v>
      </c>
      <c r="E418" s="27">
        <f>PE_aug!AL406</f>
        <v>0.69802937473888838</v>
      </c>
      <c r="F418" s="27">
        <f>PP!Z417</f>
        <v>0</v>
      </c>
      <c r="G418" s="27">
        <f>PS!Q417</f>
        <v>0</v>
      </c>
      <c r="H418" s="27">
        <f>PMMA!G417</f>
        <v>0</v>
      </c>
      <c r="I418" s="27">
        <f>PET_aug!P416</f>
        <v>0</v>
      </c>
      <c r="J418" s="27">
        <f>PA!G417</f>
        <v>0</v>
      </c>
      <c r="K418" s="27">
        <f>SBR!G358</f>
        <v>0</v>
      </c>
      <c r="L418" s="28">
        <f t="shared" si="6"/>
        <v>0.69802937473888838</v>
      </c>
    </row>
    <row r="419" spans="1:12">
      <c r="A419" s="24" t="str">
        <f>PE_aug!A407</f>
        <v>211101_BP2_1-3_2</v>
      </c>
      <c r="B419" s="319" t="str">
        <f>PE_aug!AP407</f>
        <v>Bodenproben</v>
      </c>
      <c r="D419" s="26">
        <f>PE_aug!AF407</f>
        <v>37.79206277405558</v>
      </c>
      <c r="E419" s="27">
        <f>PE_aug!AL407</f>
        <v>0.60900308734189823</v>
      </c>
      <c r="F419" s="27">
        <f>PP!Z418</f>
        <v>0</v>
      </c>
      <c r="G419" s="27">
        <f>PS!Q418</f>
        <v>0</v>
      </c>
      <c r="H419" s="27">
        <f>PMMA!G418</f>
        <v>0</v>
      </c>
      <c r="I419" s="27">
        <f>PET_aug!P417</f>
        <v>0</v>
      </c>
      <c r="J419" s="27">
        <f>PA!G418</f>
        <v>0</v>
      </c>
      <c r="K419" s="27">
        <f>SBR!G359</f>
        <v>0</v>
      </c>
      <c r="L419" s="28">
        <f t="shared" si="6"/>
        <v>0.60900308734189823</v>
      </c>
    </row>
    <row r="420" spans="1:12">
      <c r="A420" s="24" t="str">
        <f>PE_aug!A408</f>
        <v>211101_BP2_2-1_1</v>
      </c>
      <c r="B420" s="319" t="str">
        <f>PE_aug!AP408</f>
        <v>Bodenproben</v>
      </c>
      <c r="D420" s="26">
        <f>PE_aug!AF408</f>
        <v>0</v>
      </c>
      <c r="E420" s="27">
        <f>PE_aug!AL408</f>
        <v>0.53604202066902651</v>
      </c>
      <c r="F420" s="27">
        <f>PP!Z419</f>
        <v>0</v>
      </c>
      <c r="G420" s="27">
        <f>PS!Q419</f>
        <v>0</v>
      </c>
      <c r="H420" s="27">
        <f>PMMA!G419</f>
        <v>0</v>
      </c>
      <c r="I420" s="27">
        <f>PET_aug!P418</f>
        <v>0</v>
      </c>
      <c r="J420" s="27">
        <f>PA!G419</f>
        <v>0</v>
      </c>
      <c r="K420" s="27">
        <f>SBR!G360</f>
        <v>0</v>
      </c>
      <c r="L420" s="28">
        <f t="shared" si="6"/>
        <v>0.53604202066902651</v>
      </c>
    </row>
    <row r="421" spans="1:12">
      <c r="A421" s="24" t="str">
        <f>PE_aug!A409</f>
        <v>211101_BP2_2-2_2</v>
      </c>
      <c r="B421" s="319" t="str">
        <f>PE_aug!AP409</f>
        <v>Bodenproben</v>
      </c>
      <c r="D421" s="26">
        <f>PE_aug!AF409</f>
        <v>47.747747747747731</v>
      </c>
      <c r="E421" s="27">
        <f>PE_aug!AL409</f>
        <v>0.33216294936759366</v>
      </c>
      <c r="F421" s="27">
        <f>PP!Z420</f>
        <v>0</v>
      </c>
      <c r="G421" s="27">
        <f>PS!Q420</f>
        <v>0</v>
      </c>
      <c r="H421" s="27">
        <f>PMMA!G420</f>
        <v>0</v>
      </c>
      <c r="I421" s="27">
        <f>PET_aug!P419</f>
        <v>0</v>
      </c>
      <c r="J421" s="27">
        <f>PA!G420</f>
        <v>0</v>
      </c>
      <c r="K421" s="27">
        <f>SBR!G361</f>
        <v>0</v>
      </c>
      <c r="L421" s="28">
        <f t="shared" si="6"/>
        <v>0.33216294936759366</v>
      </c>
    </row>
    <row r="422" spans="1:12">
      <c r="A422" s="24" t="str">
        <f>PE_aug!A410</f>
        <v>211101_BP2_2-3_1</v>
      </c>
      <c r="B422" s="319" t="str">
        <f>PE_aug!AP410</f>
        <v>Bodenproben</v>
      </c>
      <c r="D422" s="26">
        <f>PE_aug!AF410</f>
        <v>36.842105263157904</v>
      </c>
      <c r="E422" s="27">
        <f>PE_aug!AL410</f>
        <v>0.36027780852695057</v>
      </c>
      <c r="F422" s="27">
        <f>PP!Z421</f>
        <v>0</v>
      </c>
      <c r="G422" s="27">
        <f>PS!Q421</f>
        <v>0</v>
      </c>
      <c r="H422" s="27">
        <f>PMMA!G421</f>
        <v>0</v>
      </c>
      <c r="I422" s="27">
        <f>PET_aug!P420</f>
        <v>0</v>
      </c>
      <c r="J422" s="27">
        <f>PA!G421</f>
        <v>0</v>
      </c>
      <c r="K422" s="27">
        <f>SBR!G362</f>
        <v>0</v>
      </c>
      <c r="L422" s="28">
        <f t="shared" si="6"/>
        <v>0.36027780852695057</v>
      </c>
    </row>
    <row r="423" spans="1:12">
      <c r="A423" s="24" t="str">
        <f>PE_aug!A411</f>
        <v>211101_BP2_2-3_2</v>
      </c>
      <c r="B423" s="319" t="str">
        <f>PE_aug!AP411</f>
        <v>Bodenproben</v>
      </c>
      <c r="D423" s="26">
        <f>PE_aug!AF411</f>
        <v>0</v>
      </c>
      <c r="E423" s="27" t="str">
        <f>PE_aug!AL411</f>
        <v>n.d.</v>
      </c>
      <c r="F423" s="27">
        <f>PP!Z422</f>
        <v>0</v>
      </c>
      <c r="G423" s="27">
        <f>PS!Q422</f>
        <v>0</v>
      </c>
      <c r="H423" s="27">
        <f>PMMA!G422</f>
        <v>0</v>
      </c>
      <c r="I423" s="27">
        <f>PET_aug!P421</f>
        <v>0</v>
      </c>
      <c r="J423" s="27">
        <f>PA!G422</f>
        <v>0</v>
      </c>
      <c r="K423" s="27">
        <f>SBR!G363</f>
        <v>0</v>
      </c>
      <c r="L423" s="28">
        <f t="shared" si="6"/>
        <v>0</v>
      </c>
    </row>
    <row r="424" spans="1:12">
      <c r="A424" s="24" t="str">
        <f>PE_aug!A412</f>
        <v>211101_BP2_2-1_2</v>
      </c>
      <c r="B424" s="319" t="str">
        <f>PE_aug!AP412</f>
        <v>Bodenproben</v>
      </c>
      <c r="D424" s="26" t="e">
        <f>PE_aug!AF412</f>
        <v>#DIV/0!</v>
      </c>
      <c r="E424" s="27" t="str">
        <f>PE_aug!AL412</f>
        <v>n.d.</v>
      </c>
      <c r="F424" s="27">
        <f>PP!Z423</f>
        <v>0</v>
      </c>
      <c r="G424" s="27">
        <f>PS!Q423</f>
        <v>0</v>
      </c>
      <c r="H424" s="27">
        <f>PMMA!G423</f>
        <v>0</v>
      </c>
      <c r="I424" s="27">
        <f>PET_aug!P422</f>
        <v>0</v>
      </c>
      <c r="J424" s="27">
        <f>PA!G423</f>
        <v>0</v>
      </c>
      <c r="K424" s="27">
        <f>SBR!G364</f>
        <v>0</v>
      </c>
      <c r="L424" s="28">
        <f t="shared" si="6"/>
        <v>0</v>
      </c>
    </row>
    <row r="425" spans="1:12">
      <c r="A425" s="24" t="str">
        <f>PE_aug!A413</f>
        <v>211101_BP2_2-2_1</v>
      </c>
      <c r="B425" s="319" t="str">
        <f>PE_aug!AP413</f>
        <v>Bodenproben</v>
      </c>
      <c r="D425" s="26" t="e">
        <f>PE_aug!AF413</f>
        <v>#DIV/0!</v>
      </c>
      <c r="E425" s="27" t="str">
        <f>PE_aug!AL413</f>
        <v>n.d.</v>
      </c>
      <c r="F425" s="27">
        <f>PP!Z424</f>
        <v>0</v>
      </c>
      <c r="G425" s="27">
        <f>PS!Q424</f>
        <v>0</v>
      </c>
      <c r="H425" s="27">
        <f>PMMA!G424</f>
        <v>0</v>
      </c>
      <c r="I425" s="27">
        <f>PET_aug!P423</f>
        <v>0</v>
      </c>
      <c r="J425" s="27">
        <f>PA!G424</f>
        <v>0</v>
      </c>
      <c r="K425" s="27">
        <f>SBR!G365</f>
        <v>0</v>
      </c>
      <c r="L425" s="28">
        <f t="shared" si="6"/>
        <v>0</v>
      </c>
    </row>
    <row r="426" spans="1:12">
      <c r="B426" s="319"/>
      <c r="D426" s="26"/>
      <c r="E426" s="27"/>
      <c r="F426" s="27"/>
      <c r="G426" s="27"/>
      <c r="I426" s="27"/>
      <c r="J426" s="27"/>
      <c r="K426" s="27"/>
    </row>
  </sheetData>
  <autoFilter ref="A1:W95" xr:uid="{00000000-0009-0000-0000-000009000000}"/>
  <conditionalFormatting sqref="D3:D426">
    <cfRule type="colorScale" priority="1">
      <colorScale>
        <cfvo type="num" val="30"/>
        <cfvo type="num" val="50"/>
        <cfvo type="num" val="100"/>
        <color rgb="FF00B050"/>
        <color theme="7" tint="0.39997558519241921"/>
        <color rgb="FFF8696B"/>
      </colorScale>
    </cfRule>
  </conditionalFormatting>
  <pageMargins left="0.7" right="0.7" top="0.78740157499999996" bottom="0.78740157499999996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1"/>
  <sheetViews>
    <sheetView zoomScale="90" zoomScaleNormal="90" workbookViewId="0">
      <pane ySplit="1" topLeftCell="A437" activePane="bottomLeft" state="frozen"/>
      <selection pane="bottomLeft" activeCell="E134" sqref="E134:E136"/>
    </sheetView>
  </sheetViews>
  <sheetFormatPr baseColWidth="10" defaultRowHeight="15"/>
  <cols>
    <col min="1" max="1" width="49.5703125" style="142" bestFit="1" customWidth="1"/>
    <col min="2" max="7" width="11.42578125" style="66" customWidth="1"/>
    <col min="8" max="8" width="11.42578125" style="308" customWidth="1"/>
    <col min="9" max="10" width="11.42578125" style="66" customWidth="1"/>
  </cols>
  <sheetData>
    <row r="1" spans="1:9" ht="45" customHeight="1">
      <c r="A1" s="141" t="s">
        <v>0</v>
      </c>
      <c r="B1" s="72" t="s">
        <v>632</v>
      </c>
      <c r="C1" s="72" t="s">
        <v>633</v>
      </c>
      <c r="D1" s="72" t="s">
        <v>634</v>
      </c>
      <c r="E1" s="72" t="s">
        <v>635</v>
      </c>
      <c r="F1" s="72" t="s">
        <v>636</v>
      </c>
      <c r="G1" s="73" t="s">
        <v>637</v>
      </c>
      <c r="H1" s="72" t="s">
        <v>638</v>
      </c>
      <c r="I1" s="74" t="s">
        <v>639</v>
      </c>
    </row>
    <row r="2" spans="1:9">
      <c r="A2" s="84" t="s">
        <v>32</v>
      </c>
      <c r="B2">
        <v>0.5</v>
      </c>
      <c r="F2">
        <v>0</v>
      </c>
      <c r="G2">
        <v>0.25</v>
      </c>
      <c r="H2">
        <v>0.25</v>
      </c>
      <c r="I2" s="67">
        <f t="shared" ref="I2:I33" si="0">AVERAGE(B2,F2,G2)</f>
        <v>0.25</v>
      </c>
    </row>
    <row r="3" spans="1:9">
      <c r="A3" s="84" t="s">
        <v>36</v>
      </c>
      <c r="B3">
        <v>0.8</v>
      </c>
      <c r="C3">
        <v>0</v>
      </c>
      <c r="D3">
        <v>0</v>
      </c>
      <c r="E3">
        <v>0</v>
      </c>
      <c r="F3">
        <v>0</v>
      </c>
      <c r="G3">
        <v>1</v>
      </c>
      <c r="H3">
        <v>0.3</v>
      </c>
      <c r="I3" s="67">
        <f t="shared" si="0"/>
        <v>0.6</v>
      </c>
    </row>
    <row r="4" spans="1:9">
      <c r="A4" s="84" t="s">
        <v>37</v>
      </c>
      <c r="B4">
        <v>1</v>
      </c>
      <c r="C4">
        <v>0.2</v>
      </c>
      <c r="D4">
        <v>0.3</v>
      </c>
      <c r="E4">
        <v>0.3</v>
      </c>
      <c r="F4">
        <v>0.2</v>
      </c>
      <c r="G4">
        <v>1</v>
      </c>
      <c r="H4">
        <v>0.5</v>
      </c>
      <c r="I4" s="67">
        <f t="shared" si="0"/>
        <v>0.73333333333333339</v>
      </c>
    </row>
    <row r="5" spans="1:9">
      <c r="A5" s="84" t="s">
        <v>38</v>
      </c>
      <c r="B5">
        <v>1</v>
      </c>
      <c r="C5">
        <v>0.9</v>
      </c>
      <c r="D5">
        <v>1</v>
      </c>
      <c r="F5">
        <v>0.2</v>
      </c>
      <c r="G5">
        <v>0.75</v>
      </c>
      <c r="H5">
        <v>0.77</v>
      </c>
      <c r="I5" s="67">
        <f t="shared" si="0"/>
        <v>0.65</v>
      </c>
    </row>
    <row r="6" spans="1:9">
      <c r="A6" s="84" t="s">
        <v>39</v>
      </c>
      <c r="B6">
        <v>1</v>
      </c>
      <c r="C6">
        <v>0.2</v>
      </c>
      <c r="D6">
        <v>0.5</v>
      </c>
      <c r="E6">
        <v>0.5</v>
      </c>
      <c r="F6">
        <v>0.3</v>
      </c>
      <c r="G6">
        <v>1</v>
      </c>
      <c r="H6">
        <v>0.57999999999999996</v>
      </c>
      <c r="I6" s="67">
        <f t="shared" si="0"/>
        <v>0.76666666666666661</v>
      </c>
    </row>
    <row r="7" spans="1:9">
      <c r="A7" s="84" t="s">
        <v>40</v>
      </c>
      <c r="B7">
        <v>1</v>
      </c>
      <c r="C7">
        <v>1</v>
      </c>
      <c r="D7">
        <v>0</v>
      </c>
      <c r="F7">
        <v>0.2</v>
      </c>
      <c r="G7">
        <v>0.75</v>
      </c>
      <c r="H7">
        <v>0.59</v>
      </c>
      <c r="I7" s="67">
        <f t="shared" si="0"/>
        <v>0.65</v>
      </c>
    </row>
    <row r="8" spans="1:9">
      <c r="A8" s="84" t="s">
        <v>41</v>
      </c>
      <c r="B8">
        <v>1</v>
      </c>
      <c r="C8">
        <v>0.6</v>
      </c>
      <c r="D8">
        <v>0.7</v>
      </c>
      <c r="E8">
        <v>0.5</v>
      </c>
      <c r="F8">
        <v>0.7</v>
      </c>
      <c r="G8">
        <v>1</v>
      </c>
      <c r="H8">
        <v>0.75</v>
      </c>
      <c r="I8" s="67">
        <f t="shared" si="0"/>
        <v>0.9</v>
      </c>
    </row>
    <row r="9" spans="1:9">
      <c r="A9" s="84" t="s">
        <v>43</v>
      </c>
      <c r="B9">
        <v>1</v>
      </c>
      <c r="C9">
        <v>0.4</v>
      </c>
      <c r="D9">
        <v>1</v>
      </c>
      <c r="E9">
        <v>0</v>
      </c>
      <c r="F9">
        <v>0.3</v>
      </c>
      <c r="G9">
        <v>1</v>
      </c>
      <c r="H9">
        <v>0.62</v>
      </c>
      <c r="I9" s="67">
        <f t="shared" si="0"/>
        <v>0.76666666666666661</v>
      </c>
    </row>
    <row r="10" spans="1:9">
      <c r="A10" s="84" t="s">
        <v>44</v>
      </c>
      <c r="B10">
        <v>1</v>
      </c>
      <c r="C10">
        <v>0.5</v>
      </c>
      <c r="D10">
        <v>0.3</v>
      </c>
      <c r="E10">
        <v>0.5</v>
      </c>
      <c r="F10">
        <v>0.7</v>
      </c>
      <c r="G10">
        <v>1</v>
      </c>
      <c r="H10">
        <v>0.67</v>
      </c>
      <c r="I10" s="67">
        <f t="shared" si="0"/>
        <v>0.9</v>
      </c>
    </row>
    <row r="11" spans="1:9">
      <c r="A11" s="84" t="s">
        <v>45</v>
      </c>
      <c r="B11">
        <v>1</v>
      </c>
      <c r="C11">
        <v>0.9</v>
      </c>
      <c r="D11">
        <v>0.6</v>
      </c>
      <c r="E11">
        <v>0.7</v>
      </c>
      <c r="F11">
        <v>0.7</v>
      </c>
      <c r="G11">
        <v>1</v>
      </c>
      <c r="H11">
        <v>0.82</v>
      </c>
      <c r="I11" s="67">
        <f t="shared" si="0"/>
        <v>0.9</v>
      </c>
    </row>
    <row r="12" spans="1:9">
      <c r="A12" s="84" t="s">
        <v>47</v>
      </c>
      <c r="B12">
        <v>1</v>
      </c>
      <c r="C12">
        <v>0.8</v>
      </c>
      <c r="D12">
        <v>0.8</v>
      </c>
      <c r="E12">
        <v>0.6</v>
      </c>
      <c r="F12">
        <v>0.7</v>
      </c>
      <c r="G12">
        <v>1</v>
      </c>
      <c r="H12">
        <v>0.82</v>
      </c>
      <c r="I12" s="67">
        <f t="shared" si="0"/>
        <v>0.9</v>
      </c>
    </row>
    <row r="13" spans="1:9">
      <c r="A13" s="86" t="s">
        <v>48</v>
      </c>
      <c r="B13">
        <v>1</v>
      </c>
      <c r="C13">
        <v>0.2</v>
      </c>
      <c r="D13">
        <v>0.2</v>
      </c>
      <c r="E13">
        <v>0</v>
      </c>
      <c r="F13">
        <v>0.7</v>
      </c>
      <c r="G13">
        <v>1</v>
      </c>
      <c r="H13">
        <v>0.52</v>
      </c>
      <c r="I13" s="67">
        <f t="shared" si="0"/>
        <v>0.9</v>
      </c>
    </row>
    <row r="14" spans="1:9">
      <c r="A14" s="86" t="s">
        <v>50</v>
      </c>
      <c r="B14">
        <v>1</v>
      </c>
      <c r="C14">
        <v>0.2</v>
      </c>
      <c r="D14">
        <v>0</v>
      </c>
      <c r="E14">
        <v>0</v>
      </c>
      <c r="F14">
        <v>0.3</v>
      </c>
      <c r="G14">
        <v>1</v>
      </c>
      <c r="H14">
        <v>0.42</v>
      </c>
      <c r="I14" s="67">
        <f t="shared" si="0"/>
        <v>0.76666666666666661</v>
      </c>
    </row>
    <row r="15" spans="1:9">
      <c r="A15" s="86" t="s">
        <v>51</v>
      </c>
      <c r="B15">
        <v>1</v>
      </c>
      <c r="C15">
        <v>0.4</v>
      </c>
      <c r="D15">
        <v>0.7</v>
      </c>
      <c r="E15">
        <v>0</v>
      </c>
      <c r="F15">
        <v>0</v>
      </c>
      <c r="G15">
        <v>1</v>
      </c>
      <c r="H15">
        <v>0.52</v>
      </c>
      <c r="I15" s="67">
        <f t="shared" si="0"/>
        <v>0.66666666666666663</v>
      </c>
    </row>
    <row r="16" spans="1:9">
      <c r="A16" s="95" t="s">
        <v>554</v>
      </c>
      <c r="B16">
        <v>1</v>
      </c>
      <c r="C16">
        <v>0.4</v>
      </c>
      <c r="D16">
        <v>0.6</v>
      </c>
      <c r="E16">
        <v>0.1</v>
      </c>
      <c r="F16">
        <v>0.7</v>
      </c>
      <c r="G16">
        <v>1</v>
      </c>
      <c r="H16">
        <v>0.63</v>
      </c>
      <c r="I16" s="67">
        <f t="shared" si="0"/>
        <v>0.9</v>
      </c>
    </row>
    <row r="17" spans="1:9">
      <c r="A17" s="95" t="s">
        <v>555</v>
      </c>
      <c r="B17">
        <v>1</v>
      </c>
      <c r="C17">
        <v>0.6</v>
      </c>
      <c r="D17">
        <v>0.7</v>
      </c>
      <c r="E17">
        <v>0.2</v>
      </c>
      <c r="F17">
        <v>1</v>
      </c>
      <c r="G17">
        <v>1</v>
      </c>
      <c r="H17">
        <v>0.75</v>
      </c>
      <c r="I17" s="67">
        <f t="shared" si="0"/>
        <v>1</v>
      </c>
    </row>
    <row r="18" spans="1:9">
      <c r="A18" s="95" t="s">
        <v>556</v>
      </c>
      <c r="B18">
        <v>1</v>
      </c>
      <c r="C18">
        <v>0.4</v>
      </c>
      <c r="D18">
        <v>0.6</v>
      </c>
      <c r="E18">
        <v>0.6</v>
      </c>
      <c r="F18">
        <v>0.3</v>
      </c>
      <c r="G18">
        <v>1</v>
      </c>
      <c r="H18">
        <v>0.65</v>
      </c>
      <c r="I18" s="67">
        <f t="shared" si="0"/>
        <v>0.76666666666666661</v>
      </c>
    </row>
    <row r="19" spans="1:9">
      <c r="A19" s="95" t="s">
        <v>55</v>
      </c>
      <c r="B19">
        <v>1</v>
      </c>
      <c r="C19">
        <v>0.3</v>
      </c>
      <c r="D19">
        <v>0</v>
      </c>
      <c r="E19">
        <v>0</v>
      </c>
      <c r="F19">
        <v>0</v>
      </c>
      <c r="G19">
        <v>1</v>
      </c>
      <c r="H19">
        <v>0.38</v>
      </c>
      <c r="I19" s="67">
        <f t="shared" si="0"/>
        <v>0.66666666666666663</v>
      </c>
    </row>
    <row r="20" spans="1:9">
      <c r="A20" s="95" t="s">
        <v>56</v>
      </c>
      <c r="B20">
        <v>1</v>
      </c>
      <c r="C20">
        <v>0.6</v>
      </c>
      <c r="D20">
        <v>0.7</v>
      </c>
      <c r="E20">
        <v>0</v>
      </c>
      <c r="F20">
        <v>0.2</v>
      </c>
      <c r="G20">
        <v>1</v>
      </c>
      <c r="H20">
        <v>0.57999999999999996</v>
      </c>
      <c r="I20" s="67">
        <f t="shared" si="0"/>
        <v>0.73333333333333339</v>
      </c>
    </row>
    <row r="21" spans="1:9">
      <c r="A21" s="95" t="s">
        <v>57</v>
      </c>
      <c r="B21">
        <v>1</v>
      </c>
      <c r="C21">
        <v>0</v>
      </c>
      <c r="D21">
        <v>0.1</v>
      </c>
      <c r="E21">
        <v>0</v>
      </c>
      <c r="F21">
        <v>0.2</v>
      </c>
      <c r="G21">
        <v>1</v>
      </c>
      <c r="H21">
        <v>0.38</v>
      </c>
      <c r="I21" s="67">
        <f t="shared" si="0"/>
        <v>0.73333333333333339</v>
      </c>
    </row>
    <row r="22" spans="1:9">
      <c r="A22" s="95" t="s">
        <v>58</v>
      </c>
      <c r="B22">
        <v>0.8</v>
      </c>
      <c r="C22">
        <v>0.2</v>
      </c>
      <c r="D22">
        <v>0</v>
      </c>
      <c r="E22">
        <v>0.5</v>
      </c>
      <c r="F22">
        <v>1</v>
      </c>
      <c r="G22">
        <v>1</v>
      </c>
      <c r="H22">
        <v>0.57999999999999996</v>
      </c>
      <c r="I22" s="67">
        <f t="shared" si="0"/>
        <v>0.93333333333333324</v>
      </c>
    </row>
    <row r="23" spans="1:9">
      <c r="A23" s="95" t="s">
        <v>59</v>
      </c>
      <c r="B23">
        <v>0.8</v>
      </c>
      <c r="C23">
        <v>1</v>
      </c>
      <c r="D23">
        <v>0</v>
      </c>
      <c r="E23">
        <v>0</v>
      </c>
      <c r="F23">
        <v>0.5</v>
      </c>
      <c r="G23">
        <v>1</v>
      </c>
      <c r="H23">
        <v>0.55000000000000004</v>
      </c>
      <c r="I23" s="67">
        <f t="shared" si="0"/>
        <v>0.76666666666666661</v>
      </c>
    </row>
    <row r="24" spans="1:9">
      <c r="A24" s="95" t="s">
        <v>60</v>
      </c>
      <c r="B24">
        <v>0.8</v>
      </c>
      <c r="C24">
        <v>0.7</v>
      </c>
      <c r="D24">
        <v>0.3</v>
      </c>
      <c r="E24">
        <v>0.2</v>
      </c>
      <c r="F24">
        <v>0.5</v>
      </c>
      <c r="G24">
        <v>1</v>
      </c>
      <c r="H24">
        <v>0.57999999999999996</v>
      </c>
      <c r="I24" s="67">
        <f t="shared" si="0"/>
        <v>0.76666666666666661</v>
      </c>
    </row>
    <row r="25" spans="1:9">
      <c r="A25" s="95" t="s">
        <v>61</v>
      </c>
      <c r="B25">
        <v>1</v>
      </c>
      <c r="C25">
        <v>0.7</v>
      </c>
      <c r="D25">
        <v>0.5</v>
      </c>
      <c r="E25">
        <v>0.6</v>
      </c>
      <c r="F25">
        <v>1</v>
      </c>
      <c r="G25">
        <v>1</v>
      </c>
      <c r="H25">
        <v>0.8</v>
      </c>
      <c r="I25" s="67">
        <f t="shared" si="0"/>
        <v>1</v>
      </c>
    </row>
    <row r="26" spans="1:9">
      <c r="A26" s="95" t="s">
        <v>62</v>
      </c>
      <c r="B26">
        <v>1</v>
      </c>
      <c r="C26">
        <v>0.7</v>
      </c>
      <c r="D26">
        <v>0.6</v>
      </c>
      <c r="E26">
        <v>0.6</v>
      </c>
      <c r="F26">
        <v>1</v>
      </c>
      <c r="G26">
        <v>1</v>
      </c>
      <c r="H26">
        <v>0.82</v>
      </c>
      <c r="I26" s="67">
        <f t="shared" si="0"/>
        <v>1</v>
      </c>
    </row>
    <row r="27" spans="1:9">
      <c r="A27" s="95" t="s">
        <v>63</v>
      </c>
      <c r="B27">
        <v>1</v>
      </c>
      <c r="F27">
        <v>0</v>
      </c>
      <c r="G27">
        <v>0.25</v>
      </c>
      <c r="H27">
        <v>0.42</v>
      </c>
      <c r="I27" s="67">
        <f t="shared" si="0"/>
        <v>0.41666666666666669</v>
      </c>
    </row>
    <row r="28" spans="1:9">
      <c r="A28" s="95" t="s">
        <v>65</v>
      </c>
      <c r="I28" s="67" t="e">
        <f t="shared" si="0"/>
        <v>#DIV/0!</v>
      </c>
    </row>
    <row r="29" spans="1:9">
      <c r="A29" s="111" t="s">
        <v>66</v>
      </c>
      <c r="B29">
        <v>1</v>
      </c>
      <c r="C29">
        <v>0.5</v>
      </c>
      <c r="D29">
        <v>0.7</v>
      </c>
      <c r="E29">
        <v>0.8</v>
      </c>
      <c r="F29">
        <v>0.8</v>
      </c>
      <c r="G29">
        <v>1</v>
      </c>
      <c r="H29">
        <v>0.8</v>
      </c>
      <c r="I29" s="67">
        <f t="shared" si="0"/>
        <v>0.93333333333333324</v>
      </c>
    </row>
    <row r="30" spans="1:9">
      <c r="A30" s="111" t="s">
        <v>68</v>
      </c>
      <c r="B30">
        <v>1</v>
      </c>
      <c r="F30">
        <v>0.8</v>
      </c>
      <c r="G30">
        <v>0.25</v>
      </c>
      <c r="H30">
        <v>0.68</v>
      </c>
      <c r="I30" s="67">
        <f t="shared" si="0"/>
        <v>0.68333333333333324</v>
      </c>
    </row>
    <row r="31" spans="1:9">
      <c r="A31" s="111" t="s">
        <v>69</v>
      </c>
      <c r="B31">
        <v>1</v>
      </c>
      <c r="C31">
        <v>0</v>
      </c>
      <c r="F31">
        <v>0.2</v>
      </c>
      <c r="G31">
        <v>0.5</v>
      </c>
      <c r="H31">
        <v>0.42</v>
      </c>
      <c r="I31" s="67">
        <f t="shared" si="0"/>
        <v>0.56666666666666665</v>
      </c>
    </row>
    <row r="32" spans="1:9">
      <c r="A32" s="111" t="s">
        <v>71</v>
      </c>
      <c r="B32">
        <v>1</v>
      </c>
      <c r="F32">
        <v>0.7</v>
      </c>
      <c r="G32">
        <v>0.25</v>
      </c>
      <c r="H32">
        <v>0.65</v>
      </c>
      <c r="I32" s="67">
        <f t="shared" si="0"/>
        <v>0.65</v>
      </c>
    </row>
    <row r="33" spans="1:9">
      <c r="A33" s="111" t="s">
        <v>72</v>
      </c>
      <c r="B33">
        <v>1</v>
      </c>
      <c r="C33">
        <v>0.7</v>
      </c>
      <c r="D33">
        <v>0.7</v>
      </c>
      <c r="E33">
        <v>0.7</v>
      </c>
      <c r="F33">
        <v>1</v>
      </c>
      <c r="G33">
        <v>1</v>
      </c>
      <c r="H33">
        <v>0.85</v>
      </c>
      <c r="I33" s="67">
        <f t="shared" si="0"/>
        <v>1</v>
      </c>
    </row>
    <row r="34" spans="1:9">
      <c r="A34" s="111" t="s">
        <v>73</v>
      </c>
      <c r="B34">
        <v>1</v>
      </c>
      <c r="C34">
        <v>0.5</v>
      </c>
      <c r="D34">
        <v>0.5</v>
      </c>
      <c r="E34">
        <v>0.2</v>
      </c>
      <c r="F34">
        <v>0.3</v>
      </c>
      <c r="G34">
        <v>1</v>
      </c>
      <c r="H34">
        <v>0.57999999999999996</v>
      </c>
      <c r="I34" s="67">
        <f t="shared" ref="I34:I67" si="1">AVERAGE(B34,F34,G34)</f>
        <v>0.76666666666666661</v>
      </c>
    </row>
    <row r="35" spans="1:9">
      <c r="A35" s="111" t="s">
        <v>74</v>
      </c>
      <c r="B35">
        <v>1</v>
      </c>
      <c r="F35">
        <v>0.3</v>
      </c>
      <c r="G35">
        <v>0.25</v>
      </c>
      <c r="H35">
        <v>0.52</v>
      </c>
      <c r="I35" s="67">
        <f t="shared" si="1"/>
        <v>0.51666666666666672</v>
      </c>
    </row>
    <row r="36" spans="1:9">
      <c r="A36" s="111" t="s">
        <v>76</v>
      </c>
      <c r="B36">
        <v>1</v>
      </c>
      <c r="C36">
        <v>0.5</v>
      </c>
      <c r="E36">
        <v>0</v>
      </c>
      <c r="F36">
        <v>0.3</v>
      </c>
      <c r="G36">
        <v>0.75</v>
      </c>
      <c r="H36">
        <v>0.51</v>
      </c>
      <c r="I36" s="67">
        <f t="shared" si="1"/>
        <v>0.68333333333333324</v>
      </c>
    </row>
    <row r="37" spans="1:9">
      <c r="A37" s="111" t="s">
        <v>77</v>
      </c>
      <c r="B37">
        <v>1</v>
      </c>
      <c r="C37">
        <v>1</v>
      </c>
      <c r="D37">
        <v>0.5</v>
      </c>
      <c r="E37">
        <v>0</v>
      </c>
      <c r="F37">
        <v>0</v>
      </c>
      <c r="G37">
        <v>1</v>
      </c>
      <c r="H37">
        <v>0.57999999999999996</v>
      </c>
      <c r="I37" s="67">
        <f t="shared" si="1"/>
        <v>0.66666666666666663</v>
      </c>
    </row>
    <row r="38" spans="1:9">
      <c r="A38" s="111" t="s">
        <v>78</v>
      </c>
      <c r="B38">
        <v>1</v>
      </c>
      <c r="F38">
        <v>0</v>
      </c>
      <c r="G38">
        <v>0.25</v>
      </c>
      <c r="H38">
        <v>0.42</v>
      </c>
      <c r="I38" s="67">
        <f t="shared" si="1"/>
        <v>0.41666666666666669</v>
      </c>
    </row>
    <row r="39" spans="1:9">
      <c r="A39" s="111" t="s">
        <v>79</v>
      </c>
      <c r="I39" s="67" t="e">
        <f t="shared" si="1"/>
        <v>#DIV/0!</v>
      </c>
    </row>
    <row r="40" spans="1:9">
      <c r="A40" s="111" t="s">
        <v>80</v>
      </c>
      <c r="I40" s="67" t="e">
        <f t="shared" si="1"/>
        <v>#DIV/0!</v>
      </c>
    </row>
    <row r="41" spans="1:9">
      <c r="A41" s="111" t="s">
        <v>81</v>
      </c>
      <c r="I41" s="67" t="e">
        <f t="shared" si="1"/>
        <v>#DIV/0!</v>
      </c>
    </row>
    <row r="42" spans="1:9">
      <c r="A42" s="111" t="s">
        <v>82</v>
      </c>
      <c r="B42">
        <v>1</v>
      </c>
      <c r="C42">
        <v>0.6</v>
      </c>
      <c r="D42">
        <v>0.6</v>
      </c>
      <c r="E42">
        <v>0.9</v>
      </c>
      <c r="F42">
        <v>0.8</v>
      </c>
      <c r="G42">
        <v>1</v>
      </c>
      <c r="H42">
        <v>0.82</v>
      </c>
      <c r="I42" s="67">
        <f t="shared" si="1"/>
        <v>0.93333333333333324</v>
      </c>
    </row>
    <row r="43" spans="1:9">
      <c r="A43" s="111" t="s">
        <v>83</v>
      </c>
      <c r="B43">
        <v>1</v>
      </c>
      <c r="C43">
        <v>0.2</v>
      </c>
      <c r="D43">
        <v>0</v>
      </c>
      <c r="E43">
        <v>0.5</v>
      </c>
      <c r="F43">
        <v>0.3</v>
      </c>
      <c r="G43">
        <v>1</v>
      </c>
      <c r="H43">
        <v>0.5</v>
      </c>
      <c r="I43" s="67">
        <f t="shared" si="1"/>
        <v>0.76666666666666661</v>
      </c>
    </row>
    <row r="44" spans="1:9">
      <c r="A44" s="111" t="s">
        <v>84</v>
      </c>
      <c r="B44">
        <v>1</v>
      </c>
      <c r="C44">
        <v>0.6</v>
      </c>
      <c r="D44">
        <v>0.6</v>
      </c>
      <c r="E44">
        <v>0.5</v>
      </c>
      <c r="F44">
        <v>0.5</v>
      </c>
      <c r="G44">
        <v>1</v>
      </c>
      <c r="H44">
        <v>0.7</v>
      </c>
      <c r="I44" s="67">
        <f t="shared" si="1"/>
        <v>0.83333333333333337</v>
      </c>
    </row>
    <row r="45" spans="1:9">
      <c r="A45" s="111" t="s">
        <v>85</v>
      </c>
      <c r="B45">
        <v>1</v>
      </c>
      <c r="C45">
        <v>0.6</v>
      </c>
      <c r="D45">
        <v>0.8</v>
      </c>
      <c r="E45">
        <v>0.7</v>
      </c>
      <c r="F45">
        <v>0.5</v>
      </c>
      <c r="G45">
        <v>1</v>
      </c>
      <c r="H45">
        <v>0.77</v>
      </c>
      <c r="I45" s="67">
        <f t="shared" si="1"/>
        <v>0.83333333333333337</v>
      </c>
    </row>
    <row r="46" spans="1:9">
      <c r="A46" s="111" t="s">
        <v>86</v>
      </c>
      <c r="B46">
        <v>1</v>
      </c>
      <c r="C46">
        <v>0.8</v>
      </c>
      <c r="D46">
        <v>0.5</v>
      </c>
      <c r="E46">
        <v>0.8</v>
      </c>
      <c r="F46">
        <v>0.8</v>
      </c>
      <c r="G46">
        <v>1</v>
      </c>
      <c r="H46">
        <v>0.82</v>
      </c>
      <c r="I46" s="67">
        <f t="shared" si="1"/>
        <v>0.93333333333333324</v>
      </c>
    </row>
    <row r="47" spans="1:9">
      <c r="A47" s="111" t="s">
        <v>87</v>
      </c>
      <c r="B47">
        <v>1</v>
      </c>
      <c r="C47">
        <v>0.6</v>
      </c>
      <c r="D47">
        <v>0.5</v>
      </c>
      <c r="E47">
        <v>0.8</v>
      </c>
      <c r="F47">
        <v>0.8</v>
      </c>
      <c r="G47">
        <v>1</v>
      </c>
      <c r="H47">
        <v>0.78</v>
      </c>
      <c r="I47" s="67">
        <f t="shared" si="1"/>
        <v>0.93333333333333324</v>
      </c>
    </row>
    <row r="48" spans="1:9">
      <c r="A48" s="111" t="s">
        <v>88</v>
      </c>
      <c r="B48">
        <v>1</v>
      </c>
      <c r="C48">
        <v>0.7</v>
      </c>
      <c r="D48">
        <v>0.6</v>
      </c>
      <c r="E48">
        <v>0.3</v>
      </c>
      <c r="F48">
        <v>0.8</v>
      </c>
      <c r="G48">
        <v>1</v>
      </c>
      <c r="H48">
        <v>0.73</v>
      </c>
      <c r="I48" s="67">
        <f t="shared" si="1"/>
        <v>0.93333333333333324</v>
      </c>
    </row>
    <row r="49" spans="1:9">
      <c r="A49" s="111" t="s">
        <v>89</v>
      </c>
      <c r="B49">
        <v>1</v>
      </c>
      <c r="C49">
        <v>0.9</v>
      </c>
      <c r="D49">
        <v>0.6</v>
      </c>
      <c r="E49">
        <v>0.3</v>
      </c>
      <c r="F49">
        <v>0.8</v>
      </c>
      <c r="G49">
        <v>1</v>
      </c>
      <c r="H49">
        <v>0.77</v>
      </c>
      <c r="I49" s="67">
        <f t="shared" si="1"/>
        <v>0.93333333333333324</v>
      </c>
    </row>
    <row r="50" spans="1:9">
      <c r="A50" s="116" t="s">
        <v>90</v>
      </c>
      <c r="I50" s="67" t="e">
        <f t="shared" si="1"/>
        <v>#DIV/0!</v>
      </c>
    </row>
    <row r="51" spans="1:9">
      <c r="A51" s="116" t="s">
        <v>91</v>
      </c>
      <c r="B51">
        <v>1</v>
      </c>
      <c r="C51">
        <v>0.9</v>
      </c>
      <c r="D51">
        <v>0.7</v>
      </c>
      <c r="E51">
        <v>0.6</v>
      </c>
      <c r="F51">
        <v>1</v>
      </c>
      <c r="G51">
        <v>1</v>
      </c>
      <c r="H51">
        <v>0.87</v>
      </c>
      <c r="I51" s="67">
        <f t="shared" si="1"/>
        <v>1</v>
      </c>
    </row>
    <row r="52" spans="1:9">
      <c r="A52" s="116" t="s">
        <v>92</v>
      </c>
      <c r="B52">
        <v>1</v>
      </c>
      <c r="C52">
        <v>0.9</v>
      </c>
      <c r="D52">
        <v>0.8</v>
      </c>
      <c r="E52">
        <v>0.7</v>
      </c>
      <c r="F52">
        <v>1</v>
      </c>
      <c r="G52">
        <v>1</v>
      </c>
      <c r="H52">
        <v>0.9</v>
      </c>
      <c r="I52" s="67">
        <f t="shared" si="1"/>
        <v>1</v>
      </c>
    </row>
    <row r="53" spans="1:9">
      <c r="A53" s="116" t="s">
        <v>93</v>
      </c>
      <c r="B53">
        <v>1</v>
      </c>
      <c r="C53">
        <v>0.8</v>
      </c>
      <c r="D53">
        <v>0.8</v>
      </c>
      <c r="E53">
        <v>0.5</v>
      </c>
      <c r="F53">
        <v>1</v>
      </c>
      <c r="G53">
        <v>1</v>
      </c>
      <c r="H53">
        <v>0.85</v>
      </c>
      <c r="I53" s="67">
        <f t="shared" si="1"/>
        <v>1</v>
      </c>
    </row>
    <row r="54" spans="1:9">
      <c r="A54" s="116" t="s">
        <v>94</v>
      </c>
      <c r="B54">
        <v>1</v>
      </c>
      <c r="C54">
        <v>0.2</v>
      </c>
      <c r="D54">
        <v>0.5</v>
      </c>
      <c r="E54">
        <v>0.5</v>
      </c>
      <c r="F54">
        <v>0</v>
      </c>
      <c r="G54">
        <v>1</v>
      </c>
      <c r="H54">
        <v>0.53</v>
      </c>
      <c r="I54" s="67">
        <f t="shared" si="1"/>
        <v>0.66666666666666663</v>
      </c>
    </row>
    <row r="55" spans="1:9">
      <c r="A55" s="116" t="s">
        <v>95</v>
      </c>
      <c r="B55">
        <v>1</v>
      </c>
      <c r="C55">
        <v>0</v>
      </c>
      <c r="F55">
        <v>0.5</v>
      </c>
      <c r="G55">
        <v>0.5</v>
      </c>
      <c r="H55">
        <v>0.5</v>
      </c>
      <c r="I55" s="67">
        <f t="shared" si="1"/>
        <v>0.66666666666666663</v>
      </c>
    </row>
    <row r="56" spans="1:9">
      <c r="A56" s="116" t="s">
        <v>96</v>
      </c>
      <c r="B56">
        <v>1</v>
      </c>
      <c r="C56">
        <v>0</v>
      </c>
      <c r="D56">
        <v>0.5</v>
      </c>
      <c r="F56">
        <v>0.7</v>
      </c>
      <c r="G56">
        <v>0.75</v>
      </c>
      <c r="H56">
        <v>0.59</v>
      </c>
      <c r="I56" s="67">
        <f t="shared" si="1"/>
        <v>0.81666666666666676</v>
      </c>
    </row>
    <row r="57" spans="1:9">
      <c r="A57" s="116" t="s">
        <v>97</v>
      </c>
      <c r="B57">
        <v>1</v>
      </c>
      <c r="C57">
        <v>0.3</v>
      </c>
      <c r="D57">
        <v>0.8</v>
      </c>
      <c r="E57">
        <v>0.5</v>
      </c>
      <c r="F57">
        <v>1</v>
      </c>
      <c r="G57">
        <v>1</v>
      </c>
      <c r="H57">
        <v>0.77</v>
      </c>
      <c r="I57" s="67">
        <f t="shared" si="1"/>
        <v>1</v>
      </c>
    </row>
    <row r="58" spans="1:9">
      <c r="A58" s="116" t="s">
        <v>98</v>
      </c>
      <c r="B58">
        <v>1</v>
      </c>
      <c r="C58">
        <v>0.7</v>
      </c>
      <c r="D58">
        <v>0.5</v>
      </c>
      <c r="E58">
        <v>0.5</v>
      </c>
      <c r="F58">
        <v>0.8</v>
      </c>
      <c r="G58">
        <v>1</v>
      </c>
      <c r="H58">
        <v>0.75</v>
      </c>
      <c r="I58" s="67">
        <f t="shared" si="1"/>
        <v>0.93333333333333324</v>
      </c>
    </row>
    <row r="59" spans="1:9">
      <c r="A59" s="116" t="s">
        <v>99</v>
      </c>
      <c r="B59">
        <v>1</v>
      </c>
      <c r="C59">
        <v>0.7</v>
      </c>
      <c r="D59">
        <v>0.6</v>
      </c>
      <c r="E59">
        <v>1</v>
      </c>
      <c r="F59">
        <v>1</v>
      </c>
      <c r="G59">
        <v>1</v>
      </c>
      <c r="H59">
        <v>0.88</v>
      </c>
      <c r="I59" s="67">
        <f t="shared" si="1"/>
        <v>1</v>
      </c>
    </row>
    <row r="60" spans="1:9">
      <c r="A60" s="116" t="s">
        <v>100</v>
      </c>
      <c r="B60">
        <v>1</v>
      </c>
      <c r="C60">
        <v>0.5</v>
      </c>
      <c r="D60">
        <v>1</v>
      </c>
      <c r="E60">
        <v>0.2</v>
      </c>
      <c r="F60">
        <v>1</v>
      </c>
      <c r="G60">
        <v>1</v>
      </c>
      <c r="H60">
        <v>0.78</v>
      </c>
      <c r="I60" s="67">
        <f t="shared" si="1"/>
        <v>1</v>
      </c>
    </row>
    <row r="61" spans="1:9">
      <c r="A61" s="116" t="s">
        <v>101</v>
      </c>
      <c r="B61">
        <v>1</v>
      </c>
      <c r="C61">
        <v>0.5</v>
      </c>
      <c r="D61">
        <v>1</v>
      </c>
      <c r="F61">
        <v>1</v>
      </c>
      <c r="G61">
        <v>0.75</v>
      </c>
      <c r="H61">
        <v>0.85</v>
      </c>
      <c r="I61" s="67">
        <f t="shared" si="1"/>
        <v>0.91666666666666663</v>
      </c>
    </row>
    <row r="62" spans="1:9">
      <c r="A62" s="116" t="s">
        <v>102</v>
      </c>
      <c r="B62">
        <v>1</v>
      </c>
      <c r="C62">
        <v>0.2</v>
      </c>
      <c r="D62">
        <v>0.5</v>
      </c>
      <c r="E62">
        <v>0.5</v>
      </c>
      <c r="F62">
        <v>0</v>
      </c>
      <c r="G62">
        <v>1</v>
      </c>
      <c r="H62">
        <v>0.53</v>
      </c>
      <c r="I62" s="67">
        <f t="shared" si="1"/>
        <v>0.66666666666666663</v>
      </c>
    </row>
    <row r="63" spans="1:9">
      <c r="A63" s="116" t="s">
        <v>103</v>
      </c>
      <c r="B63">
        <v>1</v>
      </c>
      <c r="C63">
        <v>0.8</v>
      </c>
      <c r="D63">
        <v>0.6</v>
      </c>
      <c r="E63">
        <v>0.8</v>
      </c>
      <c r="F63">
        <v>1</v>
      </c>
      <c r="G63">
        <v>1</v>
      </c>
      <c r="H63">
        <v>0.87</v>
      </c>
      <c r="I63" s="67">
        <f t="shared" si="1"/>
        <v>1</v>
      </c>
    </row>
    <row r="64" spans="1:9">
      <c r="A64" s="116" t="s">
        <v>104</v>
      </c>
      <c r="B64">
        <v>1</v>
      </c>
      <c r="C64">
        <v>0.8</v>
      </c>
      <c r="D64">
        <v>0.8</v>
      </c>
      <c r="E64">
        <v>0.6</v>
      </c>
      <c r="F64">
        <v>1</v>
      </c>
      <c r="G64">
        <v>1</v>
      </c>
      <c r="H64">
        <v>0.87</v>
      </c>
      <c r="I64" s="67">
        <f t="shared" si="1"/>
        <v>1</v>
      </c>
    </row>
    <row r="65" spans="1:9">
      <c r="A65" s="116" t="s">
        <v>105</v>
      </c>
      <c r="B65">
        <v>1</v>
      </c>
      <c r="C65">
        <v>0.8</v>
      </c>
      <c r="D65">
        <v>0.6</v>
      </c>
      <c r="E65">
        <v>0.8</v>
      </c>
      <c r="F65">
        <v>1</v>
      </c>
      <c r="G65">
        <v>1</v>
      </c>
      <c r="H65">
        <v>0.87</v>
      </c>
      <c r="I65" s="67">
        <f t="shared" si="1"/>
        <v>1</v>
      </c>
    </row>
    <row r="66" spans="1:9">
      <c r="A66" s="116" t="s">
        <v>106</v>
      </c>
      <c r="B66">
        <v>1</v>
      </c>
      <c r="C66">
        <v>0.6</v>
      </c>
      <c r="D66">
        <v>0.6</v>
      </c>
      <c r="E66">
        <v>0.6</v>
      </c>
      <c r="F66">
        <v>1</v>
      </c>
      <c r="G66">
        <v>1</v>
      </c>
      <c r="H66">
        <v>0.8</v>
      </c>
      <c r="I66" s="67">
        <f t="shared" si="1"/>
        <v>1</v>
      </c>
    </row>
    <row r="67" spans="1:9">
      <c r="A67" s="116" t="s">
        <v>108</v>
      </c>
      <c r="B67">
        <v>1</v>
      </c>
      <c r="C67">
        <v>0.9</v>
      </c>
      <c r="D67">
        <v>0.6</v>
      </c>
      <c r="E67">
        <v>0.6</v>
      </c>
      <c r="F67">
        <v>1</v>
      </c>
      <c r="G67">
        <v>1</v>
      </c>
      <c r="H67">
        <v>0.85</v>
      </c>
      <c r="I67" s="67">
        <f t="shared" si="1"/>
        <v>1</v>
      </c>
    </row>
    <row r="68" spans="1:9">
      <c r="A68" s="127" t="s">
        <v>109</v>
      </c>
      <c r="B68">
        <v>1</v>
      </c>
      <c r="C68">
        <v>0.4</v>
      </c>
      <c r="D68">
        <v>0</v>
      </c>
      <c r="F68">
        <v>0.7</v>
      </c>
      <c r="G68">
        <v>0.75</v>
      </c>
      <c r="H68">
        <v>0.56999999999999995</v>
      </c>
    </row>
    <row r="69" spans="1:9">
      <c r="A69" s="127" t="s">
        <v>111</v>
      </c>
      <c r="B69">
        <v>1</v>
      </c>
      <c r="C69">
        <v>0.9</v>
      </c>
      <c r="D69">
        <v>0.1</v>
      </c>
      <c r="F69">
        <v>1</v>
      </c>
      <c r="G69">
        <v>0.75</v>
      </c>
      <c r="H69">
        <v>0.75</v>
      </c>
    </row>
    <row r="70" spans="1:9">
      <c r="A70" s="127" t="s">
        <v>112</v>
      </c>
      <c r="B70">
        <v>1</v>
      </c>
      <c r="C70">
        <v>0.5</v>
      </c>
      <c r="D70">
        <v>0.3</v>
      </c>
      <c r="E70">
        <v>0</v>
      </c>
      <c r="F70">
        <v>0.3</v>
      </c>
      <c r="G70">
        <v>1</v>
      </c>
      <c r="H70">
        <v>0.52</v>
      </c>
    </row>
    <row r="71" spans="1:9">
      <c r="A71" s="127" t="s">
        <v>113</v>
      </c>
      <c r="B71">
        <v>1</v>
      </c>
      <c r="F71">
        <v>0.5</v>
      </c>
      <c r="G71">
        <v>0.25</v>
      </c>
      <c r="H71">
        <v>0.57999999999999996</v>
      </c>
    </row>
    <row r="72" spans="1:9">
      <c r="A72" s="127" t="s">
        <v>114</v>
      </c>
      <c r="B72">
        <v>1</v>
      </c>
      <c r="F72">
        <v>0</v>
      </c>
      <c r="G72">
        <v>0.25</v>
      </c>
      <c r="H72">
        <v>0.42</v>
      </c>
    </row>
    <row r="73" spans="1:9">
      <c r="A73" s="127" t="s">
        <v>115</v>
      </c>
      <c r="B73">
        <v>1</v>
      </c>
      <c r="C73">
        <v>0.7</v>
      </c>
      <c r="D73">
        <v>1</v>
      </c>
      <c r="F73">
        <v>1</v>
      </c>
      <c r="G73">
        <v>0.75</v>
      </c>
      <c r="H73">
        <v>0.89</v>
      </c>
    </row>
    <row r="74" spans="1:9">
      <c r="A74" s="127" t="s">
        <v>116</v>
      </c>
      <c r="B74">
        <v>1</v>
      </c>
      <c r="C74">
        <v>0.5</v>
      </c>
      <c r="D74">
        <v>0.9</v>
      </c>
      <c r="F74">
        <v>0.7</v>
      </c>
      <c r="G74">
        <v>0.75</v>
      </c>
      <c r="H74">
        <v>0.77</v>
      </c>
    </row>
    <row r="75" spans="1:9">
      <c r="A75" s="127" t="s">
        <v>117</v>
      </c>
      <c r="B75">
        <v>1</v>
      </c>
      <c r="F75">
        <v>0</v>
      </c>
      <c r="G75">
        <v>0.25</v>
      </c>
      <c r="H75">
        <v>0.42</v>
      </c>
    </row>
    <row r="76" spans="1:9">
      <c r="A76" s="127" t="s">
        <v>118</v>
      </c>
    </row>
    <row r="77" spans="1:9">
      <c r="A77" s="127" t="s">
        <v>119</v>
      </c>
    </row>
    <row r="78" spans="1:9">
      <c r="A78" s="127" t="s">
        <v>120</v>
      </c>
    </row>
    <row r="79" spans="1:9">
      <c r="A79" s="127" t="s">
        <v>121</v>
      </c>
    </row>
    <row r="80" spans="1:9">
      <c r="A80" s="127" t="s">
        <v>122</v>
      </c>
      <c r="B80">
        <v>1</v>
      </c>
      <c r="F80">
        <v>0.5</v>
      </c>
      <c r="G80">
        <v>0.25</v>
      </c>
      <c r="H80">
        <v>0.57999999999999996</v>
      </c>
    </row>
    <row r="81" spans="1:8">
      <c r="A81" s="127" t="s">
        <v>124</v>
      </c>
      <c r="B81">
        <v>1</v>
      </c>
      <c r="C81">
        <v>1</v>
      </c>
      <c r="D81">
        <v>1</v>
      </c>
      <c r="F81">
        <v>1</v>
      </c>
      <c r="G81">
        <v>0.75</v>
      </c>
      <c r="H81">
        <v>0.95</v>
      </c>
    </row>
    <row r="82" spans="1:8">
      <c r="A82" s="127" t="s">
        <v>125</v>
      </c>
      <c r="B82">
        <v>1</v>
      </c>
      <c r="C82">
        <v>1</v>
      </c>
      <c r="D82">
        <v>1</v>
      </c>
      <c r="F82">
        <v>1</v>
      </c>
      <c r="G82">
        <v>0.75</v>
      </c>
      <c r="H82">
        <v>0.95</v>
      </c>
    </row>
    <row r="83" spans="1:8">
      <c r="A83" s="127" t="s">
        <v>126</v>
      </c>
      <c r="B83">
        <v>1</v>
      </c>
      <c r="F83">
        <v>0.7</v>
      </c>
      <c r="G83">
        <v>0.25</v>
      </c>
      <c r="H83">
        <v>0.65</v>
      </c>
    </row>
    <row r="84" spans="1:8">
      <c r="A84" s="127" t="s">
        <v>128</v>
      </c>
      <c r="B84">
        <v>1</v>
      </c>
      <c r="C84">
        <v>1</v>
      </c>
      <c r="D84">
        <v>1</v>
      </c>
      <c r="F84">
        <v>0.5</v>
      </c>
      <c r="G84">
        <v>0.75</v>
      </c>
      <c r="H84">
        <v>0.85</v>
      </c>
    </row>
    <row r="85" spans="1:8">
      <c r="A85" s="127" t="s">
        <v>129</v>
      </c>
      <c r="B85">
        <v>1</v>
      </c>
      <c r="C85">
        <v>1</v>
      </c>
      <c r="D85">
        <v>1</v>
      </c>
      <c r="E85">
        <v>0</v>
      </c>
      <c r="F85">
        <v>0.3</v>
      </c>
      <c r="G85">
        <v>1</v>
      </c>
      <c r="H85">
        <v>0.72</v>
      </c>
    </row>
    <row r="86" spans="1:8">
      <c r="A86" s="127" t="s">
        <v>130</v>
      </c>
      <c r="B86">
        <v>1</v>
      </c>
      <c r="C86">
        <v>1</v>
      </c>
      <c r="F86">
        <v>0.8</v>
      </c>
      <c r="G86">
        <v>0.5</v>
      </c>
      <c r="H86">
        <v>0.82</v>
      </c>
    </row>
    <row r="87" spans="1:8">
      <c r="A87" s="127" t="s">
        <v>131</v>
      </c>
      <c r="B87">
        <v>1</v>
      </c>
      <c r="C87">
        <v>0.6</v>
      </c>
      <c r="D87">
        <v>0.6</v>
      </c>
      <c r="E87">
        <v>0.6</v>
      </c>
      <c r="F87">
        <v>0.7</v>
      </c>
      <c r="G87">
        <v>1</v>
      </c>
      <c r="H87">
        <v>0.75</v>
      </c>
    </row>
    <row r="88" spans="1:8">
      <c r="A88" s="127" t="s">
        <v>557</v>
      </c>
      <c r="B88">
        <v>1</v>
      </c>
      <c r="F88">
        <v>1</v>
      </c>
      <c r="G88">
        <v>0.25</v>
      </c>
      <c r="H88">
        <v>0.75</v>
      </c>
    </row>
    <row r="89" spans="1:8">
      <c r="A89" s="127" t="s">
        <v>558</v>
      </c>
      <c r="B89">
        <v>1</v>
      </c>
      <c r="F89">
        <v>0.5</v>
      </c>
      <c r="G89">
        <v>0.25</v>
      </c>
      <c r="H89">
        <v>0.57999999999999996</v>
      </c>
    </row>
    <row r="90" spans="1:8">
      <c r="A90" s="127" t="s">
        <v>559</v>
      </c>
      <c r="B90">
        <v>1</v>
      </c>
      <c r="E90">
        <v>0</v>
      </c>
      <c r="F90">
        <v>0.5</v>
      </c>
      <c r="G90">
        <v>0.5</v>
      </c>
      <c r="H90">
        <v>0.5</v>
      </c>
    </row>
    <row r="91" spans="1:8">
      <c r="A91" s="127" t="s">
        <v>135</v>
      </c>
      <c r="B91">
        <v>1</v>
      </c>
      <c r="F91">
        <v>0.3</v>
      </c>
      <c r="G91">
        <v>0.25</v>
      </c>
      <c r="H91">
        <v>0.52</v>
      </c>
    </row>
    <row r="92" spans="1:8">
      <c r="A92" s="127" t="s">
        <v>136</v>
      </c>
      <c r="B92">
        <v>1</v>
      </c>
      <c r="F92">
        <v>0.3</v>
      </c>
      <c r="G92">
        <v>0.25</v>
      </c>
      <c r="H92">
        <v>0.52</v>
      </c>
    </row>
    <row r="93" spans="1:8">
      <c r="A93" s="127" t="s">
        <v>137</v>
      </c>
      <c r="B93">
        <v>1</v>
      </c>
      <c r="F93">
        <v>0</v>
      </c>
      <c r="G93">
        <v>0.25</v>
      </c>
      <c r="H93">
        <v>0.42</v>
      </c>
    </row>
    <row r="94" spans="1:8">
      <c r="A94" s="127" t="s">
        <v>138</v>
      </c>
      <c r="B94">
        <v>1</v>
      </c>
      <c r="C94">
        <v>0.7</v>
      </c>
      <c r="D94">
        <v>0.5</v>
      </c>
      <c r="E94">
        <v>0.4</v>
      </c>
      <c r="F94">
        <v>1</v>
      </c>
      <c r="G94">
        <v>1</v>
      </c>
      <c r="H94">
        <v>0.77</v>
      </c>
    </row>
    <row r="95" spans="1:8">
      <c r="A95" s="136" t="s">
        <v>139</v>
      </c>
      <c r="B95">
        <v>1</v>
      </c>
      <c r="F95">
        <v>0.7</v>
      </c>
      <c r="G95">
        <v>0.25</v>
      </c>
      <c r="H95">
        <v>0.65</v>
      </c>
    </row>
    <row r="96" spans="1:8">
      <c r="A96" s="136" t="s">
        <v>140</v>
      </c>
      <c r="B96">
        <v>1</v>
      </c>
      <c r="F96">
        <v>0.8</v>
      </c>
      <c r="G96">
        <v>0.25</v>
      </c>
      <c r="H96">
        <v>0.68</v>
      </c>
    </row>
    <row r="97" spans="1:8">
      <c r="A97" s="136" t="s">
        <v>142</v>
      </c>
      <c r="B97">
        <v>1</v>
      </c>
      <c r="F97">
        <v>0.7</v>
      </c>
      <c r="G97">
        <v>0.25</v>
      </c>
      <c r="H97">
        <v>0.65</v>
      </c>
    </row>
    <row r="98" spans="1:8">
      <c r="A98" s="136" t="s">
        <v>143</v>
      </c>
      <c r="B98">
        <v>1</v>
      </c>
      <c r="F98">
        <v>0.7</v>
      </c>
      <c r="G98">
        <v>0.25</v>
      </c>
      <c r="H98">
        <v>0.65</v>
      </c>
    </row>
    <row r="99" spans="1:8">
      <c r="A99" s="136" t="s">
        <v>144</v>
      </c>
      <c r="B99">
        <v>1</v>
      </c>
      <c r="F99">
        <v>0.7</v>
      </c>
      <c r="G99">
        <v>0.25</v>
      </c>
      <c r="H99">
        <v>0.65</v>
      </c>
    </row>
    <row r="100" spans="1:8">
      <c r="A100" s="136" t="s">
        <v>145</v>
      </c>
      <c r="B100">
        <v>1</v>
      </c>
      <c r="F100">
        <v>0.3</v>
      </c>
      <c r="G100">
        <v>0.25</v>
      </c>
      <c r="H100">
        <v>0.52</v>
      </c>
    </row>
    <row r="101" spans="1:8">
      <c r="A101" s="136" t="s">
        <v>147</v>
      </c>
      <c r="B101">
        <v>1</v>
      </c>
      <c r="F101">
        <v>0.3</v>
      </c>
      <c r="G101">
        <v>0.25</v>
      </c>
      <c r="H101">
        <v>0.52</v>
      </c>
    </row>
    <row r="102" spans="1:8">
      <c r="A102" s="136" t="s">
        <v>148</v>
      </c>
      <c r="B102">
        <v>1</v>
      </c>
      <c r="F102">
        <v>0</v>
      </c>
      <c r="G102">
        <v>0.25</v>
      </c>
      <c r="H102">
        <v>0.42</v>
      </c>
    </row>
    <row r="103" spans="1:8">
      <c r="A103" s="136" t="s">
        <v>149</v>
      </c>
      <c r="B103">
        <v>1</v>
      </c>
      <c r="C103">
        <v>1</v>
      </c>
      <c r="D103">
        <v>1</v>
      </c>
      <c r="F103">
        <v>0.2</v>
      </c>
      <c r="G103">
        <v>0.75</v>
      </c>
      <c r="H103">
        <v>0.79</v>
      </c>
    </row>
    <row r="104" spans="1:8">
      <c r="A104" s="136" t="s">
        <v>151</v>
      </c>
      <c r="B104">
        <v>1</v>
      </c>
      <c r="F104">
        <v>0.5</v>
      </c>
      <c r="G104">
        <v>0.25</v>
      </c>
      <c r="H104">
        <v>0.57999999999999996</v>
      </c>
    </row>
    <row r="105" spans="1:8">
      <c r="A105" s="136" t="s">
        <v>152</v>
      </c>
      <c r="B105">
        <v>1</v>
      </c>
      <c r="C105">
        <v>1</v>
      </c>
      <c r="D105">
        <v>0</v>
      </c>
      <c r="F105">
        <v>1</v>
      </c>
      <c r="G105">
        <v>0.75</v>
      </c>
      <c r="H105">
        <v>0.75</v>
      </c>
    </row>
    <row r="106" spans="1:8">
      <c r="A106" s="136" t="s">
        <v>154</v>
      </c>
      <c r="B106">
        <v>1</v>
      </c>
      <c r="C106">
        <v>0.8</v>
      </c>
      <c r="D106">
        <v>1</v>
      </c>
      <c r="E106">
        <v>1</v>
      </c>
      <c r="F106">
        <v>1</v>
      </c>
      <c r="G106">
        <v>1</v>
      </c>
      <c r="H106">
        <v>0.97</v>
      </c>
    </row>
    <row r="107" spans="1:8">
      <c r="A107" s="136" t="s">
        <v>155</v>
      </c>
      <c r="B107">
        <v>1</v>
      </c>
      <c r="C107">
        <v>0.7</v>
      </c>
      <c r="D107">
        <v>0.6</v>
      </c>
      <c r="E107">
        <v>0.5</v>
      </c>
      <c r="F107">
        <v>1</v>
      </c>
      <c r="G107">
        <v>1</v>
      </c>
      <c r="H107">
        <v>0.8</v>
      </c>
    </row>
    <row r="108" spans="1:8">
      <c r="A108" s="136" t="s">
        <v>156</v>
      </c>
      <c r="B108">
        <v>1</v>
      </c>
      <c r="C108">
        <v>0.8</v>
      </c>
      <c r="D108">
        <v>0.4</v>
      </c>
      <c r="E108">
        <v>1</v>
      </c>
      <c r="F108">
        <v>1</v>
      </c>
      <c r="G108">
        <v>1</v>
      </c>
      <c r="H108">
        <v>0.87</v>
      </c>
    </row>
    <row r="109" spans="1:8">
      <c r="A109" s="136" t="s">
        <v>157</v>
      </c>
      <c r="B109">
        <v>1</v>
      </c>
      <c r="C109">
        <v>1</v>
      </c>
      <c r="D109">
        <v>0</v>
      </c>
      <c r="F109">
        <v>1</v>
      </c>
      <c r="G109">
        <v>0.75</v>
      </c>
      <c r="H109">
        <v>0.75</v>
      </c>
    </row>
    <row r="110" spans="1:8">
      <c r="A110" s="139" t="s">
        <v>158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0.5</v>
      </c>
    </row>
    <row r="111" spans="1:8">
      <c r="A111" s="139" t="s">
        <v>159</v>
      </c>
      <c r="B111">
        <v>0.9</v>
      </c>
      <c r="C111">
        <v>1</v>
      </c>
      <c r="D111">
        <v>0.5</v>
      </c>
      <c r="E111">
        <v>0</v>
      </c>
      <c r="F111">
        <v>0.5</v>
      </c>
      <c r="G111">
        <v>1</v>
      </c>
      <c r="H111">
        <v>0.65</v>
      </c>
    </row>
    <row r="112" spans="1:8">
      <c r="A112" s="139" t="s">
        <v>160</v>
      </c>
      <c r="B112">
        <v>1</v>
      </c>
      <c r="C112">
        <v>1</v>
      </c>
      <c r="D112">
        <v>0.5</v>
      </c>
      <c r="F112">
        <v>0.5</v>
      </c>
      <c r="G112">
        <v>0.75</v>
      </c>
      <c r="H112">
        <v>0.75</v>
      </c>
    </row>
    <row r="113" spans="1:8">
      <c r="A113" s="139" t="s">
        <v>161</v>
      </c>
      <c r="B113">
        <v>1</v>
      </c>
      <c r="C113">
        <v>0.7</v>
      </c>
      <c r="D113">
        <v>0.3</v>
      </c>
      <c r="E113">
        <v>1</v>
      </c>
      <c r="F113">
        <v>0.8</v>
      </c>
      <c r="G113">
        <v>1</v>
      </c>
      <c r="H113">
        <v>0.8</v>
      </c>
    </row>
    <row r="114" spans="1:8">
      <c r="A114" s="139" t="s">
        <v>162</v>
      </c>
      <c r="B114">
        <v>1</v>
      </c>
      <c r="C114">
        <v>0.5</v>
      </c>
      <c r="D114">
        <v>0.5</v>
      </c>
      <c r="F114">
        <v>0.7</v>
      </c>
      <c r="G114">
        <v>0.75</v>
      </c>
      <c r="H114">
        <v>0.69</v>
      </c>
    </row>
    <row r="115" spans="1:8">
      <c r="A115" s="139" t="s">
        <v>163</v>
      </c>
      <c r="B115">
        <v>1</v>
      </c>
      <c r="C115">
        <v>0.5</v>
      </c>
      <c r="D115">
        <v>0.8</v>
      </c>
      <c r="E115">
        <v>0</v>
      </c>
      <c r="F115">
        <v>0.7</v>
      </c>
      <c r="G115">
        <v>1</v>
      </c>
      <c r="H115">
        <v>0.67</v>
      </c>
    </row>
    <row r="116" spans="1:8">
      <c r="A116" s="139" t="s">
        <v>164</v>
      </c>
      <c r="B116">
        <v>1</v>
      </c>
      <c r="C116">
        <v>1</v>
      </c>
      <c r="D116">
        <v>0</v>
      </c>
      <c r="E116">
        <v>0</v>
      </c>
      <c r="F116">
        <v>0.5</v>
      </c>
      <c r="G116">
        <v>1</v>
      </c>
      <c r="H116">
        <v>0.57999999999999996</v>
      </c>
    </row>
    <row r="117" spans="1:8">
      <c r="A117" s="139" t="s">
        <v>165</v>
      </c>
      <c r="B117">
        <v>1</v>
      </c>
      <c r="C117">
        <v>0.3</v>
      </c>
      <c r="D117">
        <v>0.3</v>
      </c>
      <c r="E117">
        <v>1</v>
      </c>
      <c r="F117">
        <v>0.7</v>
      </c>
      <c r="G117">
        <v>1</v>
      </c>
      <c r="H117">
        <v>0.72</v>
      </c>
    </row>
    <row r="118" spans="1:8">
      <c r="A118" s="139" t="s">
        <v>166</v>
      </c>
      <c r="B118">
        <v>1</v>
      </c>
      <c r="C118">
        <v>0.5</v>
      </c>
      <c r="D118">
        <v>0.5</v>
      </c>
      <c r="E118">
        <v>0</v>
      </c>
      <c r="F118">
        <v>0.5</v>
      </c>
      <c r="G118">
        <v>1</v>
      </c>
      <c r="H118">
        <v>0.57999999999999996</v>
      </c>
    </row>
    <row r="119" spans="1:8">
      <c r="A119" s="139" t="s">
        <v>167</v>
      </c>
      <c r="B119">
        <v>1</v>
      </c>
      <c r="C119">
        <v>1</v>
      </c>
      <c r="D119">
        <v>1</v>
      </c>
      <c r="F119">
        <v>0.7</v>
      </c>
      <c r="G119">
        <v>0.75</v>
      </c>
      <c r="H119">
        <v>0.89</v>
      </c>
    </row>
    <row r="120" spans="1:8">
      <c r="A120" s="139" t="s">
        <v>168</v>
      </c>
      <c r="B120">
        <v>1</v>
      </c>
      <c r="C120">
        <v>0.8</v>
      </c>
      <c r="D120">
        <v>0.5</v>
      </c>
      <c r="F120">
        <v>0.3</v>
      </c>
      <c r="G120">
        <v>0.75</v>
      </c>
      <c r="H120">
        <v>0.67</v>
      </c>
    </row>
    <row r="121" spans="1:8">
      <c r="A121" s="139" t="s">
        <v>169</v>
      </c>
      <c r="B121">
        <v>1</v>
      </c>
      <c r="C121">
        <v>0.6</v>
      </c>
      <c r="D121">
        <v>0.7</v>
      </c>
      <c r="E121">
        <v>0.5</v>
      </c>
      <c r="F121">
        <v>1</v>
      </c>
      <c r="G121">
        <v>1</v>
      </c>
      <c r="H121">
        <v>0.8</v>
      </c>
    </row>
    <row r="122" spans="1:8">
      <c r="A122" s="139" t="s">
        <v>170</v>
      </c>
      <c r="B122">
        <v>1</v>
      </c>
      <c r="C122">
        <v>0.6</v>
      </c>
      <c r="D122">
        <v>0.7</v>
      </c>
      <c r="E122">
        <v>0.7</v>
      </c>
      <c r="F122">
        <v>1</v>
      </c>
      <c r="G122">
        <v>1</v>
      </c>
      <c r="H122">
        <v>0.83</v>
      </c>
    </row>
    <row r="123" spans="1:8">
      <c r="A123" s="139" t="s">
        <v>171</v>
      </c>
      <c r="B123">
        <v>1</v>
      </c>
      <c r="C123">
        <v>0.6</v>
      </c>
      <c r="D123">
        <v>0.7</v>
      </c>
      <c r="E123">
        <v>0.8</v>
      </c>
      <c r="F123">
        <v>1</v>
      </c>
      <c r="G123">
        <v>1</v>
      </c>
      <c r="H123">
        <v>0.85</v>
      </c>
    </row>
    <row r="124" spans="1:8">
      <c r="A124" s="139" t="s">
        <v>172</v>
      </c>
      <c r="B124">
        <v>1</v>
      </c>
      <c r="C124">
        <v>0.6</v>
      </c>
      <c r="D124">
        <v>0.7</v>
      </c>
      <c r="E124">
        <v>0.7</v>
      </c>
      <c r="F124">
        <v>1</v>
      </c>
      <c r="G124">
        <v>1</v>
      </c>
      <c r="H124">
        <v>0.83</v>
      </c>
    </row>
    <row r="125" spans="1:8">
      <c r="A125" s="139" t="s">
        <v>173</v>
      </c>
      <c r="B125">
        <v>1</v>
      </c>
      <c r="F125">
        <v>0</v>
      </c>
      <c r="G125">
        <v>0.25</v>
      </c>
      <c r="H125">
        <v>0.42</v>
      </c>
    </row>
    <row r="126" spans="1:8">
      <c r="A126" s="139" t="s">
        <v>174</v>
      </c>
      <c r="B126">
        <v>1</v>
      </c>
      <c r="D126">
        <v>0</v>
      </c>
      <c r="F126">
        <v>0.5</v>
      </c>
      <c r="G126">
        <v>0.5</v>
      </c>
      <c r="H126">
        <v>0.5</v>
      </c>
    </row>
    <row r="127" spans="1:8">
      <c r="A127" s="139" t="s">
        <v>175</v>
      </c>
      <c r="B127">
        <v>1</v>
      </c>
      <c r="D127">
        <v>0</v>
      </c>
      <c r="F127">
        <v>0.5</v>
      </c>
      <c r="G127">
        <v>0.5</v>
      </c>
      <c r="H127">
        <v>0.5</v>
      </c>
    </row>
    <row r="128" spans="1:8">
      <c r="A128" s="139" t="s">
        <v>176</v>
      </c>
    </row>
    <row r="129" spans="1:8">
      <c r="A129" s="139" t="s">
        <v>177</v>
      </c>
      <c r="B129">
        <v>1</v>
      </c>
      <c r="C129">
        <v>0.7</v>
      </c>
      <c r="D129">
        <v>0</v>
      </c>
      <c r="E129">
        <v>0</v>
      </c>
      <c r="F129">
        <v>0</v>
      </c>
      <c r="G129">
        <v>1</v>
      </c>
      <c r="H129">
        <v>0.45</v>
      </c>
    </row>
    <row r="130" spans="1:8">
      <c r="A130" s="139" t="s">
        <v>178</v>
      </c>
      <c r="B130">
        <v>0.9</v>
      </c>
      <c r="C130">
        <v>0.7</v>
      </c>
      <c r="D130">
        <v>0</v>
      </c>
      <c r="E130">
        <v>0</v>
      </c>
      <c r="F130">
        <v>0.3</v>
      </c>
      <c r="G130">
        <v>1</v>
      </c>
      <c r="H130">
        <v>0.48</v>
      </c>
    </row>
    <row r="131" spans="1:8">
      <c r="A131" s="139" t="s">
        <v>179</v>
      </c>
      <c r="B131">
        <v>1</v>
      </c>
      <c r="C131">
        <v>0.2</v>
      </c>
      <c r="D131">
        <v>0.3</v>
      </c>
      <c r="E131">
        <v>0.5</v>
      </c>
      <c r="F131">
        <v>0.2</v>
      </c>
      <c r="G131">
        <v>1</v>
      </c>
      <c r="H131">
        <v>0.53</v>
      </c>
    </row>
    <row r="132" spans="1:8">
      <c r="A132" s="139" t="s">
        <v>180</v>
      </c>
      <c r="B132">
        <v>1</v>
      </c>
      <c r="C132">
        <v>1</v>
      </c>
      <c r="D132">
        <v>1</v>
      </c>
      <c r="F132">
        <v>0</v>
      </c>
      <c r="G132">
        <v>0.75</v>
      </c>
      <c r="H132">
        <v>0.75</v>
      </c>
    </row>
    <row r="133" spans="1:8">
      <c r="A133" s="139" t="s">
        <v>181</v>
      </c>
      <c r="B133">
        <v>1</v>
      </c>
      <c r="C133">
        <v>0.2</v>
      </c>
      <c r="D133">
        <v>0.5</v>
      </c>
      <c r="E133">
        <v>1</v>
      </c>
      <c r="F133">
        <v>0</v>
      </c>
      <c r="G133">
        <v>1</v>
      </c>
      <c r="H133">
        <v>0.62</v>
      </c>
    </row>
    <row r="134" spans="1:8">
      <c r="A134" s="139" t="s">
        <v>182</v>
      </c>
      <c r="B134">
        <v>0.8</v>
      </c>
      <c r="C134">
        <v>0.5</v>
      </c>
      <c r="D134">
        <v>0</v>
      </c>
      <c r="E134">
        <v>0</v>
      </c>
      <c r="F134">
        <v>1</v>
      </c>
      <c r="G134">
        <v>1</v>
      </c>
      <c r="H134">
        <v>0.55000000000000004</v>
      </c>
    </row>
    <row r="135" spans="1:8">
      <c r="A135" s="139" t="s">
        <v>183</v>
      </c>
      <c r="B135">
        <v>1</v>
      </c>
      <c r="C135">
        <v>0.5</v>
      </c>
      <c r="D135">
        <v>0.5</v>
      </c>
      <c r="E135">
        <v>0</v>
      </c>
      <c r="F135">
        <v>0.5</v>
      </c>
      <c r="G135">
        <v>1</v>
      </c>
      <c r="H135">
        <v>0.57999999999999996</v>
      </c>
    </row>
    <row r="136" spans="1:8">
      <c r="A136" s="139" t="s">
        <v>184</v>
      </c>
      <c r="B136">
        <v>1</v>
      </c>
      <c r="C136">
        <v>0.4</v>
      </c>
      <c r="D136">
        <v>0.5</v>
      </c>
      <c r="E136">
        <v>0</v>
      </c>
      <c r="F136">
        <v>0.2</v>
      </c>
      <c r="G136">
        <v>1</v>
      </c>
      <c r="H136">
        <v>0.52</v>
      </c>
    </row>
    <row r="137" spans="1:8">
      <c r="A137" s="139" t="s">
        <v>185</v>
      </c>
      <c r="B137">
        <v>1</v>
      </c>
      <c r="F137">
        <v>1</v>
      </c>
      <c r="G137">
        <v>0.25</v>
      </c>
      <c r="H137">
        <v>0.75</v>
      </c>
    </row>
    <row r="138" spans="1:8">
      <c r="A138" s="139" t="s">
        <v>187</v>
      </c>
      <c r="B138">
        <v>1</v>
      </c>
      <c r="F138">
        <v>0</v>
      </c>
      <c r="G138">
        <v>0.25</v>
      </c>
      <c r="H138">
        <v>0.42</v>
      </c>
    </row>
    <row r="139" spans="1:8">
      <c r="A139" s="139" t="s">
        <v>188</v>
      </c>
      <c r="B139">
        <v>1</v>
      </c>
      <c r="F139">
        <v>0</v>
      </c>
      <c r="G139">
        <v>0.25</v>
      </c>
      <c r="H139">
        <v>0.42</v>
      </c>
    </row>
    <row r="140" spans="1:8">
      <c r="A140" s="139" t="s">
        <v>189</v>
      </c>
    </row>
    <row r="141" spans="1:8">
      <c r="A141" s="139" t="s">
        <v>190</v>
      </c>
      <c r="B141">
        <v>1</v>
      </c>
      <c r="F141">
        <v>0</v>
      </c>
      <c r="G141">
        <v>0.25</v>
      </c>
      <c r="H141">
        <v>0.42</v>
      </c>
    </row>
    <row r="142" spans="1:8">
      <c r="A142" s="139" t="s">
        <v>192</v>
      </c>
    </row>
    <row r="143" spans="1:8">
      <c r="A143" s="140" t="s">
        <v>193</v>
      </c>
      <c r="B143">
        <v>1</v>
      </c>
      <c r="C143">
        <v>1</v>
      </c>
      <c r="D143">
        <v>1</v>
      </c>
      <c r="F143">
        <v>0</v>
      </c>
      <c r="G143">
        <v>0.75</v>
      </c>
      <c r="H143">
        <v>0.75</v>
      </c>
    </row>
    <row r="144" spans="1:8">
      <c r="A144" s="140" t="s">
        <v>194</v>
      </c>
      <c r="B144">
        <v>1</v>
      </c>
      <c r="C144">
        <v>1</v>
      </c>
      <c r="D144">
        <v>1</v>
      </c>
      <c r="F144">
        <v>0</v>
      </c>
      <c r="G144">
        <v>0.75</v>
      </c>
      <c r="H144">
        <v>0.75</v>
      </c>
    </row>
    <row r="145" spans="1:8">
      <c r="A145" s="140" t="s">
        <v>195</v>
      </c>
      <c r="B145">
        <v>1</v>
      </c>
      <c r="C145">
        <v>0.5</v>
      </c>
      <c r="D145">
        <v>1</v>
      </c>
      <c r="F145">
        <v>0</v>
      </c>
      <c r="G145">
        <v>0.75</v>
      </c>
      <c r="H145">
        <v>0.65</v>
      </c>
    </row>
    <row r="146" spans="1:8">
      <c r="A146" s="140" t="s">
        <v>196</v>
      </c>
      <c r="B146">
        <v>1</v>
      </c>
      <c r="C146">
        <v>1</v>
      </c>
      <c r="D146">
        <v>1</v>
      </c>
      <c r="F146">
        <v>0.7</v>
      </c>
      <c r="G146">
        <v>0.75</v>
      </c>
      <c r="H146">
        <v>0.89</v>
      </c>
    </row>
    <row r="147" spans="1:8">
      <c r="A147" s="140" t="s">
        <v>197</v>
      </c>
      <c r="B147">
        <v>1</v>
      </c>
      <c r="C147">
        <v>1</v>
      </c>
      <c r="D147">
        <v>1</v>
      </c>
      <c r="F147">
        <v>1</v>
      </c>
      <c r="G147">
        <v>0.75</v>
      </c>
      <c r="H147">
        <v>0.95</v>
      </c>
    </row>
    <row r="148" spans="1:8">
      <c r="A148" s="140" t="s">
        <v>198</v>
      </c>
      <c r="B148">
        <v>1</v>
      </c>
      <c r="D148">
        <v>0.5</v>
      </c>
      <c r="F148">
        <v>0.7</v>
      </c>
      <c r="G148">
        <v>0.5</v>
      </c>
      <c r="H148">
        <v>0.68</v>
      </c>
    </row>
    <row r="149" spans="1:8">
      <c r="A149" s="140" t="s">
        <v>199</v>
      </c>
      <c r="B149">
        <v>1</v>
      </c>
      <c r="C149">
        <v>1</v>
      </c>
      <c r="D149">
        <v>0.7</v>
      </c>
      <c r="E149">
        <v>0</v>
      </c>
      <c r="F149">
        <v>0.2</v>
      </c>
      <c r="G149">
        <v>1</v>
      </c>
      <c r="H149">
        <v>0.65</v>
      </c>
    </row>
    <row r="150" spans="1:8">
      <c r="A150" s="140" t="s">
        <v>200</v>
      </c>
      <c r="B150">
        <v>1</v>
      </c>
      <c r="C150">
        <v>1</v>
      </c>
      <c r="D150">
        <v>0.5</v>
      </c>
      <c r="E150">
        <v>0</v>
      </c>
      <c r="F150">
        <v>0.5</v>
      </c>
      <c r="G150">
        <v>1</v>
      </c>
      <c r="H150">
        <v>0.67</v>
      </c>
    </row>
    <row r="151" spans="1:8">
      <c r="A151" s="140" t="s">
        <v>201</v>
      </c>
      <c r="B151">
        <v>1</v>
      </c>
      <c r="C151">
        <v>1</v>
      </c>
      <c r="D151">
        <v>1</v>
      </c>
      <c r="E151">
        <v>0</v>
      </c>
      <c r="F151">
        <v>0.3</v>
      </c>
      <c r="G151">
        <v>1</v>
      </c>
      <c r="H151">
        <v>0.72</v>
      </c>
    </row>
    <row r="152" spans="1:8">
      <c r="A152" s="140" t="s">
        <v>202</v>
      </c>
      <c r="B152">
        <v>1</v>
      </c>
      <c r="C152">
        <v>0.8</v>
      </c>
      <c r="D152">
        <v>0.8</v>
      </c>
      <c r="E152">
        <v>0</v>
      </c>
      <c r="F152">
        <v>0.2</v>
      </c>
      <c r="G152">
        <v>1</v>
      </c>
      <c r="H152">
        <v>0.63</v>
      </c>
    </row>
    <row r="153" spans="1:8">
      <c r="A153" s="140" t="s">
        <v>204</v>
      </c>
      <c r="B153">
        <v>1</v>
      </c>
      <c r="F153">
        <v>1</v>
      </c>
      <c r="G153">
        <v>0.25</v>
      </c>
      <c r="H153">
        <v>0.75</v>
      </c>
    </row>
    <row r="154" spans="1:8">
      <c r="A154" s="140" t="s">
        <v>205</v>
      </c>
      <c r="B154">
        <v>1</v>
      </c>
      <c r="C154">
        <v>1</v>
      </c>
      <c r="D154">
        <v>1</v>
      </c>
      <c r="E154">
        <v>0</v>
      </c>
      <c r="F154">
        <v>0.2</v>
      </c>
      <c r="G154">
        <v>1</v>
      </c>
      <c r="H154">
        <v>0.7</v>
      </c>
    </row>
    <row r="155" spans="1:8">
      <c r="A155" s="140" t="s">
        <v>206</v>
      </c>
      <c r="B155">
        <v>0.9</v>
      </c>
      <c r="F155">
        <v>0.5</v>
      </c>
      <c r="G155">
        <v>0.25</v>
      </c>
      <c r="H155">
        <v>0.55000000000000004</v>
      </c>
    </row>
    <row r="156" spans="1:8">
      <c r="A156" s="140" t="s">
        <v>208</v>
      </c>
      <c r="B156">
        <v>0.9</v>
      </c>
      <c r="F156">
        <v>0.8</v>
      </c>
      <c r="G156">
        <v>0.25</v>
      </c>
      <c r="H156">
        <v>0.65</v>
      </c>
    </row>
    <row r="157" spans="1:8">
      <c r="A157" s="140" t="s">
        <v>209</v>
      </c>
      <c r="B157">
        <v>1</v>
      </c>
      <c r="F157">
        <v>0.7</v>
      </c>
      <c r="G157">
        <v>0.25</v>
      </c>
      <c r="H157">
        <v>0.65</v>
      </c>
    </row>
    <row r="158" spans="1:8">
      <c r="A158" s="140" t="s">
        <v>210</v>
      </c>
      <c r="B158">
        <v>1</v>
      </c>
      <c r="F158">
        <v>1</v>
      </c>
      <c r="G158">
        <v>0.25</v>
      </c>
      <c r="H158">
        <v>0.75</v>
      </c>
    </row>
    <row r="159" spans="1:8">
      <c r="A159" s="140" t="s">
        <v>211</v>
      </c>
      <c r="B159">
        <v>1</v>
      </c>
      <c r="F159">
        <v>0.5</v>
      </c>
      <c r="G159">
        <v>0.25</v>
      </c>
      <c r="H159">
        <v>0.57999999999999996</v>
      </c>
    </row>
    <row r="160" spans="1:8">
      <c r="A160" s="140" t="s">
        <v>212</v>
      </c>
      <c r="B160">
        <v>1</v>
      </c>
      <c r="F160">
        <v>0.8</v>
      </c>
      <c r="G160">
        <v>0.25</v>
      </c>
      <c r="H160">
        <v>0.68</v>
      </c>
    </row>
    <row r="161" spans="1:8">
      <c r="A161" s="140" t="s">
        <v>213</v>
      </c>
      <c r="B161">
        <v>1</v>
      </c>
      <c r="F161">
        <v>0.8</v>
      </c>
      <c r="G161">
        <v>0.25</v>
      </c>
      <c r="H161">
        <v>0.68</v>
      </c>
    </row>
    <row r="162" spans="1:8">
      <c r="A162" s="140" t="s">
        <v>214</v>
      </c>
      <c r="B162">
        <v>1</v>
      </c>
      <c r="F162">
        <v>0.8</v>
      </c>
      <c r="G162">
        <v>0.25</v>
      </c>
      <c r="H162">
        <v>0.68</v>
      </c>
    </row>
    <row r="163" spans="1:8">
      <c r="A163" s="140" t="s">
        <v>215</v>
      </c>
      <c r="B163">
        <v>1</v>
      </c>
      <c r="F163">
        <v>0.5</v>
      </c>
      <c r="G163">
        <v>0.25</v>
      </c>
      <c r="H163">
        <v>0.57999999999999996</v>
      </c>
    </row>
    <row r="164" spans="1:8">
      <c r="A164" s="140" t="s">
        <v>216</v>
      </c>
      <c r="B164">
        <v>0.8</v>
      </c>
      <c r="C164">
        <v>0.8</v>
      </c>
      <c r="D164">
        <v>0.5</v>
      </c>
      <c r="E164">
        <v>0</v>
      </c>
      <c r="F164">
        <v>1</v>
      </c>
      <c r="G164">
        <v>1</v>
      </c>
      <c r="H164">
        <v>0.68</v>
      </c>
    </row>
    <row r="165" spans="1:8">
      <c r="A165" s="140" t="s">
        <v>217</v>
      </c>
      <c r="B165">
        <v>0.8</v>
      </c>
      <c r="C165">
        <v>1</v>
      </c>
      <c r="D165">
        <v>0.5</v>
      </c>
      <c r="E165">
        <v>1</v>
      </c>
      <c r="F165">
        <v>1</v>
      </c>
      <c r="G165">
        <v>1</v>
      </c>
      <c r="H165">
        <v>0.88</v>
      </c>
    </row>
    <row r="166" spans="1:8">
      <c r="A166" s="140" t="s">
        <v>218</v>
      </c>
      <c r="B166">
        <v>0.8</v>
      </c>
      <c r="C166">
        <v>1</v>
      </c>
      <c r="D166">
        <v>0</v>
      </c>
      <c r="E166">
        <v>0</v>
      </c>
      <c r="F166">
        <v>0.2</v>
      </c>
      <c r="G166">
        <v>1</v>
      </c>
      <c r="H166">
        <v>0.5</v>
      </c>
    </row>
    <row r="167" spans="1:8">
      <c r="A167" s="140" t="s">
        <v>219</v>
      </c>
      <c r="B167">
        <v>1</v>
      </c>
      <c r="C167">
        <v>0.6</v>
      </c>
      <c r="D167">
        <v>0.7</v>
      </c>
      <c r="E167">
        <v>0.6</v>
      </c>
      <c r="F167">
        <v>1</v>
      </c>
      <c r="G167">
        <v>1</v>
      </c>
      <c r="H167">
        <v>0.82</v>
      </c>
    </row>
    <row r="168" spans="1:8">
      <c r="A168" s="140" t="s">
        <v>220</v>
      </c>
    </row>
    <row r="169" spans="1:8">
      <c r="A169" s="140" t="s">
        <v>221</v>
      </c>
    </row>
    <row r="170" spans="1:8">
      <c r="A170" s="144" t="s">
        <v>222</v>
      </c>
      <c r="B170">
        <v>1</v>
      </c>
      <c r="C170">
        <v>1</v>
      </c>
      <c r="D170">
        <v>0.5</v>
      </c>
      <c r="E170">
        <v>0.5</v>
      </c>
      <c r="F170">
        <v>0.7</v>
      </c>
      <c r="G170">
        <v>1</v>
      </c>
      <c r="H170">
        <v>0.78</v>
      </c>
    </row>
    <row r="171" spans="1:8">
      <c r="A171" s="144" t="s">
        <v>223</v>
      </c>
      <c r="B171">
        <v>1</v>
      </c>
      <c r="C171">
        <v>0.4</v>
      </c>
      <c r="D171">
        <v>0.2</v>
      </c>
      <c r="E171">
        <v>0</v>
      </c>
      <c r="F171">
        <v>0.3</v>
      </c>
      <c r="G171">
        <v>1</v>
      </c>
      <c r="H171">
        <v>0.48</v>
      </c>
    </row>
    <row r="172" spans="1:8">
      <c r="A172" s="144" t="s">
        <v>224</v>
      </c>
      <c r="B172">
        <v>1</v>
      </c>
      <c r="C172">
        <v>1</v>
      </c>
      <c r="D172">
        <v>0.5</v>
      </c>
      <c r="E172">
        <v>0.5</v>
      </c>
      <c r="F172">
        <v>0.8</v>
      </c>
      <c r="G172">
        <v>1</v>
      </c>
      <c r="H172">
        <v>0.8</v>
      </c>
    </row>
    <row r="173" spans="1:8">
      <c r="A173" s="144" t="s">
        <v>225</v>
      </c>
      <c r="B173">
        <v>1</v>
      </c>
      <c r="C173">
        <v>0.7</v>
      </c>
      <c r="D173">
        <v>0.8</v>
      </c>
      <c r="F173">
        <v>1</v>
      </c>
      <c r="G173">
        <v>0.75</v>
      </c>
      <c r="H173">
        <v>0.85</v>
      </c>
    </row>
    <row r="174" spans="1:8">
      <c r="A174" s="144" t="s">
        <v>227</v>
      </c>
      <c r="B174">
        <v>1</v>
      </c>
      <c r="C174">
        <v>0.7</v>
      </c>
      <c r="D174">
        <v>0.5</v>
      </c>
      <c r="E174">
        <v>0</v>
      </c>
      <c r="F174">
        <v>0.7</v>
      </c>
      <c r="G174">
        <v>1</v>
      </c>
      <c r="H174">
        <v>0.65</v>
      </c>
    </row>
    <row r="175" spans="1:8">
      <c r="A175" s="144" t="s">
        <v>228</v>
      </c>
      <c r="B175">
        <v>1</v>
      </c>
      <c r="C175">
        <v>0.8</v>
      </c>
      <c r="D175">
        <v>0.8</v>
      </c>
      <c r="E175">
        <v>0</v>
      </c>
      <c r="F175">
        <v>0.2</v>
      </c>
      <c r="G175">
        <v>1</v>
      </c>
      <c r="H175">
        <v>0.63</v>
      </c>
    </row>
    <row r="176" spans="1:8">
      <c r="A176" s="144" t="s">
        <v>229</v>
      </c>
      <c r="B176">
        <v>1</v>
      </c>
      <c r="C176">
        <v>1</v>
      </c>
      <c r="D176">
        <v>1</v>
      </c>
      <c r="E176">
        <v>0</v>
      </c>
      <c r="F176">
        <v>0.7</v>
      </c>
      <c r="G176">
        <v>1</v>
      </c>
      <c r="H176">
        <v>0.78</v>
      </c>
    </row>
    <row r="177" spans="1:8">
      <c r="A177" s="144" t="s">
        <v>230</v>
      </c>
      <c r="B177">
        <v>1</v>
      </c>
      <c r="C177">
        <v>1</v>
      </c>
      <c r="D177">
        <v>1</v>
      </c>
      <c r="E177">
        <v>0</v>
      </c>
      <c r="F177">
        <v>0.7</v>
      </c>
      <c r="G177">
        <v>1</v>
      </c>
      <c r="H177">
        <v>0.78</v>
      </c>
    </row>
    <row r="178" spans="1:8">
      <c r="A178" s="144" t="s">
        <v>231</v>
      </c>
      <c r="B178">
        <v>1</v>
      </c>
      <c r="F178">
        <v>1</v>
      </c>
      <c r="G178">
        <v>0.25</v>
      </c>
      <c r="H178">
        <v>0.75</v>
      </c>
    </row>
    <row r="179" spans="1:8">
      <c r="A179" s="144" t="s">
        <v>232</v>
      </c>
      <c r="B179">
        <v>1</v>
      </c>
      <c r="F179">
        <v>0.5</v>
      </c>
      <c r="G179">
        <v>0.25</v>
      </c>
      <c r="H179">
        <v>0.57999999999999996</v>
      </c>
    </row>
    <row r="180" spans="1:8">
      <c r="A180" s="144" t="s">
        <v>233</v>
      </c>
      <c r="B180">
        <v>1</v>
      </c>
      <c r="F180">
        <v>1</v>
      </c>
      <c r="G180">
        <v>0.25</v>
      </c>
      <c r="H180">
        <v>0.75</v>
      </c>
    </row>
    <row r="181" spans="1:8">
      <c r="A181" s="144" t="s">
        <v>234</v>
      </c>
    </row>
    <row r="182" spans="1:8">
      <c r="A182" s="144" t="s">
        <v>235</v>
      </c>
      <c r="B182">
        <v>1</v>
      </c>
      <c r="C182">
        <v>0.6</v>
      </c>
      <c r="D182">
        <v>1</v>
      </c>
      <c r="F182">
        <v>0.7</v>
      </c>
      <c r="G182">
        <v>0.75</v>
      </c>
      <c r="H182">
        <v>0.81</v>
      </c>
    </row>
    <row r="183" spans="1:8">
      <c r="A183" s="144" t="s">
        <v>236</v>
      </c>
      <c r="B183">
        <v>1</v>
      </c>
      <c r="C183">
        <v>0.3</v>
      </c>
      <c r="D183">
        <v>0.5</v>
      </c>
      <c r="F183">
        <v>0</v>
      </c>
      <c r="G183">
        <v>0.75</v>
      </c>
      <c r="H183">
        <v>0.51</v>
      </c>
    </row>
    <row r="184" spans="1:8">
      <c r="A184" s="144" t="s">
        <v>237</v>
      </c>
      <c r="B184">
        <v>1</v>
      </c>
      <c r="F184">
        <v>0</v>
      </c>
      <c r="G184">
        <v>0.25</v>
      </c>
      <c r="H184">
        <v>0.42</v>
      </c>
    </row>
    <row r="185" spans="1:8">
      <c r="A185" s="144" t="s">
        <v>238</v>
      </c>
      <c r="B185">
        <v>1</v>
      </c>
      <c r="C185">
        <v>0.8</v>
      </c>
      <c r="D185">
        <v>0.5</v>
      </c>
      <c r="F185">
        <v>1</v>
      </c>
      <c r="G185">
        <v>0.75</v>
      </c>
      <c r="H185">
        <v>0.81</v>
      </c>
    </row>
    <row r="186" spans="1:8">
      <c r="A186" s="144" t="s">
        <v>239</v>
      </c>
    </row>
    <row r="187" spans="1:8">
      <c r="A187" s="146" t="s">
        <v>240</v>
      </c>
      <c r="B187">
        <v>1</v>
      </c>
      <c r="C187">
        <v>0.9</v>
      </c>
      <c r="D187">
        <v>1</v>
      </c>
      <c r="F187">
        <v>1</v>
      </c>
      <c r="G187">
        <v>0.75</v>
      </c>
      <c r="H187">
        <v>0.93</v>
      </c>
    </row>
    <row r="188" spans="1:8">
      <c r="A188" s="146" t="s">
        <v>241</v>
      </c>
      <c r="B188">
        <v>1</v>
      </c>
      <c r="C188">
        <v>0.4</v>
      </c>
      <c r="D188">
        <v>0</v>
      </c>
      <c r="F188">
        <v>1</v>
      </c>
      <c r="G188">
        <v>0.75</v>
      </c>
      <c r="H188">
        <v>0.63</v>
      </c>
    </row>
    <row r="189" spans="1:8">
      <c r="A189" s="146" t="s">
        <v>242</v>
      </c>
      <c r="B189">
        <v>1</v>
      </c>
      <c r="C189">
        <v>0.7</v>
      </c>
      <c r="D189">
        <v>0</v>
      </c>
      <c r="E189">
        <v>0</v>
      </c>
      <c r="F189">
        <v>0.5</v>
      </c>
      <c r="G189">
        <v>1</v>
      </c>
      <c r="H189">
        <v>0.53</v>
      </c>
    </row>
    <row r="190" spans="1:8">
      <c r="A190" s="146" t="s">
        <v>243</v>
      </c>
      <c r="B190">
        <v>1</v>
      </c>
      <c r="F190">
        <v>0.3</v>
      </c>
      <c r="G190">
        <v>0.25</v>
      </c>
      <c r="H190">
        <v>0.52</v>
      </c>
    </row>
    <row r="191" spans="1:8">
      <c r="A191" s="146" t="s">
        <v>245</v>
      </c>
      <c r="B191">
        <v>1</v>
      </c>
      <c r="C191">
        <v>0.3</v>
      </c>
      <c r="D191">
        <v>1</v>
      </c>
      <c r="E191">
        <v>0</v>
      </c>
      <c r="F191">
        <v>0</v>
      </c>
      <c r="G191">
        <v>1</v>
      </c>
      <c r="H191">
        <v>0.55000000000000004</v>
      </c>
    </row>
    <row r="192" spans="1:8">
      <c r="A192" s="146" t="s">
        <v>246</v>
      </c>
      <c r="B192">
        <v>1</v>
      </c>
      <c r="C192">
        <v>0.3</v>
      </c>
      <c r="D192">
        <v>1</v>
      </c>
      <c r="F192">
        <v>0.2</v>
      </c>
      <c r="G192">
        <v>0.75</v>
      </c>
      <c r="H192">
        <v>0.65</v>
      </c>
    </row>
    <row r="193" spans="1:8">
      <c r="A193" s="146" t="s">
        <v>247</v>
      </c>
      <c r="B193">
        <v>1</v>
      </c>
      <c r="C193">
        <v>0.3</v>
      </c>
      <c r="D193">
        <v>1</v>
      </c>
      <c r="F193">
        <v>0</v>
      </c>
      <c r="G193">
        <v>0.75</v>
      </c>
      <c r="H193">
        <v>0.61</v>
      </c>
    </row>
    <row r="194" spans="1:8">
      <c r="A194" s="146" t="s">
        <v>248</v>
      </c>
      <c r="B194">
        <v>1</v>
      </c>
      <c r="F194">
        <v>0.3</v>
      </c>
      <c r="G194">
        <v>0.25</v>
      </c>
      <c r="H194">
        <v>0.52</v>
      </c>
    </row>
    <row r="195" spans="1:8">
      <c r="A195" s="146" t="s">
        <v>249</v>
      </c>
      <c r="B195">
        <v>1</v>
      </c>
      <c r="C195">
        <v>0.3</v>
      </c>
      <c r="D195">
        <v>0.2</v>
      </c>
      <c r="E195">
        <v>0</v>
      </c>
      <c r="F195">
        <v>0.3</v>
      </c>
      <c r="G195">
        <v>1</v>
      </c>
      <c r="H195">
        <v>0.47</v>
      </c>
    </row>
    <row r="196" spans="1:8">
      <c r="A196" s="146" t="s">
        <v>250</v>
      </c>
      <c r="B196">
        <v>1</v>
      </c>
      <c r="F196">
        <v>0.3</v>
      </c>
      <c r="G196">
        <v>0.25</v>
      </c>
      <c r="H196">
        <v>0.52</v>
      </c>
    </row>
    <row r="197" spans="1:8">
      <c r="A197" s="146" t="s">
        <v>251</v>
      </c>
      <c r="B197">
        <v>1</v>
      </c>
      <c r="C197">
        <v>1</v>
      </c>
      <c r="D197">
        <v>0.5</v>
      </c>
      <c r="E197">
        <v>0</v>
      </c>
      <c r="F197">
        <v>0.3</v>
      </c>
      <c r="G197">
        <v>1</v>
      </c>
      <c r="H197">
        <v>0.63</v>
      </c>
    </row>
    <row r="198" spans="1:8">
      <c r="A198" s="146" t="s">
        <v>252</v>
      </c>
      <c r="B198">
        <v>1</v>
      </c>
      <c r="C198">
        <v>1</v>
      </c>
      <c r="D198">
        <v>1</v>
      </c>
      <c r="F198">
        <v>0.5</v>
      </c>
      <c r="G198">
        <v>0.75</v>
      </c>
      <c r="H198">
        <v>0.85</v>
      </c>
    </row>
    <row r="199" spans="1:8">
      <c r="A199" s="146" t="s">
        <v>253</v>
      </c>
      <c r="B199">
        <v>1</v>
      </c>
      <c r="C199">
        <v>1</v>
      </c>
      <c r="D199">
        <v>0.8</v>
      </c>
      <c r="E199">
        <v>0</v>
      </c>
      <c r="F199">
        <v>0.7</v>
      </c>
      <c r="G199">
        <v>1</v>
      </c>
      <c r="H199">
        <v>0.75</v>
      </c>
    </row>
    <row r="200" spans="1:8">
      <c r="A200" s="146" t="s">
        <v>254</v>
      </c>
      <c r="B200">
        <v>1</v>
      </c>
      <c r="C200">
        <v>1</v>
      </c>
      <c r="D200">
        <v>0.8</v>
      </c>
      <c r="E200">
        <v>0</v>
      </c>
      <c r="F200">
        <v>0</v>
      </c>
      <c r="G200">
        <v>1</v>
      </c>
      <c r="H200">
        <v>0.63</v>
      </c>
    </row>
    <row r="201" spans="1:8">
      <c r="A201" s="146" t="s">
        <v>255</v>
      </c>
      <c r="B201">
        <v>1</v>
      </c>
      <c r="C201">
        <v>1</v>
      </c>
      <c r="D201">
        <v>1</v>
      </c>
      <c r="E201">
        <v>0.5</v>
      </c>
      <c r="F201">
        <v>0.7</v>
      </c>
      <c r="G201">
        <v>1</v>
      </c>
      <c r="H201">
        <v>0.87</v>
      </c>
    </row>
    <row r="202" spans="1:8">
      <c r="A202" s="165" t="s">
        <v>256</v>
      </c>
      <c r="B202">
        <v>1</v>
      </c>
      <c r="C202">
        <v>1</v>
      </c>
      <c r="D202">
        <v>1</v>
      </c>
      <c r="F202">
        <v>1</v>
      </c>
      <c r="G202">
        <v>0.75</v>
      </c>
      <c r="H202">
        <v>0.95</v>
      </c>
    </row>
    <row r="203" spans="1:8">
      <c r="A203" s="165" t="s">
        <v>257</v>
      </c>
      <c r="B203">
        <v>1</v>
      </c>
      <c r="C203">
        <v>1</v>
      </c>
      <c r="D203">
        <v>1</v>
      </c>
      <c r="F203">
        <v>0</v>
      </c>
      <c r="G203">
        <v>0.75</v>
      </c>
      <c r="H203">
        <v>0.75</v>
      </c>
    </row>
    <row r="204" spans="1:8">
      <c r="A204" s="165" t="s">
        <v>258</v>
      </c>
      <c r="B204">
        <v>1</v>
      </c>
      <c r="C204">
        <v>0.6</v>
      </c>
      <c r="D204">
        <v>1</v>
      </c>
      <c r="F204">
        <v>0.7</v>
      </c>
      <c r="G204">
        <v>0.75</v>
      </c>
      <c r="H204">
        <v>0.81</v>
      </c>
    </row>
    <row r="205" spans="1:8">
      <c r="A205" s="165" t="s">
        <v>259</v>
      </c>
      <c r="B205">
        <v>1</v>
      </c>
      <c r="F205">
        <v>0</v>
      </c>
      <c r="G205">
        <v>0.25</v>
      </c>
      <c r="H205">
        <v>0.42</v>
      </c>
    </row>
    <row r="206" spans="1:8">
      <c r="A206" s="165" t="s">
        <v>260</v>
      </c>
      <c r="B206">
        <v>1</v>
      </c>
      <c r="C206">
        <v>0.8</v>
      </c>
      <c r="D206">
        <v>0.5</v>
      </c>
      <c r="E206">
        <v>0.6</v>
      </c>
      <c r="F206">
        <v>1</v>
      </c>
      <c r="G206">
        <v>1</v>
      </c>
      <c r="H206">
        <v>0.82</v>
      </c>
    </row>
    <row r="207" spans="1:8">
      <c r="A207" s="165" t="s">
        <v>261</v>
      </c>
      <c r="B207">
        <v>1</v>
      </c>
      <c r="C207">
        <v>0.8</v>
      </c>
      <c r="D207">
        <v>0.5</v>
      </c>
      <c r="E207">
        <v>0.5</v>
      </c>
      <c r="F207">
        <v>0.7</v>
      </c>
      <c r="G207">
        <v>1</v>
      </c>
      <c r="H207">
        <v>0.75</v>
      </c>
    </row>
    <row r="208" spans="1:8">
      <c r="A208" s="165" t="s">
        <v>262</v>
      </c>
      <c r="B208">
        <v>1</v>
      </c>
      <c r="C208">
        <v>0.3</v>
      </c>
      <c r="D208">
        <v>0</v>
      </c>
      <c r="E208">
        <v>0</v>
      </c>
      <c r="F208">
        <v>0</v>
      </c>
      <c r="G208">
        <v>1</v>
      </c>
      <c r="H208">
        <v>0.38</v>
      </c>
    </row>
    <row r="209" spans="1:8">
      <c r="A209" s="165" t="s">
        <v>263</v>
      </c>
    </row>
    <row r="210" spans="1:8">
      <c r="A210" s="165" t="s">
        <v>264</v>
      </c>
      <c r="B210">
        <v>0.9</v>
      </c>
      <c r="F210">
        <v>0.5</v>
      </c>
      <c r="G210">
        <v>0.25</v>
      </c>
      <c r="H210">
        <v>0.55000000000000004</v>
      </c>
    </row>
    <row r="211" spans="1:8">
      <c r="A211" s="165" t="s">
        <v>265</v>
      </c>
      <c r="B211">
        <v>1</v>
      </c>
      <c r="C211">
        <v>1</v>
      </c>
      <c r="D211">
        <v>0</v>
      </c>
      <c r="E211">
        <v>0</v>
      </c>
      <c r="G211">
        <v>0.75</v>
      </c>
      <c r="H211">
        <v>0.55000000000000004</v>
      </c>
    </row>
    <row r="212" spans="1:8">
      <c r="A212" s="165" t="s">
        <v>266</v>
      </c>
    </row>
    <row r="213" spans="1:8">
      <c r="A213" s="165" t="s">
        <v>267</v>
      </c>
    </row>
    <row r="214" spans="1:8">
      <c r="A214" s="165" t="s">
        <v>268</v>
      </c>
      <c r="B214">
        <v>1</v>
      </c>
      <c r="C214">
        <v>1</v>
      </c>
      <c r="D214">
        <v>0.5</v>
      </c>
      <c r="E214">
        <v>0</v>
      </c>
      <c r="F214">
        <v>0.5</v>
      </c>
      <c r="G214">
        <v>1</v>
      </c>
      <c r="H214">
        <v>0.67</v>
      </c>
    </row>
    <row r="215" spans="1:8">
      <c r="A215" s="165" t="s">
        <v>270</v>
      </c>
      <c r="B215">
        <v>0.8</v>
      </c>
      <c r="F215">
        <v>0.7</v>
      </c>
      <c r="G215">
        <v>0.25</v>
      </c>
      <c r="H215">
        <v>0.57999999999999996</v>
      </c>
    </row>
    <row r="216" spans="1:8">
      <c r="A216" s="165" t="s">
        <v>271</v>
      </c>
      <c r="B216">
        <v>1</v>
      </c>
      <c r="F216">
        <v>0.7</v>
      </c>
      <c r="G216">
        <v>0.25</v>
      </c>
      <c r="H216">
        <v>0.65</v>
      </c>
    </row>
    <row r="217" spans="1:8">
      <c r="A217" s="165" t="s">
        <v>272</v>
      </c>
    </row>
    <row r="218" spans="1:8">
      <c r="A218" s="205" t="s">
        <v>534</v>
      </c>
      <c r="B218">
        <v>1</v>
      </c>
      <c r="C218">
        <v>0.5</v>
      </c>
      <c r="D218">
        <v>0.9</v>
      </c>
      <c r="E218">
        <v>0.7</v>
      </c>
      <c r="F218">
        <v>1</v>
      </c>
      <c r="G218">
        <v>1</v>
      </c>
      <c r="H218">
        <v>0.85</v>
      </c>
    </row>
    <row r="219" spans="1:8">
      <c r="A219" s="205" t="s">
        <v>535</v>
      </c>
      <c r="B219">
        <v>1</v>
      </c>
      <c r="C219">
        <v>0.7</v>
      </c>
      <c r="D219">
        <v>0.8</v>
      </c>
      <c r="E219">
        <v>0.8</v>
      </c>
      <c r="F219">
        <v>1</v>
      </c>
      <c r="G219">
        <v>1</v>
      </c>
      <c r="H219">
        <v>0.88</v>
      </c>
    </row>
    <row r="220" spans="1:8">
      <c r="A220" s="205" t="s">
        <v>536</v>
      </c>
      <c r="B220">
        <v>1</v>
      </c>
      <c r="C220">
        <v>0.6</v>
      </c>
      <c r="D220">
        <v>0.8</v>
      </c>
      <c r="E220">
        <v>1</v>
      </c>
      <c r="F220">
        <v>0.7</v>
      </c>
      <c r="G220">
        <v>1</v>
      </c>
      <c r="H220">
        <v>0.85</v>
      </c>
    </row>
    <row r="221" spans="1:8">
      <c r="A221" s="205" t="s">
        <v>537</v>
      </c>
      <c r="B221">
        <v>1</v>
      </c>
      <c r="F221">
        <v>0.5</v>
      </c>
      <c r="G221">
        <v>0.25</v>
      </c>
      <c r="H221">
        <v>0.57999999999999996</v>
      </c>
    </row>
    <row r="222" spans="1:8">
      <c r="A222" s="205" t="s">
        <v>538</v>
      </c>
      <c r="B222">
        <v>1</v>
      </c>
      <c r="C222">
        <v>1</v>
      </c>
      <c r="D222">
        <v>0.5</v>
      </c>
      <c r="F222">
        <v>1</v>
      </c>
      <c r="G222">
        <v>0.75</v>
      </c>
      <c r="H222">
        <v>0.85</v>
      </c>
    </row>
    <row r="223" spans="1:8">
      <c r="A223" s="205" t="s">
        <v>539</v>
      </c>
      <c r="B223">
        <v>1</v>
      </c>
      <c r="C223">
        <v>1</v>
      </c>
      <c r="D223">
        <v>0.5</v>
      </c>
      <c r="E223">
        <v>0</v>
      </c>
      <c r="F223">
        <v>0.7</v>
      </c>
      <c r="G223">
        <v>1</v>
      </c>
      <c r="H223">
        <v>0.7</v>
      </c>
    </row>
    <row r="224" spans="1:8">
      <c r="A224" s="205" t="s">
        <v>540</v>
      </c>
      <c r="B224">
        <v>1</v>
      </c>
      <c r="C224">
        <v>0.7</v>
      </c>
      <c r="D224">
        <v>1</v>
      </c>
      <c r="F224">
        <v>0.5</v>
      </c>
      <c r="G224">
        <v>0.75</v>
      </c>
      <c r="H224">
        <v>0.79</v>
      </c>
    </row>
    <row r="225" spans="1:8">
      <c r="A225" s="205" t="s">
        <v>541</v>
      </c>
      <c r="B225">
        <v>1</v>
      </c>
      <c r="C225">
        <v>0.5</v>
      </c>
      <c r="D225">
        <v>0.7</v>
      </c>
      <c r="E225">
        <v>0</v>
      </c>
      <c r="F225">
        <v>0.8</v>
      </c>
      <c r="G225">
        <v>1</v>
      </c>
      <c r="H225">
        <v>0.67</v>
      </c>
    </row>
    <row r="226" spans="1:8">
      <c r="A226" s="205" t="s">
        <v>542</v>
      </c>
      <c r="B226">
        <v>1</v>
      </c>
      <c r="C226">
        <v>0.5</v>
      </c>
      <c r="D226">
        <v>1</v>
      </c>
      <c r="F226">
        <v>1</v>
      </c>
      <c r="G226">
        <v>0.75</v>
      </c>
      <c r="H226">
        <v>0.85</v>
      </c>
    </row>
    <row r="227" spans="1:8">
      <c r="A227" s="205" t="s">
        <v>543</v>
      </c>
      <c r="B227">
        <v>1</v>
      </c>
      <c r="C227">
        <v>1</v>
      </c>
      <c r="D227">
        <v>1</v>
      </c>
      <c r="F227">
        <v>1</v>
      </c>
      <c r="G227">
        <v>0.75</v>
      </c>
      <c r="H227">
        <v>0.95</v>
      </c>
    </row>
    <row r="228" spans="1:8">
      <c r="A228" s="206" t="s">
        <v>273</v>
      </c>
      <c r="B228">
        <v>1</v>
      </c>
      <c r="C228">
        <v>0.9</v>
      </c>
      <c r="D228">
        <v>0.8</v>
      </c>
      <c r="E228">
        <v>0.8</v>
      </c>
      <c r="F228">
        <v>0.9</v>
      </c>
      <c r="G228">
        <v>1</v>
      </c>
      <c r="H228">
        <v>0.9</v>
      </c>
    </row>
    <row r="229" spans="1:8">
      <c r="A229" s="206" t="s">
        <v>274</v>
      </c>
      <c r="B229">
        <v>1</v>
      </c>
      <c r="C229">
        <v>0.9</v>
      </c>
      <c r="D229">
        <v>0.8</v>
      </c>
      <c r="F229">
        <v>0.9</v>
      </c>
      <c r="G229">
        <v>0.75</v>
      </c>
      <c r="H229">
        <v>0.87</v>
      </c>
    </row>
    <row r="230" spans="1:8">
      <c r="A230" s="206" t="s">
        <v>275</v>
      </c>
      <c r="B230">
        <v>1</v>
      </c>
      <c r="C230">
        <v>0.8</v>
      </c>
      <c r="D230">
        <v>1</v>
      </c>
      <c r="E230">
        <v>1</v>
      </c>
      <c r="F230">
        <v>0.6</v>
      </c>
      <c r="G230">
        <v>1</v>
      </c>
      <c r="H230">
        <v>0.9</v>
      </c>
    </row>
    <row r="231" spans="1:8">
      <c r="A231" s="206" t="s">
        <v>276</v>
      </c>
      <c r="B231">
        <v>1</v>
      </c>
      <c r="C231">
        <v>0.6</v>
      </c>
      <c r="D231">
        <v>0.8</v>
      </c>
      <c r="E231">
        <v>0.8</v>
      </c>
      <c r="F231">
        <v>0.7</v>
      </c>
      <c r="G231">
        <v>1</v>
      </c>
      <c r="H231">
        <v>0.82</v>
      </c>
    </row>
    <row r="232" spans="1:8">
      <c r="A232" s="206" t="s">
        <v>277</v>
      </c>
      <c r="B232">
        <v>1</v>
      </c>
      <c r="C232">
        <v>0.4</v>
      </c>
      <c r="D232">
        <v>0.8</v>
      </c>
      <c r="E232">
        <v>1</v>
      </c>
      <c r="F232">
        <v>0.5</v>
      </c>
      <c r="G232">
        <v>1</v>
      </c>
      <c r="H232">
        <v>0.78</v>
      </c>
    </row>
    <row r="233" spans="1:8">
      <c r="A233" s="206" t="s">
        <v>278</v>
      </c>
      <c r="B233">
        <v>0.8</v>
      </c>
      <c r="C233">
        <v>0</v>
      </c>
      <c r="D233">
        <v>1</v>
      </c>
      <c r="E233">
        <v>0.5</v>
      </c>
      <c r="F233">
        <v>0.2</v>
      </c>
      <c r="G233">
        <v>1</v>
      </c>
      <c r="H233">
        <v>0.57999999999999996</v>
      </c>
    </row>
    <row r="234" spans="1:8">
      <c r="A234" s="206" t="s">
        <v>279</v>
      </c>
      <c r="B234">
        <v>0.8</v>
      </c>
      <c r="C234">
        <v>0</v>
      </c>
      <c r="D234">
        <v>0</v>
      </c>
      <c r="E234">
        <v>0.5</v>
      </c>
      <c r="F234">
        <v>0.8</v>
      </c>
      <c r="G234">
        <v>1</v>
      </c>
      <c r="H234">
        <v>0.52</v>
      </c>
    </row>
    <row r="235" spans="1:8">
      <c r="A235" s="206" t="s">
        <v>280</v>
      </c>
      <c r="B235">
        <v>0.8</v>
      </c>
      <c r="D235">
        <v>0</v>
      </c>
      <c r="E235">
        <v>0</v>
      </c>
      <c r="F235">
        <v>0.5</v>
      </c>
      <c r="G235">
        <v>0.75</v>
      </c>
      <c r="H235">
        <v>0.41</v>
      </c>
    </row>
    <row r="236" spans="1:8">
      <c r="A236" s="206" t="s">
        <v>281</v>
      </c>
      <c r="B236">
        <v>1</v>
      </c>
      <c r="C236">
        <v>0.4</v>
      </c>
      <c r="D236">
        <v>0.8</v>
      </c>
      <c r="F236">
        <v>0.8</v>
      </c>
      <c r="G236">
        <v>0.75</v>
      </c>
      <c r="H236">
        <v>0.75</v>
      </c>
    </row>
    <row r="237" spans="1:8">
      <c r="A237" s="206" t="s">
        <v>282</v>
      </c>
      <c r="B237">
        <v>1</v>
      </c>
      <c r="C237">
        <v>0.7</v>
      </c>
      <c r="D237">
        <v>1</v>
      </c>
      <c r="E237">
        <v>0</v>
      </c>
      <c r="F237">
        <v>0.8</v>
      </c>
      <c r="G237">
        <v>1</v>
      </c>
      <c r="H237">
        <v>0.75</v>
      </c>
    </row>
    <row r="238" spans="1:8">
      <c r="A238" s="206" t="s">
        <v>283</v>
      </c>
      <c r="B238">
        <v>1</v>
      </c>
      <c r="C238">
        <v>0.8</v>
      </c>
      <c r="D238">
        <v>0.6</v>
      </c>
      <c r="E238">
        <v>0.5</v>
      </c>
      <c r="F238">
        <v>0.5</v>
      </c>
      <c r="G238">
        <v>1</v>
      </c>
      <c r="H238">
        <v>0.73</v>
      </c>
    </row>
    <row r="239" spans="1:8">
      <c r="A239" s="206" t="s">
        <v>284</v>
      </c>
      <c r="B239">
        <v>1</v>
      </c>
      <c r="D239">
        <v>0</v>
      </c>
      <c r="F239">
        <v>1</v>
      </c>
      <c r="G239">
        <v>0.5</v>
      </c>
      <c r="H239">
        <v>0.62</v>
      </c>
    </row>
    <row r="240" spans="1:8">
      <c r="A240" s="206" t="s">
        <v>285</v>
      </c>
      <c r="B240">
        <v>1</v>
      </c>
      <c r="D240">
        <v>1</v>
      </c>
      <c r="E240">
        <v>0</v>
      </c>
      <c r="F240">
        <v>0.5</v>
      </c>
      <c r="G240">
        <v>0.75</v>
      </c>
      <c r="H240">
        <v>0.65</v>
      </c>
    </row>
    <row r="241" spans="1:8">
      <c r="A241" s="206" t="s">
        <v>286</v>
      </c>
      <c r="B241">
        <v>1</v>
      </c>
      <c r="C241">
        <v>0.5</v>
      </c>
      <c r="F241">
        <v>0.7</v>
      </c>
      <c r="G241">
        <v>0.5</v>
      </c>
      <c r="H241">
        <v>0.68</v>
      </c>
    </row>
    <row r="242" spans="1:8">
      <c r="A242" s="206" t="s">
        <v>287</v>
      </c>
      <c r="B242">
        <v>0.9</v>
      </c>
      <c r="C242">
        <v>0.6</v>
      </c>
      <c r="D242">
        <v>0.5</v>
      </c>
      <c r="F242">
        <v>0.5</v>
      </c>
      <c r="G242">
        <v>0.75</v>
      </c>
      <c r="H242">
        <v>0.65</v>
      </c>
    </row>
    <row r="243" spans="1:8">
      <c r="A243" s="206" t="s">
        <v>288</v>
      </c>
      <c r="B243">
        <v>1</v>
      </c>
      <c r="C243">
        <v>0.5</v>
      </c>
      <c r="D243">
        <v>0.8</v>
      </c>
      <c r="F243">
        <v>0.7</v>
      </c>
      <c r="G243">
        <v>0.75</v>
      </c>
      <c r="H243">
        <v>0.75</v>
      </c>
    </row>
    <row r="244" spans="1:8">
      <c r="A244" s="206" t="s">
        <v>289</v>
      </c>
      <c r="B244">
        <v>0.9</v>
      </c>
      <c r="C244">
        <v>0.1</v>
      </c>
      <c r="D244">
        <v>0.6</v>
      </c>
      <c r="E244">
        <v>0.5</v>
      </c>
      <c r="F244">
        <v>0.6</v>
      </c>
      <c r="G244">
        <v>1</v>
      </c>
      <c r="H244">
        <v>0.62</v>
      </c>
    </row>
    <row r="245" spans="1:8">
      <c r="A245" s="206" t="s">
        <v>290</v>
      </c>
      <c r="B245">
        <v>0.9</v>
      </c>
      <c r="C245">
        <v>0.4</v>
      </c>
      <c r="D245">
        <v>0.9</v>
      </c>
      <c r="E245">
        <v>1</v>
      </c>
      <c r="F245">
        <v>0.7</v>
      </c>
      <c r="G245">
        <v>1</v>
      </c>
      <c r="H245">
        <v>0.82</v>
      </c>
    </row>
    <row r="246" spans="1:8">
      <c r="A246" s="206" t="s">
        <v>291</v>
      </c>
      <c r="B246">
        <v>1</v>
      </c>
      <c r="C246">
        <v>0</v>
      </c>
      <c r="D246">
        <v>0.9</v>
      </c>
      <c r="F246">
        <v>0.9</v>
      </c>
      <c r="G246">
        <v>0.75</v>
      </c>
      <c r="H246">
        <v>0.71</v>
      </c>
    </row>
    <row r="247" spans="1:8">
      <c r="A247" s="206" t="s">
        <v>292</v>
      </c>
      <c r="B247">
        <v>1</v>
      </c>
      <c r="C247">
        <v>0</v>
      </c>
      <c r="D247">
        <v>0</v>
      </c>
      <c r="E247">
        <v>0.5</v>
      </c>
      <c r="F247">
        <v>0.7</v>
      </c>
      <c r="G247">
        <v>1</v>
      </c>
      <c r="H247">
        <v>0.53</v>
      </c>
    </row>
    <row r="248" spans="1:8">
      <c r="A248" s="206" t="s">
        <v>293</v>
      </c>
      <c r="B248">
        <v>0.9</v>
      </c>
      <c r="C248">
        <v>0.2</v>
      </c>
      <c r="D248">
        <v>0.5</v>
      </c>
      <c r="F248">
        <v>0.5</v>
      </c>
      <c r="G248">
        <v>0.75</v>
      </c>
      <c r="H248">
        <v>0.56999999999999995</v>
      </c>
    </row>
    <row r="249" spans="1:8">
      <c r="A249" s="206" t="s">
        <v>294</v>
      </c>
      <c r="B249">
        <v>1</v>
      </c>
      <c r="C249">
        <v>0.2</v>
      </c>
      <c r="D249">
        <v>0.5</v>
      </c>
      <c r="E249">
        <v>1</v>
      </c>
      <c r="F249">
        <v>0.8</v>
      </c>
      <c r="G249">
        <v>1</v>
      </c>
      <c r="H249">
        <v>0.75</v>
      </c>
    </row>
    <row r="250" spans="1:8">
      <c r="A250" s="206" t="s">
        <v>295</v>
      </c>
    </row>
    <row r="251" spans="1:8">
      <c r="A251" s="206" t="s">
        <v>296</v>
      </c>
      <c r="B251">
        <v>1</v>
      </c>
      <c r="E251">
        <v>0</v>
      </c>
      <c r="F251">
        <v>0.8</v>
      </c>
      <c r="G251">
        <v>0.5</v>
      </c>
      <c r="H251">
        <v>0.56999999999999995</v>
      </c>
    </row>
    <row r="252" spans="1:8">
      <c r="A252" s="206" t="s">
        <v>297</v>
      </c>
    </row>
    <row r="253" spans="1:8">
      <c r="A253" s="206" t="s">
        <v>298</v>
      </c>
    </row>
    <row r="254" spans="1:8">
      <c r="A254" s="206" t="s">
        <v>299</v>
      </c>
    </row>
    <row r="255" spans="1:8">
      <c r="A255" s="206" t="s">
        <v>300</v>
      </c>
      <c r="B255">
        <v>1</v>
      </c>
      <c r="F255">
        <v>1</v>
      </c>
      <c r="G255">
        <v>0.25</v>
      </c>
      <c r="H255">
        <v>0.75</v>
      </c>
    </row>
    <row r="256" spans="1:8">
      <c r="A256" s="206" t="s">
        <v>301</v>
      </c>
      <c r="B256">
        <v>1</v>
      </c>
      <c r="C256">
        <v>1</v>
      </c>
      <c r="D256">
        <v>0</v>
      </c>
      <c r="F256">
        <v>1</v>
      </c>
      <c r="G256">
        <v>0.75</v>
      </c>
      <c r="H256">
        <v>0.75</v>
      </c>
    </row>
    <row r="257" spans="1:8">
      <c r="A257" s="206" t="s">
        <v>302</v>
      </c>
    </row>
    <row r="258" spans="1:8">
      <c r="A258" s="206" t="s">
        <v>303</v>
      </c>
      <c r="B258">
        <v>0.5</v>
      </c>
      <c r="F258">
        <v>0.5</v>
      </c>
      <c r="G258">
        <v>0.25</v>
      </c>
      <c r="H258">
        <v>0.42</v>
      </c>
    </row>
    <row r="259" spans="1:8">
      <c r="A259" s="206" t="s">
        <v>310</v>
      </c>
    </row>
    <row r="260" spans="1:8">
      <c r="A260" s="206" t="s">
        <v>311</v>
      </c>
    </row>
    <row r="261" spans="1:8">
      <c r="A261" s="206" t="s">
        <v>312</v>
      </c>
      <c r="B261">
        <v>1</v>
      </c>
      <c r="F261">
        <v>0.8</v>
      </c>
      <c r="G261">
        <v>0.25</v>
      </c>
      <c r="H261">
        <v>0.68</v>
      </c>
    </row>
    <row r="262" spans="1:8">
      <c r="A262" s="206" t="s">
        <v>313</v>
      </c>
      <c r="B262">
        <v>1</v>
      </c>
      <c r="F262">
        <v>0.2</v>
      </c>
      <c r="G262">
        <v>0.25</v>
      </c>
      <c r="H262">
        <v>0.48</v>
      </c>
    </row>
    <row r="263" spans="1:8">
      <c r="A263" s="206" t="s">
        <v>314</v>
      </c>
      <c r="B263">
        <v>1</v>
      </c>
      <c r="F263">
        <v>1</v>
      </c>
      <c r="G263">
        <v>0.25</v>
      </c>
      <c r="H263">
        <v>0.75</v>
      </c>
    </row>
    <row r="264" spans="1:8">
      <c r="A264" s="206" t="s">
        <v>315</v>
      </c>
      <c r="B264">
        <v>1</v>
      </c>
      <c r="F264">
        <v>0.3</v>
      </c>
      <c r="G264">
        <v>0.25</v>
      </c>
      <c r="H264">
        <v>0.52</v>
      </c>
    </row>
    <row r="265" spans="1:8">
      <c r="A265" s="206" t="s">
        <v>316</v>
      </c>
      <c r="B265">
        <v>1</v>
      </c>
      <c r="F265">
        <v>0.3</v>
      </c>
      <c r="G265">
        <v>0.25</v>
      </c>
      <c r="H265">
        <v>0.52</v>
      </c>
    </row>
    <row r="266" spans="1:8">
      <c r="A266" s="206" t="s">
        <v>317</v>
      </c>
      <c r="B266">
        <v>0.9</v>
      </c>
      <c r="F266">
        <v>0.9</v>
      </c>
      <c r="G266">
        <v>0.25</v>
      </c>
      <c r="H266">
        <v>0.68</v>
      </c>
    </row>
    <row r="267" spans="1:8">
      <c r="A267" s="206" t="s">
        <v>318</v>
      </c>
      <c r="B267">
        <v>1</v>
      </c>
      <c r="F267">
        <v>0.9</v>
      </c>
      <c r="G267">
        <v>0.25</v>
      </c>
      <c r="H267">
        <v>0.72</v>
      </c>
    </row>
    <row r="268" spans="1:8">
      <c r="A268" s="206" t="s">
        <v>319</v>
      </c>
      <c r="B268">
        <v>1</v>
      </c>
      <c r="F268">
        <v>0.8</v>
      </c>
      <c r="G268">
        <v>0.25</v>
      </c>
      <c r="H268">
        <v>0.68</v>
      </c>
    </row>
    <row r="269" spans="1:8">
      <c r="A269" s="206" t="s">
        <v>320</v>
      </c>
      <c r="B269">
        <v>1</v>
      </c>
      <c r="F269">
        <v>0.6</v>
      </c>
      <c r="G269">
        <v>0.25</v>
      </c>
      <c r="H269">
        <v>0.62</v>
      </c>
    </row>
    <row r="270" spans="1:8">
      <c r="A270" s="206" t="s">
        <v>321</v>
      </c>
      <c r="B270">
        <v>1</v>
      </c>
      <c r="C270">
        <v>0.5</v>
      </c>
      <c r="F270">
        <v>0.9</v>
      </c>
      <c r="G270">
        <v>0.5</v>
      </c>
      <c r="H270">
        <v>0.72</v>
      </c>
    </row>
    <row r="271" spans="1:8">
      <c r="A271" s="207" t="s">
        <v>314</v>
      </c>
      <c r="B271">
        <v>1</v>
      </c>
      <c r="F271">
        <v>1</v>
      </c>
      <c r="G271">
        <v>0.25</v>
      </c>
      <c r="H271">
        <v>0.75</v>
      </c>
    </row>
    <row r="272" spans="1:8">
      <c r="A272" s="207" t="s">
        <v>315</v>
      </c>
      <c r="B272">
        <v>1</v>
      </c>
      <c r="F272">
        <v>0.3</v>
      </c>
      <c r="G272">
        <v>0.25</v>
      </c>
      <c r="H272">
        <v>0.52</v>
      </c>
    </row>
    <row r="273" spans="1:8">
      <c r="A273" s="207" t="s">
        <v>316</v>
      </c>
      <c r="B273">
        <v>1</v>
      </c>
      <c r="F273">
        <v>0.3</v>
      </c>
      <c r="G273">
        <v>0.25</v>
      </c>
      <c r="H273">
        <v>0.52</v>
      </c>
    </row>
    <row r="274" spans="1:8">
      <c r="A274" s="207" t="s">
        <v>317</v>
      </c>
      <c r="B274">
        <v>0.9</v>
      </c>
      <c r="F274">
        <v>0.9</v>
      </c>
      <c r="G274">
        <v>0.25</v>
      </c>
      <c r="H274">
        <v>0.68</v>
      </c>
    </row>
    <row r="275" spans="1:8">
      <c r="A275" s="207" t="s">
        <v>318</v>
      </c>
      <c r="B275">
        <v>1</v>
      </c>
      <c r="F275">
        <v>0.9</v>
      </c>
      <c r="G275">
        <v>0.25</v>
      </c>
      <c r="H275">
        <v>0.72</v>
      </c>
    </row>
    <row r="276" spans="1:8">
      <c r="A276" s="207" t="s">
        <v>319</v>
      </c>
      <c r="B276">
        <v>1</v>
      </c>
      <c r="F276">
        <v>0.8</v>
      </c>
      <c r="G276">
        <v>0.25</v>
      </c>
      <c r="H276">
        <v>0.68</v>
      </c>
    </row>
    <row r="277" spans="1:8">
      <c r="A277" s="207" t="s">
        <v>320</v>
      </c>
      <c r="B277">
        <v>1</v>
      </c>
      <c r="F277">
        <v>0.6</v>
      </c>
      <c r="G277">
        <v>0.25</v>
      </c>
      <c r="H277">
        <v>0.62</v>
      </c>
    </row>
    <row r="278" spans="1:8">
      <c r="A278" s="207" t="s">
        <v>321</v>
      </c>
      <c r="B278">
        <v>1</v>
      </c>
      <c r="C278">
        <v>0.5</v>
      </c>
      <c r="F278">
        <v>0.9</v>
      </c>
      <c r="G278">
        <v>0.5</v>
      </c>
      <c r="H278">
        <v>0.72</v>
      </c>
    </row>
    <row r="279" spans="1:8">
      <c r="A279" s="222" t="s">
        <v>322</v>
      </c>
      <c r="B279">
        <v>1</v>
      </c>
      <c r="C279">
        <v>0.5</v>
      </c>
      <c r="F279">
        <v>0.6</v>
      </c>
      <c r="G279">
        <v>0.5</v>
      </c>
      <c r="H279">
        <v>0.65</v>
      </c>
    </row>
    <row r="280" spans="1:8">
      <c r="A280" s="222" t="s">
        <v>324</v>
      </c>
      <c r="B280">
        <v>1</v>
      </c>
      <c r="C280">
        <v>0</v>
      </c>
      <c r="F280">
        <v>0.8</v>
      </c>
      <c r="G280">
        <v>0.5</v>
      </c>
      <c r="H280">
        <v>0.56999999999999995</v>
      </c>
    </row>
    <row r="281" spans="1:8">
      <c r="A281" s="222" t="s">
        <v>325</v>
      </c>
      <c r="B281">
        <v>0.9</v>
      </c>
      <c r="F281">
        <v>0.6</v>
      </c>
      <c r="G281">
        <v>0.25</v>
      </c>
      <c r="H281">
        <v>0.57999999999999996</v>
      </c>
    </row>
    <row r="282" spans="1:8">
      <c r="A282" s="222" t="s">
        <v>326</v>
      </c>
      <c r="B282">
        <v>1</v>
      </c>
      <c r="F282">
        <v>0.9</v>
      </c>
      <c r="G282">
        <v>0.25</v>
      </c>
      <c r="H282">
        <v>0.72</v>
      </c>
    </row>
    <row r="283" spans="1:8">
      <c r="A283" s="222" t="s">
        <v>327</v>
      </c>
      <c r="B283">
        <v>1</v>
      </c>
      <c r="F283">
        <v>0.5</v>
      </c>
      <c r="G283">
        <v>0.25</v>
      </c>
      <c r="H283">
        <v>0.57999999999999996</v>
      </c>
    </row>
    <row r="284" spans="1:8">
      <c r="A284" s="222" t="s">
        <v>328</v>
      </c>
      <c r="B284">
        <v>1</v>
      </c>
      <c r="C284">
        <v>0.8</v>
      </c>
      <c r="D284">
        <v>0.8</v>
      </c>
      <c r="E284">
        <v>1</v>
      </c>
      <c r="F284">
        <v>0.6</v>
      </c>
      <c r="G284">
        <v>1</v>
      </c>
      <c r="H284">
        <v>0.87</v>
      </c>
    </row>
    <row r="285" spans="1:8">
      <c r="A285" s="222" t="s">
        <v>329</v>
      </c>
      <c r="B285">
        <v>1</v>
      </c>
      <c r="F285">
        <v>0.7</v>
      </c>
      <c r="G285">
        <v>0.25</v>
      </c>
      <c r="H285">
        <v>0.65</v>
      </c>
    </row>
    <row r="286" spans="1:8">
      <c r="A286" s="222" t="s">
        <v>330</v>
      </c>
      <c r="B286">
        <v>0.9</v>
      </c>
      <c r="C286">
        <v>0.8</v>
      </c>
      <c r="D286">
        <v>0</v>
      </c>
      <c r="E286">
        <v>0.8</v>
      </c>
      <c r="F286">
        <v>0.8</v>
      </c>
      <c r="G286">
        <v>1</v>
      </c>
      <c r="H286">
        <v>0.72</v>
      </c>
    </row>
    <row r="287" spans="1:8">
      <c r="A287" s="222" t="s">
        <v>331</v>
      </c>
      <c r="B287">
        <v>1</v>
      </c>
      <c r="C287">
        <v>0.8</v>
      </c>
      <c r="D287">
        <v>1</v>
      </c>
      <c r="E287">
        <v>0.8</v>
      </c>
      <c r="F287">
        <v>0.9</v>
      </c>
      <c r="G287">
        <v>1</v>
      </c>
      <c r="H287">
        <v>0.92</v>
      </c>
    </row>
    <row r="288" spans="1:8">
      <c r="A288" s="222" t="s">
        <v>332</v>
      </c>
      <c r="B288">
        <v>1</v>
      </c>
      <c r="C288">
        <v>0.5</v>
      </c>
      <c r="D288">
        <v>1</v>
      </c>
      <c r="F288">
        <v>0.7</v>
      </c>
      <c r="G288">
        <v>0.75</v>
      </c>
      <c r="H288">
        <v>0.79</v>
      </c>
    </row>
    <row r="289" spans="1:8">
      <c r="A289" s="222" t="s">
        <v>333</v>
      </c>
      <c r="B289">
        <v>1</v>
      </c>
      <c r="F289">
        <v>0.8</v>
      </c>
      <c r="G289">
        <v>0.25</v>
      </c>
      <c r="H289">
        <v>0.68</v>
      </c>
    </row>
    <row r="290" spans="1:8">
      <c r="A290" s="222" t="s">
        <v>334</v>
      </c>
      <c r="B290">
        <v>1</v>
      </c>
      <c r="C290">
        <v>1</v>
      </c>
      <c r="F290">
        <v>0.6</v>
      </c>
      <c r="G290">
        <v>0.5</v>
      </c>
      <c r="H290">
        <v>0.78</v>
      </c>
    </row>
    <row r="291" spans="1:8">
      <c r="A291" s="222" t="s">
        <v>335</v>
      </c>
      <c r="B291">
        <v>1</v>
      </c>
      <c r="C291">
        <v>0.8</v>
      </c>
      <c r="E291">
        <v>1</v>
      </c>
      <c r="F291">
        <v>0.5</v>
      </c>
      <c r="G291">
        <v>0.75</v>
      </c>
      <c r="H291">
        <v>0.81</v>
      </c>
    </row>
    <row r="292" spans="1:8">
      <c r="A292" s="222" t="s">
        <v>336</v>
      </c>
      <c r="B292">
        <v>1</v>
      </c>
      <c r="C292">
        <v>0</v>
      </c>
      <c r="D292">
        <v>0.5</v>
      </c>
      <c r="E292">
        <v>0.8</v>
      </c>
      <c r="F292">
        <v>0.6</v>
      </c>
      <c r="G292">
        <v>1</v>
      </c>
      <c r="H292">
        <v>0.65</v>
      </c>
    </row>
    <row r="293" spans="1:8">
      <c r="A293" s="222" t="s">
        <v>337</v>
      </c>
      <c r="B293">
        <v>1</v>
      </c>
      <c r="C293">
        <v>0.4</v>
      </c>
      <c r="D293">
        <v>1</v>
      </c>
      <c r="E293">
        <v>1</v>
      </c>
      <c r="F293">
        <v>0.8</v>
      </c>
      <c r="G293">
        <v>1</v>
      </c>
      <c r="H293">
        <v>0.87</v>
      </c>
    </row>
    <row r="294" spans="1:8">
      <c r="A294" s="222" t="s">
        <v>338</v>
      </c>
      <c r="B294">
        <v>0.9</v>
      </c>
      <c r="C294">
        <v>0.2</v>
      </c>
      <c r="D294">
        <v>0.7</v>
      </c>
      <c r="E294">
        <v>0.5</v>
      </c>
      <c r="F294">
        <v>0.5</v>
      </c>
      <c r="G294">
        <v>1</v>
      </c>
      <c r="H294">
        <v>0.63</v>
      </c>
    </row>
    <row r="295" spans="1:8">
      <c r="A295" s="222" t="s">
        <v>339</v>
      </c>
      <c r="B295">
        <v>1</v>
      </c>
      <c r="F295">
        <v>0.9</v>
      </c>
      <c r="G295">
        <v>0.25</v>
      </c>
      <c r="H295">
        <v>0.72</v>
      </c>
    </row>
    <row r="296" spans="1:8">
      <c r="A296" s="222" t="s">
        <v>340</v>
      </c>
      <c r="B296">
        <v>1</v>
      </c>
      <c r="F296">
        <v>0.6</v>
      </c>
      <c r="G296">
        <v>0.25</v>
      </c>
      <c r="H296">
        <v>0.62</v>
      </c>
    </row>
    <row r="297" spans="1:8">
      <c r="A297" s="223" t="s">
        <v>560</v>
      </c>
      <c r="B297">
        <v>0.8</v>
      </c>
      <c r="D297">
        <v>1</v>
      </c>
      <c r="F297">
        <v>1</v>
      </c>
      <c r="G297">
        <v>0.5</v>
      </c>
      <c r="H297">
        <v>0.82</v>
      </c>
    </row>
    <row r="298" spans="1:8">
      <c r="A298" s="223" t="s">
        <v>561</v>
      </c>
      <c r="B298">
        <v>0.8</v>
      </c>
      <c r="C298">
        <v>0.8</v>
      </c>
      <c r="D298">
        <v>0.6</v>
      </c>
      <c r="E298">
        <v>0</v>
      </c>
      <c r="F298">
        <v>0.5</v>
      </c>
      <c r="G298">
        <v>1</v>
      </c>
      <c r="H298">
        <v>0.62</v>
      </c>
    </row>
    <row r="299" spans="1:8">
      <c r="A299" s="223" t="s">
        <v>562</v>
      </c>
      <c r="B299">
        <v>0.9</v>
      </c>
      <c r="C299">
        <v>0</v>
      </c>
      <c r="D299">
        <v>1</v>
      </c>
      <c r="F299">
        <v>0.7</v>
      </c>
      <c r="G299">
        <v>0.75</v>
      </c>
      <c r="H299">
        <v>0.67</v>
      </c>
    </row>
    <row r="300" spans="1:8">
      <c r="A300" s="223" t="s">
        <v>563</v>
      </c>
      <c r="B300">
        <v>1</v>
      </c>
      <c r="C300">
        <v>0.6</v>
      </c>
      <c r="D300">
        <v>1</v>
      </c>
      <c r="E300">
        <v>1</v>
      </c>
      <c r="F300">
        <v>0.8</v>
      </c>
      <c r="G300">
        <v>1</v>
      </c>
      <c r="H300">
        <v>0.9</v>
      </c>
    </row>
    <row r="301" spans="1:8">
      <c r="A301" s="223" t="s">
        <v>564</v>
      </c>
      <c r="B301">
        <v>1</v>
      </c>
      <c r="C301">
        <v>0.4</v>
      </c>
      <c r="D301">
        <v>0.2</v>
      </c>
      <c r="F301">
        <v>0.8</v>
      </c>
      <c r="G301">
        <v>0.75</v>
      </c>
      <c r="H301">
        <v>0.63</v>
      </c>
    </row>
    <row r="302" spans="1:8">
      <c r="A302" s="223" t="s">
        <v>565</v>
      </c>
      <c r="B302">
        <v>0.9</v>
      </c>
      <c r="C302">
        <v>0</v>
      </c>
      <c r="D302">
        <v>0.5</v>
      </c>
      <c r="E302">
        <v>1</v>
      </c>
      <c r="F302">
        <v>0.5</v>
      </c>
      <c r="G302">
        <v>1</v>
      </c>
      <c r="H302">
        <v>0.65</v>
      </c>
    </row>
    <row r="303" spans="1:8">
      <c r="A303" s="223" t="s">
        <v>566</v>
      </c>
      <c r="B303">
        <v>1</v>
      </c>
      <c r="C303">
        <v>0.7</v>
      </c>
      <c r="D303">
        <v>1</v>
      </c>
      <c r="E303">
        <v>1</v>
      </c>
      <c r="F303">
        <v>0.7</v>
      </c>
      <c r="G303">
        <v>1</v>
      </c>
      <c r="H303">
        <v>0.9</v>
      </c>
    </row>
    <row r="304" spans="1:8">
      <c r="A304" s="223" t="s">
        <v>567</v>
      </c>
      <c r="B304">
        <v>1</v>
      </c>
      <c r="C304">
        <v>0.3</v>
      </c>
      <c r="D304">
        <v>1</v>
      </c>
      <c r="E304">
        <v>1</v>
      </c>
      <c r="F304">
        <v>0.8</v>
      </c>
      <c r="G304">
        <v>1</v>
      </c>
      <c r="H304">
        <v>0.85</v>
      </c>
    </row>
    <row r="305" spans="1:8">
      <c r="A305" s="223" t="s">
        <v>350</v>
      </c>
      <c r="B305">
        <v>1</v>
      </c>
      <c r="C305">
        <v>0.7</v>
      </c>
      <c r="D305">
        <v>0.8</v>
      </c>
      <c r="E305">
        <v>0</v>
      </c>
      <c r="F305">
        <v>0.8</v>
      </c>
      <c r="G305">
        <v>1</v>
      </c>
      <c r="H305">
        <v>0.72</v>
      </c>
    </row>
    <row r="306" spans="1:8">
      <c r="A306" s="223" t="s">
        <v>351</v>
      </c>
      <c r="B306">
        <v>1</v>
      </c>
      <c r="F306">
        <v>0.6</v>
      </c>
      <c r="G306">
        <v>0.25</v>
      </c>
      <c r="H306">
        <v>0.62</v>
      </c>
    </row>
    <row r="307" spans="1:8">
      <c r="A307" s="223" t="s">
        <v>352</v>
      </c>
      <c r="B307">
        <v>1</v>
      </c>
      <c r="F307">
        <v>0.8</v>
      </c>
      <c r="G307">
        <v>0.25</v>
      </c>
      <c r="H307">
        <v>0.68</v>
      </c>
    </row>
    <row r="308" spans="1:8">
      <c r="A308" s="223" t="s">
        <v>353</v>
      </c>
    </row>
    <row r="309" spans="1:8">
      <c r="A309" s="223" t="s">
        <v>355</v>
      </c>
    </row>
    <row r="310" spans="1:8">
      <c r="A310" s="223" t="s">
        <v>356</v>
      </c>
      <c r="B310">
        <v>0.9</v>
      </c>
      <c r="D310">
        <v>0.2</v>
      </c>
      <c r="E310">
        <v>1</v>
      </c>
      <c r="F310">
        <v>0.7</v>
      </c>
      <c r="G310">
        <v>0.75</v>
      </c>
      <c r="H310">
        <v>0.71</v>
      </c>
    </row>
    <row r="311" spans="1:8">
      <c r="A311" s="223" t="s">
        <v>357</v>
      </c>
      <c r="B311">
        <v>1</v>
      </c>
      <c r="C311">
        <v>0.5</v>
      </c>
      <c r="D311">
        <v>0.8</v>
      </c>
      <c r="F311">
        <v>0.8</v>
      </c>
      <c r="G311">
        <v>0.75</v>
      </c>
      <c r="H311">
        <v>0.77</v>
      </c>
    </row>
    <row r="312" spans="1:8">
      <c r="A312" s="223" t="s">
        <v>358</v>
      </c>
      <c r="B312">
        <v>0.9</v>
      </c>
      <c r="C312">
        <v>0.5</v>
      </c>
      <c r="D312">
        <v>0.2</v>
      </c>
      <c r="E312">
        <v>0.5</v>
      </c>
      <c r="F312">
        <v>0.7</v>
      </c>
      <c r="G312">
        <v>1</v>
      </c>
      <c r="H312">
        <v>0.63</v>
      </c>
    </row>
    <row r="313" spans="1:8">
      <c r="A313" s="223" t="s">
        <v>359</v>
      </c>
      <c r="B313">
        <v>1</v>
      </c>
      <c r="C313">
        <v>0.5</v>
      </c>
      <c r="F313">
        <v>0.8</v>
      </c>
      <c r="G313">
        <v>0.5</v>
      </c>
      <c r="H313">
        <v>0.7</v>
      </c>
    </row>
    <row r="314" spans="1:8">
      <c r="A314" s="231" t="s">
        <v>640</v>
      </c>
      <c r="B314">
        <v>0.9</v>
      </c>
      <c r="C314">
        <v>0.4</v>
      </c>
      <c r="D314">
        <v>0.7</v>
      </c>
      <c r="E314">
        <v>0.5</v>
      </c>
      <c r="F314">
        <v>0.9</v>
      </c>
      <c r="G314">
        <v>1</v>
      </c>
      <c r="H314">
        <v>0.73</v>
      </c>
    </row>
    <row r="315" spans="1:8">
      <c r="A315" s="231" t="s">
        <v>641</v>
      </c>
      <c r="B315">
        <v>0.9</v>
      </c>
      <c r="C315">
        <v>0</v>
      </c>
      <c r="D315">
        <v>0.8</v>
      </c>
      <c r="E315">
        <v>1</v>
      </c>
      <c r="F315">
        <v>0.9</v>
      </c>
      <c r="G315">
        <v>1</v>
      </c>
      <c r="H315">
        <v>0.77</v>
      </c>
    </row>
    <row r="316" spans="1:8">
      <c r="A316" s="231" t="s">
        <v>642</v>
      </c>
      <c r="B316">
        <v>0.9</v>
      </c>
      <c r="C316">
        <v>0.5</v>
      </c>
      <c r="D316">
        <v>1</v>
      </c>
      <c r="E316">
        <v>1</v>
      </c>
      <c r="F316">
        <v>0.7</v>
      </c>
      <c r="G316">
        <v>1</v>
      </c>
      <c r="H316">
        <v>0.85</v>
      </c>
    </row>
    <row r="317" spans="1:8">
      <c r="A317" s="231" t="s">
        <v>643</v>
      </c>
      <c r="B317">
        <v>1</v>
      </c>
      <c r="C317">
        <v>0</v>
      </c>
      <c r="D317">
        <v>1</v>
      </c>
      <c r="F317">
        <v>1</v>
      </c>
      <c r="G317">
        <v>0.75</v>
      </c>
      <c r="H317">
        <v>0.75</v>
      </c>
    </row>
    <row r="318" spans="1:8">
      <c r="A318" s="231" t="s">
        <v>644</v>
      </c>
      <c r="B318">
        <v>0.9</v>
      </c>
      <c r="C318">
        <v>0.2</v>
      </c>
      <c r="F318">
        <v>0.6</v>
      </c>
      <c r="G318">
        <v>0.5</v>
      </c>
      <c r="H318">
        <v>0.55000000000000004</v>
      </c>
    </row>
    <row r="319" spans="1:8">
      <c r="A319" s="231" t="s">
        <v>645</v>
      </c>
      <c r="B319">
        <v>0.9</v>
      </c>
      <c r="C319">
        <v>0.5</v>
      </c>
      <c r="E319">
        <v>1</v>
      </c>
      <c r="F319">
        <v>1</v>
      </c>
      <c r="G319">
        <v>0.75</v>
      </c>
      <c r="H319">
        <v>0.83</v>
      </c>
    </row>
    <row r="320" spans="1:8">
      <c r="A320" s="231" t="s">
        <v>567</v>
      </c>
      <c r="B320">
        <v>1</v>
      </c>
      <c r="C320">
        <v>0.3</v>
      </c>
      <c r="D320">
        <v>1</v>
      </c>
      <c r="E320">
        <v>1</v>
      </c>
      <c r="F320">
        <v>0.8</v>
      </c>
      <c r="G320">
        <v>1</v>
      </c>
      <c r="H320">
        <v>0.85</v>
      </c>
    </row>
    <row r="321" spans="1:8">
      <c r="A321" s="234" t="s">
        <v>367</v>
      </c>
      <c r="B321">
        <v>1</v>
      </c>
      <c r="F321">
        <v>1</v>
      </c>
      <c r="G321">
        <v>0.25</v>
      </c>
      <c r="H321">
        <v>0.75</v>
      </c>
    </row>
    <row r="322" spans="1:8">
      <c r="A322" s="234" t="s">
        <v>368</v>
      </c>
      <c r="B322">
        <v>1</v>
      </c>
      <c r="D322">
        <v>1</v>
      </c>
      <c r="F322">
        <v>0.9</v>
      </c>
      <c r="G322">
        <v>0.5</v>
      </c>
      <c r="H322">
        <v>0.85</v>
      </c>
    </row>
    <row r="323" spans="1:8">
      <c r="A323" s="234" t="s">
        <v>369</v>
      </c>
      <c r="B323">
        <v>1</v>
      </c>
      <c r="D323">
        <v>1</v>
      </c>
      <c r="F323">
        <v>0.9</v>
      </c>
      <c r="G323">
        <v>0.5</v>
      </c>
      <c r="H323">
        <v>0.85</v>
      </c>
    </row>
    <row r="324" spans="1:8">
      <c r="A324" s="234" t="s">
        <v>370</v>
      </c>
      <c r="B324">
        <v>1</v>
      </c>
      <c r="F324">
        <v>0.9</v>
      </c>
      <c r="G324">
        <v>0.25</v>
      </c>
      <c r="H324">
        <v>0.72</v>
      </c>
    </row>
    <row r="325" spans="1:8">
      <c r="A325" s="234" t="s">
        <v>371</v>
      </c>
      <c r="B325">
        <v>1</v>
      </c>
      <c r="C325">
        <v>0.5</v>
      </c>
      <c r="D325">
        <v>0.8</v>
      </c>
      <c r="E325">
        <v>0.8</v>
      </c>
      <c r="F325">
        <v>0.9</v>
      </c>
      <c r="G325">
        <v>1</v>
      </c>
      <c r="H325">
        <v>0.83</v>
      </c>
    </row>
    <row r="326" spans="1:8">
      <c r="A326" s="234" t="s">
        <v>372</v>
      </c>
      <c r="B326">
        <v>1</v>
      </c>
      <c r="C326">
        <v>0.8</v>
      </c>
      <c r="D326">
        <v>0.7</v>
      </c>
      <c r="F326">
        <v>1</v>
      </c>
      <c r="G326">
        <v>0.75</v>
      </c>
      <c r="H326">
        <v>0.85</v>
      </c>
    </row>
    <row r="327" spans="1:8">
      <c r="A327" s="234" t="s">
        <v>373</v>
      </c>
      <c r="B327">
        <v>1</v>
      </c>
      <c r="F327">
        <v>0.9</v>
      </c>
      <c r="G327">
        <v>0.25</v>
      </c>
      <c r="H327">
        <v>0.72</v>
      </c>
    </row>
    <row r="328" spans="1:8">
      <c r="A328" s="234" t="s">
        <v>374</v>
      </c>
      <c r="B328">
        <v>0.9</v>
      </c>
      <c r="F328">
        <v>1</v>
      </c>
      <c r="G328">
        <v>0.25</v>
      </c>
      <c r="H328">
        <v>0.72</v>
      </c>
    </row>
    <row r="329" spans="1:8">
      <c r="A329" s="234" t="s">
        <v>375</v>
      </c>
      <c r="B329">
        <v>1</v>
      </c>
      <c r="F329">
        <v>0.9</v>
      </c>
      <c r="G329">
        <v>0.25</v>
      </c>
      <c r="H329">
        <v>0.72</v>
      </c>
    </row>
    <row r="330" spans="1:8">
      <c r="A330" s="234" t="s">
        <v>376</v>
      </c>
      <c r="B330">
        <v>1</v>
      </c>
      <c r="F330">
        <v>1</v>
      </c>
      <c r="G330">
        <v>0.25</v>
      </c>
      <c r="H330">
        <v>0.75</v>
      </c>
    </row>
    <row r="331" spans="1:8">
      <c r="A331" s="234" t="s">
        <v>377</v>
      </c>
      <c r="B331">
        <v>1</v>
      </c>
      <c r="F331">
        <v>0.7</v>
      </c>
      <c r="G331">
        <v>0.25</v>
      </c>
      <c r="H331">
        <v>0.65</v>
      </c>
    </row>
    <row r="332" spans="1:8">
      <c r="A332" s="234" t="s">
        <v>378</v>
      </c>
      <c r="B332">
        <v>0.9</v>
      </c>
      <c r="F332">
        <v>0.7</v>
      </c>
      <c r="G332">
        <v>0.25</v>
      </c>
      <c r="H332">
        <v>0.62</v>
      </c>
    </row>
    <row r="333" spans="1:8">
      <c r="A333" s="234" t="s">
        <v>379</v>
      </c>
    </row>
    <row r="334" spans="1:8">
      <c r="A334" s="234" t="s">
        <v>380</v>
      </c>
      <c r="B334">
        <v>1</v>
      </c>
      <c r="C334">
        <v>0.5</v>
      </c>
      <c r="F334">
        <v>0.9</v>
      </c>
      <c r="G334">
        <v>0.5</v>
      </c>
      <c r="H334">
        <v>0.72</v>
      </c>
    </row>
    <row r="335" spans="1:8">
      <c r="A335" s="234" t="s">
        <v>382</v>
      </c>
      <c r="B335">
        <v>1</v>
      </c>
      <c r="F335">
        <v>0.8</v>
      </c>
      <c r="G335">
        <v>0.25</v>
      </c>
      <c r="H335">
        <v>0.68</v>
      </c>
    </row>
    <row r="336" spans="1:8">
      <c r="A336" s="234" t="s">
        <v>383</v>
      </c>
      <c r="B336">
        <v>0.9</v>
      </c>
      <c r="D336">
        <v>1</v>
      </c>
      <c r="F336">
        <v>0.6</v>
      </c>
      <c r="G336">
        <v>0.5</v>
      </c>
      <c r="H336">
        <v>0.75</v>
      </c>
    </row>
    <row r="337" spans="1:8">
      <c r="A337" s="234" t="s">
        <v>384</v>
      </c>
      <c r="B337">
        <v>0.9</v>
      </c>
      <c r="C337">
        <v>0</v>
      </c>
      <c r="D337">
        <v>1</v>
      </c>
      <c r="E337">
        <v>0.5</v>
      </c>
      <c r="F337">
        <v>0.4</v>
      </c>
      <c r="G337">
        <v>1</v>
      </c>
      <c r="H337">
        <v>0.63</v>
      </c>
    </row>
    <row r="338" spans="1:8">
      <c r="A338" s="234" t="s">
        <v>385</v>
      </c>
      <c r="B338">
        <v>0.8</v>
      </c>
      <c r="C338">
        <v>0.2</v>
      </c>
      <c r="D338">
        <v>0.7</v>
      </c>
      <c r="E338">
        <v>0.8</v>
      </c>
      <c r="F338">
        <v>0.6</v>
      </c>
      <c r="G338">
        <v>1</v>
      </c>
      <c r="H338">
        <v>0.68</v>
      </c>
    </row>
    <row r="339" spans="1:8">
      <c r="A339" s="254" t="s">
        <v>386</v>
      </c>
      <c r="B339">
        <v>1</v>
      </c>
      <c r="C339">
        <v>0.2</v>
      </c>
      <c r="D339">
        <v>0.9</v>
      </c>
      <c r="E339">
        <v>0.5</v>
      </c>
      <c r="F339">
        <v>0.5</v>
      </c>
      <c r="G339">
        <v>1</v>
      </c>
      <c r="H339">
        <v>0.68</v>
      </c>
    </row>
    <row r="340" spans="1:8">
      <c r="A340" s="254" t="s">
        <v>387</v>
      </c>
      <c r="B340">
        <v>0.9</v>
      </c>
      <c r="F340">
        <v>0.7</v>
      </c>
      <c r="G340">
        <v>0.25</v>
      </c>
      <c r="H340">
        <v>0.62</v>
      </c>
    </row>
    <row r="341" spans="1:8">
      <c r="A341" s="254" t="s">
        <v>388</v>
      </c>
      <c r="B341">
        <v>1</v>
      </c>
      <c r="F341">
        <v>1</v>
      </c>
      <c r="G341">
        <v>0.25</v>
      </c>
      <c r="H341">
        <v>0.75</v>
      </c>
    </row>
    <row r="342" spans="1:8">
      <c r="A342" s="254" t="s">
        <v>389</v>
      </c>
      <c r="B342">
        <v>1</v>
      </c>
      <c r="F342">
        <v>1</v>
      </c>
      <c r="G342">
        <v>0.25</v>
      </c>
      <c r="H342">
        <v>0.75</v>
      </c>
    </row>
    <row r="343" spans="1:8">
      <c r="A343" s="256" t="s">
        <v>390</v>
      </c>
      <c r="B343">
        <v>1</v>
      </c>
      <c r="C343">
        <v>0.8</v>
      </c>
      <c r="D343">
        <v>1</v>
      </c>
      <c r="F343">
        <v>0.6</v>
      </c>
      <c r="G343">
        <v>0.75</v>
      </c>
      <c r="H343">
        <v>0.83</v>
      </c>
    </row>
    <row r="344" spans="1:8">
      <c r="A344" s="256" t="s">
        <v>391</v>
      </c>
      <c r="B344">
        <v>1</v>
      </c>
      <c r="C344">
        <v>0.4</v>
      </c>
      <c r="D344">
        <v>0.7</v>
      </c>
      <c r="E344">
        <v>0</v>
      </c>
      <c r="F344">
        <v>0.7</v>
      </c>
      <c r="G344">
        <v>1</v>
      </c>
      <c r="H344">
        <v>0.63</v>
      </c>
    </row>
    <row r="345" spans="1:8">
      <c r="A345" s="256" t="s">
        <v>392</v>
      </c>
      <c r="B345">
        <v>1</v>
      </c>
      <c r="C345">
        <v>0.5</v>
      </c>
      <c r="D345">
        <v>0.8</v>
      </c>
      <c r="E345">
        <v>1</v>
      </c>
      <c r="F345">
        <v>0.6</v>
      </c>
      <c r="G345">
        <v>1</v>
      </c>
      <c r="H345">
        <v>0.82</v>
      </c>
    </row>
    <row r="346" spans="1:8">
      <c r="A346" s="268" t="s">
        <v>393</v>
      </c>
      <c r="B346">
        <v>1</v>
      </c>
      <c r="F346">
        <v>0.3</v>
      </c>
      <c r="G346">
        <v>0.25</v>
      </c>
      <c r="H346">
        <v>0.52</v>
      </c>
    </row>
    <row r="347" spans="1:8">
      <c r="A347" s="268" t="s">
        <v>394</v>
      </c>
    </row>
    <row r="348" spans="1:8">
      <c r="A348" s="268" t="s">
        <v>395</v>
      </c>
      <c r="B348">
        <v>0.8</v>
      </c>
      <c r="F348">
        <v>0.5</v>
      </c>
      <c r="G348">
        <v>0.25</v>
      </c>
      <c r="H348">
        <v>0.52</v>
      </c>
    </row>
    <row r="349" spans="1:8">
      <c r="A349" s="268" t="s">
        <v>396</v>
      </c>
    </row>
    <row r="350" spans="1:8">
      <c r="A350" s="268" t="s">
        <v>397</v>
      </c>
      <c r="B350">
        <v>0.8</v>
      </c>
      <c r="F350">
        <v>1</v>
      </c>
      <c r="G350">
        <v>0.25</v>
      </c>
      <c r="H350">
        <v>0.68</v>
      </c>
    </row>
    <row r="351" spans="1:8">
      <c r="A351" s="268" t="s">
        <v>398</v>
      </c>
      <c r="B351">
        <v>1</v>
      </c>
      <c r="F351">
        <v>0.6</v>
      </c>
      <c r="G351">
        <v>0.25</v>
      </c>
      <c r="H351">
        <v>0.62</v>
      </c>
    </row>
    <row r="352" spans="1:8">
      <c r="A352" s="268" t="s">
        <v>399</v>
      </c>
      <c r="B352">
        <v>1</v>
      </c>
      <c r="F352">
        <v>1</v>
      </c>
      <c r="G352">
        <v>0.25</v>
      </c>
      <c r="H352">
        <v>0.75</v>
      </c>
    </row>
    <row r="353" spans="1:8">
      <c r="A353" s="273" t="s">
        <v>400</v>
      </c>
      <c r="B353">
        <v>1</v>
      </c>
      <c r="E353">
        <v>0.8</v>
      </c>
      <c r="F353">
        <v>0.6</v>
      </c>
      <c r="G353">
        <v>0.5</v>
      </c>
      <c r="H353">
        <v>0.72</v>
      </c>
    </row>
    <row r="354" spans="1:8">
      <c r="A354" s="273" t="s">
        <v>401</v>
      </c>
      <c r="B354">
        <v>1</v>
      </c>
      <c r="F354">
        <v>0.8</v>
      </c>
      <c r="G354">
        <v>0.25</v>
      </c>
      <c r="H354">
        <v>0.68</v>
      </c>
    </row>
    <row r="355" spans="1:8">
      <c r="A355" s="273" t="s">
        <v>402</v>
      </c>
      <c r="B355">
        <v>1</v>
      </c>
      <c r="C355">
        <v>1</v>
      </c>
      <c r="D355">
        <v>1</v>
      </c>
      <c r="E355">
        <v>0.2</v>
      </c>
      <c r="F355">
        <v>0.7</v>
      </c>
      <c r="G355">
        <v>1</v>
      </c>
      <c r="H355">
        <v>0.82</v>
      </c>
    </row>
    <row r="356" spans="1:8">
      <c r="A356" s="273" t="s">
        <v>403</v>
      </c>
      <c r="B356">
        <v>1</v>
      </c>
      <c r="F356">
        <v>0.8</v>
      </c>
      <c r="G356">
        <v>0.25</v>
      </c>
      <c r="H356">
        <v>0.68</v>
      </c>
    </row>
    <row r="357" spans="1:8">
      <c r="A357" s="273" t="s">
        <v>404</v>
      </c>
      <c r="B357">
        <v>1</v>
      </c>
      <c r="D357">
        <v>1</v>
      </c>
      <c r="F357">
        <v>0.9</v>
      </c>
      <c r="G357">
        <v>0.5</v>
      </c>
      <c r="H357">
        <v>0.85</v>
      </c>
    </row>
    <row r="358" spans="1:8">
      <c r="A358" s="273" t="s">
        <v>405</v>
      </c>
      <c r="B358">
        <v>1</v>
      </c>
      <c r="F358">
        <v>0.9</v>
      </c>
      <c r="G358">
        <v>0.25</v>
      </c>
      <c r="H358">
        <v>0.72</v>
      </c>
    </row>
    <row r="359" spans="1:8">
      <c r="A359" s="273" t="s">
        <v>406</v>
      </c>
      <c r="B359">
        <v>1</v>
      </c>
      <c r="F359">
        <v>1</v>
      </c>
      <c r="G359">
        <v>0.25</v>
      </c>
      <c r="H359">
        <v>0.75</v>
      </c>
    </row>
    <row r="360" spans="1:8">
      <c r="A360" s="273" t="s">
        <v>407</v>
      </c>
      <c r="B360">
        <v>1</v>
      </c>
      <c r="F360">
        <v>1</v>
      </c>
      <c r="G360">
        <v>0.25</v>
      </c>
      <c r="H360">
        <v>0.75</v>
      </c>
    </row>
    <row r="361" spans="1:8">
      <c r="A361" s="273" t="s">
        <v>408</v>
      </c>
      <c r="B361">
        <v>1</v>
      </c>
      <c r="C361">
        <v>0.2</v>
      </c>
      <c r="F361">
        <v>0.9</v>
      </c>
      <c r="G361">
        <v>0.5</v>
      </c>
      <c r="H361">
        <v>0.65</v>
      </c>
    </row>
    <row r="362" spans="1:8">
      <c r="A362" s="273" t="s">
        <v>410</v>
      </c>
      <c r="B362">
        <v>1</v>
      </c>
      <c r="C362">
        <v>0.5</v>
      </c>
      <c r="F362">
        <v>1</v>
      </c>
      <c r="G362">
        <v>0.5</v>
      </c>
      <c r="H362">
        <v>0.75</v>
      </c>
    </row>
    <row r="363" spans="1:8">
      <c r="A363" s="273" t="s">
        <v>411</v>
      </c>
      <c r="B363">
        <v>1</v>
      </c>
      <c r="C363">
        <v>0.7</v>
      </c>
      <c r="D363">
        <v>0.6</v>
      </c>
      <c r="F363">
        <v>0.6</v>
      </c>
      <c r="G363">
        <v>0.75</v>
      </c>
      <c r="H363">
        <v>0.73</v>
      </c>
    </row>
    <row r="364" spans="1:8">
      <c r="A364" s="278" t="s">
        <v>412</v>
      </c>
      <c r="B364">
        <v>1</v>
      </c>
      <c r="C364">
        <v>0.5</v>
      </c>
      <c r="D364">
        <v>0.5</v>
      </c>
      <c r="E364">
        <v>0</v>
      </c>
      <c r="F364">
        <v>0.9</v>
      </c>
      <c r="G364">
        <v>1</v>
      </c>
      <c r="H364">
        <v>0.65</v>
      </c>
    </row>
    <row r="365" spans="1:8">
      <c r="A365" s="278" t="s">
        <v>413</v>
      </c>
      <c r="B365">
        <v>1</v>
      </c>
      <c r="F365">
        <v>0.6</v>
      </c>
      <c r="G365">
        <v>0.25</v>
      </c>
      <c r="H365">
        <v>0.62</v>
      </c>
    </row>
    <row r="366" spans="1:8">
      <c r="A366" s="278" t="s">
        <v>414</v>
      </c>
      <c r="B366">
        <v>1</v>
      </c>
      <c r="C366">
        <v>0.8</v>
      </c>
      <c r="E366">
        <v>0.5</v>
      </c>
      <c r="F366">
        <v>0.6</v>
      </c>
      <c r="G366">
        <v>0.75</v>
      </c>
      <c r="H366">
        <v>0.73</v>
      </c>
    </row>
    <row r="367" spans="1:8">
      <c r="A367" s="278" t="s">
        <v>415</v>
      </c>
      <c r="B367">
        <v>1</v>
      </c>
      <c r="F367">
        <v>0.7</v>
      </c>
      <c r="G367">
        <v>0.25</v>
      </c>
      <c r="H367">
        <v>0.65</v>
      </c>
    </row>
    <row r="368" spans="1:8">
      <c r="A368" s="278" t="s">
        <v>416</v>
      </c>
      <c r="B368">
        <v>1</v>
      </c>
      <c r="D368">
        <v>1</v>
      </c>
      <c r="F368">
        <v>0.8</v>
      </c>
      <c r="G368">
        <v>0.5</v>
      </c>
      <c r="H368">
        <v>0.82</v>
      </c>
    </row>
    <row r="369" spans="1:8">
      <c r="A369" s="278" t="s">
        <v>417</v>
      </c>
      <c r="B369">
        <v>0.9</v>
      </c>
      <c r="F369">
        <v>0.8</v>
      </c>
      <c r="G369">
        <v>0.25</v>
      </c>
      <c r="H369">
        <v>0.65</v>
      </c>
    </row>
    <row r="370" spans="1:8">
      <c r="A370" s="278" t="s">
        <v>418</v>
      </c>
      <c r="B370">
        <v>1</v>
      </c>
      <c r="D370">
        <v>1</v>
      </c>
      <c r="F370">
        <v>0.7</v>
      </c>
      <c r="G370">
        <v>0.5</v>
      </c>
      <c r="H370">
        <v>0.8</v>
      </c>
    </row>
    <row r="371" spans="1:8">
      <c r="A371" s="278" t="s">
        <v>646</v>
      </c>
      <c r="B371">
        <v>0.8</v>
      </c>
      <c r="C371">
        <v>0.2</v>
      </c>
      <c r="D371">
        <v>0.7</v>
      </c>
      <c r="E371">
        <v>0.2</v>
      </c>
      <c r="F371">
        <v>0.7</v>
      </c>
      <c r="G371">
        <v>1</v>
      </c>
      <c r="H371">
        <v>0.6</v>
      </c>
    </row>
    <row r="372" spans="1:8">
      <c r="A372" s="278" t="s">
        <v>647</v>
      </c>
      <c r="B372">
        <v>0.8</v>
      </c>
      <c r="C372">
        <v>0.3</v>
      </c>
      <c r="D372">
        <v>0.7</v>
      </c>
      <c r="E372">
        <v>0.8</v>
      </c>
      <c r="F372">
        <v>0.6</v>
      </c>
      <c r="G372">
        <v>1</v>
      </c>
      <c r="H372">
        <v>0.7</v>
      </c>
    </row>
    <row r="373" spans="1:8">
      <c r="A373" s="278" t="s">
        <v>648</v>
      </c>
      <c r="B373">
        <v>0.9</v>
      </c>
      <c r="C373">
        <v>0.2</v>
      </c>
      <c r="D373">
        <v>0.4</v>
      </c>
      <c r="E373">
        <v>0.8</v>
      </c>
      <c r="F373">
        <v>0.7</v>
      </c>
      <c r="G373">
        <v>1</v>
      </c>
      <c r="H373">
        <v>0.67</v>
      </c>
    </row>
    <row r="374" spans="1:8">
      <c r="A374" s="278" t="s">
        <v>422</v>
      </c>
      <c r="B374">
        <v>1</v>
      </c>
      <c r="C374">
        <v>0.5</v>
      </c>
      <c r="D374">
        <v>0</v>
      </c>
      <c r="E374">
        <v>0</v>
      </c>
      <c r="F374">
        <v>0.8</v>
      </c>
      <c r="G374">
        <v>1</v>
      </c>
      <c r="H374">
        <v>0.55000000000000004</v>
      </c>
    </row>
    <row r="375" spans="1:8">
      <c r="A375" s="278" t="s">
        <v>423</v>
      </c>
      <c r="B375">
        <v>0.9</v>
      </c>
      <c r="C375">
        <v>0.5</v>
      </c>
      <c r="D375">
        <v>0.5</v>
      </c>
      <c r="E375">
        <v>0</v>
      </c>
      <c r="F375">
        <v>0.2</v>
      </c>
      <c r="G375">
        <v>1</v>
      </c>
      <c r="H375">
        <v>0.52</v>
      </c>
    </row>
    <row r="376" spans="1:8">
      <c r="A376" s="278" t="s">
        <v>424</v>
      </c>
      <c r="B376">
        <v>0.9</v>
      </c>
      <c r="C376">
        <v>0.5</v>
      </c>
      <c r="D376">
        <v>0.3</v>
      </c>
      <c r="E376">
        <v>0.5</v>
      </c>
      <c r="F376">
        <v>0.5</v>
      </c>
      <c r="G376">
        <v>1</v>
      </c>
      <c r="H376">
        <v>0.62</v>
      </c>
    </row>
    <row r="377" spans="1:8">
      <c r="A377" s="278" t="s">
        <v>425</v>
      </c>
      <c r="B377">
        <v>1</v>
      </c>
      <c r="C377">
        <v>0.9</v>
      </c>
      <c r="D377">
        <v>0.6</v>
      </c>
      <c r="E377">
        <v>0</v>
      </c>
      <c r="F377">
        <v>1</v>
      </c>
      <c r="G377">
        <v>1</v>
      </c>
      <c r="H377">
        <v>0.75</v>
      </c>
    </row>
    <row r="378" spans="1:8">
      <c r="A378" s="278" t="s">
        <v>426</v>
      </c>
      <c r="B378">
        <v>0.9</v>
      </c>
      <c r="C378">
        <v>0.6</v>
      </c>
      <c r="D378">
        <v>0.7</v>
      </c>
      <c r="E378">
        <v>0.5</v>
      </c>
      <c r="F378">
        <v>0.7</v>
      </c>
      <c r="G378">
        <v>1</v>
      </c>
      <c r="H378">
        <v>0.73</v>
      </c>
    </row>
    <row r="379" spans="1:8">
      <c r="A379" s="278" t="s">
        <v>427</v>
      </c>
      <c r="B379">
        <v>1</v>
      </c>
      <c r="C379">
        <v>0.9</v>
      </c>
      <c r="D379">
        <v>0.7</v>
      </c>
      <c r="E379">
        <v>0.6</v>
      </c>
      <c r="F379">
        <v>0.8</v>
      </c>
      <c r="G379">
        <v>1</v>
      </c>
      <c r="H379">
        <v>0.83</v>
      </c>
    </row>
    <row r="380" spans="1:8">
      <c r="A380" s="278" t="s">
        <v>428</v>
      </c>
    </row>
    <row r="381" spans="1:8">
      <c r="A381" s="278" t="s">
        <v>430</v>
      </c>
    </row>
    <row r="382" spans="1:8">
      <c r="A382" s="278" t="s">
        <v>431</v>
      </c>
      <c r="B382">
        <v>0.9</v>
      </c>
      <c r="F382">
        <v>0.7</v>
      </c>
      <c r="G382">
        <v>0.25</v>
      </c>
      <c r="H382">
        <v>0.62</v>
      </c>
    </row>
    <row r="383" spans="1:8">
      <c r="A383" s="278" t="s">
        <v>432</v>
      </c>
      <c r="B383">
        <v>1</v>
      </c>
      <c r="F383">
        <v>1</v>
      </c>
      <c r="G383">
        <v>0.25</v>
      </c>
      <c r="H383">
        <v>0.75</v>
      </c>
    </row>
    <row r="384" spans="1:8">
      <c r="A384" s="278" t="s">
        <v>433</v>
      </c>
      <c r="B384">
        <v>0.9</v>
      </c>
      <c r="F384">
        <v>0.9</v>
      </c>
      <c r="G384">
        <v>0.25</v>
      </c>
      <c r="H384">
        <v>0.68</v>
      </c>
    </row>
    <row r="385" spans="1:8">
      <c r="A385" s="278" t="s">
        <v>434</v>
      </c>
      <c r="B385">
        <v>0.9</v>
      </c>
      <c r="F385">
        <v>0.6</v>
      </c>
      <c r="G385">
        <v>0.25</v>
      </c>
      <c r="H385">
        <v>0.57999999999999996</v>
      </c>
    </row>
    <row r="386" spans="1:8">
      <c r="A386" s="281" t="s">
        <v>435</v>
      </c>
      <c r="B386">
        <v>1</v>
      </c>
      <c r="C386">
        <v>0.8</v>
      </c>
      <c r="D386">
        <v>1</v>
      </c>
      <c r="E386">
        <v>1</v>
      </c>
      <c r="F386">
        <v>0.6</v>
      </c>
      <c r="G386">
        <v>1</v>
      </c>
      <c r="H386">
        <v>0.9</v>
      </c>
    </row>
    <row r="387" spans="1:8">
      <c r="A387" s="281" t="s">
        <v>436</v>
      </c>
      <c r="B387">
        <v>1</v>
      </c>
      <c r="C387">
        <v>0.8</v>
      </c>
      <c r="D387">
        <v>1</v>
      </c>
      <c r="E387">
        <v>0.5</v>
      </c>
      <c r="F387">
        <v>0.8</v>
      </c>
      <c r="G387">
        <v>1</v>
      </c>
      <c r="H387">
        <v>0.85</v>
      </c>
    </row>
    <row r="388" spans="1:8">
      <c r="A388" s="281" t="s">
        <v>437</v>
      </c>
      <c r="B388">
        <v>1</v>
      </c>
      <c r="F388">
        <v>0.8</v>
      </c>
      <c r="G388">
        <v>0.25</v>
      </c>
      <c r="H388">
        <v>0.68</v>
      </c>
    </row>
    <row r="389" spans="1:8">
      <c r="A389" s="281" t="s">
        <v>438</v>
      </c>
      <c r="B389">
        <v>1</v>
      </c>
      <c r="F389">
        <v>0.8</v>
      </c>
      <c r="G389">
        <v>0.25</v>
      </c>
      <c r="H389">
        <v>0.68</v>
      </c>
    </row>
    <row r="390" spans="1:8">
      <c r="A390" s="281" t="s">
        <v>439</v>
      </c>
      <c r="B390">
        <v>1</v>
      </c>
      <c r="C390">
        <v>0</v>
      </c>
      <c r="D390">
        <v>0</v>
      </c>
      <c r="E390">
        <v>1</v>
      </c>
      <c r="F390">
        <v>0.4</v>
      </c>
      <c r="G390">
        <v>1</v>
      </c>
      <c r="H390">
        <v>0.56999999999999995</v>
      </c>
    </row>
    <row r="391" spans="1:8">
      <c r="A391" s="281" t="s">
        <v>440</v>
      </c>
      <c r="B391">
        <v>1</v>
      </c>
      <c r="D391">
        <v>0</v>
      </c>
      <c r="F391">
        <v>0.6</v>
      </c>
      <c r="G391">
        <v>0.5</v>
      </c>
      <c r="H391">
        <v>0.52</v>
      </c>
    </row>
    <row r="392" spans="1:8">
      <c r="A392" s="281" t="s">
        <v>441</v>
      </c>
      <c r="B392">
        <v>0.9</v>
      </c>
      <c r="F392">
        <v>0.9</v>
      </c>
      <c r="G392">
        <v>0.25</v>
      </c>
      <c r="H392">
        <v>0.68</v>
      </c>
    </row>
    <row r="393" spans="1:8">
      <c r="A393" s="281" t="s">
        <v>442</v>
      </c>
      <c r="B393">
        <v>1</v>
      </c>
      <c r="D393">
        <v>1</v>
      </c>
      <c r="F393">
        <v>0.6</v>
      </c>
      <c r="G393">
        <v>0.5</v>
      </c>
      <c r="H393">
        <v>0.78</v>
      </c>
    </row>
    <row r="394" spans="1:8">
      <c r="A394" s="281" t="s">
        <v>443</v>
      </c>
      <c r="B394">
        <v>1</v>
      </c>
      <c r="D394">
        <v>1</v>
      </c>
      <c r="F394">
        <v>0.6</v>
      </c>
      <c r="G394">
        <v>0.5</v>
      </c>
      <c r="H394">
        <v>0.78</v>
      </c>
    </row>
    <row r="395" spans="1:8">
      <c r="A395" s="281" t="s">
        <v>444</v>
      </c>
      <c r="B395">
        <v>1</v>
      </c>
      <c r="C395">
        <v>1</v>
      </c>
      <c r="D395">
        <v>1</v>
      </c>
      <c r="E395">
        <v>0.5</v>
      </c>
      <c r="F395">
        <v>1</v>
      </c>
      <c r="G395">
        <v>1</v>
      </c>
      <c r="H395">
        <v>0.92</v>
      </c>
    </row>
    <row r="396" spans="1:8">
      <c r="A396" s="281" t="s">
        <v>445</v>
      </c>
    </row>
    <row r="397" spans="1:8">
      <c r="A397" s="281" t="s">
        <v>446</v>
      </c>
    </row>
    <row r="398" spans="1:8">
      <c r="A398" s="281" t="s">
        <v>447</v>
      </c>
      <c r="B398">
        <v>1</v>
      </c>
      <c r="C398">
        <v>0.5</v>
      </c>
      <c r="D398">
        <v>0.8</v>
      </c>
      <c r="E398">
        <v>0.5</v>
      </c>
      <c r="F398">
        <v>0.9</v>
      </c>
      <c r="G398">
        <v>1</v>
      </c>
      <c r="H398">
        <v>0.78</v>
      </c>
    </row>
    <row r="399" spans="1:8">
      <c r="A399" s="281" t="s">
        <v>448</v>
      </c>
      <c r="B399">
        <v>1</v>
      </c>
      <c r="C399">
        <v>1</v>
      </c>
      <c r="D399">
        <v>1</v>
      </c>
      <c r="F399">
        <v>0.7</v>
      </c>
      <c r="G399">
        <v>0.75</v>
      </c>
      <c r="H399">
        <v>0.89</v>
      </c>
    </row>
    <row r="400" spans="1:8">
      <c r="A400" s="284" t="s">
        <v>449</v>
      </c>
      <c r="B400">
        <v>1</v>
      </c>
      <c r="C400">
        <v>0.8</v>
      </c>
      <c r="D400">
        <v>0.8</v>
      </c>
      <c r="E400">
        <v>0.5</v>
      </c>
      <c r="F400">
        <v>0.8</v>
      </c>
      <c r="G400">
        <v>1</v>
      </c>
      <c r="H400">
        <v>0.82</v>
      </c>
    </row>
    <row r="401" spans="1:8">
      <c r="A401" s="284" t="s">
        <v>450</v>
      </c>
      <c r="B401">
        <v>1</v>
      </c>
      <c r="C401">
        <v>0.8</v>
      </c>
      <c r="D401">
        <v>1</v>
      </c>
      <c r="F401">
        <v>0.8</v>
      </c>
      <c r="G401">
        <v>0.75</v>
      </c>
      <c r="H401">
        <v>0.87</v>
      </c>
    </row>
    <row r="402" spans="1:8">
      <c r="A402" s="284" t="s">
        <v>451</v>
      </c>
      <c r="B402">
        <v>1</v>
      </c>
      <c r="C402">
        <v>0.8</v>
      </c>
      <c r="D402">
        <v>0.9</v>
      </c>
      <c r="E402">
        <v>0.8</v>
      </c>
      <c r="F402">
        <v>0.8</v>
      </c>
      <c r="G402">
        <v>1</v>
      </c>
      <c r="H402">
        <v>0.88</v>
      </c>
    </row>
    <row r="403" spans="1:8">
      <c r="A403" s="284" t="s">
        <v>452</v>
      </c>
      <c r="B403">
        <v>1</v>
      </c>
      <c r="C403">
        <v>0.8</v>
      </c>
      <c r="D403">
        <v>0.9</v>
      </c>
      <c r="E403">
        <v>0.5</v>
      </c>
      <c r="F403">
        <v>0.8</v>
      </c>
      <c r="G403">
        <v>1</v>
      </c>
      <c r="H403">
        <v>0.83</v>
      </c>
    </row>
    <row r="404" spans="1:8">
      <c r="A404" s="284" t="s">
        <v>453</v>
      </c>
      <c r="B404">
        <v>1</v>
      </c>
      <c r="C404">
        <v>0.8</v>
      </c>
      <c r="D404">
        <v>0.9</v>
      </c>
      <c r="E404">
        <v>0.7</v>
      </c>
      <c r="F404">
        <v>0.8</v>
      </c>
      <c r="G404">
        <v>1</v>
      </c>
      <c r="H404">
        <v>0.87</v>
      </c>
    </row>
    <row r="405" spans="1:8">
      <c r="A405" s="284" t="s">
        <v>454</v>
      </c>
      <c r="B405">
        <v>1</v>
      </c>
      <c r="C405">
        <v>0.7</v>
      </c>
      <c r="D405">
        <v>0.9</v>
      </c>
      <c r="E405">
        <v>0.6</v>
      </c>
      <c r="F405">
        <v>0.9</v>
      </c>
      <c r="G405">
        <v>1</v>
      </c>
      <c r="H405">
        <v>0.85</v>
      </c>
    </row>
    <row r="406" spans="1:8">
      <c r="A406" s="284" t="s">
        <v>455</v>
      </c>
      <c r="B406">
        <v>1</v>
      </c>
      <c r="C406">
        <v>0.9</v>
      </c>
      <c r="D406">
        <v>0.8</v>
      </c>
      <c r="E406">
        <v>1</v>
      </c>
      <c r="F406">
        <v>0.8</v>
      </c>
      <c r="G406">
        <v>1</v>
      </c>
      <c r="H406">
        <v>0.92</v>
      </c>
    </row>
    <row r="407" spans="1:8">
      <c r="A407" s="284" t="s">
        <v>456</v>
      </c>
      <c r="B407">
        <v>1</v>
      </c>
      <c r="C407">
        <v>0.7</v>
      </c>
      <c r="D407">
        <v>0.8</v>
      </c>
      <c r="E407">
        <v>0.8</v>
      </c>
      <c r="F407">
        <v>0.7</v>
      </c>
      <c r="G407">
        <v>1</v>
      </c>
      <c r="H407">
        <v>0.83</v>
      </c>
    </row>
    <row r="408" spans="1:8">
      <c r="A408" s="284" t="s">
        <v>457</v>
      </c>
      <c r="B408">
        <v>1</v>
      </c>
      <c r="C408">
        <v>0.5</v>
      </c>
      <c r="D408">
        <v>0</v>
      </c>
      <c r="F408">
        <v>0.8</v>
      </c>
      <c r="G408">
        <v>0.75</v>
      </c>
      <c r="H408">
        <v>0.61</v>
      </c>
    </row>
    <row r="409" spans="1:8">
      <c r="A409" s="284" t="s">
        <v>458</v>
      </c>
      <c r="B409">
        <v>1</v>
      </c>
      <c r="C409">
        <v>0.2</v>
      </c>
      <c r="D409">
        <v>0.5</v>
      </c>
      <c r="E409">
        <v>0</v>
      </c>
      <c r="F409">
        <v>0.8</v>
      </c>
      <c r="G409">
        <v>1</v>
      </c>
      <c r="H409">
        <v>0.57999999999999996</v>
      </c>
    </row>
    <row r="410" spans="1:8">
      <c r="A410" s="284" t="s">
        <v>459</v>
      </c>
      <c r="B410">
        <v>1</v>
      </c>
      <c r="C410">
        <v>0</v>
      </c>
      <c r="D410">
        <v>0.5</v>
      </c>
      <c r="E410">
        <v>0.5</v>
      </c>
      <c r="F410">
        <v>0.8</v>
      </c>
      <c r="G410">
        <v>1</v>
      </c>
      <c r="H410">
        <v>0.63</v>
      </c>
    </row>
    <row r="411" spans="1:8">
      <c r="A411" s="284" t="s">
        <v>460</v>
      </c>
    </row>
    <row r="412" spans="1:8">
      <c r="A412" s="284" t="s">
        <v>461</v>
      </c>
    </row>
    <row r="413" spans="1:8">
      <c r="A413" s="284" t="s">
        <v>462</v>
      </c>
    </row>
    <row r="414" spans="1:8">
      <c r="A414" s="291" t="s">
        <v>463</v>
      </c>
    </row>
    <row r="415" spans="1:8">
      <c r="A415" s="291" t="s">
        <v>464</v>
      </c>
      <c r="B415">
        <v>0.9</v>
      </c>
      <c r="F415">
        <v>0.9</v>
      </c>
      <c r="G415">
        <v>0.25</v>
      </c>
      <c r="H415">
        <v>0.68</v>
      </c>
    </row>
    <row r="416" spans="1:8">
      <c r="A416" s="291" t="s">
        <v>465</v>
      </c>
      <c r="B416">
        <v>0.9</v>
      </c>
      <c r="F416">
        <v>0.8</v>
      </c>
      <c r="G416">
        <v>0.25</v>
      </c>
      <c r="H416">
        <v>0.65</v>
      </c>
    </row>
    <row r="417" spans="1:8">
      <c r="A417" s="291" t="s">
        <v>466</v>
      </c>
      <c r="B417">
        <v>0.8</v>
      </c>
      <c r="F417">
        <v>0.8</v>
      </c>
      <c r="G417">
        <v>0.25</v>
      </c>
      <c r="H417">
        <v>0.62</v>
      </c>
    </row>
    <row r="418" spans="1:8">
      <c r="A418" s="291" t="s">
        <v>467</v>
      </c>
      <c r="B418">
        <v>0.9</v>
      </c>
      <c r="F418">
        <v>0.8</v>
      </c>
      <c r="G418">
        <v>0.25</v>
      </c>
      <c r="H418">
        <v>0.65</v>
      </c>
    </row>
    <row r="419" spans="1:8">
      <c r="A419" s="291" t="s">
        <v>468</v>
      </c>
      <c r="B419">
        <v>0.9</v>
      </c>
      <c r="F419">
        <v>0.8</v>
      </c>
      <c r="G419">
        <v>0.25</v>
      </c>
      <c r="H419">
        <v>0.65</v>
      </c>
    </row>
    <row r="420" spans="1:8">
      <c r="A420" s="291" t="s">
        <v>469</v>
      </c>
      <c r="B420">
        <v>1</v>
      </c>
      <c r="F420">
        <v>0.7</v>
      </c>
      <c r="G420">
        <v>0.25</v>
      </c>
      <c r="H420">
        <v>0.65</v>
      </c>
    </row>
    <row r="421" spans="1:8">
      <c r="A421" s="291" t="s">
        <v>470</v>
      </c>
      <c r="B421">
        <v>1</v>
      </c>
      <c r="F421">
        <v>0.8</v>
      </c>
      <c r="G421">
        <v>0.25</v>
      </c>
      <c r="H421">
        <v>0.68</v>
      </c>
    </row>
    <row r="422" spans="1:8">
      <c r="A422" s="291" t="s">
        <v>471</v>
      </c>
      <c r="B422">
        <v>0.9</v>
      </c>
      <c r="F422">
        <v>1</v>
      </c>
      <c r="G422">
        <v>0.25</v>
      </c>
      <c r="H422">
        <v>0.72</v>
      </c>
    </row>
    <row r="423" spans="1:8">
      <c r="A423" s="291" t="s">
        <v>472</v>
      </c>
      <c r="B423">
        <v>1</v>
      </c>
      <c r="F423">
        <v>0.5</v>
      </c>
      <c r="G423">
        <v>0.25</v>
      </c>
      <c r="H423">
        <v>0.57999999999999996</v>
      </c>
    </row>
    <row r="424" spans="1:8">
      <c r="A424" s="296" t="s">
        <v>475</v>
      </c>
      <c r="B424">
        <v>1</v>
      </c>
      <c r="F424">
        <v>0.8</v>
      </c>
      <c r="G424">
        <v>0.25</v>
      </c>
      <c r="H424">
        <v>0.68</v>
      </c>
    </row>
    <row r="425" spans="1:8">
      <c r="A425" s="296" t="s">
        <v>476</v>
      </c>
      <c r="B425">
        <v>0.8</v>
      </c>
      <c r="F425">
        <v>0.9</v>
      </c>
      <c r="G425">
        <v>0.25</v>
      </c>
      <c r="H425">
        <v>0.65</v>
      </c>
    </row>
    <row r="426" spans="1:8">
      <c r="A426" s="296" t="s">
        <v>477</v>
      </c>
      <c r="B426">
        <v>0.9</v>
      </c>
      <c r="F426">
        <v>0.8</v>
      </c>
      <c r="G426">
        <v>0.25</v>
      </c>
      <c r="H426">
        <v>0.65</v>
      </c>
    </row>
    <row r="427" spans="1:8">
      <c r="A427" s="296" t="s">
        <v>478</v>
      </c>
      <c r="B427">
        <v>0.9</v>
      </c>
      <c r="F427">
        <v>0.9</v>
      </c>
      <c r="G427">
        <v>0.25</v>
      </c>
      <c r="H427">
        <v>0.68</v>
      </c>
    </row>
    <row r="428" spans="1:8">
      <c r="A428" s="296" t="s">
        <v>479</v>
      </c>
      <c r="B428">
        <v>0.9</v>
      </c>
      <c r="C428">
        <v>0.9</v>
      </c>
      <c r="D428">
        <v>0.9</v>
      </c>
      <c r="F428">
        <v>0.9</v>
      </c>
      <c r="G428">
        <v>0.75</v>
      </c>
      <c r="H428">
        <v>0.87</v>
      </c>
    </row>
    <row r="429" spans="1:8">
      <c r="A429" s="296" t="s">
        <v>480</v>
      </c>
      <c r="B429">
        <v>0.9</v>
      </c>
      <c r="C429">
        <v>0.8</v>
      </c>
      <c r="F429">
        <v>0.9</v>
      </c>
      <c r="G429">
        <v>0.5</v>
      </c>
      <c r="H429">
        <v>0.78</v>
      </c>
    </row>
    <row r="430" spans="1:8">
      <c r="A430" s="296" t="s">
        <v>481</v>
      </c>
      <c r="B430">
        <v>0.9</v>
      </c>
      <c r="F430">
        <v>1</v>
      </c>
      <c r="G430">
        <v>0.25</v>
      </c>
      <c r="H430">
        <v>0.72</v>
      </c>
    </row>
    <row r="431" spans="1:8">
      <c r="A431" s="296" t="s">
        <v>482</v>
      </c>
    </row>
    <row r="432" spans="1:8">
      <c r="A432" s="296" t="s">
        <v>483</v>
      </c>
    </row>
    <row r="433" spans="1:8">
      <c r="A433" s="296" t="s">
        <v>484</v>
      </c>
      <c r="B433">
        <v>1</v>
      </c>
      <c r="F433">
        <v>1</v>
      </c>
      <c r="G433">
        <v>0.25</v>
      </c>
      <c r="H433">
        <v>0.75</v>
      </c>
    </row>
    <row r="434" spans="1:8">
      <c r="A434" s="296" t="s">
        <v>486</v>
      </c>
    </row>
    <row r="435" spans="1:8">
      <c r="A435" s="296" t="s">
        <v>487</v>
      </c>
    </row>
    <row r="436" spans="1:8">
      <c r="A436" s="296" t="s">
        <v>488</v>
      </c>
      <c r="B436">
        <v>1</v>
      </c>
      <c r="F436">
        <v>0.5</v>
      </c>
      <c r="G436">
        <v>0.25</v>
      </c>
      <c r="H436">
        <v>0.57999999999999996</v>
      </c>
    </row>
    <row r="437" spans="1:8">
      <c r="A437" s="296" t="s">
        <v>489</v>
      </c>
      <c r="B437">
        <v>0.5</v>
      </c>
      <c r="F437">
        <v>0.5</v>
      </c>
      <c r="G437">
        <v>0.25</v>
      </c>
      <c r="H437">
        <v>0.42</v>
      </c>
    </row>
    <row r="438" spans="1:8">
      <c r="A438" s="296" t="s">
        <v>568</v>
      </c>
    </row>
    <row r="439" spans="1:8">
      <c r="A439" s="296" t="s">
        <v>491</v>
      </c>
    </row>
    <row r="440" spans="1:8">
      <c r="A440" s="296" t="s">
        <v>492</v>
      </c>
      <c r="B440">
        <v>1</v>
      </c>
      <c r="F440">
        <v>0.5</v>
      </c>
      <c r="G440">
        <v>0.25</v>
      </c>
      <c r="H440">
        <v>0.57999999999999996</v>
      </c>
    </row>
    <row r="441" spans="1:8">
      <c r="A441" s="296" t="s">
        <v>493</v>
      </c>
    </row>
    <row r="442" spans="1:8">
      <c r="A442" s="296" t="s">
        <v>494</v>
      </c>
      <c r="B442">
        <v>1</v>
      </c>
      <c r="F442">
        <v>1</v>
      </c>
      <c r="G442">
        <v>0.25</v>
      </c>
      <c r="H442">
        <v>0.75</v>
      </c>
    </row>
    <row r="443" spans="1:8">
      <c r="A443" s="296" t="s">
        <v>495</v>
      </c>
      <c r="B443">
        <v>1</v>
      </c>
      <c r="F443">
        <v>1</v>
      </c>
      <c r="G443">
        <v>0.25</v>
      </c>
      <c r="H443">
        <v>0.75</v>
      </c>
    </row>
    <row r="444" spans="1:8">
      <c r="A444" s="296" t="s">
        <v>496</v>
      </c>
    </row>
    <row r="445" spans="1:8">
      <c r="A445" s="296" t="s">
        <v>497</v>
      </c>
      <c r="B445">
        <v>1</v>
      </c>
      <c r="F445">
        <v>1</v>
      </c>
      <c r="G445">
        <v>0.25</v>
      </c>
      <c r="H445">
        <v>0.75</v>
      </c>
    </row>
    <row r="446" spans="1:8">
      <c r="A446" s="296" t="s">
        <v>498</v>
      </c>
    </row>
    <row r="447" spans="1:8">
      <c r="A447" s="296" t="s">
        <v>499</v>
      </c>
    </row>
    <row r="448" spans="1:8">
      <c r="A448" s="296" t="s">
        <v>500</v>
      </c>
    </row>
    <row r="449" spans="1:8">
      <c r="A449" s="318" t="s">
        <v>501</v>
      </c>
      <c r="B449">
        <v>1</v>
      </c>
      <c r="C449">
        <v>0.9</v>
      </c>
      <c r="D449">
        <v>0.8</v>
      </c>
      <c r="E449">
        <v>0.7</v>
      </c>
      <c r="F449">
        <v>1</v>
      </c>
      <c r="G449">
        <v>1</v>
      </c>
      <c r="H449">
        <v>0.9</v>
      </c>
    </row>
    <row r="450" spans="1:8">
      <c r="A450" s="318" t="s">
        <v>502</v>
      </c>
      <c r="B450">
        <v>1</v>
      </c>
      <c r="F450">
        <v>0.9</v>
      </c>
      <c r="G450">
        <v>0.25</v>
      </c>
      <c r="H450">
        <v>0.72</v>
      </c>
    </row>
    <row r="451" spans="1:8">
      <c r="A451" s="318" t="s">
        <v>503</v>
      </c>
    </row>
    <row r="452" spans="1:8">
      <c r="A452" s="318" t="s">
        <v>504</v>
      </c>
      <c r="B452">
        <v>1</v>
      </c>
      <c r="F452">
        <v>1</v>
      </c>
      <c r="G452">
        <v>0.25</v>
      </c>
      <c r="H452">
        <v>0.75</v>
      </c>
    </row>
    <row r="453" spans="1:8">
      <c r="A453" s="318" t="s">
        <v>505</v>
      </c>
      <c r="B453">
        <v>1</v>
      </c>
      <c r="F453">
        <v>1</v>
      </c>
      <c r="G453">
        <v>0.25</v>
      </c>
      <c r="H453">
        <v>0.75</v>
      </c>
    </row>
    <row r="454" spans="1:8">
      <c r="A454" s="318" t="s">
        <v>506</v>
      </c>
    </row>
    <row r="455" spans="1:8">
      <c r="A455" s="318" t="s">
        <v>507</v>
      </c>
      <c r="B455">
        <v>1</v>
      </c>
      <c r="F455">
        <v>0.5</v>
      </c>
      <c r="G455">
        <v>0.25</v>
      </c>
      <c r="H455">
        <v>0.57999999999999996</v>
      </c>
    </row>
    <row r="456" spans="1:8">
      <c r="A456" s="318" t="s">
        <v>508</v>
      </c>
    </row>
    <row r="457" spans="1:8">
      <c r="A457" s="318" t="s">
        <v>509</v>
      </c>
    </row>
    <row r="458" spans="1:8">
      <c r="A458" s="318" t="s">
        <v>510</v>
      </c>
    </row>
    <row r="459" spans="1:8">
      <c r="A459" s="318" t="s">
        <v>511</v>
      </c>
    </row>
    <row r="460" spans="1:8">
      <c r="A460" s="318" t="s">
        <v>512</v>
      </c>
    </row>
    <row r="461" spans="1:8">
      <c r="A461" s="318" t="s">
        <v>513</v>
      </c>
    </row>
    <row r="462" spans="1:8">
      <c r="A462" s="318" t="s">
        <v>514</v>
      </c>
    </row>
    <row r="463" spans="1:8">
      <c r="A463" s="318" t="s">
        <v>515</v>
      </c>
    </row>
    <row r="464" spans="1:8">
      <c r="A464" s="318" t="s">
        <v>516</v>
      </c>
    </row>
    <row r="465" spans="1:8">
      <c r="A465" s="318" t="s">
        <v>517</v>
      </c>
    </row>
    <row r="466" spans="1:8">
      <c r="A466" s="327" t="s">
        <v>518</v>
      </c>
      <c r="B466">
        <v>1</v>
      </c>
      <c r="C466"/>
      <c r="D466"/>
      <c r="E466"/>
      <c r="F466">
        <v>0.7</v>
      </c>
      <c r="G466">
        <v>0.25</v>
      </c>
      <c r="H466">
        <v>0.65</v>
      </c>
    </row>
    <row r="467" spans="1:8">
      <c r="A467" s="327" t="s">
        <v>519</v>
      </c>
      <c r="B467">
        <v>1</v>
      </c>
      <c r="C467"/>
      <c r="D467"/>
      <c r="E467"/>
      <c r="F467">
        <v>0.5</v>
      </c>
      <c r="G467">
        <v>0.25</v>
      </c>
      <c r="H467">
        <v>0.57999999999999996</v>
      </c>
    </row>
    <row r="468" spans="1:8">
      <c r="A468" s="327" t="s">
        <v>520</v>
      </c>
      <c r="B468">
        <v>1</v>
      </c>
      <c r="C468"/>
      <c r="D468"/>
      <c r="E468"/>
      <c r="F468">
        <v>1</v>
      </c>
      <c r="G468">
        <v>0.25</v>
      </c>
      <c r="H468">
        <v>0.75</v>
      </c>
    </row>
    <row r="469" spans="1:8">
      <c r="A469" s="327" t="s">
        <v>521</v>
      </c>
      <c r="B469">
        <v>1</v>
      </c>
      <c r="C469"/>
      <c r="D469"/>
      <c r="E469"/>
      <c r="F469">
        <v>0.5</v>
      </c>
      <c r="G469">
        <v>0.25</v>
      </c>
      <c r="H469">
        <v>0.57999999999999996</v>
      </c>
    </row>
    <row r="470" spans="1:8">
      <c r="A470" s="327" t="s">
        <v>522</v>
      </c>
      <c r="B470">
        <v>1</v>
      </c>
      <c r="C470"/>
      <c r="D470"/>
      <c r="E470"/>
      <c r="F470">
        <v>0.8</v>
      </c>
      <c r="G470">
        <v>0.25</v>
      </c>
      <c r="H470">
        <v>0.68</v>
      </c>
    </row>
    <row r="471" spans="1:8">
      <c r="A471" s="327" t="s">
        <v>523</v>
      </c>
      <c r="B471">
        <v>1</v>
      </c>
      <c r="C471"/>
      <c r="D471"/>
      <c r="E471"/>
      <c r="F471">
        <v>0.8</v>
      </c>
      <c r="G471">
        <v>0.25</v>
      </c>
      <c r="H471">
        <v>0.68</v>
      </c>
    </row>
    <row r="472" spans="1:8">
      <c r="A472" s="327" t="s">
        <v>524</v>
      </c>
      <c r="B472">
        <v>1</v>
      </c>
      <c r="C472"/>
      <c r="D472"/>
      <c r="E472"/>
      <c r="F472">
        <v>1</v>
      </c>
      <c r="G472">
        <v>0.25</v>
      </c>
      <c r="H472">
        <v>0.75</v>
      </c>
    </row>
    <row r="473" spans="1:8">
      <c r="A473" s="327" t="s">
        <v>525</v>
      </c>
      <c r="B473">
        <v>1</v>
      </c>
      <c r="C473"/>
      <c r="D473"/>
      <c r="E473"/>
      <c r="F473">
        <v>0.6</v>
      </c>
      <c r="G473">
        <v>0.25</v>
      </c>
      <c r="H473">
        <v>0.62</v>
      </c>
    </row>
    <row r="474" spans="1:8">
      <c r="A474" s="327" t="s">
        <v>526</v>
      </c>
      <c r="B474">
        <v>1</v>
      </c>
      <c r="C474"/>
      <c r="D474"/>
      <c r="E474"/>
      <c r="F474">
        <v>1</v>
      </c>
      <c r="G474">
        <v>0.25</v>
      </c>
      <c r="H474">
        <v>0.75</v>
      </c>
    </row>
    <row r="475" spans="1:8">
      <c r="A475" s="327" t="s">
        <v>527</v>
      </c>
      <c r="B475"/>
      <c r="C475"/>
      <c r="D475"/>
      <c r="E475"/>
      <c r="F475"/>
      <c r="G475"/>
      <c r="H475"/>
    </row>
    <row r="476" spans="1:8">
      <c r="A476" s="327" t="s">
        <v>528</v>
      </c>
      <c r="B476">
        <v>1</v>
      </c>
      <c r="C476"/>
      <c r="D476"/>
      <c r="E476"/>
      <c r="F476">
        <v>0.5</v>
      </c>
      <c r="G476">
        <v>0.25</v>
      </c>
      <c r="H476">
        <v>0.57999999999999996</v>
      </c>
    </row>
    <row r="477" spans="1:8">
      <c r="A477" s="327" t="s">
        <v>529</v>
      </c>
      <c r="B477">
        <v>1</v>
      </c>
      <c r="C477"/>
      <c r="D477"/>
      <c r="E477"/>
      <c r="F477">
        <v>0.5</v>
      </c>
      <c r="G477">
        <v>0.25</v>
      </c>
      <c r="H477">
        <v>0.57999999999999996</v>
      </c>
    </row>
    <row r="478" spans="1:8">
      <c r="A478" s="327" t="s">
        <v>530</v>
      </c>
      <c r="B478">
        <v>1</v>
      </c>
      <c r="C478"/>
      <c r="D478"/>
      <c r="E478"/>
      <c r="F478">
        <v>0.8</v>
      </c>
      <c r="G478">
        <v>0.25</v>
      </c>
      <c r="H478">
        <v>0.68</v>
      </c>
    </row>
    <row r="479" spans="1:8">
      <c r="A479" s="327" t="s">
        <v>531</v>
      </c>
      <c r="B479">
        <v>1</v>
      </c>
      <c r="C479"/>
      <c r="D479"/>
      <c r="E479"/>
      <c r="F479">
        <v>0.8</v>
      </c>
      <c r="G479">
        <v>0.25</v>
      </c>
      <c r="H479">
        <v>0.68</v>
      </c>
    </row>
    <row r="480" spans="1:8">
      <c r="A480" s="327" t="s">
        <v>532</v>
      </c>
      <c r="B480">
        <v>1</v>
      </c>
      <c r="C480"/>
      <c r="D480"/>
      <c r="E480"/>
      <c r="F480">
        <v>0.8</v>
      </c>
      <c r="G480">
        <v>0.25</v>
      </c>
      <c r="H480">
        <v>0.68</v>
      </c>
    </row>
    <row r="481" spans="1:8">
      <c r="A481" s="327" t="s">
        <v>533</v>
      </c>
      <c r="B481">
        <v>1</v>
      </c>
      <c r="C481"/>
      <c r="D481"/>
      <c r="E481"/>
      <c r="F481">
        <v>0.6</v>
      </c>
      <c r="G481">
        <v>0.25</v>
      </c>
      <c r="H481">
        <v>0.62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1"/>
  <sheetViews>
    <sheetView topLeftCell="A115" zoomScale="90" zoomScaleNormal="90" workbookViewId="0">
      <selection activeCell="E344" sqref="E344"/>
    </sheetView>
  </sheetViews>
  <sheetFormatPr baseColWidth="10" defaultRowHeight="15"/>
  <cols>
    <col min="1" max="1" width="49.5703125" style="275" bestFit="1" customWidth="1"/>
    <col min="7" max="7" width="11.42578125" style="312" customWidth="1"/>
  </cols>
  <sheetData>
    <row r="1" spans="1:7" ht="30" customHeight="1">
      <c r="A1" s="143" t="s">
        <v>0</v>
      </c>
      <c r="B1" s="72" t="s">
        <v>632</v>
      </c>
      <c r="C1" s="72" t="s">
        <v>633</v>
      </c>
      <c r="D1" s="72" t="s">
        <v>634</v>
      </c>
      <c r="E1" s="72" t="s">
        <v>635</v>
      </c>
      <c r="F1" s="73" t="s">
        <v>637</v>
      </c>
      <c r="G1" s="72" t="s">
        <v>638</v>
      </c>
    </row>
    <row r="2" spans="1:7">
      <c r="A2" s="84" t="s">
        <v>32</v>
      </c>
      <c r="B2">
        <v>0.7</v>
      </c>
      <c r="C2">
        <v>0</v>
      </c>
      <c r="D2">
        <v>0</v>
      </c>
      <c r="F2">
        <v>0.75</v>
      </c>
      <c r="G2">
        <v>0.36</v>
      </c>
    </row>
    <row r="3" spans="1:7">
      <c r="A3" s="84" t="s">
        <v>36</v>
      </c>
      <c r="B3">
        <v>0.7</v>
      </c>
      <c r="C3">
        <v>0</v>
      </c>
      <c r="D3">
        <v>0</v>
      </c>
      <c r="F3">
        <v>0.75</v>
      </c>
      <c r="G3">
        <v>0.36</v>
      </c>
    </row>
    <row r="4" spans="1:7">
      <c r="A4" s="84" t="s">
        <v>37</v>
      </c>
      <c r="B4">
        <v>0.9</v>
      </c>
      <c r="C4">
        <v>0.2</v>
      </c>
      <c r="D4">
        <v>0</v>
      </c>
      <c r="F4">
        <v>0.75</v>
      </c>
      <c r="G4">
        <v>0.46</v>
      </c>
    </row>
    <row r="5" spans="1:7">
      <c r="A5" s="84" t="s">
        <v>38</v>
      </c>
      <c r="B5">
        <v>0.9</v>
      </c>
      <c r="C5">
        <v>0</v>
      </c>
      <c r="F5">
        <v>0.5</v>
      </c>
      <c r="G5">
        <v>0.47</v>
      </c>
    </row>
    <row r="6" spans="1:7">
      <c r="A6" s="84" t="s">
        <v>39</v>
      </c>
      <c r="B6">
        <v>0.9</v>
      </c>
      <c r="C6">
        <v>0.3</v>
      </c>
      <c r="D6">
        <v>0</v>
      </c>
      <c r="F6">
        <v>0.75</v>
      </c>
      <c r="G6">
        <v>0.49</v>
      </c>
    </row>
    <row r="7" spans="1:7">
      <c r="A7" s="84" t="s">
        <v>40</v>
      </c>
      <c r="B7">
        <v>0.9</v>
      </c>
      <c r="C7">
        <v>0</v>
      </c>
      <c r="F7">
        <v>0.5</v>
      </c>
      <c r="G7">
        <v>0.47</v>
      </c>
    </row>
    <row r="8" spans="1:7">
      <c r="A8" s="84" t="s">
        <v>41</v>
      </c>
      <c r="B8">
        <v>1</v>
      </c>
      <c r="C8">
        <v>0.4</v>
      </c>
      <c r="D8">
        <v>0</v>
      </c>
      <c r="F8">
        <v>0.75</v>
      </c>
      <c r="G8">
        <v>0.54</v>
      </c>
    </row>
    <row r="9" spans="1:7">
      <c r="A9" s="84" t="s">
        <v>43</v>
      </c>
      <c r="B9">
        <v>1</v>
      </c>
      <c r="C9">
        <v>0.5</v>
      </c>
      <c r="F9">
        <v>0.5</v>
      </c>
      <c r="G9">
        <v>0.67</v>
      </c>
    </row>
    <row r="10" spans="1:7">
      <c r="A10" s="84" t="s">
        <v>44</v>
      </c>
      <c r="B10">
        <v>1</v>
      </c>
      <c r="C10">
        <v>0.5</v>
      </c>
      <c r="D10">
        <v>0</v>
      </c>
      <c r="F10">
        <v>0.75</v>
      </c>
      <c r="G10">
        <v>0.56000000000000005</v>
      </c>
    </row>
    <row r="11" spans="1:7">
      <c r="A11" s="84" t="s">
        <v>45</v>
      </c>
      <c r="B11">
        <v>0.9</v>
      </c>
      <c r="C11">
        <v>0</v>
      </c>
      <c r="D11">
        <v>0</v>
      </c>
      <c r="F11">
        <v>0.75</v>
      </c>
      <c r="G11">
        <v>0.41</v>
      </c>
    </row>
    <row r="12" spans="1:7">
      <c r="A12" s="84" t="s">
        <v>47</v>
      </c>
      <c r="B12">
        <v>1</v>
      </c>
      <c r="C12">
        <v>0.2</v>
      </c>
      <c r="D12">
        <v>0.5</v>
      </c>
      <c r="F12">
        <v>0.75</v>
      </c>
      <c r="G12">
        <v>0.61</v>
      </c>
    </row>
    <row r="13" spans="1:7">
      <c r="A13" s="86" t="s">
        <v>48</v>
      </c>
      <c r="B13">
        <v>1</v>
      </c>
      <c r="C13">
        <v>0.7</v>
      </c>
      <c r="D13">
        <v>0.7</v>
      </c>
      <c r="F13">
        <v>0.75</v>
      </c>
      <c r="G13">
        <v>0.79</v>
      </c>
    </row>
    <row r="14" spans="1:7">
      <c r="A14" s="86" t="s">
        <v>50</v>
      </c>
      <c r="B14">
        <v>1</v>
      </c>
      <c r="C14">
        <v>0.3</v>
      </c>
      <c r="D14">
        <v>0</v>
      </c>
      <c r="F14">
        <v>0.75</v>
      </c>
      <c r="G14">
        <v>0.51</v>
      </c>
    </row>
    <row r="15" spans="1:7">
      <c r="A15" s="86" t="s">
        <v>51</v>
      </c>
      <c r="B15">
        <v>0.8</v>
      </c>
      <c r="C15">
        <v>0</v>
      </c>
      <c r="D15">
        <v>0</v>
      </c>
      <c r="F15">
        <v>0.75</v>
      </c>
      <c r="G15">
        <v>0.39</v>
      </c>
    </row>
    <row r="16" spans="1:7">
      <c r="A16" s="95" t="s">
        <v>554</v>
      </c>
    </row>
    <row r="17" spans="1:7">
      <c r="A17" s="95" t="s">
        <v>555</v>
      </c>
    </row>
    <row r="18" spans="1:7">
      <c r="A18" s="95" t="s">
        <v>556</v>
      </c>
      <c r="B18">
        <v>1</v>
      </c>
      <c r="C18">
        <v>0</v>
      </c>
      <c r="F18">
        <v>0.5</v>
      </c>
      <c r="G18">
        <v>0.5</v>
      </c>
    </row>
    <row r="19" spans="1:7">
      <c r="A19" s="95" t="s">
        <v>55</v>
      </c>
      <c r="B19">
        <v>1</v>
      </c>
      <c r="C19">
        <v>0.3</v>
      </c>
      <c r="D19">
        <v>0</v>
      </c>
      <c r="F19">
        <v>0.75</v>
      </c>
      <c r="G19">
        <v>0.51</v>
      </c>
    </row>
    <row r="20" spans="1:7">
      <c r="A20" s="95" t="s">
        <v>56</v>
      </c>
      <c r="B20">
        <v>0.9</v>
      </c>
      <c r="C20">
        <v>0</v>
      </c>
      <c r="F20">
        <v>0.5</v>
      </c>
      <c r="G20">
        <v>0.47</v>
      </c>
    </row>
    <row r="21" spans="1:7">
      <c r="A21" s="95" t="s">
        <v>57</v>
      </c>
      <c r="B21">
        <v>1</v>
      </c>
      <c r="C21">
        <v>0.3</v>
      </c>
      <c r="D21">
        <v>0</v>
      </c>
      <c r="F21">
        <v>0.75</v>
      </c>
      <c r="G21">
        <v>0.51</v>
      </c>
    </row>
    <row r="22" spans="1:7">
      <c r="A22" s="95" t="s">
        <v>58</v>
      </c>
      <c r="B22">
        <v>0.9</v>
      </c>
      <c r="C22">
        <v>0.6</v>
      </c>
      <c r="D22">
        <v>0.8</v>
      </c>
      <c r="E22">
        <v>1</v>
      </c>
      <c r="F22">
        <v>1</v>
      </c>
      <c r="G22">
        <v>0.86</v>
      </c>
    </row>
    <row r="23" spans="1:7">
      <c r="A23" s="95" t="s">
        <v>59</v>
      </c>
      <c r="B23">
        <v>0.8</v>
      </c>
      <c r="C23">
        <v>0.8</v>
      </c>
      <c r="D23">
        <v>0.7</v>
      </c>
      <c r="E23">
        <v>0.5</v>
      </c>
      <c r="F23">
        <v>1</v>
      </c>
      <c r="G23">
        <v>0.76</v>
      </c>
    </row>
    <row r="24" spans="1:7">
      <c r="A24" s="95" t="s">
        <v>60</v>
      </c>
      <c r="B24">
        <v>0.7</v>
      </c>
      <c r="C24">
        <v>0</v>
      </c>
      <c r="D24">
        <v>0.8</v>
      </c>
      <c r="F24">
        <v>0.75</v>
      </c>
      <c r="G24">
        <v>0.56000000000000005</v>
      </c>
    </row>
    <row r="25" spans="1:7">
      <c r="A25" s="95" t="s">
        <v>61</v>
      </c>
      <c r="B25">
        <v>1</v>
      </c>
      <c r="C25">
        <v>0.2</v>
      </c>
      <c r="D25">
        <v>0</v>
      </c>
      <c r="F25">
        <v>0.75</v>
      </c>
      <c r="G25">
        <v>0.49</v>
      </c>
    </row>
    <row r="26" spans="1:7">
      <c r="A26" s="95" t="s">
        <v>62</v>
      </c>
      <c r="B26">
        <v>1</v>
      </c>
      <c r="C26">
        <v>0</v>
      </c>
      <c r="F26">
        <v>0.5</v>
      </c>
      <c r="G26">
        <v>0.5</v>
      </c>
    </row>
    <row r="27" spans="1:7">
      <c r="A27" s="95" t="s">
        <v>63</v>
      </c>
    </row>
    <row r="28" spans="1:7">
      <c r="A28" s="95" t="s">
        <v>65</v>
      </c>
    </row>
    <row r="29" spans="1:7">
      <c r="A29" s="111" t="s">
        <v>66</v>
      </c>
      <c r="B29">
        <v>1</v>
      </c>
      <c r="C29">
        <v>0.9</v>
      </c>
      <c r="D29">
        <v>0.8</v>
      </c>
      <c r="F29">
        <v>0.75</v>
      </c>
      <c r="G29">
        <v>0.86</v>
      </c>
    </row>
    <row r="30" spans="1:7">
      <c r="A30" s="111" t="s">
        <v>68</v>
      </c>
      <c r="B30">
        <v>1</v>
      </c>
      <c r="C30">
        <v>0.7</v>
      </c>
      <c r="D30">
        <v>1</v>
      </c>
      <c r="F30">
        <v>0.75</v>
      </c>
      <c r="G30">
        <v>0.86</v>
      </c>
    </row>
    <row r="31" spans="1:7">
      <c r="A31" s="111" t="s">
        <v>69</v>
      </c>
      <c r="B31">
        <v>0.7</v>
      </c>
      <c r="C31">
        <v>0.5</v>
      </c>
      <c r="F31">
        <v>0.5</v>
      </c>
      <c r="G31">
        <v>0.56999999999999995</v>
      </c>
    </row>
    <row r="32" spans="1:7">
      <c r="A32" s="111" t="s">
        <v>71</v>
      </c>
      <c r="B32">
        <v>0.8</v>
      </c>
      <c r="C32">
        <v>0.5</v>
      </c>
      <c r="F32">
        <v>0.5</v>
      </c>
      <c r="G32">
        <v>0.6</v>
      </c>
    </row>
    <row r="33" spans="1:7">
      <c r="A33" s="111" t="s">
        <v>72</v>
      </c>
      <c r="B33">
        <v>0.9</v>
      </c>
      <c r="C33">
        <v>0.1</v>
      </c>
      <c r="D33">
        <v>0.5</v>
      </c>
      <c r="F33">
        <v>0.75</v>
      </c>
      <c r="G33">
        <v>0.56000000000000005</v>
      </c>
    </row>
    <row r="34" spans="1:7">
      <c r="A34" s="111" t="s">
        <v>73</v>
      </c>
      <c r="B34">
        <v>1</v>
      </c>
      <c r="C34">
        <v>0.5</v>
      </c>
      <c r="D34">
        <v>0.7</v>
      </c>
      <c r="E34">
        <v>0</v>
      </c>
      <c r="F34">
        <v>1</v>
      </c>
      <c r="G34">
        <v>0.64</v>
      </c>
    </row>
    <row r="35" spans="1:7">
      <c r="A35" s="111" t="s">
        <v>74</v>
      </c>
      <c r="B35">
        <v>1</v>
      </c>
      <c r="F35">
        <v>0</v>
      </c>
      <c r="G35">
        <v>0.5</v>
      </c>
    </row>
    <row r="36" spans="1:7">
      <c r="A36" s="111" t="s">
        <v>76</v>
      </c>
      <c r="B36">
        <v>0.8</v>
      </c>
      <c r="C36">
        <v>0.5</v>
      </c>
      <c r="D36">
        <v>0</v>
      </c>
      <c r="F36">
        <v>0.75</v>
      </c>
      <c r="G36">
        <v>0.51</v>
      </c>
    </row>
    <row r="37" spans="1:7">
      <c r="A37" s="111" t="s">
        <v>77</v>
      </c>
      <c r="B37">
        <v>0.8</v>
      </c>
      <c r="C37">
        <v>0</v>
      </c>
      <c r="D37">
        <v>1</v>
      </c>
      <c r="F37">
        <v>0.75</v>
      </c>
      <c r="G37">
        <v>0.64</v>
      </c>
    </row>
    <row r="38" spans="1:7">
      <c r="A38" s="111" t="s">
        <v>78</v>
      </c>
      <c r="B38">
        <v>1</v>
      </c>
      <c r="C38">
        <v>0</v>
      </c>
      <c r="D38">
        <v>0</v>
      </c>
      <c r="F38">
        <v>0.75</v>
      </c>
      <c r="G38">
        <v>0.44</v>
      </c>
    </row>
    <row r="39" spans="1:7">
      <c r="A39" s="111" t="s">
        <v>79</v>
      </c>
    </row>
    <row r="40" spans="1:7">
      <c r="A40" s="111" t="s">
        <v>80</v>
      </c>
    </row>
    <row r="41" spans="1:7">
      <c r="A41" s="111" t="s">
        <v>81</v>
      </c>
    </row>
    <row r="42" spans="1:7">
      <c r="A42" s="111" t="s">
        <v>82</v>
      </c>
      <c r="B42">
        <v>1</v>
      </c>
      <c r="C42">
        <v>0.8</v>
      </c>
      <c r="D42">
        <v>1</v>
      </c>
      <c r="E42">
        <v>0.5</v>
      </c>
      <c r="F42">
        <v>1</v>
      </c>
      <c r="G42">
        <v>0.86</v>
      </c>
    </row>
    <row r="43" spans="1:7">
      <c r="A43" s="111" t="s">
        <v>83</v>
      </c>
      <c r="B43">
        <v>1</v>
      </c>
      <c r="C43">
        <v>1</v>
      </c>
      <c r="F43">
        <v>0.5</v>
      </c>
      <c r="G43">
        <v>0.83</v>
      </c>
    </row>
    <row r="44" spans="1:7">
      <c r="A44" s="111" t="s">
        <v>84</v>
      </c>
      <c r="B44">
        <v>1</v>
      </c>
      <c r="C44">
        <v>0.8</v>
      </c>
      <c r="D44">
        <v>0.7</v>
      </c>
      <c r="F44">
        <v>0.75</v>
      </c>
      <c r="G44">
        <v>0.81</v>
      </c>
    </row>
    <row r="45" spans="1:7">
      <c r="A45" s="111" t="s">
        <v>85</v>
      </c>
      <c r="B45">
        <v>1</v>
      </c>
      <c r="C45">
        <v>0.7</v>
      </c>
      <c r="D45">
        <v>0.7</v>
      </c>
      <c r="F45">
        <v>0.75</v>
      </c>
      <c r="G45">
        <v>0.79</v>
      </c>
    </row>
    <row r="46" spans="1:7">
      <c r="A46" s="111" t="s">
        <v>86</v>
      </c>
      <c r="B46">
        <v>1</v>
      </c>
      <c r="C46">
        <v>0.9</v>
      </c>
      <c r="D46">
        <v>0.6</v>
      </c>
      <c r="F46">
        <v>0.75</v>
      </c>
      <c r="G46">
        <v>0.81</v>
      </c>
    </row>
    <row r="47" spans="1:7">
      <c r="A47" s="111" t="s">
        <v>87</v>
      </c>
      <c r="B47">
        <v>1</v>
      </c>
      <c r="C47">
        <v>0.7</v>
      </c>
      <c r="D47">
        <v>0.5</v>
      </c>
      <c r="F47">
        <v>0.75</v>
      </c>
      <c r="G47">
        <v>0.74</v>
      </c>
    </row>
    <row r="48" spans="1:7">
      <c r="A48" s="111" t="s">
        <v>88</v>
      </c>
      <c r="B48">
        <v>1</v>
      </c>
      <c r="C48">
        <v>0.7</v>
      </c>
      <c r="D48">
        <v>0.8</v>
      </c>
      <c r="F48">
        <v>0.75</v>
      </c>
      <c r="G48">
        <v>0.81</v>
      </c>
    </row>
    <row r="49" spans="1:7">
      <c r="A49" s="111" t="s">
        <v>89</v>
      </c>
      <c r="B49">
        <v>1</v>
      </c>
      <c r="C49">
        <v>0.8</v>
      </c>
      <c r="D49">
        <v>0.2</v>
      </c>
      <c r="F49">
        <v>0.75</v>
      </c>
      <c r="G49">
        <v>0.69</v>
      </c>
    </row>
    <row r="50" spans="1:7">
      <c r="A50" s="116" t="s">
        <v>90</v>
      </c>
    </row>
    <row r="51" spans="1:7">
      <c r="A51" s="116" t="s">
        <v>91</v>
      </c>
      <c r="B51">
        <v>1</v>
      </c>
      <c r="C51">
        <v>0.2</v>
      </c>
      <c r="F51">
        <v>0.5</v>
      </c>
      <c r="G51">
        <v>0.56999999999999995</v>
      </c>
    </row>
    <row r="52" spans="1:7">
      <c r="A52" s="116" t="s">
        <v>92</v>
      </c>
      <c r="B52">
        <v>1</v>
      </c>
      <c r="C52">
        <v>0</v>
      </c>
      <c r="F52">
        <v>0.5</v>
      </c>
      <c r="G52">
        <v>0.5</v>
      </c>
    </row>
    <row r="53" spans="1:7">
      <c r="A53" s="116" t="s">
        <v>93</v>
      </c>
      <c r="B53">
        <v>1</v>
      </c>
      <c r="C53">
        <v>0</v>
      </c>
      <c r="F53">
        <v>0.5</v>
      </c>
      <c r="G53">
        <v>0.5</v>
      </c>
    </row>
    <row r="54" spans="1:7">
      <c r="A54" s="116" t="s">
        <v>94</v>
      </c>
      <c r="B54">
        <v>1</v>
      </c>
      <c r="C54">
        <v>1</v>
      </c>
      <c r="D54">
        <v>0</v>
      </c>
      <c r="F54">
        <v>0.75</v>
      </c>
      <c r="G54">
        <v>0.69</v>
      </c>
    </row>
    <row r="55" spans="1:7">
      <c r="A55" s="116" t="s">
        <v>95</v>
      </c>
      <c r="B55">
        <v>1</v>
      </c>
      <c r="F55">
        <v>0</v>
      </c>
      <c r="G55">
        <v>0.5</v>
      </c>
    </row>
    <row r="56" spans="1:7">
      <c r="A56" s="116" t="s">
        <v>96</v>
      </c>
      <c r="B56">
        <v>1</v>
      </c>
      <c r="F56">
        <v>0</v>
      </c>
      <c r="G56">
        <v>0.5</v>
      </c>
    </row>
    <row r="57" spans="1:7">
      <c r="A57" s="116" t="s">
        <v>97</v>
      </c>
    </row>
    <row r="58" spans="1:7">
      <c r="A58" s="116" t="s">
        <v>98</v>
      </c>
    </row>
    <row r="59" spans="1:7">
      <c r="A59" s="116" t="s">
        <v>99</v>
      </c>
    </row>
    <row r="60" spans="1:7">
      <c r="A60" s="116" t="s">
        <v>100</v>
      </c>
    </row>
    <row r="61" spans="1:7">
      <c r="A61" s="116" t="s">
        <v>101</v>
      </c>
    </row>
    <row r="62" spans="1:7">
      <c r="A62" s="116" t="s">
        <v>102</v>
      </c>
    </row>
    <row r="63" spans="1:7">
      <c r="A63" s="116" t="s">
        <v>103</v>
      </c>
      <c r="B63">
        <v>1</v>
      </c>
      <c r="C63">
        <v>0</v>
      </c>
      <c r="D63">
        <v>0.5</v>
      </c>
      <c r="F63">
        <v>0.75</v>
      </c>
      <c r="G63">
        <v>0.56000000000000005</v>
      </c>
    </row>
    <row r="64" spans="1:7">
      <c r="A64" s="116" t="s">
        <v>104</v>
      </c>
      <c r="B64">
        <v>1</v>
      </c>
      <c r="C64">
        <v>0.3</v>
      </c>
      <c r="D64">
        <v>0</v>
      </c>
      <c r="F64">
        <v>0.75</v>
      </c>
      <c r="G64">
        <v>0.51</v>
      </c>
    </row>
    <row r="65" spans="1:7">
      <c r="A65" s="116" t="s">
        <v>105</v>
      </c>
      <c r="B65">
        <v>1</v>
      </c>
      <c r="C65">
        <v>0</v>
      </c>
      <c r="D65">
        <v>0.5</v>
      </c>
      <c r="F65">
        <v>0.75</v>
      </c>
      <c r="G65">
        <v>0.56000000000000005</v>
      </c>
    </row>
    <row r="66" spans="1:7">
      <c r="A66" s="116" t="s">
        <v>106</v>
      </c>
      <c r="B66">
        <v>1</v>
      </c>
      <c r="C66">
        <v>0</v>
      </c>
      <c r="D66">
        <v>0</v>
      </c>
      <c r="F66">
        <v>0.75</v>
      </c>
      <c r="G66">
        <v>0.44</v>
      </c>
    </row>
    <row r="67" spans="1:7">
      <c r="A67" s="116" t="s">
        <v>108</v>
      </c>
      <c r="B67">
        <v>1</v>
      </c>
      <c r="C67">
        <v>0</v>
      </c>
      <c r="F67">
        <v>0.5</v>
      </c>
      <c r="G67">
        <v>0.5</v>
      </c>
    </row>
    <row r="68" spans="1:7">
      <c r="A68" s="127" t="s">
        <v>109</v>
      </c>
      <c r="B68">
        <v>1</v>
      </c>
      <c r="C68">
        <v>0</v>
      </c>
      <c r="D68">
        <v>0</v>
      </c>
      <c r="F68">
        <v>0.75</v>
      </c>
      <c r="G68">
        <v>0.44</v>
      </c>
    </row>
    <row r="69" spans="1:7">
      <c r="A69" s="127" t="s">
        <v>111</v>
      </c>
      <c r="B69">
        <v>1</v>
      </c>
      <c r="C69">
        <v>0.3</v>
      </c>
      <c r="D69">
        <v>0</v>
      </c>
      <c r="F69">
        <v>0.75</v>
      </c>
      <c r="G69">
        <v>0.51</v>
      </c>
    </row>
    <row r="70" spans="1:7">
      <c r="A70" s="127" t="s">
        <v>112</v>
      </c>
      <c r="B70">
        <v>1</v>
      </c>
      <c r="C70">
        <v>0.5</v>
      </c>
      <c r="D70">
        <v>0</v>
      </c>
      <c r="F70">
        <v>0.75</v>
      </c>
      <c r="G70">
        <v>0.56000000000000005</v>
      </c>
    </row>
    <row r="71" spans="1:7">
      <c r="A71" s="127" t="s">
        <v>113</v>
      </c>
    </row>
    <row r="72" spans="1:7">
      <c r="A72" s="127" t="s">
        <v>114</v>
      </c>
      <c r="B72">
        <v>1</v>
      </c>
      <c r="C72">
        <v>0</v>
      </c>
      <c r="F72">
        <v>0.5</v>
      </c>
      <c r="G72">
        <v>0.5</v>
      </c>
    </row>
    <row r="73" spans="1:7">
      <c r="A73" s="127" t="s">
        <v>115</v>
      </c>
    </row>
    <row r="74" spans="1:7">
      <c r="A74" s="127" t="s">
        <v>116</v>
      </c>
      <c r="B74">
        <v>1</v>
      </c>
      <c r="C74">
        <v>0.6</v>
      </c>
      <c r="D74">
        <v>0.8</v>
      </c>
      <c r="F74">
        <v>0.75</v>
      </c>
      <c r="G74">
        <v>0.79</v>
      </c>
    </row>
    <row r="75" spans="1:7">
      <c r="A75" s="127" t="s">
        <v>117</v>
      </c>
    </row>
    <row r="76" spans="1:7">
      <c r="A76" s="127" t="s">
        <v>118</v>
      </c>
    </row>
    <row r="77" spans="1:7">
      <c r="A77" s="127" t="s">
        <v>119</v>
      </c>
    </row>
    <row r="78" spans="1:7">
      <c r="A78" s="127" t="s">
        <v>120</v>
      </c>
    </row>
    <row r="79" spans="1:7">
      <c r="A79" s="127" t="s">
        <v>121</v>
      </c>
    </row>
    <row r="80" spans="1:7">
      <c r="A80" s="127" t="s">
        <v>122</v>
      </c>
    </row>
    <row r="81" spans="1:7">
      <c r="A81" s="127" t="s">
        <v>124</v>
      </c>
    </row>
    <row r="82" spans="1:7">
      <c r="A82" s="127" t="s">
        <v>125</v>
      </c>
    </row>
    <row r="83" spans="1:7">
      <c r="A83" s="127" t="s">
        <v>126</v>
      </c>
    </row>
    <row r="84" spans="1:7">
      <c r="A84" s="127" t="s">
        <v>128</v>
      </c>
      <c r="B84">
        <v>1</v>
      </c>
      <c r="C84">
        <v>0.8</v>
      </c>
      <c r="D84">
        <v>0.5</v>
      </c>
      <c r="F84">
        <v>0.75</v>
      </c>
      <c r="G84">
        <v>0.76</v>
      </c>
    </row>
    <row r="85" spans="1:7">
      <c r="A85" s="127" t="s">
        <v>129</v>
      </c>
      <c r="B85">
        <v>1</v>
      </c>
      <c r="C85">
        <v>0.7</v>
      </c>
      <c r="F85">
        <v>0.5</v>
      </c>
      <c r="G85">
        <v>0.73</v>
      </c>
    </row>
    <row r="86" spans="1:7">
      <c r="A86" s="127" t="s">
        <v>130</v>
      </c>
      <c r="B86">
        <v>1</v>
      </c>
      <c r="C86">
        <v>0.2</v>
      </c>
      <c r="F86">
        <v>0.5</v>
      </c>
      <c r="G86">
        <v>0.56999999999999995</v>
      </c>
    </row>
    <row r="87" spans="1:7">
      <c r="A87" s="127" t="s">
        <v>131</v>
      </c>
      <c r="B87">
        <v>1</v>
      </c>
      <c r="C87">
        <v>0.8</v>
      </c>
      <c r="D87">
        <v>1</v>
      </c>
      <c r="F87">
        <v>0.75</v>
      </c>
      <c r="G87">
        <v>0.89</v>
      </c>
    </row>
    <row r="88" spans="1:7">
      <c r="A88" s="127" t="s">
        <v>557</v>
      </c>
    </row>
    <row r="89" spans="1:7">
      <c r="A89" s="127" t="s">
        <v>558</v>
      </c>
    </row>
    <row r="90" spans="1:7">
      <c r="A90" s="127" t="s">
        <v>559</v>
      </c>
    </row>
    <row r="91" spans="1:7">
      <c r="A91" s="127" t="s">
        <v>135</v>
      </c>
      <c r="B91">
        <v>1</v>
      </c>
      <c r="C91">
        <v>0.5</v>
      </c>
      <c r="F91">
        <v>0.5</v>
      </c>
      <c r="G91">
        <v>0.67</v>
      </c>
    </row>
    <row r="92" spans="1:7">
      <c r="A92" s="127" t="s">
        <v>136</v>
      </c>
      <c r="B92">
        <v>1</v>
      </c>
      <c r="C92">
        <v>0.5</v>
      </c>
      <c r="F92">
        <v>0.5</v>
      </c>
      <c r="G92">
        <v>0.67</v>
      </c>
    </row>
    <row r="93" spans="1:7">
      <c r="A93" s="127" t="s">
        <v>137</v>
      </c>
      <c r="B93">
        <v>1</v>
      </c>
      <c r="C93">
        <v>0.5</v>
      </c>
      <c r="F93">
        <v>0.5</v>
      </c>
      <c r="G93">
        <v>0.67</v>
      </c>
    </row>
    <row r="94" spans="1:7">
      <c r="A94" s="127" t="s">
        <v>138</v>
      </c>
    </row>
    <row r="95" spans="1:7">
      <c r="A95" s="136" t="s">
        <v>139</v>
      </c>
    </row>
    <row r="96" spans="1:7">
      <c r="A96" s="136" t="s">
        <v>140</v>
      </c>
    </row>
    <row r="97" spans="1:7">
      <c r="A97" s="136" t="s">
        <v>142</v>
      </c>
    </row>
    <row r="98" spans="1:7">
      <c r="A98" s="136" t="s">
        <v>143</v>
      </c>
    </row>
    <row r="99" spans="1:7">
      <c r="A99" s="136" t="s">
        <v>144</v>
      </c>
    </row>
    <row r="100" spans="1:7">
      <c r="A100" s="136" t="s">
        <v>145</v>
      </c>
      <c r="B100">
        <v>1</v>
      </c>
      <c r="F100">
        <v>0</v>
      </c>
      <c r="G100">
        <v>0.5</v>
      </c>
    </row>
    <row r="101" spans="1:7">
      <c r="A101" s="136" t="s">
        <v>147</v>
      </c>
    </row>
    <row r="102" spans="1:7">
      <c r="A102" s="136" t="s">
        <v>148</v>
      </c>
      <c r="B102">
        <v>1</v>
      </c>
      <c r="C102">
        <v>0</v>
      </c>
      <c r="F102">
        <v>0.5</v>
      </c>
      <c r="G102">
        <v>0.5</v>
      </c>
    </row>
    <row r="103" spans="1:7">
      <c r="A103" s="136" t="s">
        <v>149</v>
      </c>
      <c r="B103">
        <v>1</v>
      </c>
      <c r="C103">
        <v>0</v>
      </c>
      <c r="F103">
        <v>0.5</v>
      </c>
      <c r="G103">
        <v>0.5</v>
      </c>
    </row>
    <row r="104" spans="1:7">
      <c r="A104" s="136" t="s">
        <v>151</v>
      </c>
      <c r="B104">
        <v>1</v>
      </c>
      <c r="C104">
        <v>0</v>
      </c>
      <c r="F104">
        <v>0.5</v>
      </c>
      <c r="G104">
        <v>0.5</v>
      </c>
    </row>
    <row r="105" spans="1:7">
      <c r="A105" s="136" t="s">
        <v>152</v>
      </c>
      <c r="B105">
        <v>1</v>
      </c>
      <c r="C105">
        <v>0.5</v>
      </c>
      <c r="F105">
        <v>0.5</v>
      </c>
      <c r="G105">
        <v>0.67</v>
      </c>
    </row>
    <row r="106" spans="1:7">
      <c r="A106" s="136" t="s">
        <v>154</v>
      </c>
      <c r="B106">
        <v>1</v>
      </c>
      <c r="C106">
        <v>0.7</v>
      </c>
      <c r="D106">
        <v>0</v>
      </c>
      <c r="F106">
        <v>0.75</v>
      </c>
      <c r="G106">
        <v>0.61</v>
      </c>
    </row>
    <row r="107" spans="1:7">
      <c r="A107" s="136" t="s">
        <v>155</v>
      </c>
      <c r="B107">
        <v>1</v>
      </c>
      <c r="C107">
        <v>0.8</v>
      </c>
      <c r="D107">
        <v>0.6</v>
      </c>
      <c r="F107">
        <v>0.75</v>
      </c>
      <c r="G107">
        <v>0.79</v>
      </c>
    </row>
    <row r="108" spans="1:7">
      <c r="A108" s="136" t="s">
        <v>156</v>
      </c>
      <c r="B108">
        <v>1</v>
      </c>
      <c r="C108">
        <v>0.8</v>
      </c>
      <c r="F108">
        <v>0.5</v>
      </c>
      <c r="G108">
        <v>0.77</v>
      </c>
    </row>
    <row r="109" spans="1:7">
      <c r="A109" s="136" t="s">
        <v>157</v>
      </c>
      <c r="B109">
        <v>1</v>
      </c>
      <c r="C109">
        <v>0.5</v>
      </c>
      <c r="F109">
        <v>0.5</v>
      </c>
      <c r="G109">
        <v>0.67</v>
      </c>
    </row>
    <row r="110" spans="1:7">
      <c r="A110" s="139" t="s">
        <v>158</v>
      </c>
      <c r="B110">
        <v>0.7</v>
      </c>
      <c r="C110">
        <v>0</v>
      </c>
      <c r="D110">
        <v>1</v>
      </c>
      <c r="F110">
        <v>0.75</v>
      </c>
      <c r="G110">
        <v>0.61</v>
      </c>
    </row>
    <row r="111" spans="1:7">
      <c r="A111" s="139" t="s">
        <v>159</v>
      </c>
      <c r="B111">
        <v>0.7</v>
      </c>
      <c r="C111">
        <v>0</v>
      </c>
      <c r="D111">
        <v>0</v>
      </c>
      <c r="F111">
        <v>0.75</v>
      </c>
      <c r="G111">
        <v>0.36</v>
      </c>
    </row>
    <row r="112" spans="1:7">
      <c r="A112" s="139" t="s">
        <v>160</v>
      </c>
      <c r="B112">
        <v>0.7</v>
      </c>
      <c r="F112">
        <v>0</v>
      </c>
      <c r="G112">
        <v>0.35</v>
      </c>
    </row>
    <row r="113" spans="1:7">
      <c r="A113" s="139" t="s">
        <v>161</v>
      </c>
      <c r="B113">
        <v>1</v>
      </c>
      <c r="C113">
        <v>0.3</v>
      </c>
      <c r="D113">
        <v>0.5</v>
      </c>
      <c r="F113">
        <v>0.75</v>
      </c>
      <c r="G113">
        <v>0.64</v>
      </c>
    </row>
    <row r="114" spans="1:7">
      <c r="A114" s="139" t="s">
        <v>162</v>
      </c>
      <c r="B114">
        <v>1</v>
      </c>
      <c r="C114">
        <v>0.5</v>
      </c>
      <c r="D114">
        <v>0</v>
      </c>
      <c r="F114">
        <v>0.75</v>
      </c>
      <c r="G114">
        <v>0.56000000000000005</v>
      </c>
    </row>
    <row r="115" spans="1:7">
      <c r="A115" s="139" t="s">
        <v>163</v>
      </c>
      <c r="B115">
        <v>1</v>
      </c>
      <c r="C115">
        <v>0.5</v>
      </c>
      <c r="D115">
        <v>1</v>
      </c>
      <c r="F115">
        <v>0.75</v>
      </c>
      <c r="G115">
        <v>0.81</v>
      </c>
    </row>
    <row r="116" spans="1:7">
      <c r="A116" s="139" t="s">
        <v>164</v>
      </c>
      <c r="B116">
        <v>0.7</v>
      </c>
      <c r="C116">
        <v>0</v>
      </c>
      <c r="D116">
        <v>1</v>
      </c>
      <c r="F116">
        <v>0.75</v>
      </c>
      <c r="G116">
        <v>0.61</v>
      </c>
    </row>
    <row r="117" spans="1:7">
      <c r="A117" s="139" t="s">
        <v>165</v>
      </c>
      <c r="B117">
        <v>0.7</v>
      </c>
      <c r="C117">
        <v>0</v>
      </c>
      <c r="D117">
        <v>1</v>
      </c>
      <c r="F117">
        <v>0.75</v>
      </c>
      <c r="G117">
        <v>0.61</v>
      </c>
    </row>
    <row r="118" spans="1:7">
      <c r="A118" s="139" t="s">
        <v>166</v>
      </c>
      <c r="B118">
        <v>0.7</v>
      </c>
      <c r="C118">
        <v>0</v>
      </c>
      <c r="D118">
        <v>0.5</v>
      </c>
      <c r="F118">
        <v>0.75</v>
      </c>
      <c r="G118">
        <v>0.49</v>
      </c>
    </row>
    <row r="119" spans="1:7">
      <c r="A119" s="139" t="s">
        <v>167</v>
      </c>
      <c r="B119">
        <v>1</v>
      </c>
      <c r="F119">
        <v>0</v>
      </c>
      <c r="G119">
        <v>0.5</v>
      </c>
    </row>
    <row r="120" spans="1:7">
      <c r="A120" s="139" t="s">
        <v>168</v>
      </c>
      <c r="B120">
        <v>1</v>
      </c>
      <c r="C120">
        <v>1</v>
      </c>
      <c r="F120">
        <v>0.5</v>
      </c>
      <c r="G120">
        <v>0.83</v>
      </c>
    </row>
    <row r="121" spans="1:7">
      <c r="A121" s="139" t="s">
        <v>169</v>
      </c>
      <c r="B121">
        <v>1</v>
      </c>
      <c r="C121">
        <v>0</v>
      </c>
      <c r="F121">
        <v>0.5</v>
      </c>
      <c r="G121">
        <v>0.5</v>
      </c>
    </row>
    <row r="122" spans="1:7">
      <c r="A122" s="139" t="s">
        <v>170</v>
      </c>
      <c r="B122">
        <v>1</v>
      </c>
      <c r="C122">
        <v>1</v>
      </c>
      <c r="F122">
        <v>0.5</v>
      </c>
      <c r="G122">
        <v>0.83</v>
      </c>
    </row>
    <row r="123" spans="1:7">
      <c r="A123" s="139" t="s">
        <v>171</v>
      </c>
      <c r="B123">
        <v>1</v>
      </c>
      <c r="C123">
        <v>1</v>
      </c>
      <c r="D123">
        <v>0.8</v>
      </c>
      <c r="F123">
        <v>0.75</v>
      </c>
      <c r="G123">
        <v>0.89</v>
      </c>
    </row>
    <row r="124" spans="1:7">
      <c r="A124" s="139" t="s">
        <v>172</v>
      </c>
      <c r="B124">
        <v>1</v>
      </c>
      <c r="C124">
        <v>1</v>
      </c>
      <c r="F124">
        <v>0.5</v>
      </c>
      <c r="G124">
        <v>0.83</v>
      </c>
    </row>
    <row r="125" spans="1:7">
      <c r="A125" s="139" t="s">
        <v>173</v>
      </c>
      <c r="B125">
        <v>1</v>
      </c>
      <c r="C125">
        <v>0.2</v>
      </c>
      <c r="F125">
        <v>0.5</v>
      </c>
      <c r="G125">
        <v>0.56999999999999995</v>
      </c>
    </row>
    <row r="126" spans="1:7">
      <c r="A126" s="139" t="s">
        <v>174</v>
      </c>
      <c r="B126">
        <v>1</v>
      </c>
      <c r="C126">
        <v>0.7</v>
      </c>
      <c r="F126">
        <v>0.5</v>
      </c>
      <c r="G126">
        <v>0.73</v>
      </c>
    </row>
    <row r="127" spans="1:7">
      <c r="A127" s="139" t="s">
        <v>175</v>
      </c>
      <c r="B127">
        <v>1</v>
      </c>
      <c r="C127">
        <v>0.7</v>
      </c>
      <c r="D127">
        <v>0</v>
      </c>
      <c r="F127">
        <v>0.75</v>
      </c>
      <c r="G127">
        <v>0.61</v>
      </c>
    </row>
    <row r="128" spans="1:7">
      <c r="A128" s="139" t="s">
        <v>176</v>
      </c>
      <c r="B128">
        <v>0.7</v>
      </c>
      <c r="C128">
        <v>0.5</v>
      </c>
      <c r="D128">
        <v>0</v>
      </c>
      <c r="F128">
        <v>0.75</v>
      </c>
      <c r="G128">
        <v>0.49</v>
      </c>
    </row>
    <row r="129" spans="1:7">
      <c r="A129" s="139" t="s">
        <v>177</v>
      </c>
    </row>
    <row r="130" spans="1:7">
      <c r="A130" s="139" t="s">
        <v>178</v>
      </c>
      <c r="B130">
        <v>0.8</v>
      </c>
      <c r="F130">
        <v>0</v>
      </c>
      <c r="G130">
        <v>0.4</v>
      </c>
    </row>
    <row r="131" spans="1:7">
      <c r="A131" s="139" t="s">
        <v>179</v>
      </c>
      <c r="B131">
        <v>1</v>
      </c>
      <c r="C131">
        <v>0</v>
      </c>
      <c r="D131">
        <v>0</v>
      </c>
      <c r="F131">
        <v>0.75</v>
      </c>
      <c r="G131">
        <v>0.44</v>
      </c>
    </row>
    <row r="132" spans="1:7">
      <c r="A132" s="139" t="s">
        <v>180</v>
      </c>
      <c r="B132">
        <v>1</v>
      </c>
      <c r="C132">
        <v>0</v>
      </c>
      <c r="F132">
        <v>0.5</v>
      </c>
      <c r="G132">
        <v>0.5</v>
      </c>
    </row>
    <row r="133" spans="1:7">
      <c r="A133" s="139" t="s">
        <v>181</v>
      </c>
      <c r="B133">
        <v>1</v>
      </c>
      <c r="C133">
        <v>0</v>
      </c>
      <c r="D133">
        <v>1</v>
      </c>
      <c r="F133">
        <v>0.75</v>
      </c>
      <c r="G133">
        <v>0.69</v>
      </c>
    </row>
    <row r="134" spans="1:7">
      <c r="A134" s="139" t="s">
        <v>182</v>
      </c>
      <c r="B134">
        <v>0.5</v>
      </c>
      <c r="C134">
        <v>0</v>
      </c>
      <c r="D134">
        <v>0</v>
      </c>
      <c r="F134">
        <v>0.75</v>
      </c>
      <c r="G134">
        <v>0.31</v>
      </c>
    </row>
    <row r="135" spans="1:7">
      <c r="A135" s="139" t="s">
        <v>183</v>
      </c>
      <c r="B135">
        <v>1</v>
      </c>
      <c r="C135">
        <v>0.5</v>
      </c>
      <c r="F135">
        <v>0.5</v>
      </c>
      <c r="G135">
        <v>0.67</v>
      </c>
    </row>
    <row r="136" spans="1:7">
      <c r="A136" s="139" t="s">
        <v>184</v>
      </c>
      <c r="B136">
        <v>1</v>
      </c>
      <c r="C136">
        <v>0.3</v>
      </c>
      <c r="D136">
        <v>0</v>
      </c>
      <c r="F136">
        <v>0.75</v>
      </c>
      <c r="G136">
        <v>0.51</v>
      </c>
    </row>
    <row r="137" spans="1:7">
      <c r="A137" s="139" t="s">
        <v>185</v>
      </c>
      <c r="B137">
        <v>1</v>
      </c>
      <c r="C137">
        <v>0.8</v>
      </c>
      <c r="D137">
        <v>0.7</v>
      </c>
      <c r="F137">
        <v>0.75</v>
      </c>
      <c r="G137">
        <v>0.81</v>
      </c>
    </row>
    <row r="138" spans="1:7">
      <c r="A138" s="139" t="s">
        <v>187</v>
      </c>
      <c r="B138">
        <v>1</v>
      </c>
      <c r="F138">
        <v>0</v>
      </c>
      <c r="G138">
        <v>0.5</v>
      </c>
    </row>
    <row r="139" spans="1:7">
      <c r="A139" s="139" t="s">
        <v>188</v>
      </c>
      <c r="B139">
        <v>0.9</v>
      </c>
      <c r="F139">
        <v>0</v>
      </c>
      <c r="G139">
        <v>0.45</v>
      </c>
    </row>
    <row r="140" spans="1:7">
      <c r="A140" s="139" t="s">
        <v>189</v>
      </c>
      <c r="B140">
        <v>0.9</v>
      </c>
      <c r="F140">
        <v>0</v>
      </c>
      <c r="G140">
        <v>0.45</v>
      </c>
    </row>
    <row r="141" spans="1:7">
      <c r="A141" s="139" t="s">
        <v>190</v>
      </c>
      <c r="B141">
        <v>1</v>
      </c>
      <c r="C141">
        <v>0.9</v>
      </c>
      <c r="D141">
        <v>0.7</v>
      </c>
      <c r="F141">
        <v>0.75</v>
      </c>
      <c r="G141">
        <v>0.84</v>
      </c>
    </row>
    <row r="142" spans="1:7">
      <c r="A142" s="139" t="s">
        <v>192</v>
      </c>
      <c r="B142">
        <v>0.9</v>
      </c>
      <c r="C142">
        <v>1</v>
      </c>
      <c r="F142">
        <v>0.5</v>
      </c>
      <c r="G142">
        <v>0.8</v>
      </c>
    </row>
    <row r="143" spans="1:7">
      <c r="A143" s="140" t="s">
        <v>193</v>
      </c>
      <c r="B143">
        <v>1</v>
      </c>
      <c r="F143">
        <v>0</v>
      </c>
      <c r="G143">
        <v>0.5</v>
      </c>
    </row>
    <row r="144" spans="1:7">
      <c r="A144" s="140" t="s">
        <v>194</v>
      </c>
      <c r="B144">
        <v>1</v>
      </c>
      <c r="C144">
        <v>0</v>
      </c>
      <c r="F144">
        <v>0.5</v>
      </c>
      <c r="G144">
        <v>0.5</v>
      </c>
    </row>
    <row r="145" spans="1:7">
      <c r="A145" s="140" t="s">
        <v>195</v>
      </c>
      <c r="B145">
        <v>1</v>
      </c>
      <c r="C145">
        <v>0</v>
      </c>
      <c r="F145">
        <v>0.5</v>
      </c>
      <c r="G145">
        <v>0.5</v>
      </c>
    </row>
    <row r="146" spans="1:7">
      <c r="A146" s="140" t="s">
        <v>196</v>
      </c>
    </row>
    <row r="147" spans="1:7">
      <c r="A147" s="140" t="s">
        <v>197</v>
      </c>
    </row>
    <row r="148" spans="1:7">
      <c r="A148" s="140" t="s">
        <v>198</v>
      </c>
    </row>
    <row r="149" spans="1:7">
      <c r="A149" s="140" t="s">
        <v>199</v>
      </c>
      <c r="B149">
        <v>1</v>
      </c>
      <c r="C149">
        <v>0</v>
      </c>
      <c r="F149">
        <v>0.5</v>
      </c>
      <c r="G149">
        <v>0.5</v>
      </c>
    </row>
    <row r="150" spans="1:7">
      <c r="A150" s="140" t="s">
        <v>200</v>
      </c>
      <c r="B150">
        <v>1</v>
      </c>
      <c r="C150">
        <v>0</v>
      </c>
      <c r="F150">
        <v>0.5</v>
      </c>
      <c r="G150">
        <v>0.5</v>
      </c>
    </row>
    <row r="151" spans="1:7">
      <c r="A151" s="140" t="s">
        <v>201</v>
      </c>
      <c r="B151">
        <v>1</v>
      </c>
      <c r="C151">
        <v>0</v>
      </c>
      <c r="F151">
        <v>0.5</v>
      </c>
      <c r="G151">
        <v>0.5</v>
      </c>
    </row>
    <row r="152" spans="1:7">
      <c r="A152" s="140" t="s">
        <v>202</v>
      </c>
    </row>
    <row r="153" spans="1:7">
      <c r="A153" s="140" t="s">
        <v>204</v>
      </c>
    </row>
    <row r="154" spans="1:7">
      <c r="A154" s="140" t="s">
        <v>205</v>
      </c>
      <c r="B154">
        <v>1</v>
      </c>
      <c r="C154">
        <v>1</v>
      </c>
      <c r="F154">
        <v>0.5</v>
      </c>
      <c r="G154">
        <v>0.83</v>
      </c>
    </row>
    <row r="155" spans="1:7">
      <c r="A155" s="140" t="s">
        <v>206</v>
      </c>
    </row>
    <row r="156" spans="1:7">
      <c r="A156" s="140" t="s">
        <v>208</v>
      </c>
    </row>
    <row r="157" spans="1:7">
      <c r="A157" s="140" t="s">
        <v>209</v>
      </c>
    </row>
    <row r="158" spans="1:7">
      <c r="A158" s="140" t="s">
        <v>210</v>
      </c>
      <c r="B158">
        <v>1</v>
      </c>
      <c r="F158">
        <v>0</v>
      </c>
      <c r="G158">
        <v>0.5</v>
      </c>
    </row>
    <row r="159" spans="1:7">
      <c r="A159" s="140" t="s">
        <v>211</v>
      </c>
      <c r="B159">
        <v>1</v>
      </c>
      <c r="C159">
        <v>0.5</v>
      </c>
      <c r="F159">
        <v>0.5</v>
      </c>
      <c r="G159">
        <v>0.67</v>
      </c>
    </row>
    <row r="160" spans="1:7">
      <c r="A160" s="140" t="s">
        <v>212</v>
      </c>
      <c r="B160">
        <v>1</v>
      </c>
      <c r="F160">
        <v>0</v>
      </c>
      <c r="G160">
        <v>0.5</v>
      </c>
    </row>
    <row r="161" spans="1:7">
      <c r="A161" s="140" t="s">
        <v>213</v>
      </c>
      <c r="B161">
        <v>1</v>
      </c>
      <c r="C161">
        <v>1</v>
      </c>
      <c r="F161">
        <v>0.5</v>
      </c>
      <c r="G161">
        <v>0.83</v>
      </c>
    </row>
    <row r="162" spans="1:7">
      <c r="A162" s="140" t="s">
        <v>214</v>
      </c>
      <c r="B162">
        <v>1</v>
      </c>
      <c r="C162">
        <v>0.5</v>
      </c>
      <c r="F162">
        <v>0.5</v>
      </c>
      <c r="G162">
        <v>0.67</v>
      </c>
    </row>
    <row r="163" spans="1:7">
      <c r="A163" s="140" t="s">
        <v>215</v>
      </c>
      <c r="B163">
        <v>1</v>
      </c>
      <c r="F163">
        <v>0</v>
      </c>
      <c r="G163">
        <v>0.5</v>
      </c>
    </row>
    <row r="164" spans="1:7">
      <c r="A164" s="140" t="s">
        <v>216</v>
      </c>
      <c r="B164">
        <v>1</v>
      </c>
      <c r="C164">
        <v>0</v>
      </c>
      <c r="D164">
        <v>1</v>
      </c>
      <c r="F164">
        <v>0.75</v>
      </c>
      <c r="G164">
        <v>0.69</v>
      </c>
    </row>
    <row r="165" spans="1:7">
      <c r="A165" s="140" t="s">
        <v>217</v>
      </c>
      <c r="B165">
        <v>1</v>
      </c>
      <c r="C165">
        <v>0.5</v>
      </c>
      <c r="D165">
        <v>0.8</v>
      </c>
      <c r="F165">
        <v>0.75</v>
      </c>
      <c r="G165">
        <v>0.76</v>
      </c>
    </row>
    <row r="166" spans="1:7">
      <c r="A166" s="140" t="s">
        <v>218</v>
      </c>
      <c r="B166">
        <v>0.8</v>
      </c>
      <c r="C166">
        <v>0</v>
      </c>
      <c r="D166">
        <v>0.8</v>
      </c>
      <c r="F166">
        <v>0.75</v>
      </c>
      <c r="G166">
        <v>0.59</v>
      </c>
    </row>
    <row r="167" spans="1:7">
      <c r="A167" s="140" t="s">
        <v>219</v>
      </c>
    </row>
    <row r="168" spans="1:7">
      <c r="A168" s="140" t="s">
        <v>220</v>
      </c>
      <c r="B168">
        <v>1</v>
      </c>
      <c r="C168">
        <v>0.8</v>
      </c>
      <c r="D168">
        <v>0.7</v>
      </c>
      <c r="F168">
        <v>0.75</v>
      </c>
      <c r="G168">
        <v>0.81</v>
      </c>
    </row>
    <row r="169" spans="1:7">
      <c r="A169" s="140" t="s">
        <v>221</v>
      </c>
    </row>
    <row r="170" spans="1:7">
      <c r="A170" s="144" t="s">
        <v>222</v>
      </c>
    </row>
    <row r="171" spans="1:7">
      <c r="A171" s="144" t="s">
        <v>223</v>
      </c>
    </row>
    <row r="172" spans="1:7">
      <c r="A172" s="144" t="s">
        <v>224</v>
      </c>
    </row>
    <row r="173" spans="1:7">
      <c r="A173" s="144" t="s">
        <v>225</v>
      </c>
    </row>
    <row r="174" spans="1:7">
      <c r="A174" s="144" t="s">
        <v>227</v>
      </c>
    </row>
    <row r="175" spans="1:7">
      <c r="A175" s="144" t="s">
        <v>228</v>
      </c>
      <c r="B175">
        <v>1</v>
      </c>
      <c r="C175">
        <v>0.6</v>
      </c>
      <c r="D175">
        <v>0.5</v>
      </c>
      <c r="F175">
        <v>0.75</v>
      </c>
      <c r="G175">
        <v>0.71</v>
      </c>
    </row>
    <row r="176" spans="1:7">
      <c r="A176" s="144" t="s">
        <v>229</v>
      </c>
      <c r="B176">
        <v>1</v>
      </c>
      <c r="C176">
        <v>1</v>
      </c>
      <c r="F176">
        <v>0.5</v>
      </c>
      <c r="G176">
        <v>0.83</v>
      </c>
    </row>
    <row r="177" spans="1:7">
      <c r="A177" s="144" t="s">
        <v>230</v>
      </c>
      <c r="B177">
        <v>1</v>
      </c>
      <c r="C177">
        <v>0.5</v>
      </c>
      <c r="F177">
        <v>0.5</v>
      </c>
      <c r="G177">
        <v>0.67</v>
      </c>
    </row>
    <row r="178" spans="1:7">
      <c r="A178" s="144" t="s">
        <v>231</v>
      </c>
    </row>
    <row r="179" spans="1:7">
      <c r="A179" s="144" t="s">
        <v>232</v>
      </c>
    </row>
    <row r="180" spans="1:7">
      <c r="A180" s="144" t="s">
        <v>233</v>
      </c>
    </row>
    <row r="181" spans="1:7">
      <c r="A181" s="144" t="s">
        <v>234</v>
      </c>
    </row>
    <row r="182" spans="1:7">
      <c r="A182" s="144" t="s">
        <v>235</v>
      </c>
      <c r="B182">
        <v>1</v>
      </c>
      <c r="C182">
        <v>0</v>
      </c>
      <c r="F182">
        <v>0.5</v>
      </c>
      <c r="G182">
        <v>0.5</v>
      </c>
    </row>
    <row r="183" spans="1:7">
      <c r="A183" s="144" t="s">
        <v>236</v>
      </c>
      <c r="B183">
        <v>1</v>
      </c>
      <c r="C183">
        <v>0.5</v>
      </c>
      <c r="F183">
        <v>0.5</v>
      </c>
      <c r="G183">
        <v>0.67</v>
      </c>
    </row>
    <row r="184" spans="1:7">
      <c r="A184" s="144" t="s">
        <v>237</v>
      </c>
    </row>
    <row r="185" spans="1:7">
      <c r="A185" s="144" t="s">
        <v>238</v>
      </c>
    </row>
    <row r="186" spans="1:7">
      <c r="A186" s="144" t="s">
        <v>239</v>
      </c>
      <c r="B186">
        <v>1</v>
      </c>
      <c r="C186">
        <v>0.7</v>
      </c>
      <c r="D186">
        <v>0.5</v>
      </c>
      <c r="F186">
        <v>0.75</v>
      </c>
      <c r="G186">
        <v>0.74</v>
      </c>
    </row>
    <row r="187" spans="1:7">
      <c r="A187" s="146" t="s">
        <v>240</v>
      </c>
      <c r="B187">
        <v>1</v>
      </c>
      <c r="C187">
        <v>0</v>
      </c>
      <c r="F187">
        <v>0.5</v>
      </c>
      <c r="G187">
        <v>0.5</v>
      </c>
    </row>
    <row r="188" spans="1:7">
      <c r="A188" s="146" t="s">
        <v>241</v>
      </c>
    </row>
    <row r="189" spans="1:7">
      <c r="A189" s="146" t="s">
        <v>242</v>
      </c>
    </row>
    <row r="190" spans="1:7">
      <c r="A190" s="146" t="s">
        <v>243</v>
      </c>
    </row>
    <row r="191" spans="1:7">
      <c r="A191" s="146" t="s">
        <v>245</v>
      </c>
      <c r="B191">
        <v>1</v>
      </c>
      <c r="C191">
        <v>0</v>
      </c>
      <c r="F191">
        <v>0.5</v>
      </c>
      <c r="G191">
        <v>0.5</v>
      </c>
    </row>
    <row r="192" spans="1:7">
      <c r="A192" s="146" t="s">
        <v>246</v>
      </c>
      <c r="B192">
        <v>1</v>
      </c>
      <c r="C192">
        <v>0</v>
      </c>
      <c r="F192">
        <v>0.5</v>
      </c>
      <c r="G192">
        <v>0.5</v>
      </c>
    </row>
    <row r="193" spans="1:7">
      <c r="A193" s="146" t="s">
        <v>247</v>
      </c>
      <c r="B193">
        <v>1</v>
      </c>
      <c r="C193">
        <v>0.5</v>
      </c>
      <c r="F193">
        <v>0.5</v>
      </c>
      <c r="G193">
        <v>0.67</v>
      </c>
    </row>
    <row r="194" spans="1:7">
      <c r="A194" s="146" t="s">
        <v>248</v>
      </c>
      <c r="B194">
        <v>1</v>
      </c>
      <c r="C194">
        <v>0</v>
      </c>
      <c r="F194">
        <v>0.5</v>
      </c>
      <c r="G194">
        <v>0.5</v>
      </c>
    </row>
    <row r="195" spans="1:7">
      <c r="A195" s="146" t="s">
        <v>249</v>
      </c>
      <c r="B195">
        <v>1</v>
      </c>
      <c r="C195">
        <v>0</v>
      </c>
      <c r="F195">
        <v>0.5</v>
      </c>
      <c r="G195">
        <v>0.5</v>
      </c>
    </row>
    <row r="196" spans="1:7">
      <c r="A196" s="146" t="s">
        <v>250</v>
      </c>
      <c r="B196">
        <v>1</v>
      </c>
      <c r="C196">
        <v>0</v>
      </c>
      <c r="F196">
        <v>0.5</v>
      </c>
      <c r="G196">
        <v>0.5</v>
      </c>
    </row>
    <row r="197" spans="1:7">
      <c r="A197" s="146" t="s">
        <v>251</v>
      </c>
      <c r="B197">
        <v>1</v>
      </c>
      <c r="C197">
        <v>0.5</v>
      </c>
      <c r="F197">
        <v>0.5</v>
      </c>
      <c r="G197">
        <v>0.67</v>
      </c>
    </row>
    <row r="198" spans="1:7">
      <c r="A198" s="146" t="s">
        <v>252</v>
      </c>
      <c r="B198">
        <v>1</v>
      </c>
      <c r="C198">
        <v>1</v>
      </c>
      <c r="F198">
        <v>0.5</v>
      </c>
      <c r="G198">
        <v>0.83</v>
      </c>
    </row>
    <row r="199" spans="1:7">
      <c r="A199" s="146" t="s">
        <v>253</v>
      </c>
      <c r="B199">
        <v>1</v>
      </c>
      <c r="F199">
        <v>0</v>
      </c>
      <c r="G199">
        <v>0.5</v>
      </c>
    </row>
    <row r="200" spans="1:7">
      <c r="A200" s="146" t="s">
        <v>254</v>
      </c>
      <c r="B200">
        <v>1</v>
      </c>
      <c r="F200">
        <v>0</v>
      </c>
      <c r="G200">
        <v>0.5</v>
      </c>
    </row>
    <row r="201" spans="1:7">
      <c r="A201" s="146" t="s">
        <v>255</v>
      </c>
      <c r="B201">
        <v>1</v>
      </c>
      <c r="C201">
        <v>0</v>
      </c>
      <c r="D201">
        <v>0</v>
      </c>
      <c r="F201">
        <v>0.75</v>
      </c>
      <c r="G201">
        <v>0.44</v>
      </c>
    </row>
    <row r="202" spans="1:7">
      <c r="A202" s="165" t="s">
        <v>256</v>
      </c>
    </row>
    <row r="203" spans="1:7">
      <c r="A203" s="165" t="s">
        <v>257</v>
      </c>
    </row>
    <row r="204" spans="1:7">
      <c r="A204" s="165" t="s">
        <v>258</v>
      </c>
    </row>
    <row r="205" spans="1:7">
      <c r="A205" s="165" t="s">
        <v>259</v>
      </c>
    </row>
    <row r="206" spans="1:7">
      <c r="A206" s="165" t="s">
        <v>260</v>
      </c>
    </row>
    <row r="207" spans="1:7">
      <c r="A207" s="165" t="s">
        <v>261</v>
      </c>
    </row>
    <row r="208" spans="1:7">
      <c r="A208" s="165" t="s">
        <v>262</v>
      </c>
      <c r="B208">
        <v>0.8</v>
      </c>
      <c r="C208">
        <v>0.5</v>
      </c>
      <c r="D208">
        <v>0.8</v>
      </c>
      <c r="E208">
        <v>0</v>
      </c>
      <c r="F208">
        <v>1</v>
      </c>
      <c r="G208">
        <v>0.62</v>
      </c>
    </row>
    <row r="209" spans="1:7">
      <c r="A209" s="165" t="s">
        <v>263</v>
      </c>
      <c r="B209">
        <v>1</v>
      </c>
      <c r="C209">
        <v>0.8</v>
      </c>
      <c r="D209">
        <v>1</v>
      </c>
      <c r="F209">
        <v>0.75</v>
      </c>
      <c r="G209">
        <v>0.89</v>
      </c>
    </row>
    <row r="210" spans="1:7">
      <c r="A210" s="165" t="s">
        <v>264</v>
      </c>
    </row>
    <row r="211" spans="1:7">
      <c r="A211" s="165" t="s">
        <v>265</v>
      </c>
    </row>
    <row r="212" spans="1:7">
      <c r="A212" s="165" t="s">
        <v>266</v>
      </c>
    </row>
    <row r="213" spans="1:7">
      <c r="A213" s="165" t="s">
        <v>267</v>
      </c>
      <c r="B213">
        <v>1</v>
      </c>
      <c r="F213">
        <v>0</v>
      </c>
      <c r="G213">
        <v>0.5</v>
      </c>
    </row>
    <row r="214" spans="1:7">
      <c r="A214" s="165" t="s">
        <v>268</v>
      </c>
      <c r="B214">
        <v>1</v>
      </c>
      <c r="C214">
        <v>0.3</v>
      </c>
      <c r="D214">
        <v>1</v>
      </c>
      <c r="F214">
        <v>0.75</v>
      </c>
      <c r="G214">
        <v>0.76</v>
      </c>
    </row>
    <row r="215" spans="1:7">
      <c r="A215" s="165" t="s">
        <v>270</v>
      </c>
    </row>
    <row r="216" spans="1:7">
      <c r="A216" s="165" t="s">
        <v>271</v>
      </c>
    </row>
    <row r="217" spans="1:7">
      <c r="A217" s="165" t="s">
        <v>272</v>
      </c>
      <c r="B217">
        <v>1</v>
      </c>
      <c r="C217">
        <v>0.8</v>
      </c>
      <c r="D217">
        <v>0.5</v>
      </c>
      <c r="F217">
        <v>0.75</v>
      </c>
      <c r="G217">
        <v>0.76</v>
      </c>
    </row>
    <row r="218" spans="1:7">
      <c r="A218" s="205" t="s">
        <v>534</v>
      </c>
      <c r="B218">
        <v>1</v>
      </c>
      <c r="C218">
        <v>1</v>
      </c>
      <c r="D218">
        <v>0</v>
      </c>
      <c r="F218">
        <v>0.75</v>
      </c>
      <c r="G218">
        <v>0.69</v>
      </c>
    </row>
    <row r="219" spans="1:7">
      <c r="A219" s="205" t="s">
        <v>535</v>
      </c>
      <c r="B219">
        <v>1</v>
      </c>
      <c r="C219">
        <v>1</v>
      </c>
      <c r="F219">
        <v>0.5</v>
      </c>
      <c r="G219">
        <v>0.83</v>
      </c>
    </row>
    <row r="220" spans="1:7">
      <c r="A220" s="205" t="s">
        <v>536</v>
      </c>
      <c r="B220">
        <v>1</v>
      </c>
      <c r="F220">
        <v>0</v>
      </c>
      <c r="G220">
        <v>0.5</v>
      </c>
    </row>
    <row r="221" spans="1:7">
      <c r="A221" s="205" t="s">
        <v>537</v>
      </c>
      <c r="B221">
        <v>1</v>
      </c>
      <c r="C221">
        <v>1</v>
      </c>
      <c r="F221">
        <v>0.5</v>
      </c>
      <c r="G221">
        <v>0.83</v>
      </c>
    </row>
    <row r="222" spans="1:7">
      <c r="A222" s="205" t="s">
        <v>538</v>
      </c>
    </row>
    <row r="223" spans="1:7">
      <c r="A223" s="205" t="s">
        <v>539</v>
      </c>
      <c r="B223">
        <v>1</v>
      </c>
      <c r="C223">
        <v>1</v>
      </c>
      <c r="F223">
        <v>0.5</v>
      </c>
      <c r="G223">
        <v>0.83</v>
      </c>
    </row>
    <row r="224" spans="1:7">
      <c r="A224" s="205" t="s">
        <v>540</v>
      </c>
      <c r="B224">
        <v>1</v>
      </c>
      <c r="F224">
        <v>0</v>
      </c>
      <c r="G224">
        <v>0.5</v>
      </c>
    </row>
    <row r="225" spans="1:7">
      <c r="A225" s="205" t="s">
        <v>541</v>
      </c>
      <c r="B225">
        <v>1</v>
      </c>
      <c r="C225">
        <v>0.5</v>
      </c>
      <c r="D225">
        <v>1</v>
      </c>
      <c r="F225">
        <v>0.75</v>
      </c>
      <c r="G225">
        <v>0.81</v>
      </c>
    </row>
    <row r="226" spans="1:7">
      <c r="A226" s="205" t="s">
        <v>542</v>
      </c>
      <c r="B226">
        <v>0.8</v>
      </c>
      <c r="C226">
        <v>0.4</v>
      </c>
      <c r="D226">
        <v>0.8</v>
      </c>
      <c r="F226">
        <v>0.75</v>
      </c>
      <c r="G226">
        <v>0.69</v>
      </c>
    </row>
    <row r="227" spans="1:7">
      <c r="A227" s="205" t="s">
        <v>543</v>
      </c>
      <c r="B227">
        <v>0.9</v>
      </c>
      <c r="C227">
        <v>0.6</v>
      </c>
      <c r="D227">
        <v>0.7</v>
      </c>
      <c r="F227">
        <v>0.75</v>
      </c>
      <c r="G227">
        <v>0.74</v>
      </c>
    </row>
    <row r="228" spans="1:7">
      <c r="A228" s="206" t="s">
        <v>273</v>
      </c>
      <c r="B228">
        <v>1</v>
      </c>
      <c r="C228">
        <v>0.8</v>
      </c>
      <c r="D228">
        <v>0.8</v>
      </c>
      <c r="F228">
        <v>0.75</v>
      </c>
      <c r="G228">
        <v>0.84</v>
      </c>
    </row>
    <row r="229" spans="1:7">
      <c r="A229" s="206" t="s">
        <v>274</v>
      </c>
      <c r="B229">
        <v>1</v>
      </c>
      <c r="C229">
        <v>1</v>
      </c>
      <c r="D229">
        <v>0.9</v>
      </c>
      <c r="E229">
        <v>1</v>
      </c>
      <c r="F229">
        <v>1</v>
      </c>
      <c r="G229">
        <v>0.98</v>
      </c>
    </row>
    <row r="230" spans="1:7">
      <c r="A230" s="206" t="s">
        <v>275</v>
      </c>
      <c r="B230">
        <v>1</v>
      </c>
      <c r="C230">
        <v>0</v>
      </c>
      <c r="F230">
        <v>0.5</v>
      </c>
      <c r="G230">
        <v>0.5</v>
      </c>
    </row>
    <row r="231" spans="1:7">
      <c r="A231" s="206" t="s">
        <v>276</v>
      </c>
      <c r="B231">
        <v>1</v>
      </c>
      <c r="C231">
        <v>0.7</v>
      </c>
      <c r="D231">
        <v>0</v>
      </c>
      <c r="F231">
        <v>0.75</v>
      </c>
      <c r="G231">
        <v>0.61</v>
      </c>
    </row>
    <row r="232" spans="1:7">
      <c r="A232" s="206" t="s">
        <v>277</v>
      </c>
      <c r="B232">
        <v>1</v>
      </c>
      <c r="C232">
        <v>0</v>
      </c>
      <c r="F232">
        <v>0.5</v>
      </c>
      <c r="G232">
        <v>0.5</v>
      </c>
    </row>
    <row r="233" spans="1:7">
      <c r="A233" s="206" t="s">
        <v>278</v>
      </c>
    </row>
    <row r="234" spans="1:7">
      <c r="A234" s="206" t="s">
        <v>279</v>
      </c>
    </row>
    <row r="235" spans="1:7">
      <c r="A235" s="206" t="s">
        <v>280</v>
      </c>
    </row>
    <row r="236" spans="1:7">
      <c r="A236" s="206" t="s">
        <v>281</v>
      </c>
      <c r="B236">
        <v>1</v>
      </c>
      <c r="C236">
        <v>0.7</v>
      </c>
      <c r="D236">
        <v>0.8</v>
      </c>
      <c r="F236">
        <v>0.75</v>
      </c>
      <c r="G236">
        <v>0.81</v>
      </c>
    </row>
    <row r="237" spans="1:7">
      <c r="A237" s="206" t="s">
        <v>282</v>
      </c>
      <c r="B237">
        <v>1</v>
      </c>
      <c r="C237">
        <v>1</v>
      </c>
      <c r="D237">
        <v>0.7</v>
      </c>
      <c r="E237">
        <v>0.5</v>
      </c>
      <c r="F237">
        <v>1</v>
      </c>
      <c r="G237">
        <v>0.84</v>
      </c>
    </row>
    <row r="238" spans="1:7">
      <c r="A238" s="206" t="s">
        <v>283</v>
      </c>
      <c r="B238">
        <v>1</v>
      </c>
      <c r="C238">
        <v>0.7</v>
      </c>
      <c r="D238">
        <v>0.7</v>
      </c>
      <c r="F238">
        <v>0.75</v>
      </c>
      <c r="G238">
        <v>0.79</v>
      </c>
    </row>
    <row r="239" spans="1:7">
      <c r="A239" s="206" t="s">
        <v>284</v>
      </c>
    </row>
    <row r="240" spans="1:7">
      <c r="A240" s="206" t="s">
        <v>285</v>
      </c>
    </row>
    <row r="241" spans="1:7">
      <c r="A241" s="206" t="s">
        <v>286</v>
      </c>
      <c r="B241">
        <v>1</v>
      </c>
      <c r="C241">
        <v>0.3</v>
      </c>
      <c r="D241">
        <v>0.5</v>
      </c>
      <c r="F241">
        <v>0.75</v>
      </c>
      <c r="G241">
        <v>0.64</v>
      </c>
    </row>
    <row r="242" spans="1:7">
      <c r="A242" s="206" t="s">
        <v>287</v>
      </c>
      <c r="B242">
        <v>1</v>
      </c>
      <c r="C242">
        <v>0.6</v>
      </c>
      <c r="D242">
        <v>0.7</v>
      </c>
      <c r="F242">
        <v>0.75</v>
      </c>
      <c r="G242">
        <v>0.76</v>
      </c>
    </row>
    <row r="243" spans="1:7">
      <c r="A243" s="206" t="s">
        <v>288</v>
      </c>
      <c r="B243">
        <v>1</v>
      </c>
      <c r="C243">
        <v>1</v>
      </c>
      <c r="D243">
        <v>0.3</v>
      </c>
      <c r="F243">
        <v>0.75</v>
      </c>
      <c r="G243">
        <v>0.76</v>
      </c>
    </row>
    <row r="244" spans="1:7">
      <c r="A244" s="206" t="s">
        <v>289</v>
      </c>
    </row>
    <row r="245" spans="1:7">
      <c r="A245" s="206" t="s">
        <v>290</v>
      </c>
    </row>
    <row r="246" spans="1:7">
      <c r="A246" s="206" t="s">
        <v>291</v>
      </c>
      <c r="B246">
        <v>1</v>
      </c>
      <c r="F246">
        <v>0</v>
      </c>
      <c r="G246">
        <v>0.5</v>
      </c>
    </row>
    <row r="247" spans="1:7">
      <c r="A247" s="206" t="s">
        <v>292</v>
      </c>
      <c r="B247">
        <v>1</v>
      </c>
      <c r="F247">
        <v>0</v>
      </c>
      <c r="G247">
        <v>0.5</v>
      </c>
    </row>
    <row r="248" spans="1:7">
      <c r="A248" s="206" t="s">
        <v>293</v>
      </c>
    </row>
    <row r="249" spans="1:7">
      <c r="A249" s="206" t="s">
        <v>294</v>
      </c>
    </row>
    <row r="250" spans="1:7">
      <c r="A250" s="206" t="s">
        <v>295</v>
      </c>
    </row>
    <row r="251" spans="1:7">
      <c r="A251" s="206" t="s">
        <v>296</v>
      </c>
      <c r="B251">
        <v>1</v>
      </c>
      <c r="C251">
        <v>1</v>
      </c>
      <c r="D251">
        <v>0.5</v>
      </c>
      <c r="F251">
        <v>0.75</v>
      </c>
      <c r="G251">
        <v>0.81</v>
      </c>
    </row>
    <row r="252" spans="1:7">
      <c r="A252" s="206" t="s">
        <v>297</v>
      </c>
      <c r="B252">
        <v>1</v>
      </c>
      <c r="F252">
        <v>0</v>
      </c>
      <c r="G252">
        <v>0.5</v>
      </c>
    </row>
    <row r="253" spans="1:7">
      <c r="A253" s="206" t="s">
        <v>298</v>
      </c>
      <c r="B253">
        <v>1</v>
      </c>
      <c r="C253">
        <v>0</v>
      </c>
      <c r="F253">
        <v>0.5</v>
      </c>
      <c r="G253">
        <v>0.5</v>
      </c>
    </row>
    <row r="254" spans="1:7">
      <c r="A254" s="206" t="s">
        <v>299</v>
      </c>
      <c r="B254">
        <v>1</v>
      </c>
      <c r="F254">
        <v>0</v>
      </c>
      <c r="G254">
        <v>0.5</v>
      </c>
    </row>
    <row r="255" spans="1:7">
      <c r="A255" s="206" t="s">
        <v>300</v>
      </c>
      <c r="B255">
        <v>1</v>
      </c>
      <c r="F255">
        <v>0</v>
      </c>
      <c r="G255">
        <v>0.5</v>
      </c>
    </row>
    <row r="256" spans="1:7">
      <c r="A256" s="206" t="s">
        <v>301</v>
      </c>
    </row>
    <row r="257" spans="1:7">
      <c r="A257" s="206" t="s">
        <v>302</v>
      </c>
    </row>
    <row r="258" spans="1:7">
      <c r="A258" s="206" t="s">
        <v>303</v>
      </c>
    </row>
    <row r="259" spans="1:7">
      <c r="A259" s="206" t="s">
        <v>310</v>
      </c>
      <c r="B259">
        <v>1</v>
      </c>
      <c r="C259">
        <v>0.6</v>
      </c>
      <c r="D259">
        <v>0.7</v>
      </c>
      <c r="E259">
        <v>0</v>
      </c>
      <c r="F259">
        <v>1</v>
      </c>
      <c r="G259">
        <v>0.66</v>
      </c>
    </row>
    <row r="260" spans="1:7">
      <c r="A260" s="206" t="s">
        <v>311</v>
      </c>
      <c r="B260">
        <v>1</v>
      </c>
      <c r="C260">
        <v>0.9</v>
      </c>
      <c r="D260">
        <v>0.6</v>
      </c>
      <c r="F260">
        <v>0.75</v>
      </c>
      <c r="G260">
        <v>0.81</v>
      </c>
    </row>
    <row r="261" spans="1:7">
      <c r="A261" s="206" t="s">
        <v>312</v>
      </c>
      <c r="B261">
        <v>1</v>
      </c>
      <c r="F261">
        <v>0</v>
      </c>
      <c r="G261">
        <v>0.5</v>
      </c>
    </row>
    <row r="262" spans="1:7">
      <c r="A262" s="206" t="s">
        <v>313</v>
      </c>
    </row>
    <row r="263" spans="1:7">
      <c r="A263" s="206" t="s">
        <v>314</v>
      </c>
      <c r="B263">
        <v>1</v>
      </c>
      <c r="C263">
        <v>0.8</v>
      </c>
      <c r="D263">
        <v>1</v>
      </c>
      <c r="F263">
        <v>0.75</v>
      </c>
      <c r="G263">
        <v>0.89</v>
      </c>
    </row>
    <row r="264" spans="1:7">
      <c r="A264" s="206" t="s">
        <v>315</v>
      </c>
      <c r="B264">
        <v>1</v>
      </c>
      <c r="C264">
        <v>0.8</v>
      </c>
      <c r="D264">
        <v>1</v>
      </c>
      <c r="F264">
        <v>0.75</v>
      </c>
      <c r="G264">
        <v>0.89</v>
      </c>
    </row>
    <row r="265" spans="1:7">
      <c r="A265" s="206" t="s">
        <v>316</v>
      </c>
      <c r="B265">
        <v>1</v>
      </c>
      <c r="C265">
        <v>0.8</v>
      </c>
      <c r="D265">
        <v>1</v>
      </c>
      <c r="F265">
        <v>0.75</v>
      </c>
      <c r="G265">
        <v>0.89</v>
      </c>
    </row>
    <row r="266" spans="1:7">
      <c r="A266" s="206" t="s">
        <v>317</v>
      </c>
      <c r="B266">
        <v>1</v>
      </c>
      <c r="F266">
        <v>0</v>
      </c>
      <c r="G266">
        <v>0.5</v>
      </c>
    </row>
    <row r="267" spans="1:7">
      <c r="A267" s="206" t="s">
        <v>318</v>
      </c>
      <c r="B267">
        <v>1</v>
      </c>
      <c r="F267">
        <v>0</v>
      </c>
      <c r="G267">
        <v>0.5</v>
      </c>
    </row>
    <row r="268" spans="1:7">
      <c r="A268" s="206" t="s">
        <v>319</v>
      </c>
      <c r="B268">
        <v>1</v>
      </c>
      <c r="F268">
        <v>0</v>
      </c>
      <c r="G268">
        <v>0.5</v>
      </c>
    </row>
    <row r="269" spans="1:7">
      <c r="A269" s="206" t="s">
        <v>320</v>
      </c>
      <c r="B269">
        <v>1</v>
      </c>
      <c r="C269">
        <v>1</v>
      </c>
      <c r="F269">
        <v>0.5</v>
      </c>
      <c r="G269">
        <v>0.83</v>
      </c>
    </row>
    <row r="270" spans="1:7">
      <c r="A270" s="206" t="s">
        <v>321</v>
      </c>
      <c r="B270">
        <v>1</v>
      </c>
      <c r="C270">
        <v>0.7</v>
      </c>
      <c r="F270">
        <v>0.5</v>
      </c>
      <c r="G270">
        <v>0.73</v>
      </c>
    </row>
    <row r="271" spans="1:7">
      <c r="A271" s="207" t="s">
        <v>314</v>
      </c>
      <c r="B271">
        <v>1</v>
      </c>
      <c r="C271">
        <v>0.8</v>
      </c>
      <c r="D271">
        <v>1</v>
      </c>
      <c r="F271">
        <v>0.75</v>
      </c>
      <c r="G271">
        <v>0.89</v>
      </c>
    </row>
    <row r="272" spans="1:7">
      <c r="A272" s="207" t="s">
        <v>315</v>
      </c>
      <c r="B272">
        <v>1</v>
      </c>
      <c r="C272">
        <v>0.8</v>
      </c>
      <c r="D272">
        <v>1</v>
      </c>
      <c r="F272">
        <v>0.75</v>
      </c>
      <c r="G272">
        <v>0.89</v>
      </c>
    </row>
    <row r="273" spans="1:7">
      <c r="A273" s="207" t="s">
        <v>316</v>
      </c>
      <c r="B273">
        <v>1</v>
      </c>
      <c r="C273">
        <v>0.8</v>
      </c>
      <c r="D273">
        <v>1</v>
      </c>
      <c r="F273">
        <v>0.75</v>
      </c>
      <c r="G273">
        <v>0.89</v>
      </c>
    </row>
    <row r="274" spans="1:7">
      <c r="A274" s="207" t="s">
        <v>317</v>
      </c>
      <c r="B274">
        <v>1</v>
      </c>
      <c r="F274">
        <v>0</v>
      </c>
      <c r="G274">
        <v>0.5</v>
      </c>
    </row>
    <row r="275" spans="1:7">
      <c r="A275" s="207" t="s">
        <v>318</v>
      </c>
      <c r="B275">
        <v>1</v>
      </c>
      <c r="F275">
        <v>0</v>
      </c>
      <c r="G275">
        <v>0.5</v>
      </c>
    </row>
    <row r="276" spans="1:7">
      <c r="A276" s="207" t="s">
        <v>319</v>
      </c>
      <c r="B276">
        <v>1</v>
      </c>
      <c r="F276">
        <v>0</v>
      </c>
      <c r="G276">
        <v>0.5</v>
      </c>
    </row>
    <row r="277" spans="1:7">
      <c r="A277" s="207" t="s">
        <v>320</v>
      </c>
      <c r="B277">
        <v>1</v>
      </c>
      <c r="C277">
        <v>1</v>
      </c>
      <c r="F277">
        <v>0.5</v>
      </c>
      <c r="G277">
        <v>0.83</v>
      </c>
    </row>
    <row r="278" spans="1:7">
      <c r="A278" s="207" t="s">
        <v>321</v>
      </c>
      <c r="B278">
        <v>1</v>
      </c>
      <c r="C278">
        <v>0.7</v>
      </c>
      <c r="F278">
        <v>0.5</v>
      </c>
      <c r="G278">
        <v>0.73</v>
      </c>
    </row>
    <row r="279" spans="1:7">
      <c r="A279" s="222" t="s">
        <v>322</v>
      </c>
      <c r="B279">
        <v>1</v>
      </c>
      <c r="C279">
        <v>0.5</v>
      </c>
      <c r="F279">
        <v>0.5</v>
      </c>
      <c r="G279">
        <v>0.67</v>
      </c>
    </row>
    <row r="280" spans="1:7">
      <c r="A280" s="222" t="s">
        <v>324</v>
      </c>
      <c r="B280">
        <v>1</v>
      </c>
      <c r="C280">
        <v>1</v>
      </c>
      <c r="F280">
        <v>0.5</v>
      </c>
      <c r="G280">
        <v>0.83</v>
      </c>
    </row>
    <row r="281" spans="1:7">
      <c r="A281" s="222" t="s">
        <v>325</v>
      </c>
    </row>
    <row r="282" spans="1:7">
      <c r="A282" s="222" t="s">
        <v>326</v>
      </c>
    </row>
    <row r="283" spans="1:7">
      <c r="A283" s="222" t="s">
        <v>327</v>
      </c>
    </row>
    <row r="284" spans="1:7">
      <c r="A284" s="222" t="s">
        <v>328</v>
      </c>
      <c r="B284">
        <v>1</v>
      </c>
      <c r="C284">
        <v>0.3</v>
      </c>
      <c r="D284">
        <v>0.5</v>
      </c>
      <c r="F284">
        <v>0.75</v>
      </c>
      <c r="G284">
        <v>0.64</v>
      </c>
    </row>
    <row r="285" spans="1:7">
      <c r="A285" s="222" t="s">
        <v>329</v>
      </c>
      <c r="B285">
        <v>1</v>
      </c>
      <c r="C285">
        <v>0</v>
      </c>
      <c r="F285">
        <v>0.5</v>
      </c>
      <c r="G285">
        <v>0.5</v>
      </c>
    </row>
    <row r="286" spans="1:7">
      <c r="A286" s="222" t="s">
        <v>330</v>
      </c>
      <c r="B286">
        <v>1</v>
      </c>
      <c r="C286">
        <v>1</v>
      </c>
      <c r="D286">
        <v>0.9</v>
      </c>
      <c r="F286">
        <v>0.75</v>
      </c>
      <c r="G286">
        <v>0.91</v>
      </c>
    </row>
    <row r="287" spans="1:7">
      <c r="A287" s="222" t="s">
        <v>331</v>
      </c>
      <c r="B287">
        <v>1</v>
      </c>
      <c r="C287">
        <v>0.8</v>
      </c>
      <c r="D287">
        <v>1</v>
      </c>
      <c r="F287">
        <v>0.75</v>
      </c>
      <c r="G287">
        <v>0.89</v>
      </c>
    </row>
    <row r="288" spans="1:7">
      <c r="A288" s="222" t="s">
        <v>332</v>
      </c>
      <c r="B288">
        <v>1</v>
      </c>
      <c r="C288">
        <v>0.7</v>
      </c>
      <c r="D288">
        <v>1</v>
      </c>
      <c r="F288">
        <v>0.75</v>
      </c>
      <c r="G288">
        <v>0.86</v>
      </c>
    </row>
    <row r="289" spans="1:7">
      <c r="A289" s="222" t="s">
        <v>333</v>
      </c>
      <c r="B289">
        <v>1</v>
      </c>
      <c r="F289">
        <v>0</v>
      </c>
      <c r="G289">
        <v>0.5</v>
      </c>
    </row>
    <row r="290" spans="1:7">
      <c r="A290" s="222" t="s">
        <v>334</v>
      </c>
      <c r="B290">
        <v>1</v>
      </c>
      <c r="C290">
        <v>1</v>
      </c>
      <c r="F290">
        <v>0.5</v>
      </c>
      <c r="G290">
        <v>0.83</v>
      </c>
    </row>
    <row r="291" spans="1:7">
      <c r="A291" s="222" t="s">
        <v>335</v>
      </c>
      <c r="B291">
        <v>1</v>
      </c>
      <c r="C291">
        <v>1</v>
      </c>
      <c r="F291">
        <v>0.5</v>
      </c>
      <c r="G291">
        <v>0.83</v>
      </c>
    </row>
    <row r="292" spans="1:7">
      <c r="A292" s="222" t="s">
        <v>336</v>
      </c>
      <c r="B292">
        <v>1</v>
      </c>
      <c r="F292">
        <v>0</v>
      </c>
      <c r="G292">
        <v>0.5</v>
      </c>
    </row>
    <row r="293" spans="1:7">
      <c r="A293" s="222" t="s">
        <v>337</v>
      </c>
      <c r="B293">
        <v>1</v>
      </c>
      <c r="C293">
        <v>1</v>
      </c>
      <c r="D293">
        <v>1</v>
      </c>
      <c r="F293">
        <v>0.75</v>
      </c>
      <c r="G293">
        <v>0.94</v>
      </c>
    </row>
    <row r="294" spans="1:7">
      <c r="A294" s="222" t="s">
        <v>338</v>
      </c>
      <c r="B294">
        <v>1</v>
      </c>
      <c r="F294">
        <v>0</v>
      </c>
      <c r="G294">
        <v>0.5</v>
      </c>
    </row>
    <row r="295" spans="1:7">
      <c r="A295" s="222" t="s">
        <v>339</v>
      </c>
      <c r="B295">
        <v>1</v>
      </c>
      <c r="C295">
        <v>0</v>
      </c>
      <c r="F295">
        <v>0.5</v>
      </c>
      <c r="G295">
        <v>0.5</v>
      </c>
    </row>
    <row r="296" spans="1:7">
      <c r="A296" s="222" t="s">
        <v>340</v>
      </c>
      <c r="B296">
        <v>1</v>
      </c>
      <c r="C296">
        <v>0</v>
      </c>
      <c r="F296">
        <v>0.5</v>
      </c>
      <c r="G296">
        <v>0.5</v>
      </c>
    </row>
    <row r="297" spans="1:7">
      <c r="A297" s="223" t="s">
        <v>560</v>
      </c>
    </row>
    <row r="298" spans="1:7">
      <c r="A298" s="223" t="s">
        <v>561</v>
      </c>
    </row>
    <row r="299" spans="1:7">
      <c r="A299" s="223" t="s">
        <v>562</v>
      </c>
    </row>
    <row r="300" spans="1:7">
      <c r="A300" s="223" t="s">
        <v>563</v>
      </c>
    </row>
    <row r="301" spans="1:7">
      <c r="A301" s="223" t="s">
        <v>564</v>
      </c>
    </row>
    <row r="302" spans="1:7">
      <c r="A302" s="223" t="s">
        <v>565</v>
      </c>
      <c r="B302">
        <v>1</v>
      </c>
      <c r="C302">
        <v>0.8</v>
      </c>
      <c r="D302">
        <v>0.9</v>
      </c>
      <c r="F302">
        <v>0.75</v>
      </c>
      <c r="G302">
        <v>0.86</v>
      </c>
    </row>
    <row r="303" spans="1:7">
      <c r="A303" s="223" t="s">
        <v>566</v>
      </c>
    </row>
    <row r="304" spans="1:7">
      <c r="A304" s="223" t="s">
        <v>567</v>
      </c>
    </row>
    <row r="305" spans="1:7">
      <c r="A305" s="223" t="s">
        <v>350</v>
      </c>
    </row>
    <row r="306" spans="1:7">
      <c r="A306" s="223" t="s">
        <v>351</v>
      </c>
    </row>
    <row r="307" spans="1:7">
      <c r="A307" s="223" t="s">
        <v>352</v>
      </c>
    </row>
    <row r="308" spans="1:7">
      <c r="A308" s="223" t="s">
        <v>353</v>
      </c>
    </row>
    <row r="309" spans="1:7">
      <c r="A309" s="223" t="s">
        <v>355</v>
      </c>
    </row>
    <row r="310" spans="1:7">
      <c r="A310" s="223" t="s">
        <v>356</v>
      </c>
    </row>
    <row r="311" spans="1:7">
      <c r="A311" s="223" t="s">
        <v>357</v>
      </c>
    </row>
    <row r="312" spans="1:7">
      <c r="A312" s="223" t="s">
        <v>358</v>
      </c>
    </row>
    <row r="313" spans="1:7">
      <c r="A313" s="223" t="s">
        <v>359</v>
      </c>
      <c r="B313">
        <v>1</v>
      </c>
      <c r="C313">
        <v>0</v>
      </c>
      <c r="F313">
        <v>0.5</v>
      </c>
      <c r="G313">
        <v>0.5</v>
      </c>
    </row>
    <row r="314" spans="1:7">
      <c r="A314" s="231" t="s">
        <v>640</v>
      </c>
    </row>
    <row r="315" spans="1:7">
      <c r="A315" s="231" t="s">
        <v>641</v>
      </c>
    </row>
    <row r="316" spans="1:7">
      <c r="A316" s="231" t="s">
        <v>642</v>
      </c>
    </row>
    <row r="317" spans="1:7">
      <c r="A317" s="231" t="s">
        <v>643</v>
      </c>
    </row>
    <row r="318" spans="1:7">
      <c r="A318" s="231" t="s">
        <v>644</v>
      </c>
      <c r="B318">
        <v>1</v>
      </c>
      <c r="C318">
        <v>0.4</v>
      </c>
      <c r="D318">
        <v>0.4</v>
      </c>
      <c r="F318">
        <v>0.75</v>
      </c>
      <c r="G318">
        <v>0.64</v>
      </c>
    </row>
    <row r="319" spans="1:7">
      <c r="A319" s="231" t="s">
        <v>645</v>
      </c>
    </row>
    <row r="320" spans="1:7">
      <c r="A320" s="231" t="s">
        <v>567</v>
      </c>
    </row>
    <row r="321" spans="1:7">
      <c r="A321" s="234" t="s">
        <v>367</v>
      </c>
      <c r="B321">
        <v>1</v>
      </c>
      <c r="C321">
        <v>0.7</v>
      </c>
      <c r="F321">
        <v>0.5</v>
      </c>
      <c r="G321">
        <v>0.73</v>
      </c>
    </row>
    <row r="322" spans="1:7">
      <c r="A322" s="234" t="s">
        <v>368</v>
      </c>
      <c r="B322">
        <v>1</v>
      </c>
      <c r="C322">
        <v>0.7</v>
      </c>
      <c r="D322">
        <v>1</v>
      </c>
      <c r="F322">
        <v>0.75</v>
      </c>
      <c r="G322">
        <v>0.86</v>
      </c>
    </row>
    <row r="323" spans="1:7">
      <c r="A323" s="234" t="s">
        <v>369</v>
      </c>
      <c r="B323">
        <v>1</v>
      </c>
      <c r="C323">
        <v>0.3</v>
      </c>
      <c r="D323">
        <v>1</v>
      </c>
      <c r="F323">
        <v>0.75</v>
      </c>
      <c r="G323">
        <v>0.76</v>
      </c>
    </row>
    <row r="324" spans="1:7">
      <c r="A324" s="234" t="s">
        <v>370</v>
      </c>
      <c r="B324">
        <v>1</v>
      </c>
      <c r="F324">
        <v>0</v>
      </c>
      <c r="G324">
        <v>0.5</v>
      </c>
    </row>
    <row r="325" spans="1:7">
      <c r="A325" s="234" t="s">
        <v>371</v>
      </c>
      <c r="B325">
        <v>1</v>
      </c>
      <c r="C325">
        <v>0.8</v>
      </c>
      <c r="F325">
        <v>0.5</v>
      </c>
      <c r="G325">
        <v>0.77</v>
      </c>
    </row>
    <row r="326" spans="1:7">
      <c r="A326" s="234" t="s">
        <v>372</v>
      </c>
      <c r="B326">
        <v>1</v>
      </c>
      <c r="C326">
        <v>0</v>
      </c>
      <c r="F326">
        <v>0.5</v>
      </c>
      <c r="G326">
        <v>0.5</v>
      </c>
    </row>
    <row r="327" spans="1:7">
      <c r="A327" s="234" t="s">
        <v>373</v>
      </c>
      <c r="B327">
        <v>1</v>
      </c>
      <c r="C327">
        <v>0.5</v>
      </c>
      <c r="F327">
        <v>0.5</v>
      </c>
      <c r="G327">
        <v>0.67</v>
      </c>
    </row>
    <row r="328" spans="1:7">
      <c r="A328" s="234" t="s">
        <v>374</v>
      </c>
      <c r="B328">
        <v>1</v>
      </c>
      <c r="C328">
        <v>0</v>
      </c>
      <c r="F328">
        <v>0.5</v>
      </c>
      <c r="G328">
        <v>0.5</v>
      </c>
    </row>
    <row r="329" spans="1:7">
      <c r="A329" s="234" t="s">
        <v>375</v>
      </c>
      <c r="B329">
        <v>1</v>
      </c>
      <c r="C329">
        <v>0.5</v>
      </c>
      <c r="F329">
        <v>0.5</v>
      </c>
      <c r="G329">
        <v>0.67</v>
      </c>
    </row>
    <row r="330" spans="1:7">
      <c r="A330" s="234" t="s">
        <v>376</v>
      </c>
      <c r="B330">
        <v>1</v>
      </c>
      <c r="C330">
        <v>0</v>
      </c>
      <c r="F330">
        <v>0.5</v>
      </c>
      <c r="G330">
        <v>0.5</v>
      </c>
    </row>
    <row r="331" spans="1:7">
      <c r="A331" s="234" t="s">
        <v>377</v>
      </c>
      <c r="B331">
        <v>1</v>
      </c>
      <c r="C331">
        <v>0</v>
      </c>
      <c r="F331">
        <v>0.5</v>
      </c>
      <c r="G331">
        <v>0.5</v>
      </c>
    </row>
    <row r="332" spans="1:7">
      <c r="A332" s="234" t="s">
        <v>378</v>
      </c>
      <c r="B332">
        <v>1</v>
      </c>
      <c r="C332">
        <v>0</v>
      </c>
      <c r="F332">
        <v>0.5</v>
      </c>
      <c r="G332">
        <v>0.5</v>
      </c>
    </row>
    <row r="333" spans="1:7">
      <c r="A333" s="234" t="s">
        <v>379</v>
      </c>
      <c r="B333">
        <v>1</v>
      </c>
      <c r="C333">
        <v>1</v>
      </c>
      <c r="D333">
        <v>0.5</v>
      </c>
      <c r="F333">
        <v>0.75</v>
      </c>
      <c r="G333">
        <v>0.81</v>
      </c>
    </row>
    <row r="334" spans="1:7">
      <c r="A334" s="234" t="s">
        <v>380</v>
      </c>
    </row>
    <row r="335" spans="1:7">
      <c r="A335" s="234" t="s">
        <v>382</v>
      </c>
    </row>
    <row r="336" spans="1:7">
      <c r="A336" s="234" t="s">
        <v>383</v>
      </c>
    </row>
    <row r="337" spans="1:7">
      <c r="A337" s="234" t="s">
        <v>384</v>
      </c>
    </row>
    <row r="338" spans="1:7">
      <c r="A338" s="234" t="s">
        <v>385</v>
      </c>
    </row>
    <row r="339" spans="1:7">
      <c r="A339" s="254" t="s">
        <v>386</v>
      </c>
      <c r="B339">
        <v>1</v>
      </c>
      <c r="F339">
        <v>0</v>
      </c>
      <c r="G339">
        <v>0.5</v>
      </c>
    </row>
    <row r="340" spans="1:7">
      <c r="A340" s="254" t="s">
        <v>387</v>
      </c>
      <c r="B340">
        <v>1</v>
      </c>
      <c r="F340">
        <v>0</v>
      </c>
      <c r="G340">
        <v>0.5</v>
      </c>
    </row>
    <row r="341" spans="1:7">
      <c r="A341" s="254" t="s">
        <v>388</v>
      </c>
      <c r="B341">
        <v>1</v>
      </c>
      <c r="F341">
        <v>0</v>
      </c>
      <c r="G341">
        <v>0.5</v>
      </c>
    </row>
    <row r="342" spans="1:7">
      <c r="A342" s="254" t="s">
        <v>389</v>
      </c>
      <c r="B342">
        <v>1</v>
      </c>
      <c r="F342">
        <v>0</v>
      </c>
      <c r="G342">
        <v>0.5</v>
      </c>
    </row>
    <row r="343" spans="1:7">
      <c r="A343" s="256" t="s">
        <v>390</v>
      </c>
    </row>
    <row r="344" spans="1:7">
      <c r="A344" s="256" t="s">
        <v>391</v>
      </c>
    </row>
    <row r="345" spans="1:7">
      <c r="A345" s="256" t="s">
        <v>392</v>
      </c>
    </row>
    <row r="346" spans="1:7">
      <c r="A346" s="268" t="s">
        <v>393</v>
      </c>
    </row>
    <row r="347" spans="1:7">
      <c r="A347" s="268" t="s">
        <v>394</v>
      </c>
      <c r="B347">
        <v>1</v>
      </c>
      <c r="F347">
        <v>0</v>
      </c>
      <c r="G347">
        <v>0.5</v>
      </c>
    </row>
    <row r="348" spans="1:7">
      <c r="A348" s="268" t="s">
        <v>395</v>
      </c>
    </row>
    <row r="349" spans="1:7">
      <c r="A349" s="268" t="s">
        <v>396</v>
      </c>
    </row>
    <row r="350" spans="1:7">
      <c r="A350" s="268" t="s">
        <v>397</v>
      </c>
    </row>
    <row r="351" spans="1:7">
      <c r="A351" s="268" t="s">
        <v>398</v>
      </c>
      <c r="B351">
        <v>1</v>
      </c>
      <c r="F351">
        <v>0</v>
      </c>
      <c r="G351">
        <v>0.5</v>
      </c>
    </row>
    <row r="352" spans="1:7">
      <c r="A352" s="268" t="s">
        <v>399</v>
      </c>
    </row>
    <row r="353" spans="1:7">
      <c r="A353" s="273" t="s">
        <v>400</v>
      </c>
      <c r="B353">
        <v>1</v>
      </c>
      <c r="F353">
        <v>0</v>
      </c>
      <c r="G353">
        <v>0.5</v>
      </c>
    </row>
    <row r="354" spans="1:7">
      <c r="A354" s="273" t="s">
        <v>401</v>
      </c>
      <c r="B354">
        <v>1</v>
      </c>
      <c r="F354">
        <v>0</v>
      </c>
      <c r="G354">
        <v>0.5</v>
      </c>
    </row>
    <row r="355" spans="1:7">
      <c r="A355" s="273" t="s">
        <v>402</v>
      </c>
    </row>
    <row r="356" spans="1:7">
      <c r="A356" s="273" t="s">
        <v>403</v>
      </c>
      <c r="B356">
        <v>1</v>
      </c>
      <c r="C356">
        <v>0</v>
      </c>
      <c r="F356">
        <v>0.5</v>
      </c>
      <c r="G356">
        <v>0.5</v>
      </c>
    </row>
    <row r="357" spans="1:7">
      <c r="A357" s="273" t="s">
        <v>404</v>
      </c>
      <c r="B357">
        <v>1</v>
      </c>
      <c r="C357">
        <v>0.5</v>
      </c>
      <c r="F357">
        <v>0.5</v>
      </c>
      <c r="G357">
        <v>0.67</v>
      </c>
    </row>
    <row r="358" spans="1:7">
      <c r="A358" s="273" t="s">
        <v>405</v>
      </c>
      <c r="B358">
        <v>1</v>
      </c>
      <c r="F358">
        <v>0</v>
      </c>
      <c r="G358">
        <v>0.5</v>
      </c>
    </row>
    <row r="359" spans="1:7">
      <c r="A359" s="273" t="s">
        <v>406</v>
      </c>
      <c r="B359">
        <v>1</v>
      </c>
      <c r="F359">
        <v>0</v>
      </c>
      <c r="G359">
        <v>0.5</v>
      </c>
    </row>
    <row r="360" spans="1:7">
      <c r="A360" s="273" t="s">
        <v>407</v>
      </c>
      <c r="B360">
        <v>1</v>
      </c>
      <c r="F360">
        <v>0</v>
      </c>
      <c r="G360">
        <v>0.5</v>
      </c>
    </row>
    <row r="361" spans="1:7">
      <c r="A361" s="273" t="s">
        <v>408</v>
      </c>
    </row>
    <row r="362" spans="1:7">
      <c r="A362" s="273" t="s">
        <v>410</v>
      </c>
    </row>
    <row r="363" spans="1:7">
      <c r="A363" s="273" t="s">
        <v>411</v>
      </c>
    </row>
    <row r="364" spans="1:7">
      <c r="A364" s="278" t="s">
        <v>412</v>
      </c>
    </row>
    <row r="365" spans="1:7">
      <c r="A365" s="278" t="s">
        <v>413</v>
      </c>
    </row>
    <row r="366" spans="1:7">
      <c r="A366" s="278" t="s">
        <v>414</v>
      </c>
    </row>
    <row r="367" spans="1:7">
      <c r="A367" s="278" t="s">
        <v>415</v>
      </c>
    </row>
    <row r="368" spans="1:7">
      <c r="A368" s="278" t="s">
        <v>416</v>
      </c>
      <c r="B368">
        <v>1</v>
      </c>
      <c r="C368">
        <v>0</v>
      </c>
      <c r="F368">
        <v>0.5</v>
      </c>
      <c r="G368">
        <v>0.5</v>
      </c>
    </row>
    <row r="369" spans="1:7">
      <c r="A369" s="278" t="s">
        <v>417</v>
      </c>
      <c r="B369">
        <v>1</v>
      </c>
      <c r="F369">
        <v>0</v>
      </c>
      <c r="G369">
        <v>0.5</v>
      </c>
    </row>
    <row r="370" spans="1:7">
      <c r="A370" s="278" t="s">
        <v>418</v>
      </c>
      <c r="B370">
        <v>1</v>
      </c>
      <c r="C370">
        <v>0</v>
      </c>
      <c r="F370">
        <v>0.5</v>
      </c>
      <c r="G370">
        <v>0.5</v>
      </c>
    </row>
    <row r="371" spans="1:7">
      <c r="A371" s="278" t="s">
        <v>646</v>
      </c>
      <c r="B371">
        <v>1</v>
      </c>
      <c r="F371">
        <v>0</v>
      </c>
      <c r="G371">
        <v>0.5</v>
      </c>
    </row>
    <row r="372" spans="1:7">
      <c r="A372" s="278" t="s">
        <v>647</v>
      </c>
    </row>
    <row r="373" spans="1:7">
      <c r="A373" s="278" t="s">
        <v>648</v>
      </c>
    </row>
    <row r="374" spans="1:7">
      <c r="A374" s="278" t="s">
        <v>422</v>
      </c>
      <c r="B374">
        <v>0.8</v>
      </c>
      <c r="F374">
        <v>0</v>
      </c>
      <c r="G374">
        <v>0.4</v>
      </c>
    </row>
    <row r="375" spans="1:7">
      <c r="A375" s="278" t="s">
        <v>423</v>
      </c>
      <c r="B375">
        <v>1</v>
      </c>
      <c r="F375">
        <v>0</v>
      </c>
      <c r="G375">
        <v>0.5</v>
      </c>
    </row>
    <row r="376" spans="1:7">
      <c r="A376" s="278" t="s">
        <v>424</v>
      </c>
      <c r="B376">
        <v>1</v>
      </c>
      <c r="F376">
        <v>0</v>
      </c>
      <c r="G376">
        <v>0.5</v>
      </c>
    </row>
    <row r="377" spans="1:7">
      <c r="A377" s="278" t="s">
        <v>425</v>
      </c>
      <c r="B377">
        <v>1</v>
      </c>
      <c r="C377">
        <v>0.9</v>
      </c>
      <c r="D377">
        <v>0.9</v>
      </c>
      <c r="F377">
        <v>0.75</v>
      </c>
      <c r="G377">
        <v>0.89</v>
      </c>
    </row>
    <row r="378" spans="1:7">
      <c r="A378" s="278" t="s">
        <v>426</v>
      </c>
      <c r="B378">
        <v>1</v>
      </c>
      <c r="C378">
        <v>0.8</v>
      </c>
      <c r="D378">
        <v>0.9</v>
      </c>
      <c r="F378">
        <v>0.75</v>
      </c>
      <c r="G378">
        <v>0.86</v>
      </c>
    </row>
    <row r="379" spans="1:7">
      <c r="A379" s="278" t="s">
        <v>427</v>
      </c>
      <c r="B379">
        <v>1</v>
      </c>
      <c r="C379">
        <v>1</v>
      </c>
      <c r="D379">
        <v>0.8</v>
      </c>
      <c r="F379">
        <v>0.75</v>
      </c>
      <c r="G379">
        <v>0.89</v>
      </c>
    </row>
    <row r="380" spans="1:7">
      <c r="A380" s="278" t="s">
        <v>428</v>
      </c>
      <c r="B380">
        <v>1</v>
      </c>
      <c r="C380">
        <v>1</v>
      </c>
      <c r="F380">
        <v>0.5</v>
      </c>
      <c r="G380">
        <v>0.83</v>
      </c>
    </row>
    <row r="381" spans="1:7">
      <c r="A381" s="278" t="s">
        <v>430</v>
      </c>
    </row>
    <row r="382" spans="1:7">
      <c r="A382" s="278" t="s">
        <v>431</v>
      </c>
    </row>
    <row r="383" spans="1:7">
      <c r="A383" s="278" t="s">
        <v>432</v>
      </c>
      <c r="B383">
        <v>1</v>
      </c>
      <c r="F383">
        <v>0</v>
      </c>
      <c r="G383">
        <v>0.5</v>
      </c>
    </row>
    <row r="384" spans="1:7">
      <c r="A384" s="278" t="s">
        <v>433</v>
      </c>
      <c r="B384">
        <v>1</v>
      </c>
      <c r="C384">
        <v>0</v>
      </c>
      <c r="F384">
        <v>0.5</v>
      </c>
      <c r="G384">
        <v>0.5</v>
      </c>
    </row>
    <row r="385" spans="1:7">
      <c r="A385" s="278" t="s">
        <v>434</v>
      </c>
      <c r="B385">
        <v>1</v>
      </c>
      <c r="F385">
        <v>0</v>
      </c>
      <c r="G385">
        <v>0.5</v>
      </c>
    </row>
    <row r="386" spans="1:7">
      <c r="A386" s="281" t="s">
        <v>435</v>
      </c>
      <c r="B386">
        <v>1</v>
      </c>
      <c r="F386">
        <v>0</v>
      </c>
      <c r="G386">
        <v>0.5</v>
      </c>
    </row>
    <row r="387" spans="1:7">
      <c r="A387" s="281" t="s">
        <v>436</v>
      </c>
      <c r="B387">
        <v>1</v>
      </c>
      <c r="C387">
        <v>0.5</v>
      </c>
      <c r="F387">
        <v>0.5</v>
      </c>
      <c r="G387">
        <v>0.67</v>
      </c>
    </row>
    <row r="388" spans="1:7">
      <c r="A388" s="281" t="s">
        <v>437</v>
      </c>
      <c r="B388">
        <v>1</v>
      </c>
      <c r="F388">
        <v>0</v>
      </c>
      <c r="G388">
        <v>0.5</v>
      </c>
    </row>
    <row r="389" spans="1:7">
      <c r="A389" s="281" t="s">
        <v>438</v>
      </c>
    </row>
    <row r="390" spans="1:7">
      <c r="A390" s="281" t="s">
        <v>439</v>
      </c>
    </row>
    <row r="391" spans="1:7">
      <c r="A391" s="281" t="s">
        <v>440</v>
      </c>
    </row>
    <row r="392" spans="1:7">
      <c r="A392" s="281" t="s">
        <v>441</v>
      </c>
      <c r="B392">
        <v>1</v>
      </c>
      <c r="F392">
        <v>0</v>
      </c>
      <c r="G392">
        <v>0.5</v>
      </c>
    </row>
    <row r="393" spans="1:7">
      <c r="A393" s="281" t="s">
        <v>442</v>
      </c>
      <c r="B393">
        <v>1</v>
      </c>
      <c r="C393">
        <v>0</v>
      </c>
      <c r="F393">
        <v>0.5</v>
      </c>
      <c r="G393">
        <v>0.5</v>
      </c>
    </row>
    <row r="394" spans="1:7">
      <c r="A394" s="281" t="s">
        <v>443</v>
      </c>
      <c r="B394">
        <v>1</v>
      </c>
      <c r="C394">
        <v>0.2</v>
      </c>
      <c r="F394">
        <v>0.5</v>
      </c>
      <c r="G394">
        <v>0.56999999999999995</v>
      </c>
    </row>
    <row r="395" spans="1:7">
      <c r="A395" s="281" t="s">
        <v>444</v>
      </c>
      <c r="B395">
        <v>0.8</v>
      </c>
      <c r="C395">
        <v>0.1</v>
      </c>
      <c r="D395">
        <v>0.5</v>
      </c>
      <c r="F395">
        <v>0.75</v>
      </c>
      <c r="G395">
        <v>0.54</v>
      </c>
    </row>
    <row r="396" spans="1:7">
      <c r="A396" s="281" t="s">
        <v>445</v>
      </c>
    </row>
    <row r="397" spans="1:7">
      <c r="A397" s="281" t="s">
        <v>446</v>
      </c>
      <c r="B397">
        <v>1</v>
      </c>
      <c r="C397">
        <v>1</v>
      </c>
      <c r="D397">
        <v>0.8</v>
      </c>
      <c r="E397">
        <v>1</v>
      </c>
      <c r="F397">
        <v>1</v>
      </c>
      <c r="G397">
        <v>0.96</v>
      </c>
    </row>
    <row r="398" spans="1:7">
      <c r="A398" s="281" t="s">
        <v>447</v>
      </c>
    </row>
    <row r="399" spans="1:7">
      <c r="A399" s="281" t="s">
        <v>448</v>
      </c>
    </row>
    <row r="400" spans="1:7">
      <c r="A400" s="284" t="s">
        <v>449</v>
      </c>
      <c r="B400">
        <v>1</v>
      </c>
      <c r="C400">
        <v>0.8</v>
      </c>
      <c r="D400">
        <v>1</v>
      </c>
      <c r="E400">
        <v>1</v>
      </c>
      <c r="F400">
        <v>1</v>
      </c>
      <c r="G400">
        <v>0.96</v>
      </c>
    </row>
    <row r="401" spans="1:7">
      <c r="A401" s="284" t="s">
        <v>450</v>
      </c>
      <c r="B401">
        <v>1</v>
      </c>
      <c r="C401">
        <v>0.9</v>
      </c>
      <c r="D401">
        <v>1</v>
      </c>
      <c r="F401">
        <v>0.75</v>
      </c>
      <c r="G401">
        <v>0.91</v>
      </c>
    </row>
    <row r="402" spans="1:7">
      <c r="A402" s="284" t="s">
        <v>451</v>
      </c>
      <c r="B402">
        <v>1</v>
      </c>
      <c r="C402">
        <v>0.9</v>
      </c>
      <c r="D402">
        <v>0.8</v>
      </c>
      <c r="E402">
        <v>1</v>
      </c>
      <c r="F402">
        <v>1</v>
      </c>
      <c r="G402">
        <v>0.94</v>
      </c>
    </row>
    <row r="403" spans="1:7">
      <c r="A403" s="284" t="s">
        <v>452</v>
      </c>
      <c r="B403">
        <v>1</v>
      </c>
      <c r="C403">
        <v>0.9</v>
      </c>
      <c r="D403">
        <v>1</v>
      </c>
      <c r="F403">
        <v>0.75</v>
      </c>
      <c r="G403">
        <v>0.91</v>
      </c>
    </row>
    <row r="404" spans="1:7">
      <c r="A404" s="284" t="s">
        <v>453</v>
      </c>
      <c r="B404">
        <v>1</v>
      </c>
      <c r="C404">
        <v>0.8</v>
      </c>
      <c r="D404">
        <v>0.8</v>
      </c>
      <c r="E404">
        <v>1</v>
      </c>
      <c r="F404">
        <v>1</v>
      </c>
      <c r="G404">
        <v>0.92</v>
      </c>
    </row>
    <row r="405" spans="1:7">
      <c r="A405" s="284" t="s">
        <v>454</v>
      </c>
      <c r="B405">
        <v>1</v>
      </c>
      <c r="C405">
        <v>0.8</v>
      </c>
      <c r="D405">
        <v>0.8</v>
      </c>
      <c r="E405">
        <v>1</v>
      </c>
      <c r="F405">
        <v>1</v>
      </c>
      <c r="G405">
        <v>0.92</v>
      </c>
    </row>
    <row r="406" spans="1:7">
      <c r="A406" s="284" t="s">
        <v>455</v>
      </c>
      <c r="B406">
        <v>1</v>
      </c>
      <c r="C406">
        <v>0.9</v>
      </c>
      <c r="D406">
        <v>0.9</v>
      </c>
      <c r="F406">
        <v>0.75</v>
      </c>
      <c r="G406">
        <v>0.89</v>
      </c>
    </row>
    <row r="407" spans="1:7">
      <c r="A407" s="284" t="s">
        <v>456</v>
      </c>
      <c r="B407">
        <v>1</v>
      </c>
      <c r="C407">
        <v>0.8</v>
      </c>
      <c r="D407">
        <v>0.8</v>
      </c>
      <c r="E407">
        <v>1</v>
      </c>
      <c r="F407">
        <v>1</v>
      </c>
      <c r="G407">
        <v>0.92</v>
      </c>
    </row>
    <row r="408" spans="1:7">
      <c r="A408" s="284" t="s">
        <v>457</v>
      </c>
    </row>
    <row r="409" spans="1:7">
      <c r="A409" s="284" t="s">
        <v>458</v>
      </c>
      <c r="B409">
        <v>1</v>
      </c>
      <c r="C409">
        <v>0.3</v>
      </c>
      <c r="F409">
        <v>0.5</v>
      </c>
      <c r="G409">
        <v>0.6</v>
      </c>
    </row>
    <row r="410" spans="1:7">
      <c r="A410" s="284" t="s">
        <v>459</v>
      </c>
    </row>
    <row r="411" spans="1:7">
      <c r="A411" s="284" t="s">
        <v>460</v>
      </c>
    </row>
    <row r="412" spans="1:7">
      <c r="A412" s="284" t="s">
        <v>461</v>
      </c>
    </row>
    <row r="413" spans="1:7">
      <c r="A413" s="284" t="s">
        <v>462</v>
      </c>
    </row>
    <row r="414" spans="1:7">
      <c r="A414" s="291" t="s">
        <v>463</v>
      </c>
    </row>
    <row r="415" spans="1:7">
      <c r="A415" s="291" t="s">
        <v>464</v>
      </c>
    </row>
    <row r="416" spans="1:7">
      <c r="A416" s="291" t="s">
        <v>465</v>
      </c>
    </row>
    <row r="417" spans="1:7">
      <c r="A417" s="291" t="s">
        <v>466</v>
      </c>
    </row>
    <row r="418" spans="1:7">
      <c r="A418" s="291" t="s">
        <v>467</v>
      </c>
    </row>
    <row r="419" spans="1:7">
      <c r="A419" s="291" t="s">
        <v>468</v>
      </c>
    </row>
    <row r="420" spans="1:7">
      <c r="A420" s="291" t="s">
        <v>469</v>
      </c>
    </row>
    <row r="421" spans="1:7">
      <c r="A421" s="291" t="s">
        <v>470</v>
      </c>
    </row>
    <row r="422" spans="1:7">
      <c r="A422" s="291" t="s">
        <v>471</v>
      </c>
    </row>
    <row r="423" spans="1:7">
      <c r="A423" s="291" t="s">
        <v>472</v>
      </c>
    </row>
    <row r="424" spans="1:7">
      <c r="A424" s="296" t="s">
        <v>475</v>
      </c>
    </row>
    <row r="425" spans="1:7">
      <c r="A425" s="296" t="s">
        <v>476</v>
      </c>
    </row>
    <row r="426" spans="1:7">
      <c r="A426" s="296" t="s">
        <v>477</v>
      </c>
    </row>
    <row r="427" spans="1:7">
      <c r="A427" s="296" t="s">
        <v>478</v>
      </c>
      <c r="B427">
        <v>1</v>
      </c>
      <c r="C427">
        <v>1</v>
      </c>
      <c r="D427">
        <v>1</v>
      </c>
      <c r="F427">
        <v>0.75</v>
      </c>
      <c r="G427">
        <v>0.94</v>
      </c>
    </row>
    <row r="428" spans="1:7">
      <c r="A428" s="296" t="s">
        <v>479</v>
      </c>
      <c r="B428">
        <v>1</v>
      </c>
      <c r="C428">
        <v>1</v>
      </c>
      <c r="D428">
        <v>1</v>
      </c>
      <c r="F428">
        <v>0.75</v>
      </c>
      <c r="G428">
        <v>0.94</v>
      </c>
    </row>
    <row r="429" spans="1:7">
      <c r="A429" s="296" t="s">
        <v>480</v>
      </c>
      <c r="B429">
        <v>1</v>
      </c>
      <c r="C429">
        <v>1</v>
      </c>
      <c r="D429">
        <v>1</v>
      </c>
      <c r="F429">
        <v>0.75</v>
      </c>
      <c r="G429">
        <v>0.94</v>
      </c>
    </row>
    <row r="430" spans="1:7">
      <c r="A430" s="296" t="s">
        <v>481</v>
      </c>
    </row>
    <row r="431" spans="1:7">
      <c r="A431" s="296" t="s">
        <v>482</v>
      </c>
    </row>
    <row r="432" spans="1:7">
      <c r="A432" s="296" t="s">
        <v>483</v>
      </c>
    </row>
    <row r="433" spans="1:7">
      <c r="A433" s="296" t="s">
        <v>484</v>
      </c>
    </row>
    <row r="434" spans="1:7">
      <c r="A434" s="296" t="s">
        <v>486</v>
      </c>
      <c r="B434">
        <v>1</v>
      </c>
      <c r="C434">
        <v>0.5</v>
      </c>
      <c r="F434">
        <v>0.5</v>
      </c>
      <c r="G434">
        <v>0.67</v>
      </c>
    </row>
    <row r="435" spans="1:7">
      <c r="A435" s="296" t="s">
        <v>487</v>
      </c>
      <c r="B435">
        <v>1</v>
      </c>
      <c r="C435">
        <v>0.5</v>
      </c>
      <c r="F435">
        <v>0.5</v>
      </c>
      <c r="G435">
        <v>0.67</v>
      </c>
    </row>
    <row r="436" spans="1:7">
      <c r="A436" s="296" t="s">
        <v>488</v>
      </c>
    </row>
    <row r="437" spans="1:7">
      <c r="A437" s="296" t="s">
        <v>489</v>
      </c>
    </row>
    <row r="438" spans="1:7">
      <c r="A438" s="296" t="s">
        <v>568</v>
      </c>
    </row>
    <row r="439" spans="1:7">
      <c r="A439" s="296" t="s">
        <v>491</v>
      </c>
    </row>
    <row r="440" spans="1:7">
      <c r="A440" s="296" t="s">
        <v>492</v>
      </c>
    </row>
    <row r="441" spans="1:7">
      <c r="A441" s="296" t="s">
        <v>493</v>
      </c>
    </row>
    <row r="442" spans="1:7">
      <c r="A442" s="296" t="s">
        <v>494</v>
      </c>
    </row>
    <row r="443" spans="1:7">
      <c r="A443" s="296" t="s">
        <v>495</v>
      </c>
    </row>
    <row r="444" spans="1:7">
      <c r="A444" s="296" t="s">
        <v>496</v>
      </c>
      <c r="B444">
        <v>0.8</v>
      </c>
      <c r="F444">
        <v>0</v>
      </c>
      <c r="G444">
        <v>0.4</v>
      </c>
    </row>
    <row r="445" spans="1:7">
      <c r="A445" s="296" t="s">
        <v>497</v>
      </c>
    </row>
    <row r="446" spans="1:7">
      <c r="A446" s="296" t="s">
        <v>498</v>
      </c>
    </row>
    <row r="447" spans="1:7">
      <c r="A447" s="296" t="s">
        <v>499</v>
      </c>
    </row>
    <row r="448" spans="1:7">
      <c r="A448" s="296" t="s">
        <v>500</v>
      </c>
    </row>
    <row r="449" spans="1:1">
      <c r="A449" s="318" t="s">
        <v>501</v>
      </c>
    </row>
    <row r="450" spans="1:1">
      <c r="A450" s="318" t="s">
        <v>502</v>
      </c>
    </row>
    <row r="451" spans="1:1">
      <c r="A451" s="318" t="s">
        <v>503</v>
      </c>
    </row>
    <row r="452" spans="1:1">
      <c r="A452" s="318" t="s">
        <v>504</v>
      </c>
    </row>
    <row r="453" spans="1:1">
      <c r="A453" s="318" t="s">
        <v>505</v>
      </c>
    </row>
    <row r="454" spans="1:1">
      <c r="A454" s="318" t="s">
        <v>506</v>
      </c>
    </row>
    <row r="455" spans="1:1">
      <c r="A455" s="318" t="s">
        <v>507</v>
      </c>
    </row>
    <row r="456" spans="1:1">
      <c r="A456" s="318" t="s">
        <v>508</v>
      </c>
    </row>
    <row r="457" spans="1:1">
      <c r="A457" s="318" t="s">
        <v>509</v>
      </c>
    </row>
    <row r="458" spans="1:1">
      <c r="A458" s="318" t="s">
        <v>510</v>
      </c>
    </row>
    <row r="459" spans="1:1">
      <c r="A459" s="318" t="s">
        <v>511</v>
      </c>
    </row>
    <row r="460" spans="1:1">
      <c r="A460" s="318" t="s">
        <v>512</v>
      </c>
    </row>
    <row r="461" spans="1:1">
      <c r="A461" s="318" t="s">
        <v>513</v>
      </c>
    </row>
    <row r="462" spans="1:1">
      <c r="A462" s="318" t="s">
        <v>514</v>
      </c>
    </row>
    <row r="463" spans="1:1">
      <c r="A463" s="318" t="s">
        <v>515</v>
      </c>
    </row>
    <row r="464" spans="1:1">
      <c r="A464" s="318" t="s">
        <v>516</v>
      </c>
    </row>
    <row r="465" spans="1:7">
      <c r="A465" s="318" t="s">
        <v>517</v>
      </c>
    </row>
    <row r="466" spans="1:7">
      <c r="A466" s="327" t="s">
        <v>518</v>
      </c>
      <c r="G466"/>
    </row>
    <row r="467" spans="1:7">
      <c r="A467" s="327" t="s">
        <v>519</v>
      </c>
      <c r="G467"/>
    </row>
    <row r="468" spans="1:7">
      <c r="A468" s="327" t="s">
        <v>520</v>
      </c>
      <c r="G468"/>
    </row>
    <row r="469" spans="1:7">
      <c r="A469" s="327" t="s">
        <v>521</v>
      </c>
      <c r="G469"/>
    </row>
    <row r="470" spans="1:7">
      <c r="A470" s="327" t="s">
        <v>522</v>
      </c>
      <c r="G470"/>
    </row>
    <row r="471" spans="1:7">
      <c r="A471" s="327" t="s">
        <v>523</v>
      </c>
      <c r="G471"/>
    </row>
    <row r="472" spans="1:7">
      <c r="A472" s="327" t="s">
        <v>524</v>
      </c>
      <c r="G472"/>
    </row>
    <row r="473" spans="1:7">
      <c r="A473" s="327" t="s">
        <v>525</v>
      </c>
      <c r="G473"/>
    </row>
    <row r="474" spans="1:7">
      <c r="A474" s="327" t="s">
        <v>526</v>
      </c>
      <c r="G474"/>
    </row>
    <row r="475" spans="1:7">
      <c r="A475" s="327" t="s">
        <v>527</v>
      </c>
      <c r="G475"/>
    </row>
    <row r="476" spans="1:7">
      <c r="A476" s="327" t="s">
        <v>528</v>
      </c>
      <c r="G476"/>
    </row>
    <row r="477" spans="1:7">
      <c r="A477" s="327" t="s">
        <v>529</v>
      </c>
      <c r="G477"/>
    </row>
    <row r="478" spans="1:7">
      <c r="A478" s="327" t="s">
        <v>530</v>
      </c>
      <c r="G478"/>
    </row>
    <row r="479" spans="1:7">
      <c r="A479" s="327" t="s">
        <v>531</v>
      </c>
      <c r="G479"/>
    </row>
    <row r="480" spans="1:7">
      <c r="A480" s="327" t="s">
        <v>532</v>
      </c>
      <c r="G480"/>
    </row>
    <row r="481" spans="1:7">
      <c r="A481" s="327" t="s">
        <v>533</v>
      </c>
      <c r="G48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28"/>
  <sheetViews>
    <sheetView topLeftCell="A202" zoomScale="80" zoomScaleNormal="80" workbookViewId="0">
      <pane xSplit="1" topLeftCell="B1" activePane="topRight" state="frozen"/>
      <selection pane="topRight" activeCell="AE226" sqref="AE226"/>
    </sheetView>
  </sheetViews>
  <sheetFormatPr baseColWidth="10" defaultColWidth="11.42578125" defaultRowHeight="15"/>
  <cols>
    <col min="1" max="1" width="50.7109375" style="275" bestFit="1" customWidth="1"/>
    <col min="2" max="9" width="11.42578125" style="323" customWidth="1"/>
    <col min="10" max="10" width="11.42578125" style="306" customWidth="1"/>
    <col min="11" max="16" width="11.42578125" style="323" customWidth="1"/>
    <col min="17" max="17" width="11.42578125" style="307" customWidth="1"/>
    <col min="18" max="18" width="11.42578125" style="323" customWidth="1"/>
    <col min="19" max="19" width="11.42578125" style="307" customWidth="1"/>
    <col min="20" max="20" width="11.42578125" style="319" customWidth="1"/>
    <col min="21" max="21" width="11.42578125" style="312" customWidth="1"/>
    <col min="22" max="32" width="11.42578125" style="323" customWidth="1"/>
    <col min="33" max="33" width="11.42578125" style="307" customWidth="1"/>
    <col min="34" max="34" width="33" style="323" bestFit="1" customWidth="1"/>
    <col min="35" max="54" width="11.42578125" style="323" customWidth="1"/>
    <col min="55" max="16384" width="11.42578125" style="323"/>
  </cols>
  <sheetData>
    <row r="1" spans="1:39" s="85" customFormat="1" ht="57" customHeight="1">
      <c r="A1" s="174" t="s">
        <v>0</v>
      </c>
      <c r="B1" s="38" t="s">
        <v>2</v>
      </c>
      <c r="C1" s="38" t="s">
        <v>4</v>
      </c>
      <c r="D1" s="39" t="s">
        <v>5</v>
      </c>
      <c r="E1" s="38" t="s">
        <v>6</v>
      </c>
      <c r="F1" s="39" t="s">
        <v>7</v>
      </c>
      <c r="G1" s="38" t="s">
        <v>8</v>
      </c>
      <c r="H1" s="39" t="s">
        <v>9</v>
      </c>
      <c r="I1" s="38" t="s">
        <v>10</v>
      </c>
      <c r="J1" s="137" t="s">
        <v>2</v>
      </c>
      <c r="K1" s="38" t="s">
        <v>4</v>
      </c>
      <c r="L1" s="39" t="s">
        <v>5</v>
      </c>
      <c r="M1" s="38" t="s">
        <v>6</v>
      </c>
      <c r="N1" s="39" t="s">
        <v>7</v>
      </c>
      <c r="O1" s="38" t="s">
        <v>8</v>
      </c>
      <c r="P1" s="39" t="s">
        <v>9</v>
      </c>
      <c r="Q1" s="101" t="s">
        <v>10</v>
      </c>
      <c r="R1" s="101" t="s">
        <v>13</v>
      </c>
      <c r="S1" s="101" t="s">
        <v>14</v>
      </c>
      <c r="T1" s="43" t="s">
        <v>15</v>
      </c>
      <c r="U1" s="40" t="s">
        <v>16</v>
      </c>
      <c r="V1" s="41" t="s">
        <v>17</v>
      </c>
      <c r="W1" s="42" t="s">
        <v>18</v>
      </c>
      <c r="X1" s="43" t="s">
        <v>19</v>
      </c>
      <c r="Y1" s="43" t="s">
        <v>20</v>
      </c>
      <c r="Z1" s="43" t="s">
        <v>21</v>
      </c>
      <c r="AA1" s="43" t="s">
        <v>22</v>
      </c>
      <c r="AB1" s="43" t="s">
        <v>23</v>
      </c>
      <c r="AC1" s="37" t="s">
        <v>24</v>
      </c>
      <c r="AD1" s="37" t="s">
        <v>25</v>
      </c>
      <c r="AE1" s="42" t="s">
        <v>26</v>
      </c>
      <c r="AF1" s="37" t="s">
        <v>27</v>
      </c>
      <c r="AG1" s="44" t="s">
        <v>28</v>
      </c>
      <c r="AH1" s="41" t="s">
        <v>29</v>
      </c>
      <c r="AI1" s="46" t="s">
        <v>30</v>
      </c>
      <c r="AJ1" s="306" t="s">
        <v>31</v>
      </c>
      <c r="AL1" s="47"/>
      <c r="AM1" s="48"/>
    </row>
    <row r="2" spans="1:39" s="51" customFormat="1">
      <c r="A2" s="84" t="s">
        <v>32</v>
      </c>
      <c r="H2" s="51">
        <v>267.60000000000002</v>
      </c>
      <c r="J2" s="63"/>
      <c r="Q2" s="78"/>
      <c r="S2" s="78"/>
      <c r="T2" s="123">
        <v>8.8879999999999999</v>
      </c>
      <c r="U2" s="83">
        <v>0.25</v>
      </c>
      <c r="V2" s="89" t="e">
        <f t="shared" ref="V2:V65" si="0">(COUNT(J2:Q2)*(1/(COUNT(J2:Q2)+COUNTBLANK(J2:Q2)))+(IF(X2&lt;35,1,IF(X2&lt;70,0.5,IF(X2&gt;70,0)))))/2</f>
        <v>#DIV/0!</v>
      </c>
      <c r="W2" s="68" t="e">
        <f t="shared" ref="W2:W65" si="1">AVERAGE(U2:V2)</f>
        <v>#DIV/0!</v>
      </c>
      <c r="X2" s="69" t="e">
        <f t="shared" ref="X2:X65" si="2">((_xlfn.STDEV.P(J2:Q2))/(AVERAGE(J2:Q2)))*100</f>
        <v>#DIV/0!</v>
      </c>
      <c r="Y2" s="69">
        <f t="shared" ref="Y2:Y65" si="3">((_xlfn.STDEV.P(B2:I2))/(AVERAGE(B2:I2)))*100</f>
        <v>0</v>
      </c>
      <c r="Z2" s="70" t="e">
        <f t="shared" ref="Z2:Z65" si="4">(ABS((LARGE(J2:Q2,2) -MAX(J2:Q2))))/(ABS(MIN(J2:Q2)-MAX(J2:Q2)))</f>
        <v>#NUM!</v>
      </c>
      <c r="AA2" s="104" t="e">
        <f t="shared" ref="AA2:AA65" si="5">(ABS(MAX(J2:Q2)-AVERAGE(J2:Q2))/_xlfn.STDEV.P(J2:Q2))</f>
        <v>#DIV/0!</v>
      </c>
      <c r="AB2" s="311" t="e">
        <f>INDEX($AJ$3:AK12,MATCH(COUNTA(J2:Q2),$AJ$3:$AJ$12,0),2)</f>
        <v>#N/A</v>
      </c>
      <c r="AC2" s="107" t="e">
        <f t="shared" ref="AC2:AC65" si="6">AVERAGE(J2:Q2)</f>
        <v>#DIV/0!</v>
      </c>
      <c r="AD2" s="310" t="str">
        <f t="shared" ref="AD2:AD65" si="7">IF(AND(J2="",K2="",M2="",O2="",Q2=""),"n.d.", AC2/T2)</f>
        <v>n.d.</v>
      </c>
      <c r="AG2" s="78"/>
      <c r="AH2" s="148" t="s">
        <v>33</v>
      </c>
      <c r="AJ2" s="102" t="s">
        <v>34</v>
      </c>
      <c r="AK2" s="103" t="s">
        <v>35</v>
      </c>
    </row>
    <row r="3" spans="1:39">
      <c r="A3" s="84" t="s">
        <v>36</v>
      </c>
      <c r="B3">
        <v>191.85</v>
      </c>
      <c r="C3">
        <v>137.66999999999999</v>
      </c>
      <c r="H3">
        <v>231.28</v>
      </c>
      <c r="J3" s="306">
        <v>191.85</v>
      </c>
      <c r="K3">
        <v>137.66999999999999</v>
      </c>
      <c r="P3">
        <v>231.28</v>
      </c>
      <c r="T3" s="124">
        <v>8.9664000000000001</v>
      </c>
      <c r="U3" s="312">
        <v>0.3</v>
      </c>
      <c r="V3" s="87">
        <f t="shared" si="0"/>
        <v>0.6875</v>
      </c>
      <c r="W3" s="203">
        <f t="shared" si="1"/>
        <v>0.49375000000000002</v>
      </c>
      <c r="X3" s="49">
        <f t="shared" si="2"/>
        <v>20.528138811141332</v>
      </c>
      <c r="Y3" s="49">
        <f t="shared" si="3"/>
        <v>20.528138811141332</v>
      </c>
      <c r="Z3" s="50">
        <f t="shared" si="4"/>
        <v>0.42121568208524729</v>
      </c>
      <c r="AA3" s="105">
        <f t="shared" si="5"/>
        <v>1.1556455611825001</v>
      </c>
      <c r="AB3" s="311">
        <f>INDEX($AJ$3:AK13,MATCH(COUNTA(J3:Q3),$AJ$3:$AJ$12,0),2)</f>
        <v>1.1499999999999999</v>
      </c>
      <c r="AC3" s="108">
        <f t="shared" si="6"/>
        <v>186.93333333333331</v>
      </c>
      <c r="AD3" s="310">
        <f t="shared" si="7"/>
        <v>20.848203664049485</v>
      </c>
      <c r="AH3" s="147" t="s">
        <v>33</v>
      </c>
      <c r="AJ3" s="306">
        <v>3</v>
      </c>
      <c r="AK3">
        <v>1.1499999999999999</v>
      </c>
    </row>
    <row r="4" spans="1:39">
      <c r="A4" s="84" t="s">
        <v>37</v>
      </c>
      <c r="B4">
        <v>89.79</v>
      </c>
      <c r="C4">
        <v>85.4</v>
      </c>
      <c r="D4">
        <v>12.96</v>
      </c>
      <c r="F4">
        <v>462.62</v>
      </c>
      <c r="G4">
        <v>31.84</v>
      </c>
      <c r="H4">
        <v>143.97999999999999</v>
      </c>
      <c r="I4">
        <v>116.79</v>
      </c>
      <c r="J4" s="306">
        <v>89.79</v>
      </c>
      <c r="K4">
        <v>85.4</v>
      </c>
      <c r="L4">
        <v>12.96</v>
      </c>
      <c r="O4">
        <v>31.84</v>
      </c>
      <c r="T4" s="124">
        <v>4.3002000000000002</v>
      </c>
      <c r="U4" s="312">
        <v>0.5</v>
      </c>
      <c r="V4" s="87">
        <f t="shared" si="0"/>
        <v>0.5</v>
      </c>
      <c r="W4" s="203">
        <f t="shared" si="1"/>
        <v>0.5</v>
      </c>
      <c r="X4" s="49">
        <f t="shared" si="2"/>
        <v>60.566572756386414</v>
      </c>
      <c r="Y4" s="49">
        <f t="shared" si="3"/>
        <v>104.10361816413418</v>
      </c>
      <c r="Z4" s="50">
        <f t="shared" si="4"/>
        <v>5.7139138357412467E-2</v>
      </c>
      <c r="AA4" s="105">
        <f t="shared" si="5"/>
        <v>1.0445029918974567</v>
      </c>
      <c r="AB4" s="311">
        <f>INDEX($AJ$3:AK14,MATCH(COUNTA(J4:Q4),$AJ$3:$AJ$12,0),2)</f>
        <v>1.49</v>
      </c>
      <c r="AC4" s="108">
        <f t="shared" si="6"/>
        <v>54.997500000000002</v>
      </c>
      <c r="AD4" s="310">
        <f t="shared" si="7"/>
        <v>12.789521417608483</v>
      </c>
      <c r="AH4" s="147" t="s">
        <v>33</v>
      </c>
      <c r="AJ4" s="306">
        <v>4</v>
      </c>
      <c r="AK4">
        <v>1.49</v>
      </c>
    </row>
    <row r="5" spans="1:39">
      <c r="A5" s="84" t="s">
        <v>38</v>
      </c>
      <c r="B5">
        <v>85.08</v>
      </c>
      <c r="C5">
        <v>38.46</v>
      </c>
      <c r="F5">
        <v>113.81</v>
      </c>
      <c r="H5">
        <v>11.93</v>
      </c>
      <c r="J5" s="306">
        <v>85.08</v>
      </c>
      <c r="K5">
        <v>38.46</v>
      </c>
      <c r="P5">
        <v>11.93</v>
      </c>
      <c r="T5" s="124">
        <v>7.8087999999999997</v>
      </c>
      <c r="U5" s="312">
        <v>0.77</v>
      </c>
      <c r="V5" s="87">
        <f t="shared" si="0"/>
        <v>0.4375</v>
      </c>
      <c r="W5" s="203">
        <f t="shared" si="1"/>
        <v>0.60375000000000001</v>
      </c>
      <c r="X5" s="49">
        <f t="shared" si="2"/>
        <v>66.959001213424941</v>
      </c>
      <c r="Y5" s="49">
        <f t="shared" si="3"/>
        <v>63.568574384288276</v>
      </c>
      <c r="Z5" s="50">
        <f t="shared" si="4"/>
        <v>0.63732057416267929</v>
      </c>
      <c r="AA5" s="105">
        <f t="shared" si="5"/>
        <v>1.3203709230727725</v>
      </c>
      <c r="AB5" s="311">
        <f>INDEX($AJ$3:AK15,MATCH(COUNTA(J5:Q5),$AJ$3:$AJ$12,0),2)</f>
        <v>1.1499999999999999</v>
      </c>
      <c r="AC5" s="108">
        <f t="shared" si="6"/>
        <v>45.156666666666666</v>
      </c>
      <c r="AD5" s="310">
        <f t="shared" si="7"/>
        <v>5.7827920636546803</v>
      </c>
      <c r="AH5" s="147" t="s">
        <v>33</v>
      </c>
      <c r="AJ5" s="306">
        <v>5</v>
      </c>
      <c r="AK5">
        <v>1.75</v>
      </c>
    </row>
    <row r="6" spans="1:39">
      <c r="A6" s="84" t="s">
        <v>39</v>
      </c>
      <c r="B6">
        <v>74.19</v>
      </c>
      <c r="C6">
        <v>30.34</v>
      </c>
      <c r="F6">
        <v>104.79</v>
      </c>
      <c r="H6">
        <v>19.829999999999998</v>
      </c>
      <c r="J6" s="306">
        <v>74.19</v>
      </c>
      <c r="K6">
        <v>30.34</v>
      </c>
      <c r="P6">
        <v>19.829999999999998</v>
      </c>
      <c r="T6" s="124">
        <v>6.5256999999999996</v>
      </c>
      <c r="U6" s="312">
        <v>0.57999999999999996</v>
      </c>
      <c r="V6" s="87">
        <f t="shared" si="0"/>
        <v>0.4375</v>
      </c>
      <c r="W6" s="203">
        <f t="shared" si="1"/>
        <v>0.50875000000000004</v>
      </c>
      <c r="X6" s="49">
        <f t="shared" si="2"/>
        <v>56.793054801889021</v>
      </c>
      <c r="Y6" s="49">
        <f t="shared" si="3"/>
        <v>59.653278415679289</v>
      </c>
      <c r="Z6" s="50">
        <f t="shared" si="4"/>
        <v>0.80665930831493737</v>
      </c>
      <c r="AA6" s="105">
        <f t="shared" si="5"/>
        <v>1.3905280962248978</v>
      </c>
      <c r="AB6" s="311">
        <f>INDEX($AJ$3:AK16,MATCH(COUNTA(J6:Q6),$AJ$3:$AJ$12,0),2)</f>
        <v>1.1499999999999999</v>
      </c>
      <c r="AC6" s="108">
        <f t="shared" si="6"/>
        <v>41.453333333333333</v>
      </c>
      <c r="AD6" s="310">
        <f t="shared" si="7"/>
        <v>6.3523198022178979</v>
      </c>
      <c r="AH6" s="147" t="s">
        <v>33</v>
      </c>
      <c r="AJ6" s="306">
        <v>6</v>
      </c>
      <c r="AK6">
        <v>1.94</v>
      </c>
    </row>
    <row r="7" spans="1:39">
      <c r="A7" s="84" t="s">
        <v>40</v>
      </c>
      <c r="B7">
        <v>81.38</v>
      </c>
      <c r="C7">
        <v>47.16</v>
      </c>
      <c r="D7">
        <v>5.39</v>
      </c>
      <c r="F7">
        <v>34.4</v>
      </c>
      <c r="H7">
        <v>36.9</v>
      </c>
      <c r="J7" s="306">
        <v>81.38</v>
      </c>
      <c r="K7">
        <v>47.16</v>
      </c>
      <c r="L7">
        <v>5.39</v>
      </c>
      <c r="N7">
        <v>34.4</v>
      </c>
      <c r="P7">
        <v>36.9</v>
      </c>
      <c r="T7" s="124">
        <v>8.0249000000000006</v>
      </c>
      <c r="U7" s="312">
        <v>0.59</v>
      </c>
      <c r="V7" s="87">
        <f t="shared" si="0"/>
        <v>0.5625</v>
      </c>
      <c r="W7" s="203">
        <f t="shared" si="1"/>
        <v>0.57624999999999993</v>
      </c>
      <c r="X7" s="49">
        <f t="shared" si="2"/>
        <v>59.646071139818822</v>
      </c>
      <c r="Y7" s="49">
        <f t="shared" si="3"/>
        <v>59.646071139818822</v>
      </c>
      <c r="Z7" s="50">
        <f t="shared" si="4"/>
        <v>0.45032241084353208</v>
      </c>
      <c r="AA7" s="105">
        <f t="shared" si="5"/>
        <v>1.6474741577588203</v>
      </c>
      <c r="AB7" s="311">
        <f>INDEX($AJ$3:AK17,MATCH(COUNTA(J7:Q7),$AJ$3:$AJ$12,0),2)</f>
        <v>1.75</v>
      </c>
      <c r="AC7" s="108">
        <f t="shared" si="6"/>
        <v>41.045999999999999</v>
      </c>
      <c r="AD7" s="310">
        <f t="shared" si="7"/>
        <v>5.1148300913407017</v>
      </c>
      <c r="AH7" s="147" t="s">
        <v>33</v>
      </c>
      <c r="AJ7" s="306">
        <v>7</v>
      </c>
      <c r="AK7">
        <v>2.1</v>
      </c>
    </row>
    <row r="8" spans="1:39">
      <c r="A8" s="84" t="s">
        <v>41</v>
      </c>
      <c r="B8">
        <v>149.99</v>
      </c>
      <c r="C8">
        <v>78.680000000000007</v>
      </c>
      <c r="D8">
        <v>29.08</v>
      </c>
      <c r="E8">
        <v>16.77</v>
      </c>
      <c r="F8">
        <v>80.27</v>
      </c>
      <c r="H8">
        <v>80.98</v>
      </c>
      <c r="I8">
        <v>88.5</v>
      </c>
      <c r="K8">
        <v>78.680000000000007</v>
      </c>
      <c r="L8">
        <v>29.08</v>
      </c>
      <c r="M8">
        <v>16.77</v>
      </c>
      <c r="N8">
        <v>80.27</v>
      </c>
      <c r="P8">
        <v>80.98</v>
      </c>
      <c r="Q8" s="307">
        <v>88.5</v>
      </c>
      <c r="T8" s="124">
        <v>7.6868999999999996</v>
      </c>
      <c r="U8" s="312">
        <v>0.75</v>
      </c>
      <c r="V8" s="87">
        <f t="shared" si="0"/>
        <v>0.625</v>
      </c>
      <c r="W8" s="203">
        <f t="shared" si="1"/>
        <v>0.6875</v>
      </c>
      <c r="X8" s="49">
        <f t="shared" si="2"/>
        <v>45.356617535892212</v>
      </c>
      <c r="Y8" s="49">
        <f t="shared" si="3"/>
        <v>53.840088379719987</v>
      </c>
      <c r="Z8" s="50">
        <f t="shared" si="4"/>
        <v>0.1048375853896556</v>
      </c>
      <c r="AA8" s="105">
        <f t="shared" si="5"/>
        <v>0.92318160553444895</v>
      </c>
      <c r="AB8" s="311">
        <f>INDEX($AJ$3:AK18,MATCH(COUNTA(J8:Q8),$AJ$3:$AJ$12,0),2)</f>
        <v>1.94</v>
      </c>
      <c r="AC8" s="108">
        <f t="shared" si="6"/>
        <v>62.38</v>
      </c>
      <c r="AD8" s="310">
        <f t="shared" si="7"/>
        <v>8.1151049187578881</v>
      </c>
      <c r="AH8" s="147" t="s">
        <v>42</v>
      </c>
      <c r="AJ8" s="306">
        <v>8</v>
      </c>
      <c r="AK8">
        <v>2.2200000000000002</v>
      </c>
    </row>
    <row r="9" spans="1:39">
      <c r="A9" s="84" t="s">
        <v>43</v>
      </c>
      <c r="B9">
        <v>273.29000000000002</v>
      </c>
      <c r="C9">
        <v>118.63</v>
      </c>
      <c r="E9">
        <v>55.64</v>
      </c>
      <c r="F9">
        <v>208.02</v>
      </c>
      <c r="H9">
        <v>109.33</v>
      </c>
      <c r="I9">
        <v>193.77</v>
      </c>
      <c r="J9" s="306">
        <v>273.29000000000002</v>
      </c>
      <c r="K9">
        <v>118.63</v>
      </c>
      <c r="N9">
        <v>208.02</v>
      </c>
      <c r="P9">
        <v>109.33</v>
      </c>
      <c r="Q9" s="307">
        <v>193.77</v>
      </c>
      <c r="T9" s="124">
        <v>7.1997</v>
      </c>
      <c r="U9" s="312">
        <v>0.62</v>
      </c>
      <c r="V9" s="87">
        <f t="shared" si="0"/>
        <v>0.8125</v>
      </c>
      <c r="W9" s="203">
        <f t="shared" si="1"/>
        <v>0.71625000000000005</v>
      </c>
      <c r="X9" s="49">
        <f t="shared" si="2"/>
        <v>33.621453629000257</v>
      </c>
      <c r="Y9" s="49">
        <f t="shared" si="3"/>
        <v>45.312334962404641</v>
      </c>
      <c r="Z9" s="50">
        <f t="shared" si="4"/>
        <v>0.39808489875579406</v>
      </c>
      <c r="AA9" s="105">
        <f t="shared" si="5"/>
        <v>1.5263071097382579</v>
      </c>
      <c r="AB9" s="311">
        <f>INDEX($AJ$3:AK19,MATCH(COUNTA(J9:Q9),$AJ$3:$AJ$12,0),2)</f>
        <v>1.75</v>
      </c>
      <c r="AC9" s="108">
        <f t="shared" si="6"/>
        <v>180.608</v>
      </c>
      <c r="AD9" s="310">
        <f t="shared" si="7"/>
        <v>25.085489673180827</v>
      </c>
      <c r="AH9" s="147" t="s">
        <v>42</v>
      </c>
      <c r="AJ9" s="306">
        <v>9</v>
      </c>
      <c r="AK9">
        <v>2.3199999999999998</v>
      </c>
    </row>
    <row r="10" spans="1:39">
      <c r="A10" s="84" t="s">
        <v>44</v>
      </c>
      <c r="B10">
        <v>90.47</v>
      </c>
      <c r="C10">
        <v>37.18</v>
      </c>
      <c r="E10">
        <v>18.52</v>
      </c>
      <c r="F10">
        <v>7.05</v>
      </c>
      <c r="H10">
        <v>37.32</v>
      </c>
      <c r="I10">
        <v>65.02</v>
      </c>
      <c r="J10" s="306">
        <v>90.47</v>
      </c>
      <c r="K10">
        <v>37.18</v>
      </c>
      <c r="M10">
        <v>18.52</v>
      </c>
      <c r="P10">
        <v>37.32</v>
      </c>
      <c r="Q10" s="307">
        <v>65.02</v>
      </c>
      <c r="T10" s="124">
        <v>5.3699000000000003</v>
      </c>
      <c r="U10" s="312">
        <v>0.67</v>
      </c>
      <c r="V10" s="87">
        <f t="shared" si="0"/>
        <v>0.5625</v>
      </c>
      <c r="W10" s="203">
        <f t="shared" si="1"/>
        <v>0.61624999999999996</v>
      </c>
      <c r="X10" s="49">
        <f t="shared" si="2"/>
        <v>50.733333218764841</v>
      </c>
      <c r="Y10" s="49">
        <f t="shared" si="3"/>
        <v>65.675746515606065</v>
      </c>
      <c r="Z10" s="50">
        <f t="shared" si="4"/>
        <v>0.35371785962473945</v>
      </c>
      <c r="AA10" s="105">
        <f t="shared" si="5"/>
        <v>1.6167845282481865</v>
      </c>
      <c r="AB10" s="311">
        <f>INDEX($AJ$3:AK20,MATCH(COUNTA(J10:Q10),$AJ$3:$AJ$12,0),2)</f>
        <v>1.75</v>
      </c>
      <c r="AC10" s="108">
        <f t="shared" si="6"/>
        <v>49.701999999999998</v>
      </c>
      <c r="AD10" s="310">
        <f t="shared" si="7"/>
        <v>9.2556658410771142</v>
      </c>
      <c r="AH10" s="147" t="s">
        <v>42</v>
      </c>
      <c r="AJ10" s="306">
        <v>10</v>
      </c>
      <c r="AK10">
        <v>2.41</v>
      </c>
    </row>
    <row r="11" spans="1:39">
      <c r="A11" s="84" t="s">
        <v>45</v>
      </c>
      <c r="B11">
        <v>388.83</v>
      </c>
      <c r="C11">
        <v>411.79</v>
      </c>
      <c r="D11">
        <v>145.01</v>
      </c>
      <c r="E11">
        <v>224.58</v>
      </c>
      <c r="F11">
        <v>700.79</v>
      </c>
      <c r="G11">
        <v>535.51</v>
      </c>
      <c r="H11">
        <v>317.27</v>
      </c>
      <c r="I11">
        <v>411.45</v>
      </c>
      <c r="J11" s="306">
        <v>388.83</v>
      </c>
      <c r="K11">
        <v>411.79</v>
      </c>
      <c r="L11">
        <v>145.01</v>
      </c>
      <c r="M11">
        <v>224.58</v>
      </c>
      <c r="O11">
        <v>535.51</v>
      </c>
      <c r="P11">
        <v>317.27</v>
      </c>
      <c r="Q11" s="307">
        <v>411.45</v>
      </c>
      <c r="T11" s="124">
        <v>5.4539999999999997</v>
      </c>
      <c r="U11" s="312">
        <v>0.82</v>
      </c>
      <c r="V11" s="87">
        <f t="shared" si="0"/>
        <v>0.9375</v>
      </c>
      <c r="W11" s="203">
        <f t="shared" si="1"/>
        <v>0.87874999999999992</v>
      </c>
      <c r="X11" s="49">
        <f t="shared" si="2"/>
        <v>34.761247584881495</v>
      </c>
      <c r="Y11" s="49">
        <f t="shared" si="3"/>
        <v>41.473525504568485</v>
      </c>
      <c r="Z11" s="50">
        <f t="shared" si="4"/>
        <v>0.31682458386683732</v>
      </c>
      <c r="AA11" s="105">
        <f t="shared" si="5"/>
        <v>1.5529014649255388</v>
      </c>
      <c r="AB11" s="311">
        <f>INDEX($AJ$3:AK21,MATCH(COUNTA(J11:Q11),$AJ$3:$AJ$12,0),2)</f>
        <v>2.1</v>
      </c>
      <c r="AC11" s="108">
        <f t="shared" si="6"/>
        <v>347.77714285714285</v>
      </c>
      <c r="AD11" s="310">
        <f t="shared" si="7"/>
        <v>63.765519409083765</v>
      </c>
      <c r="AH11" s="147" t="s">
        <v>46</v>
      </c>
      <c r="AJ11" s="306">
        <v>11</v>
      </c>
      <c r="AK11">
        <v>2.48</v>
      </c>
    </row>
    <row r="12" spans="1:39">
      <c r="A12" s="235" t="s">
        <v>47</v>
      </c>
      <c r="B12">
        <v>746.4</v>
      </c>
      <c r="C12">
        <v>535.51</v>
      </c>
      <c r="D12">
        <v>319.5</v>
      </c>
      <c r="E12">
        <v>247.84</v>
      </c>
      <c r="F12">
        <v>1356.49</v>
      </c>
      <c r="G12">
        <v>583.87</v>
      </c>
      <c r="H12">
        <v>300.89</v>
      </c>
      <c r="I12">
        <v>484.88</v>
      </c>
      <c r="J12" s="306">
        <v>746.4</v>
      </c>
      <c r="K12">
        <v>535.51</v>
      </c>
      <c r="L12">
        <v>319.5</v>
      </c>
      <c r="M12">
        <v>247.84</v>
      </c>
      <c r="O12">
        <v>583.87</v>
      </c>
      <c r="P12">
        <v>300.89</v>
      </c>
      <c r="Q12" s="307">
        <v>484.88</v>
      </c>
      <c r="T12" s="124">
        <v>10.198399999999999</v>
      </c>
      <c r="U12" s="312">
        <v>0.82</v>
      </c>
      <c r="V12" s="87">
        <f t="shared" si="0"/>
        <v>0.6875</v>
      </c>
      <c r="W12" s="203">
        <f t="shared" si="1"/>
        <v>0.75374999999999992</v>
      </c>
      <c r="X12" s="49">
        <f t="shared" si="2"/>
        <v>36.180293172749707</v>
      </c>
      <c r="Y12" s="49">
        <f t="shared" si="3"/>
        <v>58.556059038839436</v>
      </c>
      <c r="Z12" s="50">
        <f t="shared" si="4"/>
        <v>0.32599887676508343</v>
      </c>
      <c r="AA12" s="105">
        <f t="shared" si="5"/>
        <v>1.7223968640531886</v>
      </c>
      <c r="AB12" s="311">
        <f>INDEX($AJ$3:AK22,MATCH(COUNTA(J12:Q12),$AJ$3:$AJ$12,0),2)</f>
        <v>2.1</v>
      </c>
      <c r="AC12" s="108">
        <f t="shared" si="6"/>
        <v>459.84142857142854</v>
      </c>
      <c r="AD12" s="310">
        <f t="shared" si="7"/>
        <v>45.089565870276566</v>
      </c>
      <c r="AH12" s="147" t="s">
        <v>46</v>
      </c>
      <c r="AJ12" s="306">
        <v>12</v>
      </c>
      <c r="AK12">
        <v>2.5499999999999998</v>
      </c>
    </row>
    <row r="13" spans="1:39" s="51" customFormat="1">
      <c r="A13" s="86" t="s">
        <v>48</v>
      </c>
      <c r="B13" s="51">
        <v>137.53</v>
      </c>
      <c r="C13" s="51">
        <v>145.34</v>
      </c>
      <c r="D13" s="51">
        <v>31.05</v>
      </c>
      <c r="E13" s="51">
        <v>23.46</v>
      </c>
      <c r="F13" s="51">
        <v>267.91000000000003</v>
      </c>
      <c r="H13" s="51">
        <v>80.209999999999994</v>
      </c>
      <c r="I13" s="51">
        <v>75.31</v>
      </c>
      <c r="J13" s="63"/>
      <c r="L13" s="51">
        <v>31.05</v>
      </c>
      <c r="M13" s="51">
        <v>23.46</v>
      </c>
      <c r="P13" s="51">
        <v>80.209999999999994</v>
      </c>
      <c r="Q13" s="78">
        <v>75.31</v>
      </c>
      <c r="S13" s="78"/>
      <c r="T13" s="123">
        <v>8.5540000000000003</v>
      </c>
      <c r="U13" s="83">
        <v>0.52</v>
      </c>
      <c r="V13" s="89">
        <f t="shared" si="0"/>
        <v>0.5</v>
      </c>
      <c r="W13" s="68">
        <f t="shared" si="1"/>
        <v>0.51</v>
      </c>
      <c r="X13" s="69">
        <f t="shared" si="2"/>
        <v>48.47631945682533</v>
      </c>
      <c r="Y13" s="69">
        <f t="shared" si="3"/>
        <v>71.896460704623934</v>
      </c>
      <c r="Z13" s="70">
        <f t="shared" si="4"/>
        <v>8.6343612334801617E-2</v>
      </c>
      <c r="AA13" s="104">
        <f t="shared" si="5"/>
        <v>1.0883485016871914</v>
      </c>
      <c r="AB13" s="311">
        <f>INDEX($AJ$3:AK23,MATCH(COUNTA(J13:Q13),$AJ$3:$AJ$12,0),2)</f>
        <v>1.49</v>
      </c>
      <c r="AC13" s="107">
        <f t="shared" si="6"/>
        <v>52.5075</v>
      </c>
      <c r="AD13" s="310">
        <f t="shared" si="7"/>
        <v>6.1383563245265371</v>
      </c>
      <c r="AG13" s="78"/>
      <c r="AH13" s="148" t="s">
        <v>49</v>
      </c>
    </row>
    <row r="14" spans="1:39">
      <c r="A14" s="86" t="s">
        <v>50</v>
      </c>
      <c r="B14">
        <v>117.52</v>
      </c>
      <c r="C14">
        <v>84.03</v>
      </c>
      <c r="E14">
        <v>7.86</v>
      </c>
      <c r="F14">
        <v>161.32</v>
      </c>
      <c r="H14">
        <v>104.54</v>
      </c>
      <c r="J14" s="306">
        <v>117.52</v>
      </c>
      <c r="K14">
        <v>84.03</v>
      </c>
      <c r="N14">
        <v>161.32</v>
      </c>
      <c r="P14">
        <v>104.54</v>
      </c>
      <c r="T14" s="124">
        <v>7.1116999999999999</v>
      </c>
      <c r="U14" s="312">
        <v>0.42</v>
      </c>
      <c r="V14" s="87">
        <f t="shared" si="0"/>
        <v>0.75</v>
      </c>
      <c r="W14" s="203">
        <f t="shared" si="1"/>
        <v>0.58499999999999996</v>
      </c>
      <c r="X14" s="49">
        <f t="shared" si="2"/>
        <v>24.23050130841284</v>
      </c>
      <c r="Y14" s="49">
        <f t="shared" si="3"/>
        <v>53.042131643725362</v>
      </c>
      <c r="Z14" s="50">
        <f t="shared" si="4"/>
        <v>0.56669685599689479</v>
      </c>
      <c r="AA14" s="105">
        <f t="shared" si="5"/>
        <v>1.5705157857439631</v>
      </c>
      <c r="AB14" s="311">
        <f>INDEX($AJ$3:AK24,MATCH(COUNTA(J14:Q14),$AJ$3:$AJ$12,0),2)</f>
        <v>1.49</v>
      </c>
      <c r="AC14" s="108">
        <f t="shared" si="6"/>
        <v>116.85250000000001</v>
      </c>
      <c r="AD14" s="310">
        <f t="shared" si="7"/>
        <v>16.431022118480815</v>
      </c>
      <c r="AH14" s="147" t="s">
        <v>49</v>
      </c>
    </row>
    <row r="15" spans="1:39">
      <c r="A15" s="236" t="s">
        <v>51</v>
      </c>
      <c r="B15">
        <v>114.27</v>
      </c>
      <c r="C15">
        <v>99.88</v>
      </c>
      <c r="D15">
        <v>19.45</v>
      </c>
      <c r="F15">
        <v>214.37</v>
      </c>
      <c r="H15">
        <v>56.85</v>
      </c>
      <c r="J15" s="306">
        <v>114.27</v>
      </c>
      <c r="K15">
        <v>99.88</v>
      </c>
      <c r="L15">
        <v>19.45</v>
      </c>
      <c r="P15">
        <v>56.85</v>
      </c>
      <c r="T15" s="124">
        <v>7.8148999999999997</v>
      </c>
      <c r="U15" s="312">
        <v>0.52</v>
      </c>
      <c r="V15" s="87">
        <f t="shared" si="0"/>
        <v>0.5</v>
      </c>
      <c r="W15" s="203">
        <f t="shared" si="1"/>
        <v>0.51</v>
      </c>
      <c r="X15" s="49">
        <f t="shared" si="2"/>
        <v>51.315055800547512</v>
      </c>
      <c r="Y15" s="49">
        <f t="shared" si="3"/>
        <v>65.143925590154964</v>
      </c>
      <c r="Z15" s="50">
        <f t="shared" si="4"/>
        <v>0.15176123180763554</v>
      </c>
      <c r="AA15" s="105">
        <f t="shared" si="5"/>
        <v>1.1179876549534844</v>
      </c>
      <c r="AB15" s="311">
        <f>INDEX($AJ$3:AK25,MATCH(COUNTA(J15:Q15),$AJ$3:$AJ$12,0),2)</f>
        <v>1.49</v>
      </c>
      <c r="AC15" s="108">
        <f t="shared" si="6"/>
        <v>72.612499999999997</v>
      </c>
      <c r="AD15" s="310">
        <f t="shared" si="7"/>
        <v>9.2915456371802581</v>
      </c>
      <c r="AH15" s="131" t="s">
        <v>49</v>
      </c>
    </row>
    <row r="16" spans="1:39" s="51" customFormat="1">
      <c r="A16" s="237" t="s">
        <v>52</v>
      </c>
      <c r="B16" s="51">
        <v>113.86</v>
      </c>
      <c r="C16" s="51">
        <v>38.71</v>
      </c>
      <c r="D16" s="51">
        <v>47.06</v>
      </c>
      <c r="E16" s="51">
        <v>68.67</v>
      </c>
      <c r="H16" s="51">
        <v>31.55</v>
      </c>
      <c r="I16" s="51">
        <v>83.3</v>
      </c>
      <c r="J16" s="63"/>
      <c r="K16" s="51">
        <v>38.71</v>
      </c>
      <c r="L16" s="51">
        <v>47.06</v>
      </c>
      <c r="M16" s="51">
        <v>68.67</v>
      </c>
      <c r="P16" s="51">
        <v>31.55</v>
      </c>
      <c r="Q16" s="78">
        <v>83.3</v>
      </c>
      <c r="S16" s="78"/>
      <c r="T16" s="123">
        <v>5.2794999999999996</v>
      </c>
      <c r="U16" s="83">
        <v>0.63</v>
      </c>
      <c r="V16" s="87">
        <f t="shared" si="0"/>
        <v>0.5625</v>
      </c>
      <c r="W16" s="203">
        <f t="shared" si="1"/>
        <v>0.59624999999999995</v>
      </c>
      <c r="X16" s="49">
        <f t="shared" si="2"/>
        <v>35.807046902359282</v>
      </c>
      <c r="Y16" s="49">
        <f t="shared" si="3"/>
        <v>44.567028939257582</v>
      </c>
      <c r="Z16" s="50">
        <f t="shared" si="4"/>
        <v>0.28270531400966176</v>
      </c>
      <c r="AA16" s="105">
        <f t="shared" si="5"/>
        <v>1.5266819862274437</v>
      </c>
      <c r="AB16" s="311">
        <f>INDEX($AJ$3:AK26,MATCH(COUNTA(J16:Q16),$AJ$3:$AJ$12,0),2)</f>
        <v>1.75</v>
      </c>
      <c r="AC16" s="108">
        <f t="shared" si="6"/>
        <v>53.858000000000004</v>
      </c>
      <c r="AD16" s="310">
        <f t="shared" si="7"/>
        <v>10.201344824320486</v>
      </c>
      <c r="AG16" s="78"/>
      <c r="AH16" s="147" t="s">
        <v>46</v>
      </c>
    </row>
    <row r="17" spans="1:34">
      <c r="A17" s="237" t="s">
        <v>53</v>
      </c>
      <c r="B17">
        <v>89.33</v>
      </c>
      <c r="C17">
        <v>24.27</v>
      </c>
      <c r="D17">
        <v>76.5</v>
      </c>
      <c r="E17">
        <v>48.5</v>
      </c>
      <c r="H17">
        <v>52.15</v>
      </c>
      <c r="I17">
        <v>63.5</v>
      </c>
      <c r="J17" s="306">
        <v>89.33</v>
      </c>
      <c r="K17">
        <v>24.27</v>
      </c>
      <c r="L17">
        <v>76.5</v>
      </c>
      <c r="M17">
        <v>48.5</v>
      </c>
      <c r="P17">
        <v>52.15</v>
      </c>
      <c r="Q17" s="307">
        <v>63.5</v>
      </c>
      <c r="T17" s="124">
        <v>4.8700999999999999</v>
      </c>
      <c r="U17" s="312">
        <v>0.75</v>
      </c>
      <c r="V17" s="87">
        <f t="shared" si="0"/>
        <v>0.625</v>
      </c>
      <c r="W17" s="203">
        <f t="shared" si="1"/>
        <v>0.6875</v>
      </c>
      <c r="X17" s="49">
        <f t="shared" si="2"/>
        <v>35.323579847543655</v>
      </c>
      <c r="Y17" s="49">
        <f t="shared" si="3"/>
        <v>35.323579847543655</v>
      </c>
      <c r="Z17" s="50">
        <f t="shared" si="4"/>
        <v>0.19720258223178602</v>
      </c>
      <c r="AA17" s="105">
        <f t="shared" si="5"/>
        <v>1.4522856870617293</v>
      </c>
      <c r="AB17" s="311">
        <f>INDEX($AJ$3:AK27,MATCH(COUNTA(J17:Q17),$AJ$3:$AJ$12,0),2)</f>
        <v>1.94</v>
      </c>
      <c r="AC17" s="108">
        <f t="shared" si="6"/>
        <v>59.041666666666664</v>
      </c>
      <c r="AD17" s="310">
        <f t="shared" si="7"/>
        <v>12.123296578441236</v>
      </c>
      <c r="AH17" s="147" t="s">
        <v>46</v>
      </c>
    </row>
    <row r="18" spans="1:34" s="85" customFormat="1">
      <c r="A18" s="237" t="s">
        <v>54</v>
      </c>
      <c r="B18" s="85">
        <v>210.16</v>
      </c>
      <c r="C18" s="85">
        <v>82.13</v>
      </c>
      <c r="D18" s="85">
        <v>102.04</v>
      </c>
      <c r="E18" s="85">
        <v>155.71</v>
      </c>
      <c r="F18" s="85">
        <v>83.46</v>
      </c>
      <c r="G18" s="85">
        <v>66.87</v>
      </c>
      <c r="H18" s="85">
        <v>74.709999999999994</v>
      </c>
      <c r="I18" s="85">
        <v>130.6</v>
      </c>
      <c r="J18" s="10"/>
      <c r="K18" s="85">
        <v>82.13</v>
      </c>
      <c r="L18" s="85">
        <v>102.04</v>
      </c>
      <c r="M18" s="85">
        <v>155.71</v>
      </c>
      <c r="N18" s="85">
        <v>83.46</v>
      </c>
      <c r="O18" s="85">
        <v>66.87</v>
      </c>
      <c r="P18" s="85">
        <v>74.709999999999994</v>
      </c>
      <c r="Q18" s="96">
        <v>130.6</v>
      </c>
      <c r="S18" s="96"/>
      <c r="T18" s="125">
        <v>9.1433999999999997</v>
      </c>
      <c r="U18" s="120">
        <v>0.65</v>
      </c>
      <c r="V18" s="97">
        <f t="shared" si="0"/>
        <v>0.9375</v>
      </c>
      <c r="W18" s="98">
        <f t="shared" si="1"/>
        <v>0.79374999999999996</v>
      </c>
      <c r="X18" s="99">
        <f t="shared" si="2"/>
        <v>30.363725774457436</v>
      </c>
      <c r="Y18" s="99">
        <f t="shared" si="3"/>
        <v>40.854365348247256</v>
      </c>
      <c r="Z18" s="100">
        <f t="shared" si="4"/>
        <v>0.2826429536244936</v>
      </c>
      <c r="AA18" s="106">
        <f t="shared" si="5"/>
        <v>1.8677866933797378</v>
      </c>
      <c r="AB18" s="311">
        <f>INDEX($AJ$3:AK28,MATCH(COUNTA(J18:Q18),$AJ$3:$AJ$12,0),2)</f>
        <v>2.1</v>
      </c>
      <c r="AC18" s="109">
        <f t="shared" si="6"/>
        <v>99.36</v>
      </c>
      <c r="AD18" s="310">
        <f t="shared" si="7"/>
        <v>10.866854780497409</v>
      </c>
      <c r="AG18" s="96"/>
      <c r="AH18" s="147" t="s">
        <v>46</v>
      </c>
    </row>
    <row r="19" spans="1:34" s="51" customFormat="1">
      <c r="A19" s="95" t="s">
        <v>55</v>
      </c>
      <c r="B19" s="51">
        <v>51.9</v>
      </c>
      <c r="C19" s="51">
        <v>33.17</v>
      </c>
      <c r="D19" s="51">
        <v>3.73</v>
      </c>
      <c r="F19" s="51">
        <v>104.15</v>
      </c>
      <c r="H19" s="51">
        <v>60.13</v>
      </c>
      <c r="J19" s="63">
        <v>51.9</v>
      </c>
      <c r="K19" s="51">
        <v>33.17</v>
      </c>
      <c r="N19" s="51">
        <v>104.15</v>
      </c>
      <c r="P19" s="51">
        <v>60.13</v>
      </c>
      <c r="Q19" s="78"/>
      <c r="S19" s="78"/>
      <c r="T19" s="123">
        <v>8.1303000000000001</v>
      </c>
      <c r="U19" s="83">
        <v>0.38</v>
      </c>
      <c r="V19" s="89">
        <f t="shared" si="0"/>
        <v>0.5</v>
      </c>
      <c r="W19" s="68">
        <f t="shared" si="1"/>
        <v>0.44</v>
      </c>
      <c r="X19" s="69">
        <f t="shared" si="2"/>
        <v>41.77658417596102</v>
      </c>
      <c r="Y19" s="69">
        <f t="shared" si="3"/>
        <v>65.290784797891277</v>
      </c>
      <c r="Z19" s="70">
        <f t="shared" si="4"/>
        <v>0.62017469709777406</v>
      </c>
      <c r="AA19" s="104">
        <f t="shared" si="5"/>
        <v>1.6055499688625892</v>
      </c>
      <c r="AB19" s="311">
        <f>INDEX($AJ$3:AK29,MATCH(COUNTA(J19:Q19),$AJ$3:$AJ$12,0),2)</f>
        <v>1.49</v>
      </c>
      <c r="AC19" s="107">
        <f t="shared" si="6"/>
        <v>62.337499999999999</v>
      </c>
      <c r="AD19" s="310">
        <f t="shared" si="7"/>
        <v>7.6673062494618893</v>
      </c>
      <c r="AG19" s="78"/>
      <c r="AH19" s="147" t="s">
        <v>33</v>
      </c>
    </row>
    <row r="20" spans="1:34">
      <c r="A20" s="95" t="s">
        <v>56</v>
      </c>
      <c r="B20">
        <v>86.51</v>
      </c>
      <c r="D20">
        <v>5.56</v>
      </c>
      <c r="F20">
        <v>100.03</v>
      </c>
      <c r="H20">
        <v>41.61</v>
      </c>
      <c r="J20" s="306">
        <v>86.51</v>
      </c>
      <c r="P20">
        <v>41.61</v>
      </c>
      <c r="T20" s="124">
        <v>7.2693000000000003</v>
      </c>
      <c r="U20" s="312">
        <v>0.57999999999999996</v>
      </c>
      <c r="V20" s="87">
        <f t="shared" si="0"/>
        <v>0.375</v>
      </c>
      <c r="W20" s="203">
        <f t="shared" si="1"/>
        <v>0.47749999999999998</v>
      </c>
      <c r="X20" s="49">
        <f t="shared" si="2"/>
        <v>35.0452700593194</v>
      </c>
      <c r="Y20" s="49">
        <f t="shared" si="3"/>
        <v>64.023283731607336</v>
      </c>
      <c r="Z20" s="50">
        <f t="shared" si="4"/>
        <v>1</v>
      </c>
      <c r="AA20" s="105">
        <f t="shared" si="5"/>
        <v>0.99999999999999967</v>
      </c>
      <c r="AB20" s="311" t="e">
        <f>INDEX($AJ$3:AK30,MATCH(COUNTA(J20:Q20),$AJ$3:$AJ$12,0),2)</f>
        <v>#N/A</v>
      </c>
      <c r="AC20" s="108">
        <f t="shared" si="6"/>
        <v>64.06</v>
      </c>
      <c r="AD20" s="310">
        <f t="shared" si="7"/>
        <v>8.8124028448406317</v>
      </c>
      <c r="AH20" s="147" t="s">
        <v>33</v>
      </c>
    </row>
    <row r="21" spans="1:34" s="85" customFormat="1">
      <c r="A21" s="95" t="s">
        <v>57</v>
      </c>
      <c r="B21" s="85">
        <v>96.6</v>
      </c>
      <c r="C21" s="85">
        <v>104.5</v>
      </c>
      <c r="D21" s="85">
        <v>3.83</v>
      </c>
      <c r="F21" s="85">
        <v>152.47</v>
      </c>
      <c r="H21" s="85">
        <v>48.82</v>
      </c>
      <c r="J21" s="10">
        <v>96.6</v>
      </c>
      <c r="K21" s="85">
        <v>104.5</v>
      </c>
      <c r="P21" s="85">
        <v>48.82</v>
      </c>
      <c r="Q21" s="96"/>
      <c r="S21" s="96"/>
      <c r="T21" s="125">
        <v>9.1760999999999999</v>
      </c>
      <c r="U21" s="120">
        <v>0.38</v>
      </c>
      <c r="V21" s="97">
        <f t="shared" si="0"/>
        <v>0.6875</v>
      </c>
      <c r="W21" s="98">
        <f t="shared" si="1"/>
        <v>0.53374999999999995</v>
      </c>
      <c r="X21" s="99">
        <f t="shared" si="2"/>
        <v>29.52717435343823</v>
      </c>
      <c r="Y21" s="99">
        <f t="shared" si="3"/>
        <v>62.50548288048433</v>
      </c>
      <c r="Z21" s="100">
        <f t="shared" si="4"/>
        <v>0.14188218390804608</v>
      </c>
      <c r="AA21" s="106">
        <f t="shared" si="5"/>
        <v>0.86158399515489414</v>
      </c>
      <c r="AB21" s="311">
        <f>INDEX($AJ$3:AK31,MATCH(COUNTA(J21:Q21),$AJ$3:$AJ$12,0),2)</f>
        <v>1.1499999999999999</v>
      </c>
      <c r="AC21" s="109">
        <f t="shared" si="6"/>
        <v>83.306666666666658</v>
      </c>
      <c r="AD21" s="310">
        <f t="shared" si="7"/>
        <v>9.0786572363712974</v>
      </c>
      <c r="AG21" s="96"/>
      <c r="AH21" s="147" t="s">
        <v>33</v>
      </c>
    </row>
    <row r="22" spans="1:34" s="51" customFormat="1">
      <c r="A22" s="95" t="s">
        <v>58</v>
      </c>
      <c r="B22" s="51">
        <v>415.34</v>
      </c>
      <c r="C22" s="51">
        <v>177.04</v>
      </c>
      <c r="H22" s="51">
        <v>457.97</v>
      </c>
      <c r="I22" s="51">
        <v>463.29</v>
      </c>
      <c r="J22" s="63">
        <v>415.34</v>
      </c>
      <c r="K22" s="51">
        <v>177.04</v>
      </c>
      <c r="P22" s="51">
        <v>457.97</v>
      </c>
      <c r="Q22" s="78">
        <v>463.29</v>
      </c>
      <c r="S22" s="78"/>
      <c r="T22" s="123">
        <v>2.7290999999999999</v>
      </c>
      <c r="U22" s="83">
        <v>0.57999999999999996</v>
      </c>
      <c r="V22" s="89">
        <f t="shared" si="0"/>
        <v>0.75</v>
      </c>
      <c r="W22" s="68">
        <f t="shared" si="1"/>
        <v>0.66500000000000004</v>
      </c>
      <c r="X22" s="69">
        <f t="shared" si="2"/>
        <v>31.113636428443272</v>
      </c>
      <c r="Y22" s="69">
        <f t="shared" si="3"/>
        <v>31.113636428443272</v>
      </c>
      <c r="Z22" s="70">
        <f t="shared" si="4"/>
        <v>1.8585152838427925E-2</v>
      </c>
      <c r="AA22" s="104">
        <f t="shared" si="5"/>
        <v>0.72092816648989255</v>
      </c>
      <c r="AB22" s="311">
        <f>INDEX($AJ$3:AK32,MATCH(COUNTA(J22:Q22),$AJ$3:$AJ$12,0),2)</f>
        <v>1.49</v>
      </c>
      <c r="AC22" s="107">
        <f t="shared" si="6"/>
        <v>378.40999999999997</v>
      </c>
      <c r="AD22" s="310">
        <f t="shared" si="7"/>
        <v>138.65743285332161</v>
      </c>
      <c r="AG22" s="78"/>
      <c r="AH22" s="147" t="s">
        <v>33</v>
      </c>
    </row>
    <row r="23" spans="1:34">
      <c r="A23" s="95" t="s">
        <v>59</v>
      </c>
      <c r="B23">
        <v>306.89</v>
      </c>
      <c r="C23">
        <v>55.14</v>
      </c>
      <c r="H23">
        <v>896.25</v>
      </c>
      <c r="I23">
        <v>715.99</v>
      </c>
      <c r="J23" s="306">
        <v>306.89</v>
      </c>
      <c r="K23">
        <v>55.14</v>
      </c>
      <c r="P23">
        <v>896.25</v>
      </c>
      <c r="Q23" s="307">
        <v>715.99</v>
      </c>
      <c r="T23" s="124">
        <v>3.5952000000000002</v>
      </c>
      <c r="U23" s="312">
        <v>0.55000000000000004</v>
      </c>
      <c r="V23" s="87">
        <f t="shared" si="0"/>
        <v>0.5</v>
      </c>
      <c r="W23" s="203">
        <f t="shared" si="1"/>
        <v>0.52500000000000002</v>
      </c>
      <c r="X23" s="49">
        <f t="shared" si="2"/>
        <v>67.097041166922679</v>
      </c>
      <c r="Y23" s="49">
        <f t="shared" si="3"/>
        <v>67.097041166922679</v>
      </c>
      <c r="Z23" s="50">
        <f t="shared" si="4"/>
        <v>0.21431204004232501</v>
      </c>
      <c r="AA23" s="105">
        <f t="shared" si="5"/>
        <v>1.2159419226996213</v>
      </c>
      <c r="AB23" s="311">
        <f>INDEX($AJ$3:AK33,MATCH(COUNTA(J23:Q23),$AJ$3:$AJ$12,0),2)</f>
        <v>1.49</v>
      </c>
      <c r="AC23" s="108">
        <f t="shared" si="6"/>
        <v>493.5675</v>
      </c>
      <c r="AD23" s="310">
        <f t="shared" si="7"/>
        <v>137.28513017356474</v>
      </c>
      <c r="AH23" s="147" t="s">
        <v>33</v>
      </c>
    </row>
    <row r="24" spans="1:34" s="85" customFormat="1">
      <c r="A24" s="95" t="s">
        <v>60</v>
      </c>
      <c r="B24" s="85">
        <v>630.57000000000005</v>
      </c>
      <c r="D24" s="85">
        <v>556.30999999999995</v>
      </c>
      <c r="E24" s="85">
        <v>645.51</v>
      </c>
      <c r="H24" s="85">
        <v>1702.95</v>
      </c>
      <c r="I24" s="85">
        <v>1157.71</v>
      </c>
      <c r="J24" s="10">
        <v>630.57000000000005</v>
      </c>
      <c r="L24" s="85">
        <v>556.30999999999995</v>
      </c>
      <c r="M24" s="85">
        <v>645.51</v>
      </c>
      <c r="P24" s="85">
        <v>1702.95</v>
      </c>
      <c r="Q24" s="96">
        <v>1157.71</v>
      </c>
      <c r="S24" s="96"/>
      <c r="T24" s="125">
        <v>9.2985000000000007</v>
      </c>
      <c r="U24" s="120">
        <v>0.57999999999999996</v>
      </c>
      <c r="V24" s="97">
        <f t="shared" si="0"/>
        <v>0.5625</v>
      </c>
      <c r="W24" s="98">
        <f t="shared" si="1"/>
        <v>0.57125000000000004</v>
      </c>
      <c r="X24" s="99">
        <f t="shared" si="2"/>
        <v>46.66353239403702</v>
      </c>
      <c r="Y24" s="99">
        <f t="shared" si="3"/>
        <v>46.66353239403702</v>
      </c>
      <c r="Z24" s="100">
        <f t="shared" si="4"/>
        <v>0.47551105839670688</v>
      </c>
      <c r="AA24" s="106">
        <f t="shared" si="5"/>
        <v>1.7451139880186701</v>
      </c>
      <c r="AB24" s="311">
        <f>INDEX($AJ$3:AK34,MATCH(COUNTA(J24:Q24),$AJ$3:$AJ$12,0),2)</f>
        <v>1.75</v>
      </c>
      <c r="AC24" s="109">
        <f t="shared" si="6"/>
        <v>938.61</v>
      </c>
      <c r="AD24" s="310">
        <f t="shared" si="7"/>
        <v>100.942087433457</v>
      </c>
      <c r="AG24" s="96"/>
      <c r="AH24" s="147" t="s">
        <v>33</v>
      </c>
    </row>
    <row r="25" spans="1:34">
      <c r="A25" s="238" t="s">
        <v>61</v>
      </c>
      <c r="B25">
        <v>2708.51</v>
      </c>
      <c r="C25">
        <v>2267.66</v>
      </c>
      <c r="D25">
        <v>2090.6999999999998</v>
      </c>
      <c r="E25">
        <v>1418.12</v>
      </c>
      <c r="F25">
        <v>3587.55</v>
      </c>
      <c r="G25">
        <v>3138.35</v>
      </c>
      <c r="H25">
        <v>1150.56</v>
      </c>
      <c r="I25">
        <v>1889.45</v>
      </c>
      <c r="J25" s="306">
        <v>2708.51</v>
      </c>
      <c r="K25">
        <v>2267.66</v>
      </c>
      <c r="L25">
        <v>2090.6999999999998</v>
      </c>
      <c r="M25">
        <v>1418.12</v>
      </c>
      <c r="Q25" s="307">
        <v>1889.45</v>
      </c>
      <c r="T25" s="124">
        <v>2.0716999999999999</v>
      </c>
      <c r="U25" s="312">
        <v>0.8</v>
      </c>
      <c r="V25" s="87">
        <f t="shared" si="0"/>
        <v>0.8125</v>
      </c>
      <c r="W25" s="203">
        <f t="shared" si="1"/>
        <v>0.80625000000000002</v>
      </c>
      <c r="X25" s="49">
        <f t="shared" si="2"/>
        <v>20.499972468859045</v>
      </c>
      <c r="Y25" s="49">
        <f t="shared" si="3"/>
        <v>34.084019038423577</v>
      </c>
      <c r="Z25" s="50">
        <f t="shared" si="4"/>
        <v>0.34164089926301372</v>
      </c>
      <c r="AA25" s="105">
        <f t="shared" si="5"/>
        <v>1.489643380914293</v>
      </c>
      <c r="AB25" s="311">
        <f>INDEX($AJ$3:AK35,MATCH(COUNTA(J25:Q25),$AJ$3:$AJ$12,0),2)</f>
        <v>1.75</v>
      </c>
      <c r="AC25" s="108">
        <f t="shared" si="6"/>
        <v>2074.8879999999999</v>
      </c>
      <c r="AD25" s="310">
        <f t="shared" si="7"/>
        <v>1001.538832842593</v>
      </c>
      <c r="AE25">
        <f>T25*1000</f>
        <v>2071.6999999999998</v>
      </c>
      <c r="AF25" s="309"/>
      <c r="AG25" s="91">
        <f>AC25/AE25</f>
        <v>1.0015388328425932</v>
      </c>
      <c r="AH25" s="147" t="s">
        <v>46</v>
      </c>
    </row>
    <row r="26" spans="1:34">
      <c r="A26" s="95" t="s">
        <v>62</v>
      </c>
      <c r="B26">
        <v>727.6</v>
      </c>
      <c r="C26">
        <v>656.24</v>
      </c>
      <c r="D26">
        <v>443.33</v>
      </c>
      <c r="E26">
        <v>387.38</v>
      </c>
      <c r="F26">
        <v>1152.42</v>
      </c>
      <c r="G26">
        <v>942.65</v>
      </c>
      <c r="H26">
        <v>402.7</v>
      </c>
      <c r="I26">
        <v>631.17999999999995</v>
      </c>
      <c r="J26" s="306">
        <v>727.6</v>
      </c>
      <c r="K26">
        <v>656.24</v>
      </c>
      <c r="L26">
        <v>443.33</v>
      </c>
      <c r="M26">
        <v>387.38</v>
      </c>
      <c r="N26">
        <v>1152.42</v>
      </c>
      <c r="O26">
        <v>942.65</v>
      </c>
      <c r="P26">
        <v>402.7</v>
      </c>
      <c r="Q26" s="307">
        <v>631.17999999999995</v>
      </c>
      <c r="T26" s="124">
        <v>0.66539999999999999</v>
      </c>
      <c r="U26" s="312">
        <v>0.82</v>
      </c>
      <c r="V26" s="87">
        <f t="shared" si="0"/>
        <v>0.75</v>
      </c>
      <c r="W26" s="203">
        <f t="shared" si="1"/>
        <v>0.78499999999999992</v>
      </c>
      <c r="X26" s="49">
        <f t="shared" si="2"/>
        <v>37.976703598724292</v>
      </c>
      <c r="Y26" s="49">
        <f t="shared" si="3"/>
        <v>37.976703598724292</v>
      </c>
      <c r="Z26" s="50">
        <f t="shared" si="4"/>
        <v>0.27419481334309326</v>
      </c>
      <c r="AA26" s="105">
        <f t="shared" si="5"/>
        <v>1.9099632139014029</v>
      </c>
      <c r="AB26" s="311">
        <f>INDEX($AJ$3:AK36,MATCH(COUNTA(J26:Q26),$AJ$3:$AJ$12,0),2)</f>
        <v>2.2200000000000002</v>
      </c>
      <c r="AC26" s="108">
        <f t="shared" si="6"/>
        <v>667.9375</v>
      </c>
      <c r="AD26" s="310">
        <f t="shared" si="7"/>
        <v>1003.8134956417193</v>
      </c>
      <c r="AE26">
        <f>T26*1000</f>
        <v>665.4</v>
      </c>
      <c r="AF26" s="309"/>
      <c r="AG26" s="91">
        <f>AC26/AE26</f>
        <v>1.0038134956417193</v>
      </c>
      <c r="AH26" s="147" t="s">
        <v>46</v>
      </c>
    </row>
    <row r="27" spans="1:34">
      <c r="A27" s="95" t="s">
        <v>63</v>
      </c>
      <c r="T27" s="124">
        <v>211.9</v>
      </c>
      <c r="U27" s="312">
        <v>0.42</v>
      </c>
      <c r="V27" s="87" t="e">
        <f t="shared" si="0"/>
        <v>#DIV/0!</v>
      </c>
      <c r="W27" s="203" t="e">
        <f t="shared" si="1"/>
        <v>#DIV/0!</v>
      </c>
      <c r="X27" s="49" t="e">
        <f t="shared" si="2"/>
        <v>#DIV/0!</v>
      </c>
      <c r="Y27" s="49" t="e">
        <f t="shared" si="3"/>
        <v>#DIV/0!</v>
      </c>
      <c r="Z27" s="50" t="e">
        <f t="shared" si="4"/>
        <v>#NUM!</v>
      </c>
      <c r="AA27" s="105" t="e">
        <f t="shared" si="5"/>
        <v>#DIV/0!</v>
      </c>
      <c r="AB27" s="311" t="e">
        <f>INDEX($AJ$3:AK37,MATCH(COUNTA(J27:Q27),$AJ$3:$AJ$12,0),2)</f>
        <v>#N/A</v>
      </c>
      <c r="AC27" s="108" t="e">
        <f t="shared" si="6"/>
        <v>#DIV/0!</v>
      </c>
      <c r="AD27" s="310" t="str">
        <f t="shared" si="7"/>
        <v>n.d.</v>
      </c>
      <c r="AH27" s="147" t="s">
        <v>64</v>
      </c>
    </row>
    <row r="28" spans="1:34">
      <c r="A28" s="171" t="s">
        <v>65</v>
      </c>
      <c r="T28" s="124">
        <v>47.3</v>
      </c>
      <c r="V28" s="87" t="e">
        <f t="shared" si="0"/>
        <v>#DIV/0!</v>
      </c>
      <c r="W28" s="203" t="e">
        <f t="shared" si="1"/>
        <v>#DIV/0!</v>
      </c>
      <c r="X28" s="49" t="e">
        <f t="shared" si="2"/>
        <v>#DIV/0!</v>
      </c>
      <c r="Y28" s="49" t="e">
        <f t="shared" si="3"/>
        <v>#DIV/0!</v>
      </c>
      <c r="Z28" s="50" t="e">
        <f t="shared" si="4"/>
        <v>#NUM!</v>
      </c>
      <c r="AA28" s="105" t="e">
        <f t="shared" si="5"/>
        <v>#DIV/0!</v>
      </c>
      <c r="AB28" s="311" t="e">
        <f>INDEX($AJ$3:AK38,MATCH(COUNTA(J28:Q28),$AJ$3:$AJ$12,0),2)</f>
        <v>#N/A</v>
      </c>
      <c r="AC28" s="108" t="e">
        <f t="shared" si="6"/>
        <v>#DIV/0!</v>
      </c>
      <c r="AD28" s="310" t="str">
        <f t="shared" si="7"/>
        <v>n.d.</v>
      </c>
      <c r="AH28" s="147" t="s">
        <v>64</v>
      </c>
    </row>
    <row r="29" spans="1:34" s="51" customFormat="1">
      <c r="A29" s="111" t="s">
        <v>66</v>
      </c>
      <c r="B29" s="51">
        <v>214.65</v>
      </c>
      <c r="C29" s="51">
        <v>137.15</v>
      </c>
      <c r="D29" s="51">
        <v>133.37</v>
      </c>
      <c r="E29" s="51">
        <v>79.45</v>
      </c>
      <c r="G29" s="51">
        <v>33.28</v>
      </c>
      <c r="H29" s="51">
        <v>96.89</v>
      </c>
      <c r="I29" s="51">
        <v>157.11000000000001</v>
      </c>
      <c r="J29" s="63">
        <v>214.65</v>
      </c>
      <c r="K29" s="51">
        <v>137.15</v>
      </c>
      <c r="L29" s="51">
        <v>133.37</v>
      </c>
      <c r="M29" s="51">
        <v>79.45</v>
      </c>
      <c r="O29" s="51">
        <v>33.28</v>
      </c>
      <c r="P29" s="51">
        <v>96.89</v>
      </c>
      <c r="Q29" s="78">
        <v>157.11000000000001</v>
      </c>
      <c r="S29" s="78"/>
      <c r="T29" s="123">
        <v>2.4357000000000002</v>
      </c>
      <c r="U29" s="83">
        <v>0.8</v>
      </c>
      <c r="V29" s="89">
        <f t="shared" si="0"/>
        <v>0.6875</v>
      </c>
      <c r="W29" s="68">
        <f t="shared" si="1"/>
        <v>0.74375000000000002</v>
      </c>
      <c r="X29" s="69">
        <f t="shared" si="2"/>
        <v>44.453017813165538</v>
      </c>
      <c r="Y29" s="69">
        <f t="shared" si="3"/>
        <v>44.453017813165538</v>
      </c>
      <c r="Z29" s="70">
        <f t="shared" si="4"/>
        <v>0.31725202624469312</v>
      </c>
      <c r="AA29" s="104">
        <f t="shared" si="5"/>
        <v>1.7181361133145854</v>
      </c>
      <c r="AB29" s="71">
        <f>INDEX($AJ$3:AK39,MATCH(COUNTA(J29:Q29),$AJ$3:$AJ$12,0),2)</f>
        <v>2.1</v>
      </c>
      <c r="AC29" s="107">
        <f t="shared" si="6"/>
        <v>121.7</v>
      </c>
      <c r="AD29" s="310">
        <f t="shared" si="7"/>
        <v>49.96510243461838</v>
      </c>
      <c r="AE29" s="63"/>
      <c r="AG29" s="78"/>
      <c r="AH29" s="147" t="s">
        <v>67</v>
      </c>
    </row>
    <row r="30" spans="1:34">
      <c r="A30" s="111" t="s">
        <v>68</v>
      </c>
      <c r="T30" s="124">
        <v>4.8849</v>
      </c>
      <c r="U30" s="312">
        <v>0.68</v>
      </c>
      <c r="V30" s="87" t="e">
        <f t="shared" si="0"/>
        <v>#DIV/0!</v>
      </c>
      <c r="W30" s="203" t="e">
        <f t="shared" si="1"/>
        <v>#DIV/0!</v>
      </c>
      <c r="X30" s="49" t="e">
        <f t="shared" si="2"/>
        <v>#DIV/0!</v>
      </c>
      <c r="Y30" s="49" t="e">
        <f t="shared" si="3"/>
        <v>#DIV/0!</v>
      </c>
      <c r="Z30" s="50" t="e">
        <f t="shared" si="4"/>
        <v>#NUM!</v>
      </c>
      <c r="AA30" s="105" t="e">
        <f t="shared" si="5"/>
        <v>#DIV/0!</v>
      </c>
      <c r="AB30" s="311" t="e">
        <f>INDEX($AJ$3:AK40,MATCH(COUNTA(J30:Q30),$AJ$3:$AJ$12,0),2)</f>
        <v>#N/A</v>
      </c>
      <c r="AC30" s="108" t="e">
        <f t="shared" si="6"/>
        <v>#DIV/0!</v>
      </c>
      <c r="AD30" s="310" t="str">
        <f t="shared" si="7"/>
        <v>n.d.</v>
      </c>
      <c r="AE30" s="306"/>
      <c r="AH30" s="147" t="s">
        <v>64</v>
      </c>
    </row>
    <row r="31" spans="1:34">
      <c r="A31" s="111" t="s">
        <v>69</v>
      </c>
      <c r="C31">
        <v>71.17</v>
      </c>
      <c r="D31">
        <v>40.01</v>
      </c>
      <c r="F31">
        <v>125.12</v>
      </c>
      <c r="H31">
        <v>65.2</v>
      </c>
      <c r="I31">
        <v>44.94</v>
      </c>
      <c r="K31">
        <v>71.17</v>
      </c>
      <c r="L31">
        <v>40.01</v>
      </c>
      <c r="P31">
        <v>65.2</v>
      </c>
      <c r="Q31" s="307">
        <v>44.94</v>
      </c>
      <c r="T31" s="124"/>
      <c r="U31" s="312">
        <v>0.42</v>
      </c>
      <c r="V31" s="87">
        <f t="shared" si="0"/>
        <v>0.75</v>
      </c>
      <c r="W31" s="203">
        <f t="shared" si="1"/>
        <v>0.58499999999999996</v>
      </c>
      <c r="X31" s="49">
        <f t="shared" si="2"/>
        <v>23.754239446892917</v>
      </c>
      <c r="Y31" s="49">
        <f t="shared" si="3"/>
        <v>43.716425607569356</v>
      </c>
      <c r="Z31" s="50">
        <f t="shared" si="4"/>
        <v>0.19159178433889595</v>
      </c>
      <c r="AA31" s="105">
        <f t="shared" si="5"/>
        <v>1.2051840548423367</v>
      </c>
      <c r="AB31" s="311">
        <f>INDEX($AJ$3:AK41,MATCH(COUNTA(J31:Q31),$AJ$3:$AJ$12,0),2)</f>
        <v>1.49</v>
      </c>
      <c r="AC31" s="108">
        <f t="shared" si="6"/>
        <v>55.33</v>
      </c>
      <c r="AD31" s="310" t="e">
        <f t="shared" si="7"/>
        <v>#DIV/0!</v>
      </c>
      <c r="AE31" s="306"/>
      <c r="AH31" s="147" t="s">
        <v>70</v>
      </c>
    </row>
    <row r="32" spans="1:34">
      <c r="A32" s="111" t="s">
        <v>71</v>
      </c>
      <c r="D32">
        <v>20.309999999999999</v>
      </c>
      <c r="H32">
        <v>24.85</v>
      </c>
      <c r="I32">
        <v>35.119999999999997</v>
      </c>
      <c r="L32">
        <v>20.309999999999999</v>
      </c>
      <c r="P32">
        <v>24.85</v>
      </c>
      <c r="Q32" s="307">
        <v>35.119999999999997</v>
      </c>
      <c r="T32" s="124">
        <v>8.4742072000000004</v>
      </c>
      <c r="U32" s="312">
        <v>0.65</v>
      </c>
      <c r="V32" s="87">
        <f t="shared" si="0"/>
        <v>0.6875</v>
      </c>
      <c r="W32" s="203">
        <f t="shared" si="1"/>
        <v>0.66874999999999996</v>
      </c>
      <c r="X32" s="49">
        <f t="shared" si="2"/>
        <v>23.150839989671063</v>
      </c>
      <c r="Y32" s="49">
        <f t="shared" si="3"/>
        <v>23.150839989671063</v>
      </c>
      <c r="Z32" s="50">
        <f t="shared" si="4"/>
        <v>0.69345037137069532</v>
      </c>
      <c r="AA32" s="105">
        <f t="shared" si="5"/>
        <v>1.3494394895388271</v>
      </c>
      <c r="AB32" s="311">
        <f>INDEX($AJ$3:AK42,MATCH(COUNTA(J32:Q32),$AJ$3:$AJ$12,0),2)</f>
        <v>1.1499999999999999</v>
      </c>
      <c r="AC32" s="108">
        <f t="shared" si="6"/>
        <v>26.76</v>
      </c>
      <c r="AD32" s="310">
        <f t="shared" si="7"/>
        <v>3.1578175242163065</v>
      </c>
      <c r="AE32" s="306">
        <v>8.5637000000000008</v>
      </c>
      <c r="AF32" s="115">
        <v>8.9492799999999997E-2</v>
      </c>
      <c r="AH32" s="147" t="s">
        <v>64</v>
      </c>
    </row>
    <row r="33" spans="1:34">
      <c r="A33" s="111" t="s">
        <v>72</v>
      </c>
      <c r="B33">
        <v>929.64</v>
      </c>
      <c r="C33">
        <v>791.65</v>
      </c>
      <c r="D33">
        <v>465.24</v>
      </c>
      <c r="E33">
        <v>491.13</v>
      </c>
      <c r="F33">
        <v>1416.67</v>
      </c>
      <c r="G33">
        <v>1113.69</v>
      </c>
      <c r="H33">
        <v>414.07</v>
      </c>
      <c r="I33">
        <v>692.02</v>
      </c>
      <c r="L33">
        <v>465.24</v>
      </c>
      <c r="M33">
        <v>491.13</v>
      </c>
      <c r="P33">
        <v>414.07</v>
      </c>
      <c r="T33" s="124">
        <v>9.5027999999999988</v>
      </c>
      <c r="U33" s="312">
        <v>0.85</v>
      </c>
      <c r="V33" s="87">
        <f t="shared" si="0"/>
        <v>0.6875</v>
      </c>
      <c r="W33" s="203">
        <f t="shared" si="1"/>
        <v>0.76875000000000004</v>
      </c>
      <c r="X33" s="49">
        <f t="shared" si="2"/>
        <v>7.0091925222079539</v>
      </c>
      <c r="Y33" s="49">
        <f t="shared" si="3"/>
        <v>41.606746404912812</v>
      </c>
      <c r="Z33" s="50">
        <f t="shared" si="4"/>
        <v>0.33597196989358924</v>
      </c>
      <c r="AA33" s="105">
        <f t="shared" si="5"/>
        <v>1.0717619531081573</v>
      </c>
      <c r="AB33" s="311">
        <f>INDEX($AJ$3:AK43,MATCH(COUNTA(J33:Q33),$AJ$3:$AJ$12,0),2)</f>
        <v>1.1499999999999999</v>
      </c>
      <c r="AC33" s="108">
        <f t="shared" si="6"/>
        <v>456.81333333333333</v>
      </c>
      <c r="AD33" s="310">
        <f t="shared" si="7"/>
        <v>48.071445609013487</v>
      </c>
      <c r="AE33" s="306">
        <v>9.9270999999999994</v>
      </c>
      <c r="AF33">
        <v>0.42430000000000001</v>
      </c>
      <c r="AG33" s="91">
        <f>((AC33-(AVERAGE(AD32,AD34)*T33))*100)/(AF33*1000)</f>
        <v>96.364966116142682</v>
      </c>
      <c r="AH33" s="147" t="s">
        <v>64</v>
      </c>
    </row>
    <row r="34" spans="1:34">
      <c r="A34" s="111" t="s">
        <v>73</v>
      </c>
      <c r="C34">
        <v>42.61</v>
      </c>
      <c r="D34">
        <v>5.96</v>
      </c>
      <c r="E34">
        <v>40.96</v>
      </c>
      <c r="H34">
        <v>46.69</v>
      </c>
      <c r="I34">
        <v>45.14</v>
      </c>
      <c r="K34">
        <v>42.61</v>
      </c>
      <c r="M34">
        <v>40.96</v>
      </c>
      <c r="P34">
        <v>46.69</v>
      </c>
      <c r="Q34" s="307">
        <v>45.14</v>
      </c>
      <c r="T34" s="124">
        <v>6.3264996</v>
      </c>
      <c r="U34" s="312">
        <v>0.57999999999999996</v>
      </c>
      <c r="V34" s="87">
        <f t="shared" si="0"/>
        <v>0.75</v>
      </c>
      <c r="W34" s="203">
        <f t="shared" si="1"/>
        <v>0.66500000000000004</v>
      </c>
      <c r="X34" s="49">
        <f t="shared" si="2"/>
        <v>5.050603408216717</v>
      </c>
      <c r="Y34" s="49">
        <f t="shared" si="3"/>
        <v>42.13967128873481</v>
      </c>
      <c r="Z34" s="50">
        <f t="shared" si="4"/>
        <v>0.27050610820244292</v>
      </c>
      <c r="AA34" s="105">
        <f t="shared" si="5"/>
        <v>1.2823467482978312</v>
      </c>
      <c r="AB34" s="311">
        <f>INDEX($AJ$3:AK44,MATCH(COUNTA(J34:Q34),$AJ$3:$AJ$12,0),2)</f>
        <v>1.49</v>
      </c>
      <c r="AC34" s="108">
        <f t="shared" si="6"/>
        <v>43.849999999999994</v>
      </c>
      <c r="AD34" s="310">
        <f t="shared" si="7"/>
        <v>6.9311630083719589</v>
      </c>
      <c r="AE34" s="306">
        <v>6.4188000000000001</v>
      </c>
      <c r="AF34" s="115">
        <v>9.2300400000000005E-2</v>
      </c>
      <c r="AH34" s="147" t="s">
        <v>64</v>
      </c>
    </row>
    <row r="35" spans="1:34">
      <c r="A35" s="111" t="s">
        <v>74</v>
      </c>
      <c r="T35" s="124">
        <v>20.927900000000001</v>
      </c>
      <c r="U35" s="312">
        <v>0.52</v>
      </c>
      <c r="V35" s="87" t="e">
        <f t="shared" si="0"/>
        <v>#DIV/0!</v>
      </c>
      <c r="W35" s="203" t="e">
        <f t="shared" si="1"/>
        <v>#DIV/0!</v>
      </c>
      <c r="X35" s="49" t="e">
        <f t="shared" si="2"/>
        <v>#DIV/0!</v>
      </c>
      <c r="Y35" s="49" t="e">
        <f t="shared" si="3"/>
        <v>#DIV/0!</v>
      </c>
      <c r="Z35" s="50" t="e">
        <f t="shared" si="4"/>
        <v>#NUM!</v>
      </c>
      <c r="AA35" s="105" t="e">
        <f t="shared" si="5"/>
        <v>#DIV/0!</v>
      </c>
      <c r="AB35" s="311" t="e">
        <f>INDEX($AJ$3:AK45,MATCH(COUNTA(J35:Q35),$AJ$3:$AJ$12,0),2)</f>
        <v>#N/A</v>
      </c>
      <c r="AC35" s="108" t="e">
        <f t="shared" si="6"/>
        <v>#DIV/0!</v>
      </c>
      <c r="AD35" s="310" t="str">
        <f t="shared" si="7"/>
        <v>n.d.</v>
      </c>
      <c r="AE35" s="306"/>
      <c r="AH35" s="147" t="s">
        <v>75</v>
      </c>
    </row>
    <row r="36" spans="1:34">
      <c r="A36" s="111" t="s">
        <v>76</v>
      </c>
      <c r="B36">
        <v>103.07</v>
      </c>
      <c r="C36">
        <v>58.92</v>
      </c>
      <c r="D36">
        <v>18.23</v>
      </c>
      <c r="H36">
        <v>77.09</v>
      </c>
      <c r="K36">
        <v>58.92</v>
      </c>
      <c r="L36">
        <v>18.23</v>
      </c>
      <c r="P36">
        <v>77.09</v>
      </c>
      <c r="T36" s="124">
        <v>5.5827999999999998</v>
      </c>
      <c r="U36" s="312">
        <v>0.51</v>
      </c>
      <c r="V36" s="87">
        <f t="shared" si="0"/>
        <v>0.4375</v>
      </c>
      <c r="W36" s="203">
        <f t="shared" si="1"/>
        <v>0.47375</v>
      </c>
      <c r="X36" s="49">
        <f t="shared" si="2"/>
        <v>47.864570628268247</v>
      </c>
      <c r="Y36" s="49">
        <f t="shared" si="3"/>
        <v>48.028168881723822</v>
      </c>
      <c r="Z36" s="50">
        <f t="shared" si="4"/>
        <v>0.30869860686374451</v>
      </c>
      <c r="AA36" s="105">
        <f t="shared" si="5"/>
        <v>1.0433949103075923</v>
      </c>
      <c r="AB36" s="311">
        <f>INDEX($AJ$3:AK46,MATCH(COUNTA(J36:Q36),$AJ$3:$AJ$12,0),2)</f>
        <v>1.1499999999999999</v>
      </c>
      <c r="AC36" s="108">
        <f t="shared" si="6"/>
        <v>51.413333333333334</v>
      </c>
      <c r="AD36" s="310">
        <f t="shared" si="7"/>
        <v>9.2092378973513895</v>
      </c>
      <c r="AE36" s="306"/>
      <c r="AH36" s="147" t="s">
        <v>70</v>
      </c>
    </row>
    <row r="37" spans="1:34">
      <c r="A37" s="111" t="s">
        <v>77</v>
      </c>
      <c r="B37">
        <v>63.84</v>
      </c>
      <c r="C37">
        <v>57.31</v>
      </c>
      <c r="D37">
        <v>17.53</v>
      </c>
      <c r="F37">
        <v>30.03</v>
      </c>
      <c r="H37">
        <v>37.090000000000003</v>
      </c>
      <c r="K37">
        <v>57.31</v>
      </c>
      <c r="L37">
        <v>17.53</v>
      </c>
      <c r="N37">
        <v>30.03</v>
      </c>
      <c r="P37">
        <v>37.090000000000003</v>
      </c>
      <c r="T37" s="124">
        <v>9.077</v>
      </c>
      <c r="U37" s="312">
        <v>0.57999999999999996</v>
      </c>
      <c r="V37" s="87">
        <f t="shared" si="0"/>
        <v>0.5</v>
      </c>
      <c r="W37" s="203">
        <f t="shared" si="1"/>
        <v>0.54</v>
      </c>
      <c r="X37" s="49">
        <f t="shared" si="2"/>
        <v>40.614062444612848</v>
      </c>
      <c r="Y37" s="49">
        <f t="shared" si="3"/>
        <v>41.714961796966534</v>
      </c>
      <c r="Z37" s="50">
        <f t="shared" si="4"/>
        <v>0.50829562594268474</v>
      </c>
      <c r="AA37" s="105">
        <f t="shared" si="5"/>
        <v>1.5138132936048836</v>
      </c>
      <c r="AB37" s="311">
        <f>INDEX($AJ$3:AK47,MATCH(COUNTA(J37:Q37),$AJ$3:$AJ$12,0),2)</f>
        <v>1.49</v>
      </c>
      <c r="AC37" s="108">
        <f t="shared" si="6"/>
        <v>35.49</v>
      </c>
      <c r="AD37" s="310">
        <f t="shared" si="7"/>
        <v>3.9098821196430542</v>
      </c>
      <c r="AE37" s="306"/>
      <c r="AH37" s="147" t="s">
        <v>70</v>
      </c>
    </row>
    <row r="38" spans="1:34">
      <c r="A38" s="111" t="s">
        <v>78</v>
      </c>
      <c r="B38">
        <v>53.09</v>
      </c>
      <c r="D38">
        <v>21.83</v>
      </c>
      <c r="H38">
        <v>25.68</v>
      </c>
      <c r="J38" s="306">
        <v>53.09</v>
      </c>
      <c r="L38">
        <v>21.83</v>
      </c>
      <c r="P38">
        <v>25.68</v>
      </c>
      <c r="T38" s="124">
        <v>4.5395000000000003</v>
      </c>
      <c r="U38" s="312">
        <v>0.42</v>
      </c>
      <c r="V38" s="87">
        <f t="shared" si="0"/>
        <v>0.4375</v>
      </c>
      <c r="W38" s="203">
        <f t="shared" si="1"/>
        <v>0.42874999999999996</v>
      </c>
      <c r="X38" s="49">
        <f t="shared" si="2"/>
        <v>41.504037935538371</v>
      </c>
      <c r="Y38" s="49">
        <f t="shared" si="3"/>
        <v>41.504037935538371</v>
      </c>
      <c r="Z38" s="50">
        <f t="shared" si="4"/>
        <v>0.87683941138835575</v>
      </c>
      <c r="AA38" s="105">
        <f t="shared" si="5"/>
        <v>1.4051663988318959</v>
      </c>
      <c r="AB38" s="311">
        <f>INDEX($AJ$3:AK48,MATCH(COUNTA(J38:Q38),$AJ$3:$AJ$12,0),2)</f>
        <v>1.1499999999999999</v>
      </c>
      <c r="AC38" s="108">
        <f t="shared" si="6"/>
        <v>33.533333333333331</v>
      </c>
      <c r="AD38" s="310">
        <f t="shared" si="7"/>
        <v>7.3870103168484036</v>
      </c>
      <c r="AE38" s="306"/>
      <c r="AH38" s="147" t="s">
        <v>70</v>
      </c>
    </row>
    <row r="39" spans="1:34">
      <c r="A39" s="111" t="s">
        <v>79</v>
      </c>
      <c r="T39" s="124">
        <v>11.981299999999999</v>
      </c>
      <c r="V39" s="87" t="e">
        <f t="shared" si="0"/>
        <v>#DIV/0!</v>
      </c>
      <c r="W39" s="203" t="e">
        <f t="shared" si="1"/>
        <v>#DIV/0!</v>
      </c>
      <c r="X39" s="49" t="e">
        <f t="shared" si="2"/>
        <v>#DIV/0!</v>
      </c>
      <c r="Y39" s="49" t="e">
        <f t="shared" si="3"/>
        <v>#DIV/0!</v>
      </c>
      <c r="Z39" s="50" t="e">
        <f t="shared" si="4"/>
        <v>#NUM!</v>
      </c>
      <c r="AA39" s="105" t="e">
        <f t="shared" si="5"/>
        <v>#DIV/0!</v>
      </c>
      <c r="AB39" s="311" t="e">
        <f>INDEX($AJ$3:AK49,MATCH(COUNTA(J39:Q39),$AJ$3:$AJ$12,0),2)</f>
        <v>#N/A</v>
      </c>
      <c r="AC39" s="108" t="e">
        <f t="shared" si="6"/>
        <v>#DIV/0!</v>
      </c>
      <c r="AD39" s="310" t="str">
        <f t="shared" si="7"/>
        <v>n.d.</v>
      </c>
      <c r="AE39" s="306"/>
      <c r="AH39" s="147" t="s">
        <v>70</v>
      </c>
    </row>
    <row r="40" spans="1:34">
      <c r="A40" s="111" t="s">
        <v>80</v>
      </c>
      <c r="T40" s="124">
        <v>22.0534</v>
      </c>
      <c r="V40" s="87" t="e">
        <f t="shared" si="0"/>
        <v>#DIV/0!</v>
      </c>
      <c r="W40" s="203" t="e">
        <f t="shared" si="1"/>
        <v>#DIV/0!</v>
      </c>
      <c r="X40" s="49" t="e">
        <f t="shared" si="2"/>
        <v>#DIV/0!</v>
      </c>
      <c r="Y40" s="49" t="e">
        <f t="shared" si="3"/>
        <v>#DIV/0!</v>
      </c>
      <c r="Z40" s="50" t="e">
        <f t="shared" si="4"/>
        <v>#NUM!</v>
      </c>
      <c r="AA40" s="105" t="e">
        <f t="shared" si="5"/>
        <v>#DIV/0!</v>
      </c>
      <c r="AB40" s="311" t="e">
        <f>INDEX($AJ$3:AK50,MATCH(COUNTA(J40:Q40),$AJ$3:$AJ$12,0),2)</f>
        <v>#N/A</v>
      </c>
      <c r="AC40" s="108" t="e">
        <f t="shared" si="6"/>
        <v>#DIV/0!</v>
      </c>
      <c r="AD40" s="310" t="str">
        <f t="shared" si="7"/>
        <v>n.d.</v>
      </c>
      <c r="AE40" s="306"/>
      <c r="AH40" s="147" t="s">
        <v>70</v>
      </c>
    </row>
    <row r="41" spans="1:34">
      <c r="A41" s="111" t="s">
        <v>81</v>
      </c>
      <c r="T41" s="124">
        <v>14.983700000000001</v>
      </c>
      <c r="V41" s="87" t="e">
        <f t="shared" si="0"/>
        <v>#DIV/0!</v>
      </c>
      <c r="W41" s="203" t="e">
        <f t="shared" si="1"/>
        <v>#DIV/0!</v>
      </c>
      <c r="X41" s="49" t="e">
        <f t="shared" si="2"/>
        <v>#DIV/0!</v>
      </c>
      <c r="Y41" s="49" t="e">
        <f t="shared" si="3"/>
        <v>#DIV/0!</v>
      </c>
      <c r="Z41" s="50" t="e">
        <f t="shared" si="4"/>
        <v>#NUM!</v>
      </c>
      <c r="AA41" s="105" t="e">
        <f t="shared" si="5"/>
        <v>#DIV/0!</v>
      </c>
      <c r="AB41" s="311" t="e">
        <f>INDEX($AJ$3:AK51,MATCH(COUNTA(J41:Q41),$AJ$3:$AJ$12,0),2)</f>
        <v>#N/A</v>
      </c>
      <c r="AC41" s="108" t="e">
        <f t="shared" si="6"/>
        <v>#DIV/0!</v>
      </c>
      <c r="AD41" s="310" t="str">
        <f t="shared" si="7"/>
        <v>n.d.</v>
      </c>
      <c r="AE41" s="306"/>
      <c r="AH41" s="147" t="s">
        <v>70</v>
      </c>
    </row>
    <row r="42" spans="1:34">
      <c r="A42" s="111" t="s">
        <v>82</v>
      </c>
      <c r="B42">
        <v>243.26</v>
      </c>
      <c r="C42">
        <v>180.51</v>
      </c>
      <c r="D42">
        <v>202.1</v>
      </c>
      <c r="E42">
        <v>115.45</v>
      </c>
      <c r="F42">
        <v>170.3</v>
      </c>
      <c r="G42">
        <v>222.77</v>
      </c>
      <c r="H42">
        <v>156.88999999999999</v>
      </c>
      <c r="I42">
        <v>253.54</v>
      </c>
      <c r="J42" s="306">
        <v>243.26</v>
      </c>
      <c r="K42">
        <v>180.51</v>
      </c>
      <c r="L42">
        <v>202.1</v>
      </c>
      <c r="M42">
        <v>115.45</v>
      </c>
      <c r="N42">
        <v>170.3</v>
      </c>
      <c r="O42">
        <v>222.77</v>
      </c>
      <c r="P42">
        <v>156.88999999999999</v>
      </c>
      <c r="Q42" s="307">
        <v>253.54</v>
      </c>
      <c r="R42" s="166">
        <v>2.4987762971510028</v>
      </c>
      <c r="S42" s="130">
        <v>4.4017774998636154</v>
      </c>
      <c r="T42" s="124">
        <v>2.3340000000000001</v>
      </c>
      <c r="U42" s="312">
        <v>0.82</v>
      </c>
      <c r="V42" s="87">
        <f t="shared" si="0"/>
        <v>1</v>
      </c>
      <c r="W42" s="203">
        <f t="shared" si="1"/>
        <v>0.90999999999999992</v>
      </c>
      <c r="X42" s="49">
        <f t="shared" si="2"/>
        <v>22.535349220128882</v>
      </c>
      <c r="Y42" s="49">
        <f t="shared" si="3"/>
        <v>22.535349220128882</v>
      </c>
      <c r="Z42" s="50">
        <f t="shared" si="4"/>
        <v>7.4444203055978E-2</v>
      </c>
      <c r="AA42" s="105">
        <f t="shared" si="5"/>
        <v>1.3888466720417736</v>
      </c>
      <c r="AB42" s="311">
        <f>INDEX($AJ$3:AK52,MATCH(COUNTA(J42:Q42),$AJ$3:$AJ$12,0),2)</f>
        <v>2.2200000000000002</v>
      </c>
      <c r="AC42" s="108">
        <f t="shared" si="6"/>
        <v>193.10250000000002</v>
      </c>
      <c r="AD42" s="310">
        <f t="shared" si="7"/>
        <v>82.734575835475582</v>
      </c>
      <c r="AE42" s="306"/>
      <c r="AH42" s="147" t="s">
        <v>67</v>
      </c>
    </row>
    <row r="43" spans="1:34">
      <c r="A43" s="111" t="s">
        <v>83</v>
      </c>
      <c r="C43">
        <v>75.92</v>
      </c>
      <c r="D43">
        <v>62.33</v>
      </c>
      <c r="E43">
        <v>22.61</v>
      </c>
      <c r="H43">
        <v>22.88</v>
      </c>
      <c r="I43">
        <v>10.46</v>
      </c>
      <c r="K43">
        <v>75.92</v>
      </c>
      <c r="L43">
        <v>62.33</v>
      </c>
      <c r="M43">
        <v>22.61</v>
      </c>
      <c r="P43">
        <v>22.88</v>
      </c>
      <c r="Q43" s="307">
        <v>10.46</v>
      </c>
      <c r="R43" s="166">
        <v>6.6883709910154826E-2</v>
      </c>
      <c r="S43" s="130">
        <v>9.4587849656768697E-2</v>
      </c>
      <c r="T43" s="124">
        <v>5.1288999999999998</v>
      </c>
      <c r="U43" s="312">
        <v>0.5</v>
      </c>
      <c r="V43" s="87">
        <f t="shared" si="0"/>
        <v>0.5625</v>
      </c>
      <c r="W43" s="203">
        <f t="shared" si="1"/>
        <v>0.53125</v>
      </c>
      <c r="X43" s="49">
        <f t="shared" si="2"/>
        <v>65.644022994742528</v>
      </c>
      <c r="Y43" s="49">
        <f t="shared" si="3"/>
        <v>65.644022994742528</v>
      </c>
      <c r="Z43" s="50">
        <f t="shared" si="4"/>
        <v>0.20760769935838683</v>
      </c>
      <c r="AA43" s="105">
        <f t="shared" si="5"/>
        <v>1.4543378776627582</v>
      </c>
      <c r="AB43" s="311">
        <f>INDEX($AJ$3:AK53,MATCH(COUNTA(J43:Q43),$AJ$3:$AJ$12,0),2)</f>
        <v>1.75</v>
      </c>
      <c r="AC43" s="108">
        <f t="shared" si="6"/>
        <v>38.840000000000003</v>
      </c>
      <c r="AD43" s="310">
        <f t="shared" si="7"/>
        <v>7.5727738891380225</v>
      </c>
      <c r="AE43" s="306"/>
      <c r="AH43" s="147" t="s">
        <v>67</v>
      </c>
    </row>
    <row r="44" spans="1:34">
      <c r="A44" s="111" t="s">
        <v>84</v>
      </c>
      <c r="B44">
        <v>82.02</v>
      </c>
      <c r="C44">
        <v>89.63</v>
      </c>
      <c r="D44">
        <v>69.61</v>
      </c>
      <c r="E44">
        <v>29.31</v>
      </c>
      <c r="H44">
        <v>38.409999999999997</v>
      </c>
      <c r="I44">
        <v>54.19</v>
      </c>
      <c r="J44" s="306">
        <v>82.02</v>
      </c>
      <c r="K44">
        <v>89.63</v>
      </c>
      <c r="L44">
        <v>69.61</v>
      </c>
      <c r="M44">
        <v>29.31</v>
      </c>
      <c r="P44">
        <v>38.409999999999997</v>
      </c>
      <c r="Q44" s="307">
        <v>54.19</v>
      </c>
      <c r="R44" s="166">
        <v>3.5278698200069868E-2</v>
      </c>
      <c r="S44" s="130">
        <v>4.9891613457406177E-2</v>
      </c>
      <c r="T44" s="124">
        <v>2.7223000000000002</v>
      </c>
      <c r="U44" s="312">
        <v>0.7</v>
      </c>
      <c r="V44" s="87">
        <f t="shared" si="0"/>
        <v>0.625</v>
      </c>
      <c r="W44" s="203">
        <f t="shared" si="1"/>
        <v>0.66249999999999998</v>
      </c>
      <c r="X44" s="49">
        <f t="shared" si="2"/>
        <v>36.291846102826987</v>
      </c>
      <c r="Y44" s="49">
        <f t="shared" si="3"/>
        <v>36.291846102826987</v>
      </c>
      <c r="Z44" s="50">
        <f t="shared" si="4"/>
        <v>0.12616047745358092</v>
      </c>
      <c r="AA44" s="105">
        <f t="shared" si="5"/>
        <v>1.3247992871309708</v>
      </c>
      <c r="AB44" s="311">
        <f>INDEX($AJ$3:AK54,MATCH(COUNTA(J44:Q44),$AJ$3:$AJ$12,0),2)</f>
        <v>1.94</v>
      </c>
      <c r="AC44" s="108">
        <f t="shared" si="6"/>
        <v>60.528333333333336</v>
      </c>
      <c r="AD44" s="310">
        <f t="shared" si="7"/>
        <v>22.234262694535257</v>
      </c>
      <c r="AE44" s="306"/>
      <c r="AH44" s="147" t="s">
        <v>67</v>
      </c>
    </row>
    <row r="45" spans="1:34">
      <c r="A45" s="111" t="s">
        <v>85</v>
      </c>
      <c r="B45">
        <v>90.48</v>
      </c>
      <c r="C45">
        <v>93.14</v>
      </c>
      <c r="D45">
        <v>75.64</v>
      </c>
      <c r="E45">
        <v>31.73</v>
      </c>
      <c r="H45">
        <v>34.96</v>
      </c>
      <c r="I45">
        <v>55.68</v>
      </c>
      <c r="J45" s="306">
        <v>90.48</v>
      </c>
      <c r="K45">
        <v>93.14</v>
      </c>
      <c r="L45">
        <v>75.64</v>
      </c>
      <c r="M45">
        <v>31.73</v>
      </c>
      <c r="P45">
        <v>34.96</v>
      </c>
      <c r="Q45" s="307">
        <v>55.68</v>
      </c>
      <c r="R45" s="166">
        <v>3.5278698200069979E-2</v>
      </c>
      <c r="S45" s="130">
        <v>4.9891613457406177E-2</v>
      </c>
      <c r="T45" s="124">
        <v>2.6141000000000001</v>
      </c>
      <c r="U45" s="312">
        <v>0.77</v>
      </c>
      <c r="V45" s="87">
        <f t="shared" si="0"/>
        <v>0.625</v>
      </c>
      <c r="W45" s="203">
        <f t="shared" si="1"/>
        <v>0.69750000000000001</v>
      </c>
      <c r="X45" s="49">
        <f t="shared" si="2"/>
        <v>38.717832641219736</v>
      </c>
      <c r="Y45" s="49">
        <f t="shared" si="3"/>
        <v>38.717832641219736</v>
      </c>
      <c r="Z45" s="50">
        <f t="shared" si="4"/>
        <v>4.3315420941214731E-2</v>
      </c>
      <c r="AA45" s="105">
        <f t="shared" si="5"/>
        <v>1.1993189061744443</v>
      </c>
      <c r="AB45" s="311">
        <f>INDEX($AJ$3:AK55,MATCH(COUNTA(J45:Q45),$AJ$3:$AJ$12,0),2)</f>
        <v>1.94</v>
      </c>
      <c r="AC45" s="108">
        <f t="shared" si="6"/>
        <v>63.604999999999997</v>
      </c>
      <c r="AD45" s="310">
        <f t="shared" si="7"/>
        <v>24.331509888680614</v>
      </c>
      <c r="AE45" s="306"/>
      <c r="AH45" s="147" t="s">
        <v>67</v>
      </c>
    </row>
    <row r="46" spans="1:34">
      <c r="A46" s="111" t="s">
        <v>86</v>
      </c>
      <c r="B46">
        <v>326.19</v>
      </c>
      <c r="C46">
        <v>425.64</v>
      </c>
      <c r="D46">
        <v>404.89</v>
      </c>
      <c r="E46">
        <v>187.21</v>
      </c>
      <c r="F46">
        <v>321.45999999999998</v>
      </c>
      <c r="G46">
        <v>267.43</v>
      </c>
      <c r="H46">
        <v>187.8</v>
      </c>
      <c r="I46">
        <v>289.02</v>
      </c>
      <c r="J46" s="306">
        <v>326.19</v>
      </c>
      <c r="K46">
        <v>425.64</v>
      </c>
      <c r="L46">
        <v>404.89</v>
      </c>
      <c r="M46">
        <v>187.21</v>
      </c>
      <c r="N46">
        <v>321.45999999999998</v>
      </c>
      <c r="O46">
        <v>267.43</v>
      </c>
      <c r="P46">
        <v>187.8</v>
      </c>
      <c r="Q46" s="307">
        <v>289.02</v>
      </c>
      <c r="R46" s="166">
        <v>0.17137020002342329</v>
      </c>
      <c r="S46" s="130">
        <v>0.24235406105971541</v>
      </c>
      <c r="T46" s="124">
        <v>3.3165</v>
      </c>
      <c r="U46" s="312">
        <v>0.82</v>
      </c>
      <c r="V46" s="87">
        <f t="shared" si="0"/>
        <v>1</v>
      </c>
      <c r="W46" s="203">
        <f t="shared" si="1"/>
        <v>0.90999999999999992</v>
      </c>
      <c r="X46" s="49">
        <f t="shared" si="2"/>
        <v>27.380913087135127</v>
      </c>
      <c r="Y46" s="49">
        <f t="shared" si="3"/>
        <v>27.380913087135127</v>
      </c>
      <c r="Z46" s="50">
        <f t="shared" si="4"/>
        <v>8.7027639139370047E-2</v>
      </c>
      <c r="AA46" s="105">
        <f t="shared" si="5"/>
        <v>1.508802686057005</v>
      </c>
      <c r="AB46" s="311">
        <f>INDEX($AJ$3:AK56,MATCH(COUNTA(J46:Q46),$AJ$3:$AJ$12,0),2)</f>
        <v>2.2200000000000002</v>
      </c>
      <c r="AC46" s="108">
        <f t="shared" si="6"/>
        <v>301.20499999999998</v>
      </c>
      <c r="AD46" s="310">
        <f t="shared" si="7"/>
        <v>90.820141715664093</v>
      </c>
      <c r="AE46" s="306"/>
      <c r="AH46" s="147" t="s">
        <v>67</v>
      </c>
    </row>
    <row r="47" spans="1:34">
      <c r="A47" s="111" t="s">
        <v>87</v>
      </c>
      <c r="B47">
        <v>263.20999999999998</v>
      </c>
      <c r="C47">
        <v>296.33</v>
      </c>
      <c r="D47">
        <v>270.58</v>
      </c>
      <c r="E47">
        <v>120.69</v>
      </c>
      <c r="F47">
        <v>153.33000000000001</v>
      </c>
      <c r="G47">
        <v>146.16</v>
      </c>
      <c r="H47">
        <v>126.97</v>
      </c>
      <c r="I47">
        <v>194.05</v>
      </c>
      <c r="J47" s="306">
        <v>263.20999999999998</v>
      </c>
      <c r="K47">
        <v>296.33</v>
      </c>
      <c r="L47">
        <v>270.58</v>
      </c>
      <c r="M47">
        <v>120.69</v>
      </c>
      <c r="N47">
        <v>153.33000000000001</v>
      </c>
      <c r="O47">
        <v>146.16</v>
      </c>
      <c r="P47">
        <v>126.97</v>
      </c>
      <c r="Q47" s="307">
        <v>194.05</v>
      </c>
      <c r="R47" s="166">
        <v>0.1713702000234234</v>
      </c>
      <c r="S47" s="130">
        <v>0.24235406105971541</v>
      </c>
      <c r="T47" s="124">
        <v>2.6827000000000001</v>
      </c>
      <c r="U47" s="312">
        <v>0.78</v>
      </c>
      <c r="V47" s="87">
        <f t="shared" si="0"/>
        <v>1</v>
      </c>
      <c r="W47" s="203">
        <f t="shared" si="1"/>
        <v>0.89</v>
      </c>
      <c r="X47" s="49">
        <f t="shared" si="2"/>
        <v>33.622268808483028</v>
      </c>
      <c r="Y47" s="49">
        <f t="shared" si="3"/>
        <v>33.622268808483028</v>
      </c>
      <c r="Z47" s="50">
        <f t="shared" si="4"/>
        <v>0.14660669551355046</v>
      </c>
      <c r="AA47" s="105">
        <f t="shared" si="5"/>
        <v>1.5129655015259105</v>
      </c>
      <c r="AB47" s="311">
        <f>INDEX($AJ$3:AK57,MATCH(COUNTA(J47:Q47),$AJ$3:$AJ$12,0),2)</f>
        <v>2.2200000000000002</v>
      </c>
      <c r="AC47" s="108">
        <f t="shared" si="6"/>
        <v>196.41499999999999</v>
      </c>
      <c r="AD47" s="310">
        <f t="shared" si="7"/>
        <v>73.215417303462928</v>
      </c>
      <c r="AE47" s="306"/>
      <c r="AH47" s="147" t="s">
        <v>67</v>
      </c>
    </row>
    <row r="48" spans="1:34">
      <c r="A48" s="111" t="s">
        <v>88</v>
      </c>
      <c r="B48">
        <v>248.95</v>
      </c>
      <c r="C48">
        <v>281.48</v>
      </c>
      <c r="D48">
        <v>284.35000000000002</v>
      </c>
      <c r="E48">
        <v>104.05</v>
      </c>
      <c r="F48">
        <v>68.05</v>
      </c>
      <c r="G48">
        <v>73.56</v>
      </c>
      <c r="H48">
        <v>93.75</v>
      </c>
      <c r="I48">
        <v>136.34</v>
      </c>
      <c r="J48" s="306">
        <v>248.95</v>
      </c>
      <c r="K48">
        <v>281.48</v>
      </c>
      <c r="L48">
        <v>284.35000000000002</v>
      </c>
      <c r="M48">
        <v>104.05</v>
      </c>
      <c r="N48">
        <v>68.05</v>
      </c>
      <c r="O48">
        <v>73.56</v>
      </c>
      <c r="P48">
        <v>93.75</v>
      </c>
      <c r="Q48" s="307">
        <v>136.34</v>
      </c>
      <c r="T48" s="124">
        <v>4.9345999999999997</v>
      </c>
      <c r="U48" s="312">
        <v>0.73</v>
      </c>
      <c r="V48" s="87">
        <f t="shared" si="0"/>
        <v>0.75</v>
      </c>
      <c r="W48" s="203">
        <f t="shared" si="1"/>
        <v>0.74</v>
      </c>
      <c r="X48" s="49">
        <f t="shared" si="2"/>
        <v>54.627121172058914</v>
      </c>
      <c r="Y48" s="49">
        <f t="shared" si="3"/>
        <v>54.627121172058914</v>
      </c>
      <c r="Z48" s="50">
        <f t="shared" si="4"/>
        <v>1.3268608414239503E-2</v>
      </c>
      <c r="AA48" s="105">
        <f t="shared" si="5"/>
        <v>1.396168481438153</v>
      </c>
      <c r="AB48" s="311">
        <f>INDEX($AJ$3:AK58,MATCH(COUNTA(J48:Q48),$AJ$3:$AJ$12,0),2)</f>
        <v>2.2200000000000002</v>
      </c>
      <c r="AC48" s="108">
        <f t="shared" si="6"/>
        <v>161.31625</v>
      </c>
      <c r="AD48" s="310">
        <f t="shared" si="7"/>
        <v>32.690846269201153</v>
      </c>
      <c r="AE48" s="306"/>
      <c r="AH48" s="147" t="s">
        <v>67</v>
      </c>
    </row>
    <row r="49" spans="1:34">
      <c r="A49" s="239" t="s">
        <v>89</v>
      </c>
      <c r="B49">
        <v>210.37</v>
      </c>
      <c r="C49">
        <v>275.24</v>
      </c>
      <c r="D49">
        <v>290.92</v>
      </c>
      <c r="E49">
        <v>118.71</v>
      </c>
      <c r="F49">
        <v>62.95</v>
      </c>
      <c r="G49">
        <v>58.18</v>
      </c>
      <c r="H49">
        <v>94.82</v>
      </c>
      <c r="I49">
        <v>142.87</v>
      </c>
      <c r="J49" s="306">
        <v>210.37</v>
      </c>
      <c r="K49">
        <v>275.24</v>
      </c>
      <c r="L49">
        <v>290.92</v>
      </c>
      <c r="M49">
        <v>118.71</v>
      </c>
      <c r="N49">
        <v>62.95</v>
      </c>
      <c r="O49">
        <v>58.18</v>
      </c>
      <c r="P49">
        <v>94.82</v>
      </c>
      <c r="Q49" s="307">
        <v>142.87</v>
      </c>
      <c r="T49" s="124">
        <v>5.2786</v>
      </c>
      <c r="U49" s="312">
        <v>0.77</v>
      </c>
      <c r="V49" s="87">
        <f t="shared" si="0"/>
        <v>0.75</v>
      </c>
      <c r="W49" s="203">
        <f t="shared" si="1"/>
        <v>0.76</v>
      </c>
      <c r="X49" s="49">
        <f t="shared" si="2"/>
        <v>54.740244728117339</v>
      </c>
      <c r="Y49" s="49">
        <f t="shared" si="3"/>
        <v>54.740244728117339</v>
      </c>
      <c r="Z49" s="50">
        <f t="shared" si="4"/>
        <v>6.7371315631176446E-2</v>
      </c>
      <c r="AA49" s="105">
        <f t="shared" si="5"/>
        <v>1.5634934962953024</v>
      </c>
      <c r="AB49" s="311">
        <f>INDEX($AJ$3:AK59,MATCH(COUNTA(J49:Q49),$AJ$3:$AJ$12,0),2)</f>
        <v>2.2200000000000002</v>
      </c>
      <c r="AC49" s="108">
        <f t="shared" si="6"/>
        <v>156.75749999999999</v>
      </c>
      <c r="AD49" s="310">
        <f t="shared" si="7"/>
        <v>29.696794604630014</v>
      </c>
      <c r="AE49" s="306"/>
      <c r="AH49" s="147" t="s">
        <v>67</v>
      </c>
    </row>
    <row r="50" spans="1:34" s="51" customFormat="1">
      <c r="A50" s="116" t="s">
        <v>90</v>
      </c>
      <c r="J50" s="63"/>
      <c r="Q50" s="78"/>
      <c r="S50" s="78"/>
      <c r="T50" s="123">
        <v>6.4586099999999994E-2</v>
      </c>
      <c r="U50" s="83"/>
      <c r="V50" s="89" t="e">
        <f t="shared" si="0"/>
        <v>#DIV/0!</v>
      </c>
      <c r="W50" s="68" t="e">
        <f t="shared" si="1"/>
        <v>#DIV/0!</v>
      </c>
      <c r="X50" s="69" t="e">
        <f t="shared" si="2"/>
        <v>#DIV/0!</v>
      </c>
      <c r="Y50" s="69" t="e">
        <f t="shared" si="3"/>
        <v>#DIV/0!</v>
      </c>
      <c r="Z50" s="70" t="e">
        <f t="shared" si="4"/>
        <v>#NUM!</v>
      </c>
      <c r="AA50" s="104" t="e">
        <f t="shared" si="5"/>
        <v>#DIV/0!</v>
      </c>
      <c r="AB50" s="71" t="e">
        <f>INDEX($AJ$3:AK60,MATCH(COUNTA(J50:Q50),$AJ$3:$AJ$12,0),2)</f>
        <v>#N/A</v>
      </c>
      <c r="AC50" s="107" t="e">
        <f t="shared" si="6"/>
        <v>#DIV/0!</v>
      </c>
      <c r="AD50" s="310" t="str">
        <f t="shared" si="7"/>
        <v>n.d.</v>
      </c>
      <c r="AG50" s="78"/>
      <c r="AH50" s="148" t="s">
        <v>64</v>
      </c>
    </row>
    <row r="51" spans="1:34">
      <c r="A51" s="116" t="s">
        <v>91</v>
      </c>
      <c r="B51">
        <v>352.38</v>
      </c>
      <c r="C51">
        <v>187.54</v>
      </c>
      <c r="D51">
        <v>163.75</v>
      </c>
      <c r="E51">
        <v>107.8</v>
      </c>
      <c r="F51">
        <v>364.6</v>
      </c>
      <c r="G51">
        <v>266.68</v>
      </c>
      <c r="H51">
        <v>249.02</v>
      </c>
      <c r="I51">
        <v>276.89</v>
      </c>
      <c r="J51" s="306">
        <v>352.38</v>
      </c>
      <c r="K51">
        <v>187.54</v>
      </c>
      <c r="L51">
        <v>163.75</v>
      </c>
      <c r="M51">
        <v>107.8</v>
      </c>
      <c r="N51">
        <v>364.6</v>
      </c>
      <c r="O51">
        <v>266.68</v>
      </c>
      <c r="P51">
        <v>249.02</v>
      </c>
      <c r="Q51" s="307">
        <v>276.89</v>
      </c>
      <c r="R51" s="227">
        <v>0.1039049432908889</v>
      </c>
      <c r="S51" s="64">
        <v>9.2799683636893199E-2</v>
      </c>
      <c r="T51" s="124">
        <v>9.7091999999999992</v>
      </c>
      <c r="U51" s="312">
        <v>0.87</v>
      </c>
      <c r="V51" s="87">
        <f t="shared" si="0"/>
        <v>1</v>
      </c>
      <c r="W51" s="203">
        <f t="shared" si="1"/>
        <v>0.93500000000000005</v>
      </c>
      <c r="X51" s="49">
        <f t="shared" si="2"/>
        <v>34.015999198905313</v>
      </c>
      <c r="Y51" s="49">
        <f t="shared" si="3"/>
        <v>34.015999198905313</v>
      </c>
      <c r="Z51" s="50">
        <f t="shared" si="4"/>
        <v>4.7585669781931565E-2</v>
      </c>
      <c r="AA51" s="105">
        <f t="shared" si="5"/>
        <v>1.4158541531971274</v>
      </c>
      <c r="AB51" s="311">
        <f>INDEX($AJ$3:AK61,MATCH(COUNTA(J51:Q51),$AJ$3:$AJ$12,0),2)</f>
        <v>2.2200000000000002</v>
      </c>
      <c r="AC51" s="108">
        <f t="shared" si="6"/>
        <v>246.08249999999998</v>
      </c>
      <c r="AD51" s="310">
        <f t="shared" si="7"/>
        <v>25.345291064145346</v>
      </c>
      <c r="AH51" s="147" t="s">
        <v>46</v>
      </c>
    </row>
    <row r="52" spans="1:34">
      <c r="A52" s="116" t="s">
        <v>92</v>
      </c>
      <c r="B52">
        <v>353.16</v>
      </c>
      <c r="C52">
        <v>196.01</v>
      </c>
      <c r="D52">
        <v>143.82</v>
      </c>
      <c r="E52">
        <v>138.79</v>
      </c>
      <c r="F52">
        <v>280.13</v>
      </c>
      <c r="G52">
        <v>228.52</v>
      </c>
      <c r="H52">
        <v>204.41</v>
      </c>
      <c r="I52">
        <v>228.46</v>
      </c>
      <c r="J52" s="306">
        <v>353.16</v>
      </c>
      <c r="K52">
        <v>196.01</v>
      </c>
      <c r="L52">
        <v>143.82</v>
      </c>
      <c r="M52">
        <v>138.79</v>
      </c>
      <c r="N52">
        <v>280.13</v>
      </c>
      <c r="O52">
        <v>228.52</v>
      </c>
      <c r="P52">
        <v>204.41</v>
      </c>
      <c r="Q52" s="307">
        <v>228.46</v>
      </c>
      <c r="R52" s="227">
        <v>7.0451798636187529E-2</v>
      </c>
      <c r="S52" s="64">
        <v>9.2799683636893199E-2</v>
      </c>
      <c r="T52" s="124">
        <v>13.1975</v>
      </c>
      <c r="U52" s="312">
        <v>0.9</v>
      </c>
      <c r="V52" s="87">
        <f t="shared" si="0"/>
        <v>1</v>
      </c>
      <c r="W52" s="203">
        <f t="shared" si="1"/>
        <v>0.95</v>
      </c>
      <c r="X52" s="49">
        <f t="shared" si="2"/>
        <v>29.705825760597616</v>
      </c>
      <c r="Y52" s="49">
        <f t="shared" si="3"/>
        <v>29.705825760597616</v>
      </c>
      <c r="Z52" s="50">
        <f t="shared" si="4"/>
        <v>0.34067266875029162</v>
      </c>
      <c r="AA52" s="105">
        <f t="shared" si="5"/>
        <v>1.9970256349296922</v>
      </c>
      <c r="AB52" s="311">
        <f>INDEX($AJ$3:AK62,MATCH(COUNTA(J52:Q52),$AJ$3:$AJ$12,0),2)</f>
        <v>2.2200000000000002</v>
      </c>
      <c r="AC52" s="108">
        <f t="shared" si="6"/>
        <v>221.66249999999999</v>
      </c>
      <c r="AD52" s="310">
        <f t="shared" si="7"/>
        <v>16.795794658079181</v>
      </c>
      <c r="AH52" s="147" t="s">
        <v>46</v>
      </c>
    </row>
    <row r="53" spans="1:34">
      <c r="A53" s="116" t="s">
        <v>93</v>
      </c>
      <c r="B53">
        <v>640.86</v>
      </c>
      <c r="C53">
        <v>313.69</v>
      </c>
      <c r="D53">
        <v>289.14</v>
      </c>
      <c r="E53">
        <v>265.18</v>
      </c>
      <c r="F53">
        <v>784.29</v>
      </c>
      <c r="G53">
        <v>621.17999999999995</v>
      </c>
      <c r="H53">
        <v>377.51</v>
      </c>
      <c r="I53">
        <v>382.22</v>
      </c>
      <c r="K53">
        <v>313.69</v>
      </c>
      <c r="L53">
        <v>289.14</v>
      </c>
      <c r="M53">
        <v>265.18</v>
      </c>
      <c r="P53">
        <v>377.51</v>
      </c>
      <c r="Q53" s="307">
        <v>382.22</v>
      </c>
      <c r="R53" s="227">
        <v>3.35279207911321E-2</v>
      </c>
      <c r="S53" s="64">
        <v>9.2799683636893199E-2</v>
      </c>
      <c r="T53" s="124">
        <v>13.651300000000001</v>
      </c>
      <c r="U53" s="312">
        <v>0.85</v>
      </c>
      <c r="V53" s="87">
        <f t="shared" si="0"/>
        <v>0.8125</v>
      </c>
      <c r="W53" s="203">
        <f t="shared" si="1"/>
        <v>0.83125000000000004</v>
      </c>
      <c r="X53" s="49">
        <f t="shared" si="2"/>
        <v>14.422296072830148</v>
      </c>
      <c r="Y53" s="49">
        <f t="shared" si="3"/>
        <v>39.648950442305186</v>
      </c>
      <c r="Z53" s="50">
        <f t="shared" si="4"/>
        <v>4.0242652084757649E-2</v>
      </c>
      <c r="AA53" s="105">
        <f t="shared" si="5"/>
        <v>1.2070328812108457</v>
      </c>
      <c r="AB53" s="311">
        <f>INDEX($AJ$3:AK63,MATCH(COUNTA(J53:Q53),$AJ$3:$AJ$12,0),2)</f>
        <v>1.75</v>
      </c>
      <c r="AC53" s="108">
        <f t="shared" si="6"/>
        <v>325.548</v>
      </c>
      <c r="AD53" s="310">
        <f t="shared" si="7"/>
        <v>23.847399148799013</v>
      </c>
      <c r="AH53" s="147" t="s">
        <v>46</v>
      </c>
    </row>
    <row r="54" spans="1:34">
      <c r="A54" s="116" t="s">
        <v>94</v>
      </c>
      <c r="D54">
        <v>40.659999999999997</v>
      </c>
      <c r="E54">
        <v>102.24</v>
      </c>
      <c r="H54">
        <v>19.079999999999998</v>
      </c>
      <c r="I54">
        <v>32.83</v>
      </c>
      <c r="L54">
        <v>40.659999999999997</v>
      </c>
      <c r="P54">
        <v>19.079999999999998</v>
      </c>
      <c r="Q54" s="307">
        <v>32.83</v>
      </c>
      <c r="R54" s="227">
        <v>9.1534575853032138E-2</v>
      </c>
      <c r="S54" s="64">
        <v>8.9312648926833715E-2</v>
      </c>
      <c r="T54" s="124">
        <v>12.703900000000001</v>
      </c>
      <c r="U54" s="312">
        <v>0.53</v>
      </c>
      <c r="V54" s="87">
        <f t="shared" si="0"/>
        <v>0.6875</v>
      </c>
      <c r="W54" s="203">
        <f t="shared" si="1"/>
        <v>0.60875000000000001</v>
      </c>
      <c r="X54" s="49">
        <f t="shared" si="2"/>
        <v>28.907252017944618</v>
      </c>
      <c r="Y54" s="49">
        <f t="shared" si="3"/>
        <v>65.41868256088496</v>
      </c>
      <c r="Z54" s="50">
        <f t="shared" si="4"/>
        <v>0.36283595922150136</v>
      </c>
      <c r="AA54" s="105">
        <f t="shared" si="5"/>
        <v>1.0990512690369019</v>
      </c>
      <c r="AB54" s="311">
        <f>INDEX($AJ$3:AK64,MATCH(COUNTA(J54:Q54),$AJ$3:$AJ$12,0),2)</f>
        <v>1.1499999999999999</v>
      </c>
      <c r="AC54" s="108">
        <f t="shared" si="6"/>
        <v>30.856666666666666</v>
      </c>
      <c r="AD54" s="310">
        <f t="shared" si="7"/>
        <v>2.4289129060104901</v>
      </c>
      <c r="AH54" s="147" t="s">
        <v>46</v>
      </c>
    </row>
    <row r="55" spans="1:34">
      <c r="A55" s="116" t="s">
        <v>95</v>
      </c>
      <c r="B55">
        <v>49.87</v>
      </c>
      <c r="C55">
        <v>14.12</v>
      </c>
      <c r="E55">
        <v>21.61</v>
      </c>
      <c r="J55" s="306">
        <v>49.87</v>
      </c>
      <c r="K55">
        <v>14.12</v>
      </c>
      <c r="M55">
        <v>21.61</v>
      </c>
      <c r="R55" s="227">
        <v>8.5900121276484234E-2</v>
      </c>
      <c r="S55" s="64">
        <v>8.9312648926833715E-2</v>
      </c>
      <c r="T55" s="124">
        <v>7.2664999999999997</v>
      </c>
      <c r="U55" s="312">
        <v>0.5</v>
      </c>
      <c r="V55" s="87">
        <f t="shared" si="0"/>
        <v>0.4375</v>
      </c>
      <c r="W55" s="203">
        <f t="shared" si="1"/>
        <v>0.46875</v>
      </c>
      <c r="X55" s="49">
        <f t="shared" si="2"/>
        <v>53.951099965060521</v>
      </c>
      <c r="Y55" s="49">
        <f t="shared" si="3"/>
        <v>53.951099965060521</v>
      </c>
      <c r="Z55" s="50">
        <f t="shared" si="4"/>
        <v>0.79048951048951044</v>
      </c>
      <c r="AA55" s="105">
        <f t="shared" si="5"/>
        <v>1.3860336013835652</v>
      </c>
      <c r="AB55" s="311">
        <f>INDEX($AJ$3:AK65,MATCH(COUNTA(J55:Q55),$AJ$3:$AJ$12,0),2)</f>
        <v>1.1499999999999999</v>
      </c>
      <c r="AC55" s="108">
        <f t="shared" si="6"/>
        <v>28.533333333333331</v>
      </c>
      <c r="AD55" s="310">
        <f t="shared" si="7"/>
        <v>3.9266955664120737</v>
      </c>
      <c r="AH55" s="147" t="s">
        <v>46</v>
      </c>
    </row>
    <row r="56" spans="1:34">
      <c r="A56" s="116" t="s">
        <v>96</v>
      </c>
      <c r="B56">
        <v>53.35</v>
      </c>
      <c r="C56">
        <v>17.2</v>
      </c>
      <c r="E56">
        <v>32.14</v>
      </c>
      <c r="J56" s="306">
        <v>53.35</v>
      </c>
      <c r="K56">
        <v>17.2</v>
      </c>
      <c r="M56">
        <v>32.14</v>
      </c>
      <c r="R56" s="227">
        <v>7.0966477937998481E-3</v>
      </c>
      <c r="S56" s="64">
        <v>8.9312648926833715E-2</v>
      </c>
      <c r="T56" s="124">
        <v>10.364800000000001</v>
      </c>
      <c r="U56" s="312">
        <v>0.59</v>
      </c>
      <c r="V56" s="87">
        <f t="shared" si="0"/>
        <v>0.4375</v>
      </c>
      <c r="W56" s="203">
        <f t="shared" si="1"/>
        <v>0.51374999999999993</v>
      </c>
      <c r="X56" s="49">
        <f t="shared" si="2"/>
        <v>43.330370162353162</v>
      </c>
      <c r="Y56" s="49">
        <f t="shared" si="3"/>
        <v>43.330370162353162</v>
      </c>
      <c r="Z56" s="50">
        <f t="shared" si="4"/>
        <v>0.58672199170124473</v>
      </c>
      <c r="AA56" s="105">
        <f t="shared" si="5"/>
        <v>1.2891058809156002</v>
      </c>
      <c r="AB56" s="311">
        <f>INDEX($AJ$3:AK66,MATCH(COUNTA(J56:Q56),$AJ$3:$AJ$12,0),2)</f>
        <v>1.1499999999999999</v>
      </c>
      <c r="AC56" s="108">
        <f t="shared" si="6"/>
        <v>34.229999999999997</v>
      </c>
      <c r="AD56" s="310">
        <f t="shared" si="7"/>
        <v>3.3025239271380049</v>
      </c>
      <c r="AH56" s="147" t="s">
        <v>46</v>
      </c>
    </row>
    <row r="57" spans="1:34">
      <c r="A57" s="116" t="s">
        <v>97</v>
      </c>
      <c r="B57">
        <v>79.069999999999993</v>
      </c>
      <c r="C57">
        <v>58.46</v>
      </c>
      <c r="D57">
        <v>117.7</v>
      </c>
      <c r="E57">
        <v>151.11000000000001</v>
      </c>
      <c r="J57" s="306">
        <v>79.069999999999993</v>
      </c>
      <c r="K57">
        <v>58.46</v>
      </c>
      <c r="L57">
        <v>117.7</v>
      </c>
      <c r="M57">
        <v>151.11000000000001</v>
      </c>
      <c r="R57" s="227">
        <v>2.6098821331507972E-2</v>
      </c>
      <c r="S57" s="64">
        <v>3.3555566741617443E-2</v>
      </c>
      <c r="T57" s="124">
        <v>10.887700000000001</v>
      </c>
      <c r="U57" s="312">
        <v>0.77</v>
      </c>
      <c r="V57" s="87">
        <f t="shared" si="0"/>
        <v>0.5</v>
      </c>
      <c r="W57" s="203">
        <f t="shared" si="1"/>
        <v>0.63500000000000001</v>
      </c>
      <c r="X57" s="49">
        <f t="shared" si="2"/>
        <v>35.077950901237749</v>
      </c>
      <c r="Y57" s="49">
        <f t="shared" si="3"/>
        <v>35.077950901237749</v>
      </c>
      <c r="Z57" s="50">
        <f t="shared" si="4"/>
        <v>0.36060442525634118</v>
      </c>
      <c r="AA57" s="105">
        <f t="shared" si="5"/>
        <v>1.3898268047647664</v>
      </c>
      <c r="AB57" s="311">
        <f>INDEX($AJ$3:AK67,MATCH(COUNTA(J57:Q57),$AJ$3:$AJ$12,0),2)</f>
        <v>1.49</v>
      </c>
      <c r="AC57" s="108">
        <f t="shared" si="6"/>
        <v>101.58500000000001</v>
      </c>
      <c r="AD57" s="310">
        <f t="shared" si="7"/>
        <v>9.330253405218734</v>
      </c>
      <c r="AH57" s="147" t="s">
        <v>46</v>
      </c>
    </row>
    <row r="58" spans="1:34">
      <c r="A58" s="116" t="s">
        <v>98</v>
      </c>
      <c r="B58">
        <v>78.209999999999994</v>
      </c>
      <c r="C58">
        <v>211.55</v>
      </c>
      <c r="D58">
        <v>134.15</v>
      </c>
      <c r="E58">
        <v>157.47</v>
      </c>
      <c r="H58">
        <v>33.659999999999997</v>
      </c>
      <c r="I58">
        <v>16.72</v>
      </c>
      <c r="J58" s="306">
        <v>78.209999999999994</v>
      </c>
      <c r="K58">
        <v>211.55</v>
      </c>
      <c r="L58">
        <v>134.15</v>
      </c>
      <c r="M58">
        <v>157.47</v>
      </c>
      <c r="R58" s="227">
        <v>2.9680864629647249E-2</v>
      </c>
      <c r="S58" s="64">
        <v>3.3555566741617443E-2</v>
      </c>
      <c r="T58" s="124">
        <v>8.7660999999999998</v>
      </c>
      <c r="U58" s="312">
        <v>0.75</v>
      </c>
      <c r="V58" s="87">
        <f t="shared" si="0"/>
        <v>0.75</v>
      </c>
      <c r="W58" s="203">
        <f t="shared" si="1"/>
        <v>0.75</v>
      </c>
      <c r="X58" s="49">
        <f t="shared" si="2"/>
        <v>32.928972493905633</v>
      </c>
      <c r="Y58" s="49">
        <f t="shared" si="3"/>
        <v>65.519362056947585</v>
      </c>
      <c r="Z58" s="50">
        <f t="shared" si="4"/>
        <v>0.40557972101394929</v>
      </c>
      <c r="AA58" s="105">
        <f t="shared" si="5"/>
        <v>1.3832876970222188</v>
      </c>
      <c r="AB58" s="311">
        <f>INDEX($AJ$3:AK68,MATCH(COUNTA(J58:Q58),$AJ$3:$AJ$12,0),2)</f>
        <v>1.49</v>
      </c>
      <c r="AC58" s="108">
        <f t="shared" si="6"/>
        <v>145.345</v>
      </c>
      <c r="AD58" s="310">
        <f t="shared" si="7"/>
        <v>16.580349300144878</v>
      </c>
      <c r="AH58" s="147" t="s">
        <v>46</v>
      </c>
    </row>
    <row r="59" spans="1:34">
      <c r="A59" s="116" t="s">
        <v>99</v>
      </c>
      <c r="B59">
        <v>135.41</v>
      </c>
      <c r="C59">
        <v>161.85</v>
      </c>
      <c r="D59">
        <v>203.92</v>
      </c>
      <c r="E59">
        <v>228.72</v>
      </c>
      <c r="H59">
        <v>33.64</v>
      </c>
      <c r="I59">
        <v>40.11</v>
      </c>
      <c r="J59" s="306">
        <v>135.41</v>
      </c>
      <c r="K59">
        <v>161.85</v>
      </c>
      <c r="L59">
        <v>203.92</v>
      </c>
      <c r="M59">
        <v>228.72</v>
      </c>
      <c r="R59" s="227">
        <v>1.8197130325338789E-2</v>
      </c>
      <c r="S59" s="64">
        <v>3.3555566741617443E-2</v>
      </c>
      <c r="T59" s="124">
        <v>11.4666</v>
      </c>
      <c r="U59" s="312">
        <v>0.88</v>
      </c>
      <c r="V59" s="87">
        <f t="shared" si="0"/>
        <v>0.75</v>
      </c>
      <c r="W59" s="203">
        <f t="shared" si="1"/>
        <v>0.81499999999999995</v>
      </c>
      <c r="X59" s="49">
        <f t="shared" si="2"/>
        <v>19.833097046365342</v>
      </c>
      <c r="Y59" s="49">
        <f t="shared" si="3"/>
        <v>55.808177599699569</v>
      </c>
      <c r="Z59" s="50">
        <f t="shared" si="4"/>
        <v>0.2657807308970101</v>
      </c>
      <c r="AA59" s="105">
        <f t="shared" si="5"/>
        <v>1.2778235108247653</v>
      </c>
      <c r="AB59" s="311">
        <f>INDEX($AJ$3:AK69,MATCH(COUNTA(J59:Q59),$AJ$3:$AJ$12,0),2)</f>
        <v>1.49</v>
      </c>
      <c r="AC59" s="108">
        <f t="shared" si="6"/>
        <v>182.47499999999999</v>
      </c>
      <c r="AD59" s="310">
        <f t="shared" si="7"/>
        <v>15.913609962848621</v>
      </c>
      <c r="AH59" s="147" t="s">
        <v>46</v>
      </c>
    </row>
    <row r="60" spans="1:34">
      <c r="A60" s="116" t="s">
        <v>100</v>
      </c>
      <c r="D60">
        <v>71.38</v>
      </c>
      <c r="E60">
        <v>84.13</v>
      </c>
      <c r="L60">
        <v>71.38</v>
      </c>
      <c r="M60">
        <v>84.13</v>
      </c>
      <c r="R60" s="227">
        <v>1.301572770747539E-2</v>
      </c>
      <c r="S60" s="64">
        <v>6.5333653970478398E-2</v>
      </c>
      <c r="T60" s="124">
        <v>8.7931000000000008</v>
      </c>
      <c r="U60" s="312">
        <v>0.78</v>
      </c>
      <c r="V60" s="87">
        <f t="shared" si="0"/>
        <v>0.625</v>
      </c>
      <c r="W60" s="203">
        <f t="shared" si="1"/>
        <v>0.70250000000000001</v>
      </c>
      <c r="X60" s="49">
        <f t="shared" si="2"/>
        <v>8.1988296572567698</v>
      </c>
      <c r="Y60" s="49">
        <f t="shared" si="3"/>
        <v>8.1988296572567698</v>
      </c>
      <c r="Z60" s="50">
        <f t="shared" si="4"/>
        <v>1</v>
      </c>
      <c r="AA60" s="105">
        <f t="shared" si="5"/>
        <v>1</v>
      </c>
      <c r="AB60" s="311" t="e">
        <f>INDEX($AJ$3:AK70,MATCH(COUNTA(J60:Q60),$AJ$3:$AJ$12,0),2)</f>
        <v>#N/A</v>
      </c>
      <c r="AC60" s="108">
        <f t="shared" si="6"/>
        <v>77.754999999999995</v>
      </c>
      <c r="AD60" s="310">
        <f t="shared" si="7"/>
        <v>8.8427289579329234</v>
      </c>
      <c r="AH60" s="147" t="s">
        <v>46</v>
      </c>
    </row>
    <row r="61" spans="1:34">
      <c r="A61" s="116" t="s">
        <v>101</v>
      </c>
      <c r="D61">
        <v>46.09</v>
      </c>
      <c r="E61">
        <v>78.3</v>
      </c>
      <c r="L61">
        <v>46.09</v>
      </c>
      <c r="M61">
        <v>78.3</v>
      </c>
      <c r="R61" s="227">
        <v>6.8165011276619919E-2</v>
      </c>
      <c r="S61" s="64">
        <v>6.5333653970478398E-2</v>
      </c>
      <c r="T61" s="124">
        <v>7.7481</v>
      </c>
      <c r="U61" s="312">
        <v>0.85</v>
      </c>
      <c r="V61" s="87">
        <f t="shared" si="0"/>
        <v>0.625</v>
      </c>
      <c r="W61" s="203">
        <f t="shared" si="1"/>
        <v>0.73750000000000004</v>
      </c>
      <c r="X61" s="49">
        <f t="shared" si="2"/>
        <v>25.894364498753891</v>
      </c>
      <c r="Y61" s="49">
        <f t="shared" si="3"/>
        <v>25.894364498753891</v>
      </c>
      <c r="Z61" s="50">
        <f t="shared" si="4"/>
        <v>1</v>
      </c>
      <c r="AA61" s="105">
        <f t="shared" si="5"/>
        <v>1.0000000000000009</v>
      </c>
      <c r="AB61" s="311" t="e">
        <f>INDEX($AJ$3:AK71,MATCH(COUNTA(J61:Q61),$AJ$3:$AJ$12,0),2)</f>
        <v>#N/A</v>
      </c>
      <c r="AC61" s="108">
        <f t="shared" si="6"/>
        <v>62.195</v>
      </c>
      <c r="AD61" s="310">
        <f t="shared" si="7"/>
        <v>8.0271292316826059</v>
      </c>
      <c r="AH61" s="147" t="s">
        <v>46</v>
      </c>
    </row>
    <row r="62" spans="1:34">
      <c r="A62" s="116" t="s">
        <v>102</v>
      </c>
      <c r="D62">
        <v>39.42</v>
      </c>
      <c r="E62">
        <v>81.96</v>
      </c>
      <c r="L62">
        <v>39.42</v>
      </c>
      <c r="M62">
        <v>81.96</v>
      </c>
      <c r="R62" s="227">
        <v>5.9778202321714061E-2</v>
      </c>
      <c r="S62" s="64">
        <v>6.5333653970478398E-2</v>
      </c>
      <c r="T62" s="124">
        <v>9.3953000000000007</v>
      </c>
      <c r="U62" s="312">
        <v>0.53</v>
      </c>
      <c r="V62" s="87">
        <f t="shared" si="0"/>
        <v>0.375</v>
      </c>
      <c r="W62" s="203">
        <f t="shared" si="1"/>
        <v>0.45250000000000001</v>
      </c>
      <c r="X62" s="49">
        <f t="shared" si="2"/>
        <v>35.046959960454764</v>
      </c>
      <c r="Y62" s="49">
        <f t="shared" si="3"/>
        <v>35.046959960454764</v>
      </c>
      <c r="Z62" s="50">
        <f t="shared" si="4"/>
        <v>1</v>
      </c>
      <c r="AA62" s="105">
        <f t="shared" si="5"/>
        <v>1</v>
      </c>
      <c r="AB62" s="311" t="e">
        <f>INDEX($AJ$3:AK72,MATCH(COUNTA(J62:Q62),$AJ$3:$AJ$12,0),2)</f>
        <v>#N/A</v>
      </c>
      <c r="AC62" s="108">
        <f t="shared" si="6"/>
        <v>60.69</v>
      </c>
      <c r="AD62" s="310">
        <f t="shared" si="7"/>
        <v>6.4596127851159615</v>
      </c>
      <c r="AH62" s="147" t="s">
        <v>46</v>
      </c>
    </row>
    <row r="63" spans="1:34">
      <c r="A63" s="116" t="s">
        <v>103</v>
      </c>
      <c r="B63">
        <v>830.28</v>
      </c>
      <c r="C63">
        <v>751.47</v>
      </c>
      <c r="D63">
        <v>385.39</v>
      </c>
      <c r="E63">
        <v>362.79</v>
      </c>
      <c r="F63">
        <v>770.19</v>
      </c>
      <c r="G63">
        <v>686.91</v>
      </c>
      <c r="H63">
        <v>360.34</v>
      </c>
      <c r="I63">
        <v>448.45</v>
      </c>
      <c r="J63" s="306">
        <v>830.28</v>
      </c>
      <c r="K63">
        <v>751.47</v>
      </c>
      <c r="L63">
        <v>385.39</v>
      </c>
      <c r="M63">
        <v>362.79</v>
      </c>
      <c r="N63">
        <v>770.19</v>
      </c>
      <c r="O63">
        <v>686.91</v>
      </c>
      <c r="P63">
        <v>360.34</v>
      </c>
      <c r="Q63" s="307">
        <v>448.45</v>
      </c>
      <c r="R63" s="227">
        <v>0.43946604521574117</v>
      </c>
      <c r="S63" s="64">
        <v>0.76921192920654291</v>
      </c>
      <c r="T63" s="124">
        <v>10.911199999999999</v>
      </c>
      <c r="U63" s="312">
        <v>0.87</v>
      </c>
      <c r="V63" s="87">
        <f t="shared" si="0"/>
        <v>1</v>
      </c>
      <c r="W63" s="203">
        <f t="shared" si="1"/>
        <v>0.93500000000000005</v>
      </c>
      <c r="X63" s="49">
        <f t="shared" si="2"/>
        <v>33.142698472781149</v>
      </c>
      <c r="Y63" s="49">
        <f t="shared" si="3"/>
        <v>33.142698472781149</v>
      </c>
      <c r="Z63" s="50">
        <f t="shared" si="4"/>
        <v>0.12786738732604144</v>
      </c>
      <c r="AA63" s="105">
        <f t="shared" si="5"/>
        <v>1.3435192553152469</v>
      </c>
      <c r="AB63" s="311">
        <f>INDEX($AJ$3:AK73,MATCH(COUNTA(J63:Q63),$AJ$3:$AJ$12,0),2)</f>
        <v>2.2200000000000002</v>
      </c>
      <c r="AC63" s="108">
        <f t="shared" si="6"/>
        <v>574.47749999999996</v>
      </c>
      <c r="AD63" s="310">
        <f t="shared" si="7"/>
        <v>52.650258450032993</v>
      </c>
      <c r="AH63" s="147" t="s">
        <v>46</v>
      </c>
    </row>
    <row r="64" spans="1:34">
      <c r="A64" s="116" t="s">
        <v>104</v>
      </c>
      <c r="B64">
        <v>1017.94</v>
      </c>
      <c r="C64">
        <v>836.02</v>
      </c>
      <c r="D64">
        <v>505.84</v>
      </c>
      <c r="E64">
        <v>470.05</v>
      </c>
      <c r="F64">
        <v>1622.41</v>
      </c>
      <c r="G64">
        <v>1039.3900000000001</v>
      </c>
      <c r="H64">
        <v>584.79999999999995</v>
      </c>
      <c r="I64">
        <v>777.22</v>
      </c>
      <c r="K64">
        <v>836.02</v>
      </c>
      <c r="L64">
        <v>505.84</v>
      </c>
      <c r="M64">
        <v>470.05</v>
      </c>
      <c r="P64">
        <v>584.79999999999995</v>
      </c>
      <c r="Q64" s="307">
        <v>777.22</v>
      </c>
      <c r="R64" s="227">
        <v>0.41234992125661329</v>
      </c>
      <c r="S64" s="64">
        <v>0.76921192920654291</v>
      </c>
      <c r="T64" s="124">
        <v>9.3252000000000006</v>
      </c>
      <c r="U64" s="312">
        <v>0.87</v>
      </c>
      <c r="V64" s="87">
        <f t="shared" si="0"/>
        <v>0.8125</v>
      </c>
      <c r="W64" s="203">
        <f t="shared" si="1"/>
        <v>0.84125000000000005</v>
      </c>
      <c r="X64" s="49">
        <f t="shared" si="2"/>
        <v>23.050123724980786</v>
      </c>
      <c r="Y64" s="49">
        <f t="shared" si="3"/>
        <v>41.247353478322971</v>
      </c>
      <c r="Z64" s="50">
        <f t="shared" si="4"/>
        <v>0.16066890728748248</v>
      </c>
      <c r="AA64" s="105">
        <f t="shared" si="5"/>
        <v>1.3753105012215945</v>
      </c>
      <c r="AB64" s="311">
        <f>INDEX($AJ$3:AK74,MATCH(COUNTA(J64:Q64),$AJ$3:$AJ$12,0),2)</f>
        <v>1.75</v>
      </c>
      <c r="AC64" s="108">
        <f t="shared" si="6"/>
        <v>634.78600000000006</v>
      </c>
      <c r="AD64" s="310">
        <f t="shared" si="7"/>
        <v>68.072105692103122</v>
      </c>
      <c r="AH64" s="147" t="s">
        <v>46</v>
      </c>
    </row>
    <row r="65" spans="1:34">
      <c r="A65" s="116" t="s">
        <v>105</v>
      </c>
      <c r="B65">
        <v>719.94</v>
      </c>
      <c r="C65">
        <v>615.64</v>
      </c>
      <c r="D65">
        <v>369.94</v>
      </c>
      <c r="E65">
        <v>308.58999999999997</v>
      </c>
      <c r="F65">
        <v>703.94</v>
      </c>
      <c r="G65">
        <v>585.13</v>
      </c>
      <c r="H65">
        <v>342.01</v>
      </c>
      <c r="I65">
        <v>439.12</v>
      </c>
      <c r="J65" s="306">
        <v>719.94</v>
      </c>
      <c r="K65">
        <v>615.64</v>
      </c>
      <c r="L65">
        <v>369.94</v>
      </c>
      <c r="M65">
        <v>308.58999999999997</v>
      </c>
      <c r="N65">
        <v>703.94</v>
      </c>
      <c r="O65">
        <v>585.13</v>
      </c>
      <c r="P65">
        <v>342.01</v>
      </c>
      <c r="Q65" s="307">
        <v>439.12</v>
      </c>
      <c r="R65" s="227">
        <v>0.4194158712147899</v>
      </c>
      <c r="S65" s="64">
        <v>0.76921192920654291</v>
      </c>
      <c r="T65" s="124">
        <v>10.133599999999999</v>
      </c>
      <c r="U65" s="312">
        <v>0.87</v>
      </c>
      <c r="V65" s="87">
        <f t="shared" si="0"/>
        <v>1</v>
      </c>
      <c r="W65" s="203">
        <f t="shared" si="1"/>
        <v>0.93500000000000005</v>
      </c>
      <c r="X65" s="49">
        <f t="shared" si="2"/>
        <v>30.337720691394388</v>
      </c>
      <c r="Y65" s="49">
        <f t="shared" si="3"/>
        <v>30.337720691394388</v>
      </c>
      <c r="Z65" s="50">
        <f t="shared" si="4"/>
        <v>3.8896317004983583E-2</v>
      </c>
      <c r="AA65" s="105">
        <f t="shared" si="5"/>
        <v>1.3519717299166139</v>
      </c>
      <c r="AB65" s="311">
        <f>INDEX($AJ$3:AK75,MATCH(COUNTA(J65:Q65),$AJ$3:$AJ$12,0),2)</f>
        <v>2.2200000000000002</v>
      </c>
      <c r="AC65" s="108">
        <f t="shared" si="6"/>
        <v>510.53875000000005</v>
      </c>
      <c r="AD65" s="310">
        <f t="shared" si="7"/>
        <v>50.380787676640097</v>
      </c>
      <c r="AH65" s="147" t="s">
        <v>46</v>
      </c>
    </row>
    <row r="66" spans="1:34">
      <c r="A66" s="116" t="s">
        <v>106</v>
      </c>
      <c r="B66">
        <v>2020.95</v>
      </c>
      <c r="C66">
        <v>1620.87</v>
      </c>
      <c r="D66">
        <v>1552.65</v>
      </c>
      <c r="E66">
        <v>1060.27</v>
      </c>
      <c r="F66">
        <v>2982.83</v>
      </c>
      <c r="G66">
        <v>2533.41</v>
      </c>
      <c r="H66">
        <v>929.95</v>
      </c>
      <c r="I66">
        <v>1592.58</v>
      </c>
      <c r="J66" s="306">
        <v>2020.95</v>
      </c>
      <c r="K66">
        <v>1620.87</v>
      </c>
      <c r="L66">
        <v>1552.65</v>
      </c>
      <c r="M66">
        <v>1060.27</v>
      </c>
      <c r="N66">
        <v>2982.83</v>
      </c>
      <c r="O66">
        <v>2533.41</v>
      </c>
      <c r="Q66" s="307">
        <v>1592.58</v>
      </c>
      <c r="R66" s="227">
        <v>1.3002502205534241</v>
      </c>
      <c r="S66" s="64">
        <v>0.76921192920654291</v>
      </c>
      <c r="T66" s="124">
        <v>5.3752000000000004</v>
      </c>
      <c r="U66" s="312">
        <v>0.8</v>
      </c>
      <c r="V66" s="87">
        <f t="shared" ref="V66:V129" si="8">(COUNT(J66:Q66)*(1/(COUNT(J66:Q66)+COUNTBLANK(J66:Q66)))+(IF(X66&lt;35,1,IF(X66&lt;70,0.5,IF(X66&gt;70,0)))))/2</f>
        <v>0.9375</v>
      </c>
      <c r="W66" s="203">
        <f t="shared" ref="W66:W129" si="9">AVERAGE(U66:V66)</f>
        <v>0.86875000000000002</v>
      </c>
      <c r="X66" s="49">
        <f t="shared" ref="X66:X129" si="10">((_xlfn.STDEV.P(J66:Q66))/(AVERAGE(J66:Q66)))*100</f>
        <v>31.837657465358483</v>
      </c>
      <c r="Y66" s="49">
        <f t="shared" ref="Y66:Y129" si="11">((_xlfn.STDEV.P(B66:I66))/(AVERAGE(B66:I66)))*100</f>
        <v>36.620765849212802</v>
      </c>
      <c r="Z66" s="50">
        <f t="shared" ref="Z66:Z129" si="12">(ABS((LARGE(J66:Q66,2) -MAX(J66:Q66))))/(ABS(MIN(J66:Q66)-MAX(J66:Q66)))</f>
        <v>0.23376123501997342</v>
      </c>
      <c r="AA66" s="105">
        <f t="shared" ref="AA66:AA129" si="13">(ABS(MAX(J66:Q66)-AVERAGE(J66:Q66))/_xlfn.STDEV.P(J66:Q66))</f>
        <v>1.7665988484435344</v>
      </c>
      <c r="AB66" s="311">
        <f>INDEX($AJ$3:AK76,MATCH(COUNTA(J66:Q66),$AJ$3:$AJ$12,0),2)</f>
        <v>2.1</v>
      </c>
      <c r="AC66" s="108">
        <f t="shared" ref="AC66:AC129" si="14">AVERAGE(J66:Q66)</f>
        <v>1909.08</v>
      </c>
      <c r="AD66" s="310">
        <f t="shared" ref="AD66:AD129" si="15">IF(AND(J66="",K66="",M66="",O66="",Q66=""),"n.d.", AC66/T66)</f>
        <v>355.16445899687449</v>
      </c>
      <c r="AE66">
        <v>5.7563000000000004</v>
      </c>
      <c r="AF66">
        <v>0.38109999999999999</v>
      </c>
      <c r="AG66" s="91">
        <f>((AC66-AVERAGE(AD63:AD65)*T66)*T66)/(AF66*1000)</f>
        <v>22.602480166067636</v>
      </c>
      <c r="AH66" s="147" t="s">
        <v>107</v>
      </c>
    </row>
    <row r="67" spans="1:34">
      <c r="A67" s="240" t="s">
        <v>108</v>
      </c>
      <c r="B67">
        <v>294.86</v>
      </c>
      <c r="C67">
        <v>214.71</v>
      </c>
      <c r="D67">
        <v>143.58000000000001</v>
      </c>
      <c r="E67">
        <v>110.4</v>
      </c>
      <c r="F67">
        <v>273.95999999999998</v>
      </c>
      <c r="G67">
        <v>192.07</v>
      </c>
      <c r="H67">
        <v>134.15</v>
      </c>
      <c r="I67">
        <v>176.74</v>
      </c>
      <c r="J67" s="306">
        <v>294.86</v>
      </c>
      <c r="K67">
        <v>214.71</v>
      </c>
      <c r="L67">
        <v>143.58000000000001</v>
      </c>
      <c r="M67">
        <v>110.4</v>
      </c>
      <c r="N67">
        <v>273.95999999999998</v>
      </c>
      <c r="O67">
        <v>192.07</v>
      </c>
      <c r="P67">
        <v>134.15</v>
      </c>
      <c r="Q67" s="307">
        <v>176.74</v>
      </c>
      <c r="R67" s="227">
        <v>0.30738873167546199</v>
      </c>
      <c r="S67" s="64">
        <v>0.76921192920654291</v>
      </c>
      <c r="T67" s="124">
        <v>3.4369000000000001</v>
      </c>
      <c r="U67" s="312">
        <v>0.85</v>
      </c>
      <c r="V67" s="87">
        <f t="shared" si="8"/>
        <v>1</v>
      </c>
      <c r="W67" s="203">
        <f t="shared" si="9"/>
        <v>0.92500000000000004</v>
      </c>
      <c r="X67" s="49">
        <f t="shared" si="10"/>
        <v>32.009694385447638</v>
      </c>
      <c r="Y67" s="49">
        <f t="shared" si="11"/>
        <v>32.009694385447638</v>
      </c>
      <c r="Z67" s="50">
        <f t="shared" si="12"/>
        <v>0.11330369727854295</v>
      </c>
      <c r="AA67" s="105">
        <f t="shared" si="13"/>
        <v>1.6597250720403418</v>
      </c>
      <c r="AB67" s="311">
        <f>INDEX($AJ$3:AK77,MATCH(COUNTA(J67:Q67),$AJ$3:$AJ$12,0),2)</f>
        <v>2.2200000000000002</v>
      </c>
      <c r="AC67" s="108">
        <f t="shared" si="14"/>
        <v>192.55875</v>
      </c>
      <c r="AD67" s="310">
        <f t="shared" si="15"/>
        <v>56.026870144607059</v>
      </c>
      <c r="AE67">
        <v>3.5472000000000001</v>
      </c>
      <c r="AF67">
        <v>0.1103</v>
      </c>
      <c r="AH67" s="147" t="s">
        <v>107</v>
      </c>
    </row>
    <row r="68" spans="1:34" s="51" customFormat="1">
      <c r="A68" s="127" t="s">
        <v>109</v>
      </c>
      <c r="B68" s="51">
        <v>192.81</v>
      </c>
      <c r="C68" s="51">
        <v>98.81</v>
      </c>
      <c r="D68" s="51">
        <v>25.66</v>
      </c>
      <c r="E68" s="51">
        <v>13.14</v>
      </c>
      <c r="F68" s="51">
        <v>143.1</v>
      </c>
      <c r="H68" s="51">
        <v>93.72</v>
      </c>
      <c r="I68" s="51">
        <v>73.650000000000006</v>
      </c>
      <c r="J68" s="63">
        <v>192.81</v>
      </c>
      <c r="K68" s="51">
        <v>98.81</v>
      </c>
      <c r="L68" s="51">
        <v>25.66</v>
      </c>
      <c r="M68" s="51">
        <v>13.14</v>
      </c>
      <c r="N68" s="51">
        <v>143.1</v>
      </c>
      <c r="P68" s="51">
        <v>93.72</v>
      </c>
      <c r="Q68" s="78">
        <v>73.650000000000006</v>
      </c>
      <c r="R68" s="80">
        <v>0.72500766269002093</v>
      </c>
      <c r="S68" s="81">
        <v>2.3223591542813038</v>
      </c>
      <c r="T68" s="293">
        <v>24.244299999999999</v>
      </c>
      <c r="U68" s="83">
        <v>0.56999999999999995</v>
      </c>
      <c r="V68" s="89">
        <f t="shared" si="8"/>
        <v>0.6875</v>
      </c>
      <c r="W68" s="68">
        <f t="shared" si="9"/>
        <v>0.62874999999999992</v>
      </c>
      <c r="X68" s="69">
        <f t="shared" si="10"/>
        <v>63.658613157245568</v>
      </c>
      <c r="Y68" s="69">
        <f t="shared" si="11"/>
        <v>63.658613157245568</v>
      </c>
      <c r="Z68" s="70">
        <f t="shared" si="12"/>
        <v>0.27667390215394894</v>
      </c>
      <c r="AA68" s="104">
        <f t="shared" si="13"/>
        <v>1.7372838648379658</v>
      </c>
      <c r="AB68" s="71">
        <f>INDEX($AJ$3:AK78,MATCH(COUNTA(J68:Q68),$AJ$3:$AJ$12,0),2)</f>
        <v>2.1</v>
      </c>
      <c r="AC68" s="107">
        <f t="shared" si="14"/>
        <v>91.555714285714288</v>
      </c>
      <c r="AD68" s="90">
        <f t="shared" si="15"/>
        <v>3.7763810168045393</v>
      </c>
      <c r="AG68" s="78"/>
      <c r="AH68" s="148" t="s">
        <v>110</v>
      </c>
    </row>
    <row r="69" spans="1:34">
      <c r="A69" s="127" t="s">
        <v>111</v>
      </c>
      <c r="B69">
        <v>355.02</v>
      </c>
      <c r="C69">
        <v>236.53</v>
      </c>
      <c r="D69">
        <v>44.41</v>
      </c>
      <c r="E69">
        <v>40.06</v>
      </c>
      <c r="F69">
        <v>443.42</v>
      </c>
      <c r="G69">
        <v>173.94</v>
      </c>
      <c r="H69">
        <v>113.04</v>
      </c>
      <c r="I69">
        <v>101.59</v>
      </c>
      <c r="J69" s="306">
        <v>355.02</v>
      </c>
      <c r="K69">
        <v>236.53</v>
      </c>
      <c r="N69">
        <v>443.42</v>
      </c>
      <c r="O69">
        <v>173.94</v>
      </c>
      <c r="P69">
        <v>113.04</v>
      </c>
      <c r="Q69" s="307">
        <v>101.59</v>
      </c>
      <c r="R69" s="167">
        <v>1.1387065290790079</v>
      </c>
      <c r="S69" s="64">
        <v>2.3223591542813038</v>
      </c>
      <c r="T69" s="319">
        <v>21.4099</v>
      </c>
      <c r="U69" s="121">
        <v>0.75</v>
      </c>
      <c r="V69" s="87">
        <f t="shared" si="8"/>
        <v>0.625</v>
      </c>
      <c r="W69" s="203">
        <f t="shared" si="9"/>
        <v>0.6875</v>
      </c>
      <c r="X69" s="49">
        <f t="shared" si="10"/>
        <v>52.816414685215221</v>
      </c>
      <c r="Y69" s="49">
        <f t="shared" si="11"/>
        <v>72.950061598996314</v>
      </c>
      <c r="Z69" s="50">
        <f t="shared" si="12"/>
        <v>0.25860808003978591</v>
      </c>
      <c r="AA69" s="105">
        <f t="shared" si="13"/>
        <v>1.6452204007087246</v>
      </c>
      <c r="AB69" s="311">
        <f>INDEX($AJ$3:AK79,MATCH(COUNTA(J69:Q69),$AJ$3:$AJ$12,0),2)</f>
        <v>1.94</v>
      </c>
      <c r="AC69" s="108">
        <f t="shared" si="14"/>
        <v>237.25666666666666</v>
      </c>
      <c r="AD69" s="122">
        <f t="shared" si="15"/>
        <v>11.081633574499024</v>
      </c>
      <c r="AH69" s="147" t="s">
        <v>110</v>
      </c>
    </row>
    <row r="70" spans="1:34">
      <c r="A70" s="127" t="s">
        <v>112</v>
      </c>
      <c r="B70">
        <v>132.85</v>
      </c>
      <c r="C70">
        <v>64.17</v>
      </c>
      <c r="D70">
        <v>14.28</v>
      </c>
      <c r="E70">
        <v>17.43</v>
      </c>
      <c r="F70">
        <v>367.24</v>
      </c>
      <c r="G70">
        <v>26.16</v>
      </c>
      <c r="H70">
        <v>64.849999999999994</v>
      </c>
      <c r="I70">
        <v>36.42</v>
      </c>
      <c r="K70">
        <v>64.17</v>
      </c>
      <c r="L70">
        <v>14.28</v>
      </c>
      <c r="M70">
        <v>17.43</v>
      </c>
      <c r="O70">
        <v>26.16</v>
      </c>
      <c r="P70">
        <v>64.849999999999994</v>
      </c>
      <c r="Q70" s="307">
        <v>36.42</v>
      </c>
      <c r="R70" s="227">
        <v>0.41413423453421311</v>
      </c>
      <c r="S70" s="64">
        <v>2.3223591542813038</v>
      </c>
      <c r="T70" s="319">
        <v>19.963000000000001</v>
      </c>
      <c r="U70" s="312">
        <v>0.52</v>
      </c>
      <c r="V70" s="87">
        <f t="shared" si="8"/>
        <v>0.625</v>
      </c>
      <c r="W70" s="203">
        <f t="shared" si="9"/>
        <v>0.57250000000000001</v>
      </c>
      <c r="X70" s="49">
        <f t="shared" si="10"/>
        <v>55.179363920424748</v>
      </c>
      <c r="Y70" s="49">
        <f t="shared" si="11"/>
        <v>122.36367361480556</v>
      </c>
      <c r="Z70" s="50">
        <f t="shared" si="12"/>
        <v>1.3446707534110989E-2</v>
      </c>
      <c r="AA70" s="105">
        <f t="shared" si="13"/>
        <v>1.345468300450519</v>
      </c>
      <c r="AB70" s="311">
        <f>INDEX($AJ$3:AK80,MATCH(COUNTA(J70:Q70),$AJ$3:$AJ$12,0),2)</f>
        <v>1.94</v>
      </c>
      <c r="AC70" s="108">
        <f t="shared" si="14"/>
        <v>37.218333333333334</v>
      </c>
      <c r="AD70" s="310">
        <f t="shared" si="15"/>
        <v>1.8643657432917564</v>
      </c>
      <c r="AH70" s="147" t="s">
        <v>110</v>
      </c>
    </row>
    <row r="71" spans="1:34">
      <c r="A71" s="127" t="s">
        <v>113</v>
      </c>
      <c r="B71">
        <v>38.6</v>
      </c>
      <c r="C71">
        <v>15.57</v>
      </c>
      <c r="J71" s="306">
        <v>38.6</v>
      </c>
      <c r="K71">
        <v>15.57</v>
      </c>
      <c r="R71" s="227">
        <v>0.62561317936058813</v>
      </c>
      <c r="S71" s="64">
        <v>0.28260061430444122</v>
      </c>
      <c r="T71" s="319">
        <v>22.075199999999999</v>
      </c>
      <c r="U71" s="312">
        <v>0.57999999999999996</v>
      </c>
      <c r="V71" s="87">
        <f t="shared" si="8"/>
        <v>0.375</v>
      </c>
      <c r="W71" s="203">
        <f t="shared" si="9"/>
        <v>0.47749999999999998</v>
      </c>
      <c r="X71" s="49">
        <f t="shared" si="10"/>
        <v>42.514306811888488</v>
      </c>
      <c r="Y71" s="49">
        <f t="shared" si="11"/>
        <v>42.514306811888488</v>
      </c>
      <c r="Z71" s="50">
        <f t="shared" si="12"/>
        <v>1</v>
      </c>
      <c r="AA71" s="105">
        <f t="shared" si="13"/>
        <v>1.0000000000000002</v>
      </c>
      <c r="AB71" s="311" t="e">
        <f>INDEX($AJ$3:AK81,MATCH(COUNTA(J71:Q71),$AJ$3:$AJ$12,0),2)</f>
        <v>#N/A</v>
      </c>
      <c r="AC71" s="108">
        <f t="shared" si="14"/>
        <v>27.085000000000001</v>
      </c>
      <c r="AD71" s="310">
        <f t="shared" si="15"/>
        <v>1.2269424512575198</v>
      </c>
      <c r="AH71" s="147" t="s">
        <v>110</v>
      </c>
    </row>
    <row r="72" spans="1:34">
      <c r="A72" s="127" t="s">
        <v>114</v>
      </c>
      <c r="B72">
        <v>58.14</v>
      </c>
      <c r="C72">
        <v>32.54</v>
      </c>
      <c r="F72">
        <v>49.64</v>
      </c>
      <c r="J72" s="306">
        <v>58.14</v>
      </c>
      <c r="K72">
        <v>32.54</v>
      </c>
      <c r="N72">
        <v>49.64</v>
      </c>
      <c r="R72" s="227">
        <v>0.52425544744513741</v>
      </c>
      <c r="S72" s="64">
        <v>0.28260061430444122</v>
      </c>
      <c r="T72" s="319">
        <v>19.199200000000001</v>
      </c>
      <c r="U72" s="312">
        <v>0.42</v>
      </c>
      <c r="V72" s="87">
        <f t="shared" si="8"/>
        <v>0.6875</v>
      </c>
      <c r="W72" s="203">
        <f t="shared" si="9"/>
        <v>0.55374999999999996</v>
      </c>
      <c r="X72" s="49">
        <f t="shared" si="10"/>
        <v>22.760655612851572</v>
      </c>
      <c r="Y72" s="49">
        <f t="shared" si="11"/>
        <v>22.760655612851572</v>
      </c>
      <c r="Z72" s="50">
        <f t="shared" si="12"/>
        <v>0.33203125</v>
      </c>
      <c r="AA72" s="105">
        <f t="shared" si="13"/>
        <v>1.0677019486853276</v>
      </c>
      <c r="AB72" s="311">
        <f>INDEX($AJ$3:AK82,MATCH(COUNTA(J72:Q72),$AJ$3:$AJ$12,0),2)</f>
        <v>1.1499999999999999</v>
      </c>
      <c r="AC72" s="108">
        <f t="shared" si="14"/>
        <v>46.773333333333333</v>
      </c>
      <c r="AD72" s="310">
        <f t="shared" si="15"/>
        <v>2.4362126199702763</v>
      </c>
      <c r="AH72" s="147" t="s">
        <v>110</v>
      </c>
    </row>
    <row r="73" spans="1:34">
      <c r="A73" s="127" t="s">
        <v>115</v>
      </c>
      <c r="B73">
        <v>99.69</v>
      </c>
      <c r="C73">
        <v>45.69</v>
      </c>
      <c r="F73">
        <v>107.05</v>
      </c>
      <c r="J73" s="306">
        <v>99.69</v>
      </c>
      <c r="K73">
        <v>45.69</v>
      </c>
      <c r="N73">
        <v>107.05</v>
      </c>
      <c r="R73" s="167">
        <v>1.138537379406299</v>
      </c>
      <c r="S73" s="64">
        <v>0.28260061430444122</v>
      </c>
      <c r="T73" s="319">
        <v>32.165999999999997</v>
      </c>
      <c r="U73" s="121">
        <v>0.89</v>
      </c>
      <c r="V73" s="87">
        <f t="shared" si="8"/>
        <v>0.6875</v>
      </c>
      <c r="W73" s="203">
        <f t="shared" si="9"/>
        <v>0.78875000000000006</v>
      </c>
      <c r="X73" s="49">
        <f t="shared" si="10"/>
        <v>32.51134225089563</v>
      </c>
      <c r="Y73" s="49">
        <f t="shared" si="11"/>
        <v>32.51134225089563</v>
      </c>
      <c r="Z73" s="50">
        <f t="shared" si="12"/>
        <v>0.11994784876140807</v>
      </c>
      <c r="AA73" s="105">
        <f t="shared" si="13"/>
        <v>0.83735049916167104</v>
      </c>
      <c r="AB73" s="311">
        <f>INDEX($AJ$3:AK83,MATCH(COUNTA(J73:Q73),$AJ$3:$AJ$12,0),2)</f>
        <v>1.1499999999999999</v>
      </c>
      <c r="AC73" s="108">
        <f t="shared" si="14"/>
        <v>84.143333333333331</v>
      </c>
      <c r="AD73" s="310">
        <f t="shared" si="15"/>
        <v>2.6159091380132233</v>
      </c>
      <c r="AH73" s="147" t="s">
        <v>110</v>
      </c>
    </row>
    <row r="74" spans="1:34">
      <c r="A74" s="127" t="s">
        <v>116</v>
      </c>
      <c r="B74">
        <v>130.54</v>
      </c>
      <c r="C74">
        <v>96.88</v>
      </c>
      <c r="D74">
        <v>80.599999999999994</v>
      </c>
      <c r="E74">
        <v>69.489999999999995</v>
      </c>
      <c r="F74">
        <v>29.04</v>
      </c>
      <c r="H74">
        <v>58.12</v>
      </c>
      <c r="I74">
        <v>102.52</v>
      </c>
      <c r="J74" s="306">
        <v>130.54</v>
      </c>
      <c r="K74">
        <v>96.88</v>
      </c>
      <c r="L74">
        <v>80.599999999999994</v>
      </c>
      <c r="M74">
        <v>69.489999999999995</v>
      </c>
      <c r="P74">
        <v>58.12</v>
      </c>
      <c r="Q74" s="307">
        <v>102.52</v>
      </c>
      <c r="R74" s="227"/>
      <c r="S74" s="64"/>
      <c r="T74" s="319">
        <v>0.48601299999999997</v>
      </c>
      <c r="U74" s="312">
        <v>0.77</v>
      </c>
      <c r="V74" s="87">
        <f t="shared" si="8"/>
        <v>0.875</v>
      </c>
      <c r="W74" s="203">
        <f t="shared" si="9"/>
        <v>0.82250000000000001</v>
      </c>
      <c r="X74" s="49">
        <f t="shared" si="10"/>
        <v>26.432563026329241</v>
      </c>
      <c r="Y74" s="49">
        <f t="shared" si="11"/>
        <v>37.681333621920899</v>
      </c>
      <c r="Z74" s="50">
        <f t="shared" si="12"/>
        <v>0.38690969345484671</v>
      </c>
      <c r="AA74" s="105">
        <f t="shared" si="13"/>
        <v>1.7229908486765275</v>
      </c>
      <c r="AB74" s="311">
        <f>INDEX($AJ$3:AK84,MATCH(COUNTA(J74:Q74),$AJ$3:$AJ$12,0),2)</f>
        <v>1.94</v>
      </c>
      <c r="AC74" s="108">
        <f t="shared" si="14"/>
        <v>89.691666666666663</v>
      </c>
      <c r="AD74" s="310">
        <f t="shared" si="15"/>
        <v>184.54581804739107</v>
      </c>
      <c r="AE74" s="166"/>
      <c r="AF74" s="1">
        <f>0.127*1000</f>
        <v>127</v>
      </c>
      <c r="AG74" s="91">
        <f>100*(AC74/AF74)</f>
        <v>70.623359580052494</v>
      </c>
      <c r="AH74" s="147" t="s">
        <v>64</v>
      </c>
    </row>
    <row r="75" spans="1:34">
      <c r="A75" s="127" t="s">
        <v>117</v>
      </c>
      <c r="R75" s="227"/>
      <c r="S75" s="64"/>
      <c r="T75" s="319">
        <v>31.152699999999999</v>
      </c>
      <c r="U75" s="312">
        <v>0.42</v>
      </c>
      <c r="V75" s="87" t="e">
        <f t="shared" si="8"/>
        <v>#DIV/0!</v>
      </c>
      <c r="W75" s="203" t="e">
        <f t="shared" si="9"/>
        <v>#DIV/0!</v>
      </c>
      <c r="X75" s="49" t="e">
        <f t="shared" si="10"/>
        <v>#DIV/0!</v>
      </c>
      <c r="Y75" s="49" t="e">
        <f t="shared" si="11"/>
        <v>#DIV/0!</v>
      </c>
      <c r="Z75" s="50" t="e">
        <f t="shared" si="12"/>
        <v>#NUM!</v>
      </c>
      <c r="AA75" s="105" t="e">
        <f t="shared" si="13"/>
        <v>#DIV/0!</v>
      </c>
      <c r="AB75" s="311" t="e">
        <f>INDEX($AJ$3:AK85,MATCH(COUNTA(J75:Q75),$AJ$3:$AJ$12,0),2)</f>
        <v>#N/A</v>
      </c>
      <c r="AC75" s="108" t="e">
        <f t="shared" si="14"/>
        <v>#DIV/0!</v>
      </c>
      <c r="AD75" s="310" t="str">
        <f t="shared" si="15"/>
        <v>n.d.</v>
      </c>
      <c r="AH75" s="147" t="s">
        <v>49</v>
      </c>
    </row>
    <row r="76" spans="1:34">
      <c r="A76" s="127" t="s">
        <v>118</v>
      </c>
      <c r="R76" s="227">
        <v>0.92741006348580879</v>
      </c>
      <c r="S76" s="64">
        <v>0.93563404694108665</v>
      </c>
      <c r="T76" s="319">
        <v>10.7529</v>
      </c>
      <c r="V76" s="87" t="e">
        <f t="shared" si="8"/>
        <v>#DIV/0!</v>
      </c>
      <c r="W76" s="203" t="e">
        <f t="shared" si="9"/>
        <v>#DIV/0!</v>
      </c>
      <c r="X76" s="49" t="e">
        <f t="shared" si="10"/>
        <v>#DIV/0!</v>
      </c>
      <c r="Y76" s="49" t="e">
        <f t="shared" si="11"/>
        <v>#DIV/0!</v>
      </c>
      <c r="Z76" s="50" t="e">
        <f t="shared" si="12"/>
        <v>#NUM!</v>
      </c>
      <c r="AA76" s="105" t="e">
        <f t="shared" si="13"/>
        <v>#DIV/0!</v>
      </c>
      <c r="AB76" s="311" t="e">
        <f>INDEX($AJ$3:AK86,MATCH(COUNTA(J76:Q76),$AJ$3:$AJ$12,0),2)</f>
        <v>#N/A</v>
      </c>
      <c r="AC76" s="108" t="e">
        <f t="shared" si="14"/>
        <v>#DIV/0!</v>
      </c>
      <c r="AD76" s="310" t="str">
        <f t="shared" si="15"/>
        <v>n.d.</v>
      </c>
      <c r="AH76" s="147" t="s">
        <v>70</v>
      </c>
    </row>
    <row r="77" spans="1:34">
      <c r="A77" s="127" t="s">
        <v>119</v>
      </c>
      <c r="R77" s="227">
        <v>0.6165271278721236</v>
      </c>
      <c r="S77" s="64">
        <v>0.93563404694108665</v>
      </c>
      <c r="T77" s="319">
        <v>24.845700000000001</v>
      </c>
      <c r="V77" s="87" t="e">
        <f t="shared" si="8"/>
        <v>#DIV/0!</v>
      </c>
      <c r="W77" s="203" t="e">
        <f t="shared" si="9"/>
        <v>#DIV/0!</v>
      </c>
      <c r="X77" s="49" t="e">
        <f t="shared" si="10"/>
        <v>#DIV/0!</v>
      </c>
      <c r="Y77" s="49" t="e">
        <f t="shared" si="11"/>
        <v>#DIV/0!</v>
      </c>
      <c r="Z77" s="50" t="e">
        <f t="shared" si="12"/>
        <v>#NUM!</v>
      </c>
      <c r="AA77" s="105" t="e">
        <f t="shared" si="13"/>
        <v>#DIV/0!</v>
      </c>
      <c r="AB77" s="311" t="e">
        <f>INDEX($AJ$3:AK87,MATCH(COUNTA(J77:Q77),$AJ$3:$AJ$12,0),2)</f>
        <v>#N/A</v>
      </c>
      <c r="AC77" s="108" t="e">
        <f t="shared" si="14"/>
        <v>#DIV/0!</v>
      </c>
      <c r="AD77" s="310" t="str">
        <f t="shared" si="15"/>
        <v>n.d.</v>
      </c>
      <c r="AH77" s="147" t="s">
        <v>70</v>
      </c>
    </row>
    <row r="78" spans="1:34">
      <c r="A78" s="127" t="s">
        <v>120</v>
      </c>
      <c r="R78" s="227">
        <v>0.69209679096893473</v>
      </c>
      <c r="S78" s="64">
        <v>0.93563404694108665</v>
      </c>
      <c r="T78" s="319">
        <v>8.3593499999999992</v>
      </c>
      <c r="V78" s="87" t="e">
        <f t="shared" si="8"/>
        <v>#DIV/0!</v>
      </c>
      <c r="W78" s="203" t="e">
        <f t="shared" si="9"/>
        <v>#DIV/0!</v>
      </c>
      <c r="X78" s="49" t="e">
        <f t="shared" si="10"/>
        <v>#DIV/0!</v>
      </c>
      <c r="Y78" s="49" t="e">
        <f t="shared" si="11"/>
        <v>#DIV/0!</v>
      </c>
      <c r="Z78" s="50" t="e">
        <f t="shared" si="12"/>
        <v>#NUM!</v>
      </c>
      <c r="AA78" s="105" t="e">
        <f t="shared" si="13"/>
        <v>#DIV/0!</v>
      </c>
      <c r="AB78" s="311" t="e">
        <f>INDEX($AJ$3:AK88,MATCH(COUNTA(J78:Q78),$AJ$3:$AJ$12,0),2)</f>
        <v>#N/A</v>
      </c>
      <c r="AC78" s="108" t="e">
        <f t="shared" si="14"/>
        <v>#DIV/0!</v>
      </c>
      <c r="AD78" s="310" t="str">
        <f t="shared" si="15"/>
        <v>n.d.</v>
      </c>
      <c r="AH78" s="147" t="s">
        <v>70</v>
      </c>
    </row>
    <row r="79" spans="1:34">
      <c r="A79" s="127" t="s">
        <v>121</v>
      </c>
      <c r="R79" s="227"/>
      <c r="S79" s="64"/>
      <c r="T79" s="319">
        <v>22.5444</v>
      </c>
      <c r="V79" s="87" t="e">
        <f t="shared" si="8"/>
        <v>#DIV/0!</v>
      </c>
      <c r="W79" s="203" t="e">
        <f t="shared" si="9"/>
        <v>#DIV/0!</v>
      </c>
      <c r="X79" s="49" t="e">
        <f t="shared" si="10"/>
        <v>#DIV/0!</v>
      </c>
      <c r="Y79" s="49" t="e">
        <f t="shared" si="11"/>
        <v>#DIV/0!</v>
      </c>
      <c r="Z79" s="50" t="e">
        <f t="shared" si="12"/>
        <v>#NUM!</v>
      </c>
      <c r="AA79" s="105" t="e">
        <f t="shared" si="13"/>
        <v>#DIV/0!</v>
      </c>
      <c r="AB79" s="311" t="e">
        <f>INDEX($AJ$3:AK89,MATCH(COUNTA(J79:Q79),$AJ$3:$AJ$12,0),2)</f>
        <v>#N/A</v>
      </c>
      <c r="AC79" s="108" t="e">
        <f t="shared" si="14"/>
        <v>#DIV/0!</v>
      </c>
      <c r="AD79" s="310" t="str">
        <f t="shared" si="15"/>
        <v>n.d.</v>
      </c>
      <c r="AH79" s="147" t="s">
        <v>70</v>
      </c>
    </row>
    <row r="80" spans="1:34">
      <c r="A80" s="127" t="s">
        <v>122</v>
      </c>
      <c r="R80" s="227">
        <v>0.59884540222007288</v>
      </c>
      <c r="S80" s="64">
        <v>0.72751809830295933</v>
      </c>
      <c r="T80" s="319">
        <v>4.5157999999999996</v>
      </c>
      <c r="U80" s="312">
        <v>0.57999999999999996</v>
      </c>
      <c r="V80" s="87" t="e">
        <f t="shared" si="8"/>
        <v>#DIV/0!</v>
      </c>
      <c r="W80" s="203" t="e">
        <f t="shared" si="9"/>
        <v>#DIV/0!</v>
      </c>
      <c r="X80" s="49" t="e">
        <f t="shared" si="10"/>
        <v>#DIV/0!</v>
      </c>
      <c r="Y80" s="49" t="e">
        <f t="shared" si="11"/>
        <v>#DIV/0!</v>
      </c>
      <c r="Z80" s="50" t="e">
        <f t="shared" si="12"/>
        <v>#NUM!</v>
      </c>
      <c r="AA80" s="105" t="e">
        <f t="shared" si="13"/>
        <v>#DIV/0!</v>
      </c>
      <c r="AB80" s="311" t="e">
        <f>INDEX($AJ$3:AK90,MATCH(COUNTA(J80:Q80),$AJ$3:$AJ$12,0),2)</f>
        <v>#N/A</v>
      </c>
      <c r="AC80" s="108" t="e">
        <f t="shared" si="14"/>
        <v>#DIV/0!</v>
      </c>
      <c r="AD80" s="310" t="str">
        <f t="shared" si="15"/>
        <v>n.d.</v>
      </c>
      <c r="AH80" s="147" t="s">
        <v>123</v>
      </c>
    </row>
    <row r="81" spans="1:34">
      <c r="A81" s="127" t="s">
        <v>124</v>
      </c>
      <c r="C81">
        <v>16.05</v>
      </c>
      <c r="D81">
        <v>17.77</v>
      </c>
      <c r="E81">
        <v>43.02</v>
      </c>
      <c r="K81">
        <v>16.05</v>
      </c>
      <c r="L81">
        <v>17.77</v>
      </c>
      <c r="M81">
        <v>43.02</v>
      </c>
      <c r="R81" s="227">
        <v>0.61625653571817318</v>
      </c>
      <c r="S81" s="64">
        <v>0.72751809830295933</v>
      </c>
      <c r="T81" s="319">
        <v>10.894500000000001</v>
      </c>
      <c r="U81" s="121">
        <v>0.95</v>
      </c>
      <c r="V81" s="87">
        <f t="shared" si="8"/>
        <v>0.4375</v>
      </c>
      <c r="W81" s="203">
        <f t="shared" si="9"/>
        <v>0.69374999999999998</v>
      </c>
      <c r="X81" s="49">
        <f t="shared" si="10"/>
        <v>48.132686728301252</v>
      </c>
      <c r="Y81" s="49">
        <f t="shared" si="11"/>
        <v>48.132686728301252</v>
      </c>
      <c r="Z81" s="50">
        <f t="shared" si="12"/>
        <v>0.9362254356692622</v>
      </c>
      <c r="AA81" s="105">
        <f t="shared" si="13"/>
        <v>1.4119177791062436</v>
      </c>
      <c r="AB81" s="311">
        <f>INDEX($AJ$3:AK91,MATCH(COUNTA(J81:Q81),$AJ$3:$AJ$12,0),2)</f>
        <v>1.1499999999999999</v>
      </c>
      <c r="AC81" s="108">
        <f t="shared" si="14"/>
        <v>25.613333333333333</v>
      </c>
      <c r="AD81" s="310">
        <f t="shared" si="15"/>
        <v>2.3510333960561138</v>
      </c>
      <c r="AH81" s="147" t="s">
        <v>123</v>
      </c>
    </row>
    <row r="82" spans="1:34">
      <c r="A82" s="127" t="s">
        <v>125</v>
      </c>
      <c r="C82">
        <v>18.77</v>
      </c>
      <c r="D82">
        <v>12.23</v>
      </c>
      <c r="E82">
        <v>31.3</v>
      </c>
      <c r="K82">
        <v>18.77</v>
      </c>
      <c r="L82">
        <v>12.23</v>
      </c>
      <c r="M82">
        <v>31.3</v>
      </c>
      <c r="R82" s="227">
        <v>0.57667479250297526</v>
      </c>
      <c r="S82" s="64">
        <v>0.72751809830295933</v>
      </c>
      <c r="T82" s="319">
        <v>10.5124</v>
      </c>
      <c r="U82" s="121">
        <v>0.95</v>
      </c>
      <c r="V82" s="87">
        <f t="shared" si="8"/>
        <v>0.4375</v>
      </c>
      <c r="W82" s="203">
        <f t="shared" si="9"/>
        <v>0.69374999999999998</v>
      </c>
      <c r="X82" s="49">
        <f t="shared" si="10"/>
        <v>38.100860918082986</v>
      </c>
      <c r="Y82" s="49">
        <f t="shared" si="11"/>
        <v>38.100860918082986</v>
      </c>
      <c r="Z82" s="50">
        <f t="shared" si="12"/>
        <v>0.65705296276874681</v>
      </c>
      <c r="AA82" s="105">
        <f t="shared" si="13"/>
        <v>1.331264180762789</v>
      </c>
      <c r="AB82" s="311">
        <f>INDEX($AJ$3:AK92,MATCH(COUNTA(J82:Q82),$AJ$3:$AJ$12,0),2)</f>
        <v>1.1499999999999999</v>
      </c>
      <c r="AC82" s="108">
        <f t="shared" si="14"/>
        <v>20.766666666666666</v>
      </c>
      <c r="AD82" s="310">
        <f t="shared" si="15"/>
        <v>1.9754448714533948</v>
      </c>
      <c r="AH82" s="147" t="s">
        <v>123</v>
      </c>
    </row>
    <row r="83" spans="1:34">
      <c r="A83" s="127" t="s">
        <v>126</v>
      </c>
      <c r="B83">
        <v>11.79</v>
      </c>
      <c r="C83">
        <v>11.28</v>
      </c>
      <c r="J83" s="306">
        <v>11.79</v>
      </c>
      <c r="K83">
        <v>11.28</v>
      </c>
      <c r="R83" s="227">
        <v>1.3019092601025839</v>
      </c>
      <c r="S83" s="64">
        <v>0.72751809830295933</v>
      </c>
      <c r="T83" s="319">
        <v>7.32599</v>
      </c>
      <c r="U83" s="312">
        <v>0.65</v>
      </c>
      <c r="V83" s="87">
        <f t="shared" si="8"/>
        <v>0.625</v>
      </c>
      <c r="W83" s="203">
        <f t="shared" si="9"/>
        <v>0.63749999999999996</v>
      </c>
      <c r="X83" s="49">
        <f t="shared" si="10"/>
        <v>2.2106631989596868</v>
      </c>
      <c r="Y83" s="49">
        <f t="shared" si="11"/>
        <v>2.2106631989596868</v>
      </c>
      <c r="Z83" s="50">
        <f t="shared" si="12"/>
        <v>1</v>
      </c>
      <c r="AA83" s="105">
        <f t="shared" si="13"/>
        <v>0.99999999999999656</v>
      </c>
      <c r="AB83" s="311" t="e">
        <f>INDEX($AJ$3:AK93,MATCH(COUNTA(J83:Q83),$AJ$3:$AJ$12,0),2)</f>
        <v>#N/A</v>
      </c>
      <c r="AC83" s="108">
        <f t="shared" si="14"/>
        <v>11.535</v>
      </c>
      <c r="AD83" s="310">
        <f t="shared" si="15"/>
        <v>1.5745312237663442</v>
      </c>
      <c r="AH83" s="147" t="s">
        <v>127</v>
      </c>
    </row>
    <row r="84" spans="1:34">
      <c r="A84" s="127" t="s">
        <v>128</v>
      </c>
      <c r="C84">
        <v>98.43</v>
      </c>
      <c r="D84">
        <v>38.770000000000003</v>
      </c>
      <c r="K84">
        <v>98.43</v>
      </c>
      <c r="L84">
        <v>38.770000000000003</v>
      </c>
      <c r="R84" s="227">
        <v>0.58906099485757879</v>
      </c>
      <c r="S84" s="64">
        <v>0.99528059171618266</v>
      </c>
      <c r="T84" s="319">
        <v>13.3148</v>
      </c>
      <c r="U84" s="312">
        <v>0.85</v>
      </c>
      <c r="V84" s="87">
        <f t="shared" si="8"/>
        <v>0.375</v>
      </c>
      <c r="W84" s="203">
        <f t="shared" si="9"/>
        <v>0.61250000000000004</v>
      </c>
      <c r="X84" s="49">
        <f t="shared" si="10"/>
        <v>43.483965014577244</v>
      </c>
      <c r="Y84" s="49">
        <f t="shared" si="11"/>
        <v>43.483965014577244</v>
      </c>
      <c r="Z84" s="50">
        <f t="shared" si="12"/>
        <v>1</v>
      </c>
      <c r="AA84" s="105">
        <f t="shared" si="13"/>
        <v>1.0000000000000002</v>
      </c>
      <c r="AB84" s="311" t="e">
        <f>INDEX($AJ$3:AK94,MATCH(COUNTA(J84:Q84),$AJ$3:$AJ$12,0),2)</f>
        <v>#N/A</v>
      </c>
      <c r="AC84" s="108">
        <f t="shared" si="14"/>
        <v>68.600000000000009</v>
      </c>
      <c r="AD84" s="310">
        <f t="shared" si="15"/>
        <v>5.1521615044912439</v>
      </c>
      <c r="AH84" s="147" t="s">
        <v>123</v>
      </c>
    </row>
    <row r="85" spans="1:34">
      <c r="A85" s="127" t="s">
        <v>129</v>
      </c>
      <c r="C85">
        <v>79.94</v>
      </c>
      <c r="D85">
        <v>46.34</v>
      </c>
      <c r="I85">
        <v>47.44</v>
      </c>
      <c r="K85">
        <v>79.94</v>
      </c>
      <c r="L85">
        <v>46.34</v>
      </c>
      <c r="Q85" s="307">
        <v>47.44</v>
      </c>
      <c r="R85" s="227">
        <v>0.51486739662881298</v>
      </c>
      <c r="S85" s="64">
        <v>0.99528059171618266</v>
      </c>
      <c r="T85" s="319">
        <v>11.510199999999999</v>
      </c>
      <c r="U85" s="312">
        <v>0.72</v>
      </c>
      <c r="V85" s="87">
        <f t="shared" si="8"/>
        <v>0.6875</v>
      </c>
      <c r="W85" s="203">
        <f t="shared" si="9"/>
        <v>0.70374999999999999</v>
      </c>
      <c r="X85" s="49">
        <f t="shared" si="10"/>
        <v>26.916400082664175</v>
      </c>
      <c r="Y85" s="49">
        <f t="shared" si="11"/>
        <v>26.916400082664175</v>
      </c>
      <c r="Z85" s="50">
        <f t="shared" si="12"/>
        <v>0.96726190476190488</v>
      </c>
      <c r="AA85" s="105">
        <f t="shared" si="13"/>
        <v>1.4136264541031667</v>
      </c>
      <c r="AB85" s="311">
        <f>INDEX($AJ$3:AK95,MATCH(COUNTA(J85:Q85),$AJ$3:$AJ$12,0),2)</f>
        <v>1.1499999999999999</v>
      </c>
      <c r="AC85" s="108">
        <f t="shared" si="14"/>
        <v>57.906666666666666</v>
      </c>
      <c r="AD85" s="310">
        <f t="shared" si="15"/>
        <v>5.0309001291608029</v>
      </c>
      <c r="AH85" s="147" t="s">
        <v>123</v>
      </c>
    </row>
    <row r="86" spans="1:34">
      <c r="A86" s="127" t="s">
        <v>130</v>
      </c>
      <c r="B86">
        <v>32.92</v>
      </c>
      <c r="C86">
        <v>64.17</v>
      </c>
      <c r="J86" s="306">
        <v>32.92</v>
      </c>
      <c r="K86">
        <v>64.17</v>
      </c>
      <c r="R86" s="227">
        <v>0.43495871571275968</v>
      </c>
      <c r="S86" s="64">
        <v>0.99528059171618266</v>
      </c>
      <c r="T86" s="319">
        <v>13.69835</v>
      </c>
      <c r="U86" s="312">
        <v>0.82</v>
      </c>
      <c r="V86" s="87">
        <f t="shared" si="8"/>
        <v>0.625</v>
      </c>
      <c r="W86" s="203">
        <f t="shared" si="9"/>
        <v>0.72249999999999992</v>
      </c>
      <c r="X86" s="49">
        <f t="shared" si="10"/>
        <v>32.186630960964081</v>
      </c>
      <c r="Y86" s="49">
        <f t="shared" si="11"/>
        <v>32.186630960964081</v>
      </c>
      <c r="Z86" s="50">
        <f t="shared" si="12"/>
        <v>1</v>
      </c>
      <c r="AA86" s="105">
        <f t="shared" si="13"/>
        <v>0.99999999999999911</v>
      </c>
      <c r="AB86" s="311" t="e">
        <f>INDEX($AJ$3:AK96,MATCH(COUNTA(J86:Q86),$AJ$3:$AJ$12,0),2)</f>
        <v>#N/A</v>
      </c>
      <c r="AC86" s="108">
        <f t="shared" si="14"/>
        <v>48.545000000000002</v>
      </c>
      <c r="AD86" s="310">
        <f t="shared" si="15"/>
        <v>3.5438574718853002</v>
      </c>
      <c r="AH86" s="147" t="s">
        <v>123</v>
      </c>
    </row>
    <row r="87" spans="1:34">
      <c r="A87" s="127" t="s">
        <v>131</v>
      </c>
      <c r="B87">
        <v>1038.58</v>
      </c>
      <c r="C87">
        <v>899.32</v>
      </c>
      <c r="D87">
        <v>706.82</v>
      </c>
      <c r="E87">
        <v>534.48</v>
      </c>
      <c r="F87">
        <v>1730.62</v>
      </c>
      <c r="G87">
        <v>1530.8</v>
      </c>
      <c r="H87">
        <v>608.73</v>
      </c>
      <c r="I87">
        <v>1104.6199999999999</v>
      </c>
      <c r="J87" s="306">
        <v>1038.58</v>
      </c>
      <c r="K87">
        <v>899.32</v>
      </c>
      <c r="L87">
        <v>706.82</v>
      </c>
      <c r="M87">
        <v>534.48</v>
      </c>
      <c r="N87">
        <v>1730.62</v>
      </c>
      <c r="O87">
        <v>1530.8</v>
      </c>
      <c r="P87">
        <v>608.73</v>
      </c>
      <c r="Q87" s="307">
        <v>1104.6199999999999</v>
      </c>
      <c r="R87" s="227">
        <v>1.463439595231159</v>
      </c>
      <c r="S87" s="64">
        <v>0.99528059171618266</v>
      </c>
      <c r="T87" s="319">
        <v>4.7008900000000002</v>
      </c>
      <c r="U87" s="312">
        <v>0.75</v>
      </c>
      <c r="V87" s="87">
        <f t="shared" si="8"/>
        <v>0.75</v>
      </c>
      <c r="W87" s="203">
        <f t="shared" si="9"/>
        <v>0.75</v>
      </c>
      <c r="X87" s="49">
        <f t="shared" si="10"/>
        <v>39.411684134980653</v>
      </c>
      <c r="Y87" s="49">
        <f t="shared" si="11"/>
        <v>39.411684134980653</v>
      </c>
      <c r="Z87" s="50">
        <f t="shared" si="12"/>
        <v>0.16705402377648099</v>
      </c>
      <c r="AA87" s="105">
        <f t="shared" si="13"/>
        <v>1.7708987024791627</v>
      </c>
      <c r="AB87" s="311">
        <f>INDEX($AJ$3:AK97,MATCH(COUNTA(J87:Q87),$AJ$3:$AJ$12,0),2)</f>
        <v>2.2200000000000002</v>
      </c>
      <c r="AC87" s="108">
        <f t="shared" si="14"/>
        <v>1019.24625</v>
      </c>
      <c r="AD87" s="310">
        <f t="shared" si="15"/>
        <v>216.81984688005889</v>
      </c>
      <c r="AF87" s="312">
        <f>0.3821</f>
        <v>0.3821</v>
      </c>
      <c r="AG87" s="91">
        <f>100*((AC87-AVERAGE(AD84:AD86)*T87)/(AF87*1000))</f>
        <v>261.11925440512698</v>
      </c>
      <c r="AH87" s="147" t="s">
        <v>127</v>
      </c>
    </row>
    <row r="88" spans="1:34">
      <c r="A88" s="241" t="s">
        <v>132</v>
      </c>
      <c r="D88">
        <v>13.19</v>
      </c>
      <c r="E88">
        <v>12.34</v>
      </c>
      <c r="H88">
        <v>55.06</v>
      </c>
      <c r="I88">
        <v>58.73</v>
      </c>
      <c r="L88">
        <v>13.19</v>
      </c>
      <c r="M88">
        <v>12.34</v>
      </c>
      <c r="P88">
        <v>55.06</v>
      </c>
      <c r="Q88" s="307">
        <v>58.73</v>
      </c>
      <c r="R88" s="227">
        <v>0.44252277258406802</v>
      </c>
      <c r="S88" s="64">
        <v>0.56732019691233859</v>
      </c>
      <c r="T88" s="319">
        <v>7.9326249999999998</v>
      </c>
      <c r="U88" s="312">
        <v>0.75</v>
      </c>
      <c r="V88" s="87">
        <f t="shared" si="8"/>
        <v>0.5</v>
      </c>
      <c r="W88" s="203">
        <f t="shared" si="9"/>
        <v>0.625</v>
      </c>
      <c r="X88" s="49">
        <f t="shared" si="10"/>
        <v>63.465866098321541</v>
      </c>
      <c r="Y88" s="49">
        <f t="shared" si="11"/>
        <v>63.465866098321541</v>
      </c>
      <c r="Z88" s="50">
        <f t="shared" si="12"/>
        <v>7.9111877559818813E-2</v>
      </c>
      <c r="AA88" s="105">
        <f t="shared" si="13"/>
        <v>1.0811954649322508</v>
      </c>
      <c r="AB88" s="311">
        <f>INDEX($AJ$3:AK98,MATCH(COUNTA(J88:Q88),$AJ$3:$AJ$12,0),2)</f>
        <v>1.49</v>
      </c>
      <c r="AC88" s="108">
        <f t="shared" si="14"/>
        <v>34.83</v>
      </c>
      <c r="AD88" s="310">
        <f t="shared" si="15"/>
        <v>4.3907281637541162</v>
      </c>
      <c r="AH88" s="147" t="s">
        <v>110</v>
      </c>
    </row>
    <row r="89" spans="1:34">
      <c r="A89" s="241" t="s">
        <v>133</v>
      </c>
      <c r="H89">
        <v>10.67</v>
      </c>
      <c r="P89">
        <v>10.67</v>
      </c>
      <c r="R89" s="227">
        <v>0.70058927453223541</v>
      </c>
      <c r="S89" s="64">
        <v>0.56732019691233859</v>
      </c>
      <c r="T89" s="319">
        <v>5.5930400000000002</v>
      </c>
      <c r="U89" s="312">
        <v>0.57999999999999996</v>
      </c>
      <c r="V89" s="87">
        <f t="shared" si="8"/>
        <v>0.5625</v>
      </c>
      <c r="W89" s="203">
        <f t="shared" si="9"/>
        <v>0.57125000000000004</v>
      </c>
      <c r="X89" s="49">
        <f t="shared" si="10"/>
        <v>0</v>
      </c>
      <c r="Y89" s="49">
        <f t="shared" si="11"/>
        <v>0</v>
      </c>
      <c r="Z89" s="50" t="e">
        <f t="shared" si="12"/>
        <v>#NUM!</v>
      </c>
      <c r="AA89" s="105" t="e">
        <f t="shared" si="13"/>
        <v>#DIV/0!</v>
      </c>
      <c r="AB89" s="311" t="e">
        <f>INDEX($AJ$3:AK99,MATCH(COUNTA(J89:Q89),$AJ$3:$AJ$12,0),2)</f>
        <v>#N/A</v>
      </c>
      <c r="AC89" s="108">
        <f t="shared" si="14"/>
        <v>10.67</v>
      </c>
      <c r="AD89" s="310" t="str">
        <f t="shared" si="15"/>
        <v>n.d.</v>
      </c>
      <c r="AH89" s="147" t="s">
        <v>110</v>
      </c>
    </row>
    <row r="90" spans="1:34">
      <c r="A90" s="241" t="s">
        <v>134</v>
      </c>
      <c r="H90">
        <v>19.39</v>
      </c>
      <c r="I90">
        <v>33.61</v>
      </c>
      <c r="P90">
        <v>19.39</v>
      </c>
      <c r="Q90" s="307">
        <v>33.61</v>
      </c>
      <c r="R90" s="227">
        <v>1.1131218618954</v>
      </c>
      <c r="S90" s="64">
        <v>0.56732019691233859</v>
      </c>
      <c r="T90" s="319">
        <v>4.9848800000000004</v>
      </c>
      <c r="U90" s="312">
        <v>0.5</v>
      </c>
      <c r="V90" s="87">
        <f t="shared" si="8"/>
        <v>0.625</v>
      </c>
      <c r="W90" s="203">
        <f t="shared" si="9"/>
        <v>0.5625</v>
      </c>
      <c r="X90" s="49">
        <f t="shared" si="10"/>
        <v>26.830188679245282</v>
      </c>
      <c r="Y90" s="49">
        <f t="shared" si="11"/>
        <v>26.830188679245282</v>
      </c>
      <c r="Z90" s="50">
        <f t="shared" si="12"/>
        <v>1</v>
      </c>
      <c r="AA90" s="105">
        <f t="shared" si="13"/>
        <v>1</v>
      </c>
      <c r="AB90" s="311" t="e">
        <f>INDEX($AJ$3:AK100,MATCH(COUNTA(J90:Q90),$AJ$3:$AJ$12,0),2)</f>
        <v>#N/A</v>
      </c>
      <c r="AC90" s="108">
        <f t="shared" si="14"/>
        <v>26.5</v>
      </c>
      <c r="AD90" s="310">
        <f t="shared" si="15"/>
        <v>5.316075813259296</v>
      </c>
      <c r="AH90" s="147" t="s">
        <v>110</v>
      </c>
    </row>
    <row r="91" spans="1:34">
      <c r="A91" s="127" t="s">
        <v>135</v>
      </c>
      <c r="H91">
        <v>12.14</v>
      </c>
      <c r="P91">
        <v>12.14</v>
      </c>
      <c r="R91" s="227">
        <v>0.95520554433141691</v>
      </c>
      <c r="S91" s="64">
        <v>0.15301122576532269</v>
      </c>
      <c r="T91" s="319">
        <v>9.8550500000000003</v>
      </c>
      <c r="U91" s="312">
        <v>0.52</v>
      </c>
      <c r="V91" s="87">
        <f t="shared" si="8"/>
        <v>0.5625</v>
      </c>
      <c r="W91" s="203">
        <f t="shared" si="9"/>
        <v>0.54125000000000001</v>
      </c>
      <c r="X91" s="49">
        <f t="shared" si="10"/>
        <v>0</v>
      </c>
      <c r="Y91" s="49">
        <f t="shared" si="11"/>
        <v>0</v>
      </c>
      <c r="Z91" s="50" t="e">
        <f t="shared" si="12"/>
        <v>#NUM!</v>
      </c>
      <c r="AA91" s="105" t="e">
        <f t="shared" si="13"/>
        <v>#DIV/0!</v>
      </c>
      <c r="AB91" s="311" t="e">
        <f>INDEX($AJ$3:AK101,MATCH(COUNTA(J91:Q91),$AJ$3:$AJ$12,0),2)</f>
        <v>#N/A</v>
      </c>
      <c r="AC91" s="108">
        <f t="shared" si="14"/>
        <v>12.14</v>
      </c>
      <c r="AD91" s="310" t="str">
        <f t="shared" si="15"/>
        <v>n.d.</v>
      </c>
      <c r="AH91" s="147" t="s">
        <v>70</v>
      </c>
    </row>
    <row r="92" spans="1:34">
      <c r="A92" s="127" t="s">
        <v>136</v>
      </c>
      <c r="H92">
        <v>14.77</v>
      </c>
      <c r="P92">
        <v>14.77</v>
      </c>
      <c r="R92" s="227">
        <v>8.1601885331415172E-2</v>
      </c>
      <c r="S92" s="64">
        <v>0.15301122576532269</v>
      </c>
      <c r="T92" s="319">
        <v>8.9800300000000011</v>
      </c>
      <c r="U92" s="312">
        <v>0.52</v>
      </c>
      <c r="V92" s="87">
        <f t="shared" si="8"/>
        <v>0.5625</v>
      </c>
      <c r="W92" s="203">
        <f t="shared" si="9"/>
        <v>0.54125000000000001</v>
      </c>
      <c r="X92" s="49">
        <f t="shared" si="10"/>
        <v>0</v>
      </c>
      <c r="Y92" s="49">
        <f t="shared" si="11"/>
        <v>0</v>
      </c>
      <c r="Z92" s="50" t="e">
        <f t="shared" si="12"/>
        <v>#NUM!</v>
      </c>
      <c r="AA92" s="105" t="e">
        <f t="shared" si="13"/>
        <v>#DIV/0!</v>
      </c>
      <c r="AB92" s="311" t="e">
        <f>INDEX($AJ$3:AK102,MATCH(COUNTA(J92:Q92),$AJ$3:$AJ$12,0),2)</f>
        <v>#N/A</v>
      </c>
      <c r="AC92" s="108">
        <f t="shared" si="14"/>
        <v>14.77</v>
      </c>
      <c r="AD92" s="310" t="str">
        <f t="shared" si="15"/>
        <v>n.d.</v>
      </c>
      <c r="AH92" s="147" t="s">
        <v>70</v>
      </c>
    </row>
    <row r="93" spans="1:34">
      <c r="A93" s="127" t="s">
        <v>137</v>
      </c>
      <c r="H93">
        <v>10.6</v>
      </c>
      <c r="P93">
        <v>10.6</v>
      </c>
      <c r="R93" s="227">
        <v>1.0305923510445369</v>
      </c>
      <c r="S93" s="64">
        <v>0.15301122576532269</v>
      </c>
      <c r="T93" s="319">
        <v>8.0890199999999997</v>
      </c>
      <c r="U93" s="312">
        <v>0.42</v>
      </c>
      <c r="V93" s="87">
        <f t="shared" si="8"/>
        <v>0.5625</v>
      </c>
      <c r="W93" s="203">
        <f t="shared" si="9"/>
        <v>0.49124999999999996</v>
      </c>
      <c r="X93" s="49">
        <f t="shared" si="10"/>
        <v>0</v>
      </c>
      <c r="Y93" s="49">
        <f t="shared" si="11"/>
        <v>0</v>
      </c>
      <c r="Z93" s="50" t="e">
        <f t="shared" si="12"/>
        <v>#NUM!</v>
      </c>
      <c r="AA93" s="105" t="e">
        <f t="shared" si="13"/>
        <v>#DIV/0!</v>
      </c>
      <c r="AB93" s="311" t="e">
        <f>INDEX($AJ$3:AK103,MATCH(COUNTA(J93:Q93),$AJ$3:$AJ$12,0),2)</f>
        <v>#N/A</v>
      </c>
      <c r="AC93" s="108">
        <f t="shared" si="14"/>
        <v>10.6</v>
      </c>
      <c r="AD93" s="310" t="str">
        <f t="shared" si="15"/>
        <v>n.d.</v>
      </c>
      <c r="AH93" s="147" t="s">
        <v>70</v>
      </c>
    </row>
    <row r="94" spans="1:34">
      <c r="A94" s="242" t="s">
        <v>138</v>
      </c>
      <c r="B94">
        <v>765.07</v>
      </c>
      <c r="C94">
        <v>467.69</v>
      </c>
      <c r="D94">
        <v>467.59</v>
      </c>
      <c r="E94">
        <v>415.81</v>
      </c>
      <c r="F94">
        <v>870.99</v>
      </c>
      <c r="G94">
        <v>741.77</v>
      </c>
      <c r="H94">
        <v>346.71</v>
      </c>
      <c r="I94">
        <v>595.76</v>
      </c>
      <c r="K94">
        <v>467.69</v>
      </c>
      <c r="L94">
        <v>467.59</v>
      </c>
      <c r="M94">
        <v>415.81</v>
      </c>
      <c r="P94">
        <v>346.71</v>
      </c>
      <c r="T94" s="319">
        <v>1.39551</v>
      </c>
      <c r="U94" s="312">
        <v>0.77</v>
      </c>
      <c r="V94" s="87">
        <f t="shared" si="8"/>
        <v>0.75</v>
      </c>
      <c r="W94" s="203">
        <f t="shared" si="9"/>
        <v>0.76</v>
      </c>
      <c r="X94" s="49">
        <f t="shared" si="10"/>
        <v>11.690622792072739</v>
      </c>
      <c r="Y94" s="49">
        <f t="shared" si="11"/>
        <v>30.385920049364124</v>
      </c>
      <c r="Z94" s="50">
        <f t="shared" si="12"/>
        <v>8.2658290626568627E-4</v>
      </c>
      <c r="AA94" s="105">
        <f t="shared" si="13"/>
        <v>0.87140791337847145</v>
      </c>
      <c r="AB94" s="311">
        <f>INDEX($AJ$3:AK104,MATCH(COUNTA(J94:Q94),$AJ$3:$AJ$12,0),2)</f>
        <v>1.49</v>
      </c>
      <c r="AC94" s="108">
        <f t="shared" si="14"/>
        <v>424.45</v>
      </c>
      <c r="AD94" s="310">
        <f t="shared" si="15"/>
        <v>304.15403687540754</v>
      </c>
      <c r="AF94" s="126">
        <v>0.29849999999999999</v>
      </c>
      <c r="AG94" s="91">
        <f>100*(AC94/(AF94*1000))</f>
        <v>142.19430485762143</v>
      </c>
      <c r="AH94" s="147" t="s">
        <v>64</v>
      </c>
    </row>
    <row r="95" spans="1:34" s="51" customFormat="1">
      <c r="A95" s="136" t="s">
        <v>139</v>
      </c>
      <c r="C95" s="51">
        <v>19.260000000000002</v>
      </c>
      <c r="H95" s="51">
        <v>14.16</v>
      </c>
      <c r="I95" s="51">
        <v>18.75</v>
      </c>
      <c r="J95" s="63"/>
      <c r="K95" s="51">
        <v>19.260000000000002</v>
      </c>
      <c r="P95" s="51">
        <v>14.16</v>
      </c>
      <c r="Q95" s="78">
        <v>18.75</v>
      </c>
      <c r="T95" s="78">
        <v>3.2955000000000001</v>
      </c>
      <c r="U95" s="83">
        <v>0.65</v>
      </c>
      <c r="V95" s="87">
        <f t="shared" si="8"/>
        <v>0.6875</v>
      </c>
      <c r="W95" s="203">
        <f t="shared" si="9"/>
        <v>0.66874999999999996</v>
      </c>
      <c r="X95" s="49">
        <f t="shared" si="10"/>
        <v>13.188185081940548</v>
      </c>
      <c r="Y95" s="49">
        <f t="shared" si="11"/>
        <v>13.188185081940548</v>
      </c>
      <c r="Z95" s="50">
        <f t="shared" si="12"/>
        <v>0.10000000000000028</v>
      </c>
      <c r="AA95" s="105">
        <f t="shared" si="13"/>
        <v>0.81537424832720662</v>
      </c>
      <c r="AB95" s="311">
        <f>INDEX($AJ$3:AK105,MATCH(COUNTA(J95:Q95),$AJ$3:$AJ$12,0),2)</f>
        <v>1.1499999999999999</v>
      </c>
      <c r="AC95" s="108">
        <f t="shared" si="14"/>
        <v>17.39</v>
      </c>
      <c r="AD95" s="310">
        <f t="shared" si="15"/>
        <v>5.2768927325140345</v>
      </c>
      <c r="AG95" s="78"/>
      <c r="AH95" s="148" t="s">
        <v>64</v>
      </c>
    </row>
    <row r="96" spans="1:34">
      <c r="A96" s="136" t="s">
        <v>140</v>
      </c>
      <c r="C96">
        <v>7.51</v>
      </c>
      <c r="K96">
        <v>7.51</v>
      </c>
      <c r="R96">
        <v>0.70699999999999996</v>
      </c>
      <c r="S96">
        <v>1.143</v>
      </c>
      <c r="T96" s="307">
        <v>5.1746699999999999</v>
      </c>
      <c r="U96" s="312">
        <v>0.68</v>
      </c>
      <c r="V96" s="87">
        <f t="shared" si="8"/>
        <v>0.5625</v>
      </c>
      <c r="W96" s="203">
        <f t="shared" si="9"/>
        <v>0.62125000000000008</v>
      </c>
      <c r="X96" s="49">
        <f t="shared" si="10"/>
        <v>0</v>
      </c>
      <c r="Y96" s="49">
        <f t="shared" si="11"/>
        <v>0</v>
      </c>
      <c r="Z96" s="50" t="e">
        <f t="shared" si="12"/>
        <v>#NUM!</v>
      </c>
      <c r="AA96" s="105" t="e">
        <f t="shared" si="13"/>
        <v>#DIV/0!</v>
      </c>
      <c r="AB96" s="311" t="e">
        <f>INDEX($AJ$3:AK106,MATCH(COUNTA(J96:Q96),$AJ$3:$AJ$12,0),2)</f>
        <v>#N/A</v>
      </c>
      <c r="AC96" s="108">
        <f t="shared" si="14"/>
        <v>7.51</v>
      </c>
      <c r="AD96" s="310">
        <f t="shared" si="15"/>
        <v>1.4513002761528755</v>
      </c>
      <c r="AH96" s="147" t="s">
        <v>141</v>
      </c>
    </row>
    <row r="97" spans="1:34">
      <c r="A97" s="136" t="s">
        <v>142</v>
      </c>
      <c r="C97">
        <v>18.72</v>
      </c>
      <c r="H97">
        <v>21.28</v>
      </c>
      <c r="I97">
        <v>15.49</v>
      </c>
      <c r="K97">
        <v>18.72</v>
      </c>
      <c r="P97">
        <v>21.28</v>
      </c>
      <c r="Q97" s="307">
        <v>15.49</v>
      </c>
      <c r="R97">
        <v>0.70699999999999996</v>
      </c>
      <c r="S97">
        <v>1.143</v>
      </c>
      <c r="T97" s="307">
        <v>8.3862100000000002</v>
      </c>
      <c r="U97" s="312">
        <v>0.65</v>
      </c>
      <c r="V97" s="87">
        <f t="shared" si="8"/>
        <v>0.6875</v>
      </c>
      <c r="W97" s="203">
        <f t="shared" si="9"/>
        <v>0.66874999999999996</v>
      </c>
      <c r="X97" s="49">
        <f t="shared" si="10"/>
        <v>12.807859030529285</v>
      </c>
      <c r="Y97" s="49">
        <f t="shared" si="11"/>
        <v>12.807859030529285</v>
      </c>
      <c r="Z97" s="50">
        <f t="shared" si="12"/>
        <v>0.44214162348877406</v>
      </c>
      <c r="AA97" s="105">
        <f t="shared" si="13"/>
        <v>1.1748846014488112</v>
      </c>
      <c r="AB97" s="311">
        <f>INDEX($AJ$3:AK107,MATCH(COUNTA(J97:Q97),$AJ$3:$AJ$12,0),2)</f>
        <v>1.1499999999999999</v>
      </c>
      <c r="AC97" s="108">
        <f t="shared" si="14"/>
        <v>18.496666666666666</v>
      </c>
      <c r="AD97" s="310">
        <f t="shared" si="15"/>
        <v>2.2056049951845549</v>
      </c>
      <c r="AH97" s="147" t="s">
        <v>141</v>
      </c>
    </row>
    <row r="98" spans="1:34">
      <c r="A98" s="136" t="s">
        <v>143</v>
      </c>
      <c r="B98">
        <v>45.73</v>
      </c>
      <c r="C98">
        <v>15.06</v>
      </c>
      <c r="H98">
        <v>13.6</v>
      </c>
      <c r="I98">
        <v>15</v>
      </c>
      <c r="J98" s="306">
        <v>45.73</v>
      </c>
      <c r="K98">
        <v>15.06</v>
      </c>
      <c r="P98">
        <v>13.6</v>
      </c>
      <c r="Q98" s="307">
        <v>15</v>
      </c>
      <c r="R98">
        <v>0.70699999999999996</v>
      </c>
      <c r="S98">
        <v>0.104</v>
      </c>
      <c r="T98" s="307">
        <v>19.356549999999999</v>
      </c>
      <c r="U98" s="312">
        <v>0.65</v>
      </c>
      <c r="V98" s="87">
        <f t="shared" si="8"/>
        <v>0.5</v>
      </c>
      <c r="W98" s="203">
        <f t="shared" si="9"/>
        <v>0.57499999999999996</v>
      </c>
      <c r="X98" s="49">
        <f t="shared" si="10"/>
        <v>60.4654944152662</v>
      </c>
      <c r="Y98" s="49">
        <f t="shared" si="11"/>
        <v>60.4654944152662</v>
      </c>
      <c r="Z98" s="50">
        <f t="shared" si="12"/>
        <v>0.95455960161842512</v>
      </c>
      <c r="AA98" s="105">
        <f t="shared" si="13"/>
        <v>1.730431406336719</v>
      </c>
      <c r="AB98" s="311">
        <f>INDEX($AJ$3:AK108,MATCH(COUNTA(J98:Q98),$AJ$3:$AJ$12,0),2)</f>
        <v>1.49</v>
      </c>
      <c r="AC98" s="108">
        <f t="shared" si="14"/>
        <v>22.3475</v>
      </c>
      <c r="AD98" s="310">
        <f t="shared" si="15"/>
        <v>1.1545187546334446</v>
      </c>
      <c r="AH98" s="147" t="s">
        <v>141</v>
      </c>
    </row>
    <row r="99" spans="1:34">
      <c r="A99" s="136" t="s">
        <v>144</v>
      </c>
      <c r="B99">
        <v>23.86</v>
      </c>
      <c r="C99">
        <v>9.3800000000000008</v>
      </c>
      <c r="J99" s="306">
        <v>23.86</v>
      </c>
      <c r="K99">
        <v>9.3800000000000008</v>
      </c>
      <c r="R99">
        <v>0.70699999999999996</v>
      </c>
      <c r="S99">
        <v>0.104</v>
      </c>
      <c r="T99" s="307">
        <v>14.0021</v>
      </c>
      <c r="U99" s="312">
        <v>0.65</v>
      </c>
      <c r="V99" s="87">
        <f t="shared" si="8"/>
        <v>0.375</v>
      </c>
      <c r="W99" s="203">
        <f t="shared" si="9"/>
        <v>0.51249999999999996</v>
      </c>
      <c r="X99" s="49">
        <f t="shared" si="10"/>
        <v>43.561973525872418</v>
      </c>
      <c r="Y99" s="49">
        <f t="shared" si="11"/>
        <v>43.561973525872418</v>
      </c>
      <c r="Z99" s="50">
        <f t="shared" si="12"/>
        <v>1</v>
      </c>
      <c r="AA99" s="105">
        <f t="shared" si="13"/>
        <v>1.0000000000000004</v>
      </c>
      <c r="AB99" s="311" t="e">
        <f>INDEX($AJ$3:AK109,MATCH(COUNTA(J99:Q99),$AJ$3:$AJ$12,0),2)</f>
        <v>#N/A</v>
      </c>
      <c r="AC99" s="108">
        <f t="shared" si="14"/>
        <v>16.62</v>
      </c>
      <c r="AD99" s="310">
        <f t="shared" si="15"/>
        <v>1.1869648124209939</v>
      </c>
      <c r="AH99" s="147" t="s">
        <v>141</v>
      </c>
    </row>
    <row r="100" spans="1:34">
      <c r="A100" s="136" t="s">
        <v>145</v>
      </c>
      <c r="B100">
        <v>79.47</v>
      </c>
      <c r="C100">
        <v>54.18</v>
      </c>
      <c r="D100">
        <v>3.41</v>
      </c>
      <c r="H100">
        <v>45.01</v>
      </c>
      <c r="I100">
        <v>32.659999999999997</v>
      </c>
      <c r="J100" s="306">
        <v>79.47</v>
      </c>
      <c r="K100">
        <v>54.18</v>
      </c>
      <c r="L100">
        <v>3.41</v>
      </c>
      <c r="P100">
        <v>45.01</v>
      </c>
      <c r="Q100" s="307">
        <v>32.659999999999997</v>
      </c>
      <c r="T100" s="307">
        <v>3.68384</v>
      </c>
      <c r="U100" s="312">
        <v>0.52</v>
      </c>
      <c r="V100" s="87">
        <f t="shared" si="8"/>
        <v>0.5625</v>
      </c>
      <c r="W100" s="203">
        <f t="shared" si="9"/>
        <v>0.54125000000000001</v>
      </c>
      <c r="X100" s="49">
        <f t="shared" si="10"/>
        <v>58.290475787582118</v>
      </c>
      <c r="Y100" s="49">
        <f t="shared" si="11"/>
        <v>58.290475787582118</v>
      </c>
      <c r="Z100" s="50">
        <f t="shared" si="12"/>
        <v>0.33250065737575596</v>
      </c>
      <c r="AA100" s="105">
        <f t="shared" si="13"/>
        <v>1.4590091453476153</v>
      </c>
      <c r="AB100" s="311">
        <f>INDEX($AJ$3:AK109,MATCH(COUNTA(J100:Q100),$AJ$3:$AJ$12,0),2)</f>
        <v>1.75</v>
      </c>
      <c r="AC100" s="108">
        <f t="shared" si="14"/>
        <v>42.945999999999998</v>
      </c>
      <c r="AD100" s="310">
        <f t="shared" si="15"/>
        <v>11.657943884642112</v>
      </c>
      <c r="AH100" s="147" t="s">
        <v>146</v>
      </c>
    </row>
    <row r="101" spans="1:34">
      <c r="A101" s="136" t="s">
        <v>147</v>
      </c>
      <c r="B101">
        <v>48.19</v>
      </c>
      <c r="C101">
        <v>29.94</v>
      </c>
      <c r="H101">
        <v>22.35</v>
      </c>
      <c r="J101" s="306">
        <v>48.19</v>
      </c>
      <c r="K101">
        <v>29.94</v>
      </c>
      <c r="P101">
        <v>22.35</v>
      </c>
      <c r="R101">
        <v>0.70699999999999996</v>
      </c>
      <c r="S101">
        <v>4.2000000000000003E-2</v>
      </c>
      <c r="T101" s="307">
        <v>4.4491899999999998</v>
      </c>
      <c r="U101" s="312">
        <v>0.52</v>
      </c>
      <c r="V101" s="87">
        <f t="shared" si="8"/>
        <v>0.6875</v>
      </c>
      <c r="W101" s="203">
        <f t="shared" si="9"/>
        <v>0.60375000000000001</v>
      </c>
      <c r="X101" s="49">
        <f t="shared" si="10"/>
        <v>32.377283364177451</v>
      </c>
      <c r="Y101" s="49">
        <f t="shared" si="11"/>
        <v>32.377283364177451</v>
      </c>
      <c r="Z101" s="50">
        <f t="shared" si="12"/>
        <v>0.70626934984520118</v>
      </c>
      <c r="AA101" s="105">
        <f t="shared" si="13"/>
        <v>1.3552520292496282</v>
      </c>
      <c r="AB101" s="311">
        <f>INDEX($AJ$3:AK110,MATCH(COUNTA(J101:Q101),$AJ$3:$AJ$12,0),2)</f>
        <v>1.1499999999999999</v>
      </c>
      <c r="AC101" s="108">
        <f t="shared" si="14"/>
        <v>33.493333333333332</v>
      </c>
      <c r="AD101" s="310">
        <f t="shared" si="15"/>
        <v>7.5279620185546881</v>
      </c>
      <c r="AH101" s="147" t="s">
        <v>146</v>
      </c>
    </row>
    <row r="102" spans="1:34">
      <c r="A102" s="136" t="s">
        <v>148</v>
      </c>
      <c r="B102">
        <v>40.020000000000003</v>
      </c>
      <c r="C102">
        <v>27.49</v>
      </c>
      <c r="H102">
        <v>23.17</v>
      </c>
      <c r="J102" s="306">
        <v>40.020000000000003</v>
      </c>
      <c r="K102">
        <v>27.49</v>
      </c>
      <c r="P102">
        <v>23.17</v>
      </c>
      <c r="R102">
        <v>0.70699999999999996</v>
      </c>
      <c r="S102">
        <v>4.2000000000000003E-2</v>
      </c>
      <c r="T102" s="307">
        <v>4.2668999999999997</v>
      </c>
      <c r="U102" s="312">
        <v>0.42</v>
      </c>
      <c r="V102" s="87">
        <f t="shared" si="8"/>
        <v>0.6875</v>
      </c>
      <c r="W102" s="203">
        <f t="shared" si="9"/>
        <v>0.55374999999999996</v>
      </c>
      <c r="X102" s="49">
        <f t="shared" si="10"/>
        <v>23.641323696062496</v>
      </c>
      <c r="Y102" s="49">
        <f t="shared" si="11"/>
        <v>23.641323696062496</v>
      </c>
      <c r="Z102" s="50">
        <f t="shared" si="12"/>
        <v>0.74362017804154323</v>
      </c>
      <c r="AA102" s="105">
        <f t="shared" si="13"/>
        <v>1.3704667102085839</v>
      </c>
      <c r="AB102" s="311">
        <f>INDEX($AJ$3:AK111,MATCH(COUNTA(J102:Q102),$AJ$3:$AJ$12,0),2)</f>
        <v>1.1499999999999999</v>
      </c>
      <c r="AC102" s="108">
        <f t="shared" si="14"/>
        <v>30.22666666666667</v>
      </c>
      <c r="AD102" s="310">
        <f t="shared" si="15"/>
        <v>7.0839875944284314</v>
      </c>
      <c r="AH102" s="147" t="s">
        <v>146</v>
      </c>
    </row>
    <row r="103" spans="1:34">
      <c r="A103" s="136" t="s">
        <v>149</v>
      </c>
      <c r="B103">
        <v>225.66</v>
      </c>
      <c r="C103">
        <v>51.57</v>
      </c>
      <c r="D103">
        <v>13.93</v>
      </c>
      <c r="F103">
        <v>82.1</v>
      </c>
      <c r="H103">
        <v>56.53</v>
      </c>
      <c r="I103">
        <v>16.11</v>
      </c>
      <c r="K103">
        <v>51.57</v>
      </c>
      <c r="L103">
        <v>13.93</v>
      </c>
      <c r="N103">
        <v>82.1</v>
      </c>
      <c r="P103">
        <v>56.53</v>
      </c>
      <c r="Q103" s="307">
        <v>16.11</v>
      </c>
      <c r="R103">
        <v>0.70699999999999996</v>
      </c>
      <c r="S103">
        <v>0.16900000000000001</v>
      </c>
      <c r="T103" s="307">
        <v>8.0275499999999997</v>
      </c>
      <c r="U103" s="312">
        <v>0.79</v>
      </c>
      <c r="V103" s="87">
        <f t="shared" si="8"/>
        <v>0.5625</v>
      </c>
      <c r="W103" s="203">
        <f t="shared" si="9"/>
        <v>0.67625000000000002</v>
      </c>
      <c r="X103" s="49">
        <f t="shared" si="10"/>
        <v>58.746096871369993</v>
      </c>
      <c r="Y103" s="49">
        <f t="shared" si="11"/>
        <v>96.460867291465348</v>
      </c>
      <c r="Z103" s="50">
        <f t="shared" si="12"/>
        <v>0.3750916825583101</v>
      </c>
      <c r="AA103" s="105">
        <f t="shared" si="13"/>
        <v>1.4705245418716955</v>
      </c>
      <c r="AB103" s="311">
        <f>INDEX($AJ$3:AK112,MATCH(COUNTA(J103:Q103),$AJ$3:$AJ$12,0),2)</f>
        <v>1.75</v>
      </c>
      <c r="AC103" s="108">
        <f t="shared" si="14"/>
        <v>44.048000000000002</v>
      </c>
      <c r="AD103" s="310">
        <f t="shared" si="15"/>
        <v>5.4871037863358065</v>
      </c>
      <c r="AH103" s="147" t="s">
        <v>150</v>
      </c>
    </row>
    <row r="104" spans="1:34">
      <c r="A104" s="136" t="s">
        <v>151</v>
      </c>
      <c r="C104">
        <v>15.64</v>
      </c>
      <c r="F104">
        <v>43.85</v>
      </c>
      <c r="H104">
        <v>19.61</v>
      </c>
      <c r="I104">
        <v>26.51</v>
      </c>
      <c r="K104">
        <v>15.64</v>
      </c>
      <c r="N104">
        <v>43.85</v>
      </c>
      <c r="P104">
        <v>19.61</v>
      </c>
      <c r="Q104" s="307">
        <v>26.51</v>
      </c>
      <c r="R104">
        <v>0.70699999999999996</v>
      </c>
      <c r="S104">
        <v>0.16900000000000001</v>
      </c>
      <c r="T104" s="307">
        <v>5.2789650000000004</v>
      </c>
      <c r="U104" s="312">
        <v>0.57999999999999996</v>
      </c>
      <c r="V104" s="87">
        <f t="shared" si="8"/>
        <v>0.5</v>
      </c>
      <c r="W104" s="203">
        <f t="shared" si="9"/>
        <v>0.54</v>
      </c>
      <c r="X104" s="49">
        <f t="shared" si="10"/>
        <v>40.898039460081385</v>
      </c>
      <c r="Y104" s="49">
        <f t="shared" si="11"/>
        <v>40.898039460081385</v>
      </c>
      <c r="Z104" s="50">
        <f t="shared" si="12"/>
        <v>0.61467564693371146</v>
      </c>
      <c r="AA104" s="105">
        <f t="shared" si="13"/>
        <v>1.6157927907314102</v>
      </c>
      <c r="AB104" s="311">
        <f>INDEX($AJ$3:AK113,MATCH(COUNTA(J104:Q104),$AJ$3:$AJ$12,0),2)</f>
        <v>1.49</v>
      </c>
      <c r="AC104" s="108">
        <f t="shared" si="14"/>
        <v>26.4025</v>
      </c>
      <c r="AD104" s="310">
        <f t="shared" si="15"/>
        <v>5.0014538834790532</v>
      </c>
      <c r="AH104" s="147" t="s">
        <v>150</v>
      </c>
    </row>
    <row r="105" spans="1:34">
      <c r="A105" s="136" t="s">
        <v>152</v>
      </c>
      <c r="B105">
        <v>137.66</v>
      </c>
      <c r="C105">
        <v>150.86000000000001</v>
      </c>
      <c r="D105">
        <v>3.92</v>
      </c>
      <c r="E105">
        <v>20.399999999999999</v>
      </c>
      <c r="F105">
        <v>102.77</v>
      </c>
      <c r="G105">
        <v>68.17</v>
      </c>
      <c r="H105">
        <v>64.61</v>
      </c>
      <c r="I105">
        <v>57.49</v>
      </c>
      <c r="L105">
        <v>3.92</v>
      </c>
      <c r="M105">
        <v>20.399999999999999</v>
      </c>
      <c r="N105">
        <v>102.77</v>
      </c>
      <c r="O105">
        <v>68.17</v>
      </c>
      <c r="P105">
        <v>64.61</v>
      </c>
      <c r="Q105" s="307">
        <v>57.49</v>
      </c>
      <c r="R105">
        <v>0.42299999999999999</v>
      </c>
      <c r="S105">
        <v>1.327</v>
      </c>
      <c r="T105" s="307">
        <v>8.4861800000000009</v>
      </c>
      <c r="U105" s="312">
        <v>0.75</v>
      </c>
      <c r="V105" s="87">
        <f t="shared" si="8"/>
        <v>0.625</v>
      </c>
      <c r="W105" s="203">
        <f t="shared" si="9"/>
        <v>0.6875</v>
      </c>
      <c r="X105" s="49">
        <f t="shared" si="10"/>
        <v>61.425857338176115</v>
      </c>
      <c r="Y105" s="49">
        <f t="shared" si="11"/>
        <v>64.250734973089024</v>
      </c>
      <c r="Z105" s="50">
        <f t="shared" si="12"/>
        <v>0.35002529084471418</v>
      </c>
      <c r="AA105" s="105">
        <f t="shared" si="13"/>
        <v>1.5351303480771397</v>
      </c>
      <c r="AB105" s="311">
        <f>INDEX($AJ$3:AK114,MATCH(COUNTA(J105:Q105),$AJ$3:$AJ$12,0),2)</f>
        <v>1.94</v>
      </c>
      <c r="AC105" s="108">
        <f t="shared" si="14"/>
        <v>52.893333333333338</v>
      </c>
      <c r="AD105" s="310">
        <f t="shared" si="15"/>
        <v>6.2328790260556968</v>
      </c>
      <c r="AH105" s="147" t="s">
        <v>153</v>
      </c>
    </row>
    <row r="106" spans="1:34">
      <c r="A106" s="136" t="s">
        <v>154</v>
      </c>
      <c r="B106">
        <v>409.62</v>
      </c>
      <c r="C106">
        <v>175.88</v>
      </c>
      <c r="D106">
        <v>19.649999999999999</v>
      </c>
      <c r="E106">
        <v>35.71</v>
      </c>
      <c r="F106">
        <v>390.12</v>
      </c>
      <c r="G106">
        <v>134.19999999999999</v>
      </c>
      <c r="H106">
        <v>84.86</v>
      </c>
      <c r="I106">
        <v>114.19</v>
      </c>
      <c r="L106">
        <v>19.649999999999999</v>
      </c>
      <c r="M106">
        <v>35.71</v>
      </c>
      <c r="O106">
        <v>134.19999999999999</v>
      </c>
      <c r="P106">
        <v>84.86</v>
      </c>
      <c r="Q106" s="307">
        <v>114.19</v>
      </c>
      <c r="R106">
        <v>0.71199999999999997</v>
      </c>
      <c r="S106">
        <v>1.327</v>
      </c>
      <c r="T106" s="307">
        <v>10.4887</v>
      </c>
      <c r="U106" s="312">
        <v>0.97</v>
      </c>
      <c r="V106" s="87">
        <f t="shared" si="8"/>
        <v>0.5625</v>
      </c>
      <c r="W106" s="203">
        <f t="shared" si="9"/>
        <v>0.76624999999999999</v>
      </c>
      <c r="X106" s="49">
        <f t="shared" si="10"/>
        <v>56.693833228578129</v>
      </c>
      <c r="Y106" s="49">
        <f t="shared" si="11"/>
        <v>82.459908041852117</v>
      </c>
      <c r="Z106" s="50">
        <f t="shared" si="12"/>
        <v>0.17468354430379743</v>
      </c>
      <c r="AA106" s="105">
        <f t="shared" si="13"/>
        <v>1.2817387656405068</v>
      </c>
      <c r="AB106" s="311">
        <f>INDEX($AJ$3:AK115,MATCH(COUNTA(J106:Q106),$AJ$3:$AJ$12,0),2)</f>
        <v>1.75</v>
      </c>
      <c r="AC106" s="108">
        <f t="shared" si="14"/>
        <v>77.722000000000008</v>
      </c>
      <c r="AD106" s="310">
        <f t="shared" si="15"/>
        <v>7.4100698847330948</v>
      </c>
      <c r="AH106" s="147" t="s">
        <v>153</v>
      </c>
    </row>
    <row r="107" spans="1:34">
      <c r="A107" s="136" t="s">
        <v>155</v>
      </c>
      <c r="B107">
        <v>1413.24</v>
      </c>
      <c r="C107">
        <v>983.2</v>
      </c>
      <c r="D107">
        <v>855.1</v>
      </c>
      <c r="E107">
        <v>547.79999999999995</v>
      </c>
      <c r="F107">
        <v>1704.51</v>
      </c>
      <c r="G107">
        <v>1283.6300000000001</v>
      </c>
      <c r="H107">
        <v>427.34</v>
      </c>
      <c r="I107">
        <v>696.34</v>
      </c>
      <c r="K107">
        <v>983.2</v>
      </c>
      <c r="L107">
        <v>855.1</v>
      </c>
      <c r="M107">
        <v>547.79999999999995</v>
      </c>
      <c r="P107">
        <v>427.34</v>
      </c>
      <c r="Q107" s="307">
        <v>696.34</v>
      </c>
      <c r="R107">
        <v>1.1220000000000001</v>
      </c>
      <c r="S107">
        <v>1.327</v>
      </c>
      <c r="T107" s="307">
        <v>5.2791800000000002</v>
      </c>
      <c r="U107" s="312">
        <v>0.8</v>
      </c>
      <c r="V107" s="87">
        <f t="shared" si="8"/>
        <v>0.8125</v>
      </c>
      <c r="W107" s="203">
        <f t="shared" si="9"/>
        <v>0.80625000000000002</v>
      </c>
      <c r="X107" s="49">
        <f t="shared" si="10"/>
        <v>28.616962660629735</v>
      </c>
      <c r="Y107" s="49">
        <f t="shared" si="11"/>
        <v>42.188901559887206</v>
      </c>
      <c r="Z107" s="50">
        <f t="shared" si="12"/>
        <v>0.23045371136617132</v>
      </c>
      <c r="AA107" s="105">
        <f t="shared" si="13"/>
        <v>1.4000702863735275</v>
      </c>
      <c r="AB107" s="311">
        <f>INDEX($AJ$3:AK116,MATCH(COUNTA(J107:Q107),$AJ$3:$AJ$12,0),2)</f>
        <v>1.75</v>
      </c>
      <c r="AC107" s="108">
        <f t="shared" si="14"/>
        <v>701.95600000000013</v>
      </c>
      <c r="AD107" s="310">
        <f t="shared" si="15"/>
        <v>132.96686227785378</v>
      </c>
      <c r="AF107">
        <v>0.54420000000000002</v>
      </c>
      <c r="AG107" s="203">
        <f>100*((AC107-AVERAGE(AD105:AD106)*T107)/(AF107*1000))</f>
        <v>122.3712253738646</v>
      </c>
      <c r="AH107" s="147" t="s">
        <v>64</v>
      </c>
    </row>
    <row r="108" spans="1:34">
      <c r="A108" s="136" t="s">
        <v>156</v>
      </c>
      <c r="B108">
        <v>594.70000000000005</v>
      </c>
      <c r="C108">
        <v>230</v>
      </c>
      <c r="D108">
        <v>50.34</v>
      </c>
      <c r="E108">
        <v>67.430000000000007</v>
      </c>
      <c r="F108">
        <v>444.23</v>
      </c>
      <c r="G108">
        <v>186.45</v>
      </c>
      <c r="H108">
        <v>131.41</v>
      </c>
      <c r="I108">
        <v>134.87</v>
      </c>
      <c r="K108">
        <v>230</v>
      </c>
      <c r="L108">
        <v>50.34</v>
      </c>
      <c r="M108">
        <v>67.430000000000007</v>
      </c>
      <c r="O108">
        <v>186.45</v>
      </c>
      <c r="P108">
        <v>131.41</v>
      </c>
      <c r="Q108" s="307">
        <v>134.87</v>
      </c>
      <c r="R108">
        <v>0.70699999999999996</v>
      </c>
      <c r="S108">
        <v>6.7000000000000004E-2</v>
      </c>
      <c r="T108" s="307">
        <v>12.811</v>
      </c>
      <c r="U108" s="312">
        <v>0.87</v>
      </c>
      <c r="V108" s="87">
        <f t="shared" si="8"/>
        <v>0.625</v>
      </c>
      <c r="W108" s="203">
        <f t="shared" si="9"/>
        <v>0.74750000000000005</v>
      </c>
      <c r="X108" s="49">
        <f t="shared" si="10"/>
        <v>46.811216607528962</v>
      </c>
      <c r="Y108" s="49">
        <f t="shared" si="11"/>
        <v>78.145092802927635</v>
      </c>
      <c r="Z108" s="50">
        <f t="shared" si="12"/>
        <v>0.2424023154848047</v>
      </c>
      <c r="AA108" s="105">
        <f t="shared" si="13"/>
        <v>1.5464724074076133</v>
      </c>
      <c r="AB108" s="311">
        <f>INDEX($AJ$3:AK117,MATCH(COUNTA(J108:Q108),$AJ$3:$AJ$12,0),2)</f>
        <v>1.94</v>
      </c>
      <c r="AC108" s="108">
        <f t="shared" si="14"/>
        <v>133.41666666666666</v>
      </c>
      <c r="AD108" s="310">
        <f t="shared" si="15"/>
        <v>10.414227356698669</v>
      </c>
      <c r="AG108" s="203"/>
      <c r="AH108" s="147" t="s">
        <v>153</v>
      </c>
    </row>
    <row r="109" spans="1:34" s="85" customFormat="1">
      <c r="A109" s="243" t="s">
        <v>157</v>
      </c>
      <c r="B109" s="85">
        <v>107.85</v>
      </c>
      <c r="C109" s="85">
        <v>156.38999999999999</v>
      </c>
      <c r="D109" s="85">
        <v>35.97</v>
      </c>
      <c r="E109" s="85">
        <v>29.32</v>
      </c>
      <c r="F109" s="85">
        <v>179.55</v>
      </c>
      <c r="G109" s="85">
        <v>45.05</v>
      </c>
      <c r="H109" s="85">
        <v>66.709999999999994</v>
      </c>
      <c r="I109" s="85">
        <v>56.62</v>
      </c>
      <c r="J109" s="10">
        <v>107.85</v>
      </c>
      <c r="K109" s="85">
        <v>156.38999999999999</v>
      </c>
      <c r="L109" s="85">
        <v>35.97</v>
      </c>
      <c r="M109" s="85">
        <v>29.32</v>
      </c>
      <c r="N109" s="85">
        <v>179.55</v>
      </c>
      <c r="O109" s="85">
        <v>45.05</v>
      </c>
      <c r="P109" s="85">
        <v>66.709999999999994</v>
      </c>
      <c r="Q109" s="96">
        <v>56.62</v>
      </c>
      <c r="R109" s="85">
        <v>0.70699999999999996</v>
      </c>
      <c r="S109" s="85">
        <v>6.7000000000000004E-2</v>
      </c>
      <c r="T109" s="96">
        <v>9.2412299999999998</v>
      </c>
      <c r="U109" s="120">
        <v>0.75</v>
      </c>
      <c r="V109" s="97">
        <f t="shared" si="8"/>
        <v>0.75</v>
      </c>
      <c r="W109" s="98">
        <f t="shared" si="9"/>
        <v>0.75</v>
      </c>
      <c r="X109" s="99">
        <f t="shared" si="10"/>
        <v>63.038649429875058</v>
      </c>
      <c r="Y109" s="99">
        <f t="shared" si="11"/>
        <v>63.038649429875058</v>
      </c>
      <c r="Z109" s="100">
        <f t="shared" si="12"/>
        <v>0.15416361578912349</v>
      </c>
      <c r="AA109" s="106">
        <f t="shared" si="13"/>
        <v>1.7771205344099048</v>
      </c>
      <c r="AB109" s="134">
        <f>INDEX($AJ$3:AK118,MATCH(COUNTA(J109:Q109),$AJ$3:$AJ$12,0),2)</f>
        <v>2.2200000000000002</v>
      </c>
      <c r="AC109" s="109">
        <f t="shared" si="14"/>
        <v>84.682500000000005</v>
      </c>
      <c r="AD109" s="135">
        <f t="shared" si="15"/>
        <v>9.1635529036719152</v>
      </c>
      <c r="AG109" s="203"/>
      <c r="AH109" s="131" t="s">
        <v>153</v>
      </c>
    </row>
    <row r="110" spans="1:34">
      <c r="A110" s="244" t="s">
        <v>158</v>
      </c>
      <c r="B110">
        <v>275.29000000000002</v>
      </c>
      <c r="F110">
        <v>1034.2</v>
      </c>
      <c r="G110">
        <v>158.08000000000001</v>
      </c>
      <c r="H110">
        <v>268.08999999999997</v>
      </c>
      <c r="J110" s="306">
        <v>275.29000000000002</v>
      </c>
      <c r="O110">
        <v>158.08000000000001</v>
      </c>
      <c r="P110">
        <v>268.08999999999997</v>
      </c>
      <c r="R110">
        <v>1.0109999999999999</v>
      </c>
      <c r="S110">
        <v>0.113</v>
      </c>
      <c r="T110" s="307">
        <v>9.0289600000000014</v>
      </c>
      <c r="U110" s="312">
        <v>0.5</v>
      </c>
      <c r="V110" s="87">
        <f t="shared" si="8"/>
        <v>0.6875</v>
      </c>
      <c r="W110" s="203">
        <f t="shared" si="9"/>
        <v>0.59375</v>
      </c>
      <c r="X110" s="49">
        <f t="shared" si="10"/>
        <v>22.939384903727351</v>
      </c>
      <c r="Y110" s="49">
        <f t="shared" si="11"/>
        <v>80.58576514103207</v>
      </c>
      <c r="Z110" s="50">
        <f t="shared" si="12"/>
        <v>6.1428205784489764E-2</v>
      </c>
      <c r="AA110" s="105">
        <f t="shared" si="13"/>
        <v>0.77316219549407539</v>
      </c>
      <c r="AB110" s="311">
        <f>INDEX($AJ$3:AK119,MATCH(COUNTA(J110:Q110),$AJ$3:$AJ$12,0),2)</f>
        <v>1.1499999999999999</v>
      </c>
      <c r="AC110" s="108">
        <f t="shared" si="14"/>
        <v>233.82000000000002</v>
      </c>
      <c r="AD110" s="310">
        <f t="shared" si="15"/>
        <v>25.896670269887117</v>
      </c>
      <c r="AG110" s="203"/>
      <c r="AH110" s="147" t="s">
        <v>42</v>
      </c>
    </row>
    <row r="111" spans="1:34">
      <c r="A111" s="139" t="s">
        <v>159</v>
      </c>
      <c r="B111">
        <v>219.22</v>
      </c>
      <c r="F111">
        <v>213.95</v>
      </c>
      <c r="G111">
        <v>77.67</v>
      </c>
      <c r="H111">
        <v>189.17</v>
      </c>
      <c r="J111" s="306">
        <v>219.22</v>
      </c>
      <c r="N111">
        <v>213.95</v>
      </c>
      <c r="O111">
        <v>77.67</v>
      </c>
      <c r="P111">
        <v>189.17</v>
      </c>
      <c r="R111">
        <v>0.60199999999999998</v>
      </c>
      <c r="S111">
        <v>0.113</v>
      </c>
      <c r="T111" s="307">
        <v>9.4451499999999999</v>
      </c>
      <c r="U111" s="312">
        <v>0.65</v>
      </c>
      <c r="V111" s="87">
        <f t="shared" si="8"/>
        <v>0.75</v>
      </c>
      <c r="W111" s="203">
        <f t="shared" si="9"/>
        <v>0.7</v>
      </c>
      <c r="X111" s="49">
        <f t="shared" si="10"/>
        <v>32.758925340327139</v>
      </c>
      <c r="Y111" s="49">
        <f t="shared" si="11"/>
        <v>32.758925340327139</v>
      </c>
      <c r="Z111" s="50">
        <f t="shared" si="12"/>
        <v>3.7230660543977459E-2</v>
      </c>
      <c r="AA111" s="105">
        <f t="shared" si="13"/>
        <v>0.77129459042453896</v>
      </c>
      <c r="AB111" s="311">
        <f>INDEX($AJ$3:AK120,MATCH(COUNTA(J111:Q111),$AJ$3:$AJ$12,0),2)</f>
        <v>1.49</v>
      </c>
      <c r="AC111" s="108">
        <f t="shared" si="14"/>
        <v>175.0025</v>
      </c>
      <c r="AD111" s="310">
        <f t="shared" si="15"/>
        <v>18.528292298163606</v>
      </c>
      <c r="AG111" s="203"/>
      <c r="AH111" s="147" t="s">
        <v>42</v>
      </c>
    </row>
    <row r="112" spans="1:34">
      <c r="A112" s="139" t="s">
        <v>160</v>
      </c>
      <c r="B112">
        <v>265.75</v>
      </c>
      <c r="F112">
        <v>528.57000000000005</v>
      </c>
      <c r="G112">
        <v>244.1</v>
      </c>
      <c r="H112">
        <v>167.8</v>
      </c>
      <c r="J112" s="306">
        <v>265.75</v>
      </c>
      <c r="O112">
        <v>244.1</v>
      </c>
      <c r="P112">
        <v>167.8</v>
      </c>
      <c r="R112">
        <v>0.63600000000000001</v>
      </c>
      <c r="S112">
        <v>0.113</v>
      </c>
      <c r="T112" s="307">
        <v>8.1411800000000003</v>
      </c>
      <c r="U112" s="312">
        <v>0.75</v>
      </c>
      <c r="V112" s="87">
        <f t="shared" si="8"/>
        <v>0.6875</v>
      </c>
      <c r="W112" s="203">
        <f t="shared" si="9"/>
        <v>0.71875</v>
      </c>
      <c r="X112" s="49">
        <f t="shared" si="10"/>
        <v>18.598713476193687</v>
      </c>
      <c r="Y112" s="49">
        <f t="shared" si="11"/>
        <v>45.107273359784863</v>
      </c>
      <c r="Z112" s="50">
        <f t="shared" si="12"/>
        <v>0.22103113833588575</v>
      </c>
      <c r="AA112" s="105">
        <f t="shared" si="13"/>
        <v>0.94894891389075386</v>
      </c>
      <c r="AB112" s="311">
        <f>INDEX($AJ$3:AK121,MATCH(COUNTA(J112:Q112),$AJ$3:$AJ$12,0),2)</f>
        <v>1.1499999999999999</v>
      </c>
      <c r="AC112" s="108">
        <f t="shared" si="14"/>
        <v>225.88333333333335</v>
      </c>
      <c r="AD112" s="310">
        <f t="shared" si="15"/>
        <v>27.74577313526213</v>
      </c>
      <c r="AG112" s="203"/>
      <c r="AH112" s="147" t="s">
        <v>42</v>
      </c>
    </row>
    <row r="113" spans="1:34">
      <c r="A113" s="139" t="s">
        <v>161</v>
      </c>
      <c r="B113">
        <v>260.11</v>
      </c>
      <c r="C113">
        <v>162.63</v>
      </c>
      <c r="D113">
        <v>127.13</v>
      </c>
      <c r="E113">
        <v>65.739999999999995</v>
      </c>
      <c r="F113">
        <v>355.63</v>
      </c>
      <c r="G113">
        <v>143.88999999999999</v>
      </c>
      <c r="H113">
        <v>175.39</v>
      </c>
      <c r="I113">
        <v>190.48</v>
      </c>
      <c r="J113" s="306">
        <v>260.11</v>
      </c>
      <c r="K113">
        <v>162.63</v>
      </c>
      <c r="L113">
        <v>127.13</v>
      </c>
      <c r="M113">
        <v>65.739999999999995</v>
      </c>
      <c r="O113">
        <v>143.88999999999999</v>
      </c>
      <c r="P113">
        <v>175.39</v>
      </c>
      <c r="Q113" s="307">
        <v>190.48</v>
      </c>
      <c r="R113">
        <v>0.60099999999999998</v>
      </c>
      <c r="S113">
        <v>0.121</v>
      </c>
      <c r="T113" s="307">
        <v>7.5561999999999996</v>
      </c>
      <c r="U113" s="312">
        <v>0.8</v>
      </c>
      <c r="V113" s="87">
        <f t="shared" si="8"/>
        <v>0.9375</v>
      </c>
      <c r="W113" s="203">
        <f t="shared" si="9"/>
        <v>0.86875000000000002</v>
      </c>
      <c r="X113" s="49">
        <f t="shared" si="10"/>
        <v>34.404788807647435</v>
      </c>
      <c r="Y113" s="49">
        <f t="shared" si="11"/>
        <v>44.642454246642238</v>
      </c>
      <c r="Z113" s="50">
        <f t="shared" si="12"/>
        <v>0.35823429541595936</v>
      </c>
      <c r="AA113" s="105">
        <f t="shared" si="13"/>
        <v>1.7960584104820851</v>
      </c>
      <c r="AB113" s="311">
        <f>INDEX($AJ$3:AK122,MATCH(COUNTA(J113:Q113),$AJ$3:$AJ$12,0),2)</f>
        <v>2.1</v>
      </c>
      <c r="AC113" s="108">
        <f t="shared" si="14"/>
        <v>160.76714285714283</v>
      </c>
      <c r="AD113" s="310">
        <f t="shared" si="15"/>
        <v>21.276189467873117</v>
      </c>
      <c r="AG113" s="203"/>
      <c r="AH113" s="147" t="s">
        <v>42</v>
      </c>
    </row>
    <row r="114" spans="1:34">
      <c r="A114" s="139" t="s">
        <v>162</v>
      </c>
      <c r="B114">
        <v>229.83</v>
      </c>
      <c r="C114">
        <v>111.52</v>
      </c>
      <c r="D114">
        <v>66.11</v>
      </c>
      <c r="E114">
        <v>38.19</v>
      </c>
      <c r="F114">
        <v>649.16</v>
      </c>
      <c r="G114">
        <v>150.18</v>
      </c>
      <c r="H114">
        <v>129.25</v>
      </c>
      <c r="I114">
        <v>140.16999999999999</v>
      </c>
      <c r="J114" s="306">
        <v>229.83</v>
      </c>
      <c r="K114">
        <v>111.52</v>
      </c>
      <c r="L114">
        <v>66.11</v>
      </c>
      <c r="M114">
        <v>38.19</v>
      </c>
      <c r="O114">
        <v>150.18</v>
      </c>
      <c r="P114">
        <v>129.25</v>
      </c>
      <c r="Q114" s="307">
        <v>140.16999999999999</v>
      </c>
      <c r="R114">
        <v>0.873</v>
      </c>
      <c r="S114">
        <v>0.121</v>
      </c>
      <c r="T114" s="307">
        <v>4.8253199999999996</v>
      </c>
      <c r="U114" s="312">
        <v>0.69</v>
      </c>
      <c r="V114" s="87">
        <f t="shared" si="8"/>
        <v>0.6875</v>
      </c>
      <c r="W114" s="203">
        <f t="shared" si="9"/>
        <v>0.68874999999999997</v>
      </c>
      <c r="X114" s="49">
        <f t="shared" si="10"/>
        <v>46.41768029877457</v>
      </c>
      <c r="Y114" s="49">
        <f t="shared" si="11"/>
        <v>96.094381327752259</v>
      </c>
      <c r="Z114" s="50">
        <f t="shared" si="12"/>
        <v>0.41562304320601129</v>
      </c>
      <c r="AA114" s="105">
        <f t="shared" si="13"/>
        <v>1.8513604328281561</v>
      </c>
      <c r="AB114" s="311">
        <f>INDEX($AJ$3:AK123,MATCH(COUNTA(J114:Q114),$AJ$3:$AJ$12,0),2)</f>
        <v>2.1</v>
      </c>
      <c r="AC114" s="108">
        <f t="shared" si="14"/>
        <v>123.60714285714286</v>
      </c>
      <c r="AD114" s="310">
        <f t="shared" si="15"/>
        <v>25.616361786812661</v>
      </c>
      <c r="AG114" s="203"/>
      <c r="AH114" s="147" t="s">
        <v>42</v>
      </c>
    </row>
    <row r="115" spans="1:34">
      <c r="A115" s="139" t="s">
        <v>163</v>
      </c>
      <c r="B115">
        <v>318.57</v>
      </c>
      <c r="C115">
        <v>137.79</v>
      </c>
      <c r="D115">
        <v>126.48</v>
      </c>
      <c r="E115">
        <v>81.849999999999994</v>
      </c>
      <c r="F115">
        <v>1061.73</v>
      </c>
      <c r="G115">
        <v>206.53</v>
      </c>
      <c r="H115">
        <v>167.84</v>
      </c>
      <c r="I115">
        <v>179.55</v>
      </c>
      <c r="J115" s="306">
        <v>318.57</v>
      </c>
      <c r="K115">
        <v>137.79</v>
      </c>
      <c r="L115">
        <v>126.48</v>
      </c>
      <c r="M115">
        <v>81.849999999999994</v>
      </c>
      <c r="O115">
        <v>206.53</v>
      </c>
      <c r="P115">
        <v>167.84</v>
      </c>
      <c r="Q115" s="307">
        <v>179.55</v>
      </c>
      <c r="R115">
        <v>0.76100000000000001</v>
      </c>
      <c r="S115">
        <v>0.121</v>
      </c>
      <c r="T115" s="307">
        <v>6.5425250000000004</v>
      </c>
      <c r="U115" s="312">
        <v>0.67</v>
      </c>
      <c r="V115" s="87">
        <f t="shared" si="8"/>
        <v>0.6875</v>
      </c>
      <c r="W115" s="203">
        <f t="shared" si="9"/>
        <v>0.67874999999999996</v>
      </c>
      <c r="X115" s="49">
        <f t="shared" si="10"/>
        <v>40.08547802835448</v>
      </c>
      <c r="Y115" s="49">
        <f t="shared" si="11"/>
        <v>105.5036502830563</v>
      </c>
      <c r="Z115" s="50">
        <f t="shared" si="12"/>
        <v>0.47330179114565729</v>
      </c>
      <c r="AA115" s="105">
        <f t="shared" si="13"/>
        <v>2.0704395570964484</v>
      </c>
      <c r="AB115" s="311">
        <f>INDEX($AJ$3:AK124,MATCH(COUNTA(J115:Q115),$AJ$3:$AJ$12,0),2)</f>
        <v>2.1</v>
      </c>
      <c r="AC115" s="108">
        <f t="shared" si="14"/>
        <v>174.08714285714285</v>
      </c>
      <c r="AD115" s="310">
        <f t="shared" si="15"/>
        <v>26.608556002024116</v>
      </c>
      <c r="AG115" s="203"/>
      <c r="AH115" s="147" t="s">
        <v>42</v>
      </c>
    </row>
    <row r="116" spans="1:34">
      <c r="A116" s="139" t="s">
        <v>164</v>
      </c>
      <c r="B116">
        <v>413.91</v>
      </c>
      <c r="F116">
        <v>764.84</v>
      </c>
      <c r="G116">
        <v>271.08999999999997</v>
      </c>
      <c r="H116">
        <v>338.43</v>
      </c>
      <c r="I116">
        <v>480.03</v>
      </c>
      <c r="J116" s="306">
        <v>413.91</v>
      </c>
      <c r="O116">
        <v>271.08999999999997</v>
      </c>
      <c r="P116">
        <v>338.43</v>
      </c>
      <c r="Q116" s="307">
        <v>480.03</v>
      </c>
      <c r="R116">
        <v>0.93300000000000005</v>
      </c>
      <c r="S116">
        <v>0.16900000000000001</v>
      </c>
      <c r="T116" s="307">
        <v>10.150700000000001</v>
      </c>
      <c r="U116" s="312">
        <v>0.57999999999999996</v>
      </c>
      <c r="V116" s="87">
        <f t="shared" si="8"/>
        <v>0.75</v>
      </c>
      <c r="W116" s="203">
        <f t="shared" si="9"/>
        <v>0.66500000000000004</v>
      </c>
      <c r="X116" s="49">
        <f t="shared" si="10"/>
        <v>20.896995550955079</v>
      </c>
      <c r="Y116" s="49">
        <f t="shared" si="11"/>
        <v>37.63062165186426</v>
      </c>
      <c r="Z116" s="50">
        <f t="shared" si="12"/>
        <v>0.31645448454101632</v>
      </c>
      <c r="AA116" s="105">
        <f t="shared" si="13"/>
        <v>1.3261910149669482</v>
      </c>
      <c r="AB116" s="311">
        <f>INDEX($AJ$3:AK125,MATCH(COUNTA(J116:Q116),$AJ$3:$AJ$12,0),2)</f>
        <v>1.49</v>
      </c>
      <c r="AC116" s="108">
        <f t="shared" si="14"/>
        <v>375.86500000000001</v>
      </c>
      <c r="AD116" s="310">
        <f t="shared" si="15"/>
        <v>37.028480794427971</v>
      </c>
      <c r="AG116" s="203"/>
      <c r="AH116" s="147" t="s">
        <v>42</v>
      </c>
    </row>
    <row r="117" spans="1:34">
      <c r="A117" s="139" t="s">
        <v>165</v>
      </c>
      <c r="B117">
        <v>381.59</v>
      </c>
      <c r="C117">
        <v>166.72</v>
      </c>
      <c r="D117">
        <v>63.27</v>
      </c>
      <c r="E117">
        <v>76</v>
      </c>
      <c r="F117">
        <v>930.39</v>
      </c>
      <c r="G117">
        <v>166.41</v>
      </c>
      <c r="H117">
        <v>221.35</v>
      </c>
      <c r="I117">
        <v>202.72</v>
      </c>
      <c r="J117" s="306">
        <v>381.59</v>
      </c>
      <c r="K117">
        <v>166.72</v>
      </c>
      <c r="L117">
        <v>63.27</v>
      </c>
      <c r="M117">
        <v>76</v>
      </c>
      <c r="O117">
        <v>166.41</v>
      </c>
      <c r="P117">
        <v>221.35</v>
      </c>
      <c r="Q117" s="307">
        <v>202.72</v>
      </c>
      <c r="R117">
        <v>0.48299999999999998</v>
      </c>
      <c r="S117">
        <v>0.16900000000000001</v>
      </c>
      <c r="T117" s="307">
        <v>8.5572100000000013</v>
      </c>
      <c r="U117" s="312">
        <v>0.72</v>
      </c>
      <c r="V117" s="87">
        <f t="shared" si="8"/>
        <v>0.6875</v>
      </c>
      <c r="W117" s="203">
        <f t="shared" si="9"/>
        <v>0.70374999999999999</v>
      </c>
      <c r="X117" s="49">
        <f t="shared" si="10"/>
        <v>53.831716738770993</v>
      </c>
      <c r="Y117" s="49">
        <f t="shared" si="11"/>
        <v>95.578658730223751</v>
      </c>
      <c r="Z117" s="50">
        <f t="shared" si="12"/>
        <v>0.50339281226438803</v>
      </c>
      <c r="AA117" s="105">
        <f t="shared" si="13"/>
        <v>2.0248062230243162</v>
      </c>
      <c r="AB117" s="311">
        <f>INDEX($AJ$3:AK126,MATCH(COUNTA(J117:Q117),$AJ$3:$AJ$12,0),2)</f>
        <v>2.1</v>
      </c>
      <c r="AC117" s="108">
        <f t="shared" si="14"/>
        <v>182.57999999999998</v>
      </c>
      <c r="AD117" s="310">
        <f t="shared" si="15"/>
        <v>21.336393520785393</v>
      </c>
      <c r="AG117" s="203"/>
      <c r="AH117" s="147" t="s">
        <v>42</v>
      </c>
    </row>
    <row r="118" spans="1:34">
      <c r="A118" s="139" t="s">
        <v>166</v>
      </c>
      <c r="B118">
        <v>321.88</v>
      </c>
      <c r="C118">
        <v>165.42</v>
      </c>
      <c r="F118">
        <v>658.71</v>
      </c>
      <c r="G118">
        <v>277.10000000000002</v>
      </c>
      <c r="H118">
        <v>492.34</v>
      </c>
      <c r="J118" s="306">
        <v>321.88</v>
      </c>
      <c r="K118">
        <v>165.42</v>
      </c>
      <c r="N118">
        <v>658.71</v>
      </c>
      <c r="O118">
        <v>277.10000000000002</v>
      </c>
      <c r="P118">
        <v>492.34</v>
      </c>
      <c r="R118">
        <v>0.752</v>
      </c>
      <c r="S118">
        <v>0.16900000000000001</v>
      </c>
      <c r="T118" s="307">
        <v>10.0943</v>
      </c>
      <c r="U118" s="312">
        <v>0.57999999999999996</v>
      </c>
      <c r="V118" s="87">
        <f t="shared" si="8"/>
        <v>0.5625</v>
      </c>
      <c r="W118" s="203">
        <f t="shared" si="9"/>
        <v>0.57125000000000004</v>
      </c>
      <c r="X118" s="49">
        <f t="shared" si="10"/>
        <v>45.252211193571249</v>
      </c>
      <c r="Y118" s="49">
        <f t="shared" si="11"/>
        <v>45.252211193571249</v>
      </c>
      <c r="Z118" s="50">
        <f t="shared" si="12"/>
        <v>0.33726611121247146</v>
      </c>
      <c r="AA118" s="105">
        <f t="shared" si="13"/>
        <v>1.5899010916790746</v>
      </c>
      <c r="AB118" s="311">
        <f>INDEX($AJ$3:AK127,MATCH(COUNTA(J118:Q118),$AJ$3:$AJ$12,0),2)</f>
        <v>1.75</v>
      </c>
      <c r="AC118" s="108">
        <f t="shared" si="14"/>
        <v>383.09000000000003</v>
      </c>
      <c r="AD118" s="310">
        <f t="shared" si="15"/>
        <v>37.951120929633554</v>
      </c>
      <c r="AG118" s="203"/>
      <c r="AH118" s="147" t="s">
        <v>42</v>
      </c>
    </row>
    <row r="119" spans="1:34">
      <c r="A119" s="139" t="s">
        <v>167</v>
      </c>
      <c r="C119">
        <v>24.93</v>
      </c>
      <c r="D119">
        <v>25.62</v>
      </c>
      <c r="E119">
        <v>42.41</v>
      </c>
      <c r="F119">
        <v>10.64</v>
      </c>
      <c r="K119">
        <v>24.93</v>
      </c>
      <c r="L119">
        <v>25.62</v>
      </c>
      <c r="M119">
        <v>42.41</v>
      </c>
      <c r="N119">
        <v>10.64</v>
      </c>
      <c r="R119">
        <v>0.70699999999999996</v>
      </c>
      <c r="S119">
        <v>8.1000000000000003E-2</v>
      </c>
      <c r="T119" s="307">
        <v>11.9978</v>
      </c>
      <c r="U119" s="312">
        <v>0.89</v>
      </c>
      <c r="V119" s="87">
        <f t="shared" si="8"/>
        <v>0.5</v>
      </c>
      <c r="W119" s="203">
        <f t="shared" si="9"/>
        <v>0.69500000000000006</v>
      </c>
      <c r="X119" s="49">
        <f t="shared" si="10"/>
        <v>43.445601748226323</v>
      </c>
      <c r="Y119" s="49">
        <f t="shared" si="11"/>
        <v>43.445601748226323</v>
      </c>
      <c r="Z119" s="50">
        <f t="shared" si="12"/>
        <v>0.52848599307522814</v>
      </c>
      <c r="AA119" s="105">
        <f t="shared" si="13"/>
        <v>1.4672411286782594</v>
      </c>
      <c r="AB119" s="311">
        <f>INDEX($AJ$3:AK128,MATCH(COUNTA(J119:Q119),$AJ$3:$AJ$12,0),2)</f>
        <v>1.49</v>
      </c>
      <c r="AC119" s="108">
        <f t="shared" si="14"/>
        <v>25.9</v>
      </c>
      <c r="AD119" s="310">
        <f t="shared" si="15"/>
        <v>2.1587291003350613</v>
      </c>
      <c r="AG119" s="203"/>
      <c r="AH119" s="147" t="s">
        <v>123</v>
      </c>
    </row>
    <row r="120" spans="1:34">
      <c r="A120" s="139" t="s">
        <v>168</v>
      </c>
      <c r="D120">
        <v>18.61</v>
      </c>
      <c r="E120">
        <v>55.27</v>
      </c>
      <c r="F120">
        <v>27.09</v>
      </c>
      <c r="H120">
        <v>11.81</v>
      </c>
      <c r="I120">
        <v>13.95</v>
      </c>
      <c r="L120">
        <v>18.61</v>
      </c>
      <c r="M120">
        <v>55.27</v>
      </c>
      <c r="N120">
        <v>27.09</v>
      </c>
      <c r="P120">
        <v>11.81</v>
      </c>
      <c r="Q120" s="307">
        <v>13.95</v>
      </c>
      <c r="R120">
        <v>0.70699999999999996</v>
      </c>
      <c r="S120">
        <v>8.1000000000000003E-2</v>
      </c>
      <c r="T120" s="307">
        <v>18.2178</v>
      </c>
      <c r="U120" s="312">
        <v>0.67</v>
      </c>
      <c r="V120" s="87">
        <f t="shared" si="8"/>
        <v>0.5625</v>
      </c>
      <c r="W120" s="203">
        <f t="shared" si="9"/>
        <v>0.61624999999999996</v>
      </c>
      <c r="X120" s="49">
        <f t="shared" si="10"/>
        <v>62.55544349873152</v>
      </c>
      <c r="Y120" s="49">
        <f t="shared" si="11"/>
        <v>62.55544349873152</v>
      </c>
      <c r="Z120" s="50">
        <f t="shared" si="12"/>
        <v>0.64841233317993563</v>
      </c>
      <c r="AA120" s="105">
        <f t="shared" si="13"/>
        <v>1.8873181136212804</v>
      </c>
      <c r="AB120" s="311">
        <f>INDEX($AJ$3:AK129,MATCH(COUNTA(J120:Q120),$AJ$3:$AJ$12,0),2)</f>
        <v>1.75</v>
      </c>
      <c r="AC120" s="108">
        <f t="shared" si="14"/>
        <v>25.346</v>
      </c>
      <c r="AD120" s="310">
        <f t="shared" si="15"/>
        <v>1.3912766634829672</v>
      </c>
      <c r="AG120" s="203"/>
      <c r="AH120" s="147" t="s">
        <v>123</v>
      </c>
    </row>
    <row r="121" spans="1:34">
      <c r="A121" s="139" t="s">
        <v>169</v>
      </c>
      <c r="B121">
        <v>693.48</v>
      </c>
      <c r="C121">
        <v>535.22</v>
      </c>
      <c r="D121">
        <v>490.81</v>
      </c>
      <c r="E121">
        <v>342.25</v>
      </c>
      <c r="F121">
        <v>521.29</v>
      </c>
      <c r="G121">
        <v>496.81</v>
      </c>
      <c r="H121">
        <v>180.86</v>
      </c>
      <c r="I121">
        <v>296.20999999999998</v>
      </c>
      <c r="J121" s="306">
        <v>693.48</v>
      </c>
      <c r="K121">
        <v>535.22</v>
      </c>
      <c r="L121">
        <v>490.81</v>
      </c>
      <c r="M121">
        <v>342.25</v>
      </c>
      <c r="N121">
        <v>521.29</v>
      </c>
      <c r="O121">
        <v>496.81</v>
      </c>
      <c r="P121">
        <v>180.86</v>
      </c>
      <c r="Q121" s="307">
        <v>296.20999999999998</v>
      </c>
      <c r="T121" s="307">
        <v>14.882400000000001</v>
      </c>
      <c r="U121" s="312">
        <v>0.8</v>
      </c>
      <c r="V121" s="87">
        <f t="shared" si="8"/>
        <v>1</v>
      </c>
      <c r="W121" s="203">
        <f t="shared" si="9"/>
        <v>0.9</v>
      </c>
      <c r="X121" s="49">
        <f t="shared" si="10"/>
        <v>34.012266805213692</v>
      </c>
      <c r="Y121" s="49">
        <f t="shared" si="11"/>
        <v>34.012266805213692</v>
      </c>
      <c r="Z121" s="50">
        <f t="shared" si="12"/>
        <v>0.30872771253560138</v>
      </c>
      <c r="AA121" s="105">
        <f t="shared" si="13"/>
        <v>1.6456623465022164</v>
      </c>
      <c r="AB121" s="311">
        <f>INDEX($AJ$3:AK130,MATCH(COUNTA(J121:Q121),$AJ$3:$AJ$12,0),2)</f>
        <v>2.2200000000000002</v>
      </c>
      <c r="AC121" s="108">
        <f t="shared" si="14"/>
        <v>444.61625000000004</v>
      </c>
      <c r="AD121" s="310">
        <f t="shared" si="15"/>
        <v>29.87530573025856</v>
      </c>
      <c r="AF121">
        <v>0.17249999999999999</v>
      </c>
      <c r="AG121" s="309">
        <f>100*((AC121-AVERAGE(AD119:AD120)*T121)/(AF121*1000))</f>
        <v>242.43475194798685</v>
      </c>
      <c r="AH121" s="147" t="s">
        <v>127</v>
      </c>
    </row>
    <row r="122" spans="1:34">
      <c r="A122" s="139" t="s">
        <v>170</v>
      </c>
      <c r="B122">
        <v>688.01</v>
      </c>
      <c r="C122">
        <v>553.91999999999996</v>
      </c>
      <c r="D122">
        <v>424.17</v>
      </c>
      <c r="E122">
        <v>319.33</v>
      </c>
      <c r="F122">
        <v>695.26</v>
      </c>
      <c r="G122">
        <v>524.49</v>
      </c>
      <c r="H122">
        <v>194.61</v>
      </c>
      <c r="I122">
        <v>328.16</v>
      </c>
      <c r="J122" s="306">
        <v>688.01</v>
      </c>
      <c r="K122">
        <v>553.91999999999996</v>
      </c>
      <c r="L122">
        <v>424.17</v>
      </c>
      <c r="M122">
        <v>319.33</v>
      </c>
      <c r="N122">
        <v>695.26</v>
      </c>
      <c r="O122">
        <v>524.49</v>
      </c>
      <c r="P122">
        <v>194.61</v>
      </c>
      <c r="Q122" s="307">
        <v>328.16</v>
      </c>
      <c r="T122" s="307">
        <v>11.2957</v>
      </c>
      <c r="U122" s="312">
        <v>0.83</v>
      </c>
      <c r="V122" s="87">
        <f t="shared" si="8"/>
        <v>0.75</v>
      </c>
      <c r="W122" s="203">
        <f t="shared" si="9"/>
        <v>0.79</v>
      </c>
      <c r="X122" s="49">
        <f t="shared" si="10"/>
        <v>36.300359817448978</v>
      </c>
      <c r="Y122" s="49">
        <f t="shared" si="11"/>
        <v>36.300359817448978</v>
      </c>
      <c r="Z122" s="50">
        <f t="shared" si="12"/>
        <v>1.4481174473184861E-2</v>
      </c>
      <c r="AA122" s="105">
        <f t="shared" si="13"/>
        <v>1.3553426523975349</v>
      </c>
      <c r="AB122" s="311">
        <f>INDEX($AJ$3:AK131,MATCH(COUNTA(J122:Q122),$AJ$3:$AJ$12,0),2)</f>
        <v>2.2200000000000002</v>
      </c>
      <c r="AC122" s="108">
        <f t="shared" si="14"/>
        <v>465.99374999999992</v>
      </c>
      <c r="AD122" s="310">
        <f t="shared" si="15"/>
        <v>41.254083412271918</v>
      </c>
      <c r="AF122">
        <v>0.23039999999999999</v>
      </c>
      <c r="AG122" s="309">
        <f>100*((AC122-AVERAGE(AD119:AD120)*T122)/(AF122*1000))</f>
        <v>193.55201820608517</v>
      </c>
      <c r="AH122" s="147" t="s">
        <v>127</v>
      </c>
    </row>
    <row r="123" spans="1:34">
      <c r="A123" s="139" t="s">
        <v>171</v>
      </c>
      <c r="B123">
        <v>530.22</v>
      </c>
      <c r="C123">
        <v>445.09</v>
      </c>
      <c r="D123">
        <v>308.75</v>
      </c>
      <c r="E123">
        <v>257.69</v>
      </c>
      <c r="F123">
        <v>412.7</v>
      </c>
      <c r="G123">
        <v>408.63</v>
      </c>
      <c r="H123">
        <v>146.34</v>
      </c>
      <c r="I123">
        <v>243.7</v>
      </c>
      <c r="J123" s="306">
        <v>530.22</v>
      </c>
      <c r="K123">
        <v>445.09</v>
      </c>
      <c r="L123">
        <v>308.75</v>
      </c>
      <c r="M123">
        <v>257.69</v>
      </c>
      <c r="N123">
        <v>412.7</v>
      </c>
      <c r="O123">
        <v>408.63</v>
      </c>
      <c r="P123">
        <v>146.34</v>
      </c>
      <c r="Q123" s="307">
        <v>243.7</v>
      </c>
      <c r="T123" s="307">
        <v>8.4538799999999998</v>
      </c>
      <c r="U123" s="312">
        <v>0.85</v>
      </c>
      <c r="V123" s="87">
        <f t="shared" si="8"/>
        <v>1</v>
      </c>
      <c r="W123" s="203">
        <f t="shared" si="9"/>
        <v>0.92500000000000004</v>
      </c>
      <c r="X123" s="49">
        <f t="shared" si="10"/>
        <v>34.322704803187229</v>
      </c>
      <c r="Y123" s="49">
        <f t="shared" si="11"/>
        <v>34.322704803187229</v>
      </c>
      <c r="Z123" s="50">
        <f t="shared" si="12"/>
        <v>0.22176200896113382</v>
      </c>
      <c r="AA123" s="105">
        <f t="shared" si="13"/>
        <v>1.5753716940190423</v>
      </c>
      <c r="AB123" s="311">
        <f>INDEX($AJ$3:AK132,MATCH(COUNTA(J123:Q123),$AJ$3:$AJ$12,0),2)</f>
        <v>2.2200000000000002</v>
      </c>
      <c r="AC123" s="108">
        <f t="shared" si="14"/>
        <v>344.14</v>
      </c>
      <c r="AD123" s="310">
        <f t="shared" si="15"/>
        <v>40.707935291250884</v>
      </c>
      <c r="AF123">
        <v>0.17249999999999999</v>
      </c>
      <c r="AG123" s="309">
        <f>100*((AC123-AVERAGE(AD119:AD120)*T123)/(AF123*1000))</f>
        <v>190.80251515170261</v>
      </c>
      <c r="AH123" s="147" t="s">
        <v>127</v>
      </c>
    </row>
    <row r="124" spans="1:34">
      <c r="A124" s="139" t="s">
        <v>172</v>
      </c>
      <c r="B124">
        <v>685.48</v>
      </c>
      <c r="C124">
        <v>563.72</v>
      </c>
      <c r="D124">
        <v>473.06</v>
      </c>
      <c r="E124">
        <v>330.27</v>
      </c>
      <c r="F124">
        <v>604.26</v>
      </c>
      <c r="G124">
        <v>540.23</v>
      </c>
      <c r="H124">
        <v>198.21</v>
      </c>
      <c r="I124">
        <v>335.7</v>
      </c>
      <c r="J124" s="306">
        <v>685.48</v>
      </c>
      <c r="K124">
        <v>563.72</v>
      </c>
      <c r="L124">
        <v>473.06</v>
      </c>
      <c r="M124">
        <v>330.27</v>
      </c>
      <c r="N124">
        <v>604.26</v>
      </c>
      <c r="O124">
        <v>540.23</v>
      </c>
      <c r="P124">
        <v>198.21</v>
      </c>
      <c r="Q124" s="307">
        <v>335.7</v>
      </c>
      <c r="T124" s="307">
        <v>13.7104</v>
      </c>
      <c r="U124" s="312">
        <v>0.83</v>
      </c>
      <c r="V124" s="87">
        <f t="shared" si="8"/>
        <v>1</v>
      </c>
      <c r="W124" s="203">
        <f t="shared" si="9"/>
        <v>0.91500000000000004</v>
      </c>
      <c r="X124" s="49">
        <f t="shared" si="10"/>
        <v>33.002069182513488</v>
      </c>
      <c r="Y124" s="49">
        <f t="shared" si="11"/>
        <v>33.002069182513488</v>
      </c>
      <c r="Z124" s="50">
        <f t="shared" si="12"/>
        <v>0.16668376875243712</v>
      </c>
      <c r="AA124" s="105">
        <f t="shared" si="13"/>
        <v>1.4236438205888253</v>
      </c>
      <c r="AB124" s="311">
        <f>INDEX($AJ$3:AK133,MATCH(COUNTA(J124:Q124),$AJ$3:$AJ$12,0),2)</f>
        <v>2.2200000000000002</v>
      </c>
      <c r="AC124" s="108">
        <f t="shared" si="14"/>
        <v>466.36624999999998</v>
      </c>
      <c r="AD124" s="310">
        <f t="shared" si="15"/>
        <v>34.015510123701716</v>
      </c>
      <c r="AF124">
        <v>0.19689999999999999</v>
      </c>
      <c r="AG124" s="309">
        <f>100*((AC124-AVERAGE(AD119:AD120)*T124)/(AF124*1000))</f>
        <v>224.49479455961128</v>
      </c>
      <c r="AH124" s="147" t="s">
        <v>127</v>
      </c>
    </row>
    <row r="125" spans="1:34">
      <c r="A125" s="139" t="s">
        <v>173</v>
      </c>
      <c r="C125">
        <v>20.05</v>
      </c>
      <c r="K125">
        <v>20.05</v>
      </c>
      <c r="R125">
        <v>1.0009999999999999</v>
      </c>
      <c r="S125">
        <v>0.155</v>
      </c>
      <c r="T125" s="307">
        <v>10.5603</v>
      </c>
      <c r="U125" s="312">
        <v>0.42</v>
      </c>
      <c r="V125" s="87">
        <f t="shared" si="8"/>
        <v>0.5625</v>
      </c>
      <c r="W125" s="203">
        <f t="shared" si="9"/>
        <v>0.49124999999999996</v>
      </c>
      <c r="X125" s="49">
        <f t="shared" si="10"/>
        <v>0</v>
      </c>
      <c r="Y125" s="49">
        <f t="shared" si="11"/>
        <v>0</v>
      </c>
      <c r="Z125" s="50" t="e">
        <f t="shared" si="12"/>
        <v>#NUM!</v>
      </c>
      <c r="AA125" s="105" t="e">
        <f t="shared" si="13"/>
        <v>#DIV/0!</v>
      </c>
      <c r="AB125" s="311" t="e">
        <f>INDEX($AJ$3:AK134,MATCH(COUNTA(J125:Q125),$AJ$3:$AJ$12,0),2)</f>
        <v>#N/A</v>
      </c>
      <c r="AC125" s="108">
        <f t="shared" si="14"/>
        <v>20.05</v>
      </c>
      <c r="AD125" s="310">
        <f t="shared" si="15"/>
        <v>1.8986203043474146</v>
      </c>
      <c r="AG125" s="138"/>
      <c r="AH125" s="147" t="s">
        <v>123</v>
      </c>
    </row>
    <row r="126" spans="1:34">
      <c r="A126" s="139" t="s">
        <v>174</v>
      </c>
      <c r="C126">
        <v>53.56</v>
      </c>
      <c r="D126">
        <v>25.51</v>
      </c>
      <c r="K126">
        <v>53.56</v>
      </c>
      <c r="L126">
        <v>25.51</v>
      </c>
      <c r="R126">
        <v>0.25800000000000001</v>
      </c>
      <c r="S126">
        <v>0.155</v>
      </c>
      <c r="T126" s="307">
        <v>11.7896</v>
      </c>
      <c r="U126" s="312">
        <v>0.5</v>
      </c>
      <c r="V126" s="87">
        <f t="shared" si="8"/>
        <v>0.375</v>
      </c>
      <c r="W126" s="203">
        <f t="shared" si="9"/>
        <v>0.4375</v>
      </c>
      <c r="X126" s="49">
        <f t="shared" si="10"/>
        <v>35.474895662071553</v>
      </c>
      <c r="Y126" s="49">
        <f t="shared" si="11"/>
        <v>35.474895662071553</v>
      </c>
      <c r="Z126" s="50">
        <f t="shared" si="12"/>
        <v>1</v>
      </c>
      <c r="AA126" s="105">
        <f t="shared" si="13"/>
        <v>1.0000000000000007</v>
      </c>
      <c r="AB126" s="311" t="e">
        <f>INDEX($AJ$3:AK135,MATCH(COUNTA(J126:Q126),$AJ$3:$AJ$12,0),2)</f>
        <v>#N/A</v>
      </c>
      <c r="AC126" s="108">
        <f t="shared" si="14"/>
        <v>39.535000000000004</v>
      </c>
      <c r="AD126" s="310">
        <f t="shared" si="15"/>
        <v>3.3533792495080412</v>
      </c>
      <c r="AH126" s="147" t="s">
        <v>123</v>
      </c>
    </row>
    <row r="127" spans="1:34">
      <c r="A127" s="139" t="s">
        <v>175</v>
      </c>
      <c r="C127">
        <v>44.92</v>
      </c>
      <c r="D127">
        <v>17.399999999999999</v>
      </c>
      <c r="K127">
        <v>44.92</v>
      </c>
      <c r="L127">
        <v>17.399999999999999</v>
      </c>
      <c r="R127">
        <v>0.93400000000000005</v>
      </c>
      <c r="S127">
        <v>0.155</v>
      </c>
      <c r="T127" s="307">
        <v>12.7499</v>
      </c>
      <c r="U127" s="312">
        <v>0.5</v>
      </c>
      <c r="V127" s="87">
        <f t="shared" si="8"/>
        <v>0.375</v>
      </c>
      <c r="W127" s="203">
        <f t="shared" si="9"/>
        <v>0.4375</v>
      </c>
      <c r="X127" s="49">
        <f t="shared" si="10"/>
        <v>44.159178433889608</v>
      </c>
      <c r="Y127" s="49">
        <f t="shared" si="11"/>
        <v>44.159178433889608</v>
      </c>
      <c r="Z127" s="50">
        <f t="shared" si="12"/>
        <v>1</v>
      </c>
      <c r="AA127" s="105">
        <f t="shared" si="13"/>
        <v>1</v>
      </c>
      <c r="AB127" s="311" t="e">
        <f>INDEX($AJ$3:AK136,MATCH(COUNTA(J127:Q127),$AJ$3:$AJ$12,0),2)</f>
        <v>#N/A</v>
      </c>
      <c r="AC127" s="108">
        <f t="shared" si="14"/>
        <v>31.16</v>
      </c>
      <c r="AD127" s="310">
        <f t="shared" si="15"/>
        <v>2.4439407367900925</v>
      </c>
      <c r="AH127" s="147" t="s">
        <v>123</v>
      </c>
    </row>
    <row r="128" spans="1:34">
      <c r="A128" s="139" t="s">
        <v>176</v>
      </c>
      <c r="R128">
        <v>0.64800000000000002</v>
      </c>
      <c r="S128">
        <v>0.41199999999999998</v>
      </c>
      <c r="T128" s="307">
        <v>8.2120499999999996</v>
      </c>
      <c r="V128" s="87" t="e">
        <f t="shared" si="8"/>
        <v>#DIV/0!</v>
      </c>
      <c r="W128" s="203" t="e">
        <f t="shared" si="9"/>
        <v>#DIV/0!</v>
      </c>
      <c r="X128" s="49" t="e">
        <f t="shared" si="10"/>
        <v>#DIV/0!</v>
      </c>
      <c r="Y128" s="49" t="e">
        <f t="shared" si="11"/>
        <v>#DIV/0!</v>
      </c>
      <c r="Z128" s="50" t="e">
        <f t="shared" si="12"/>
        <v>#NUM!</v>
      </c>
      <c r="AA128" s="105" t="e">
        <f t="shared" si="13"/>
        <v>#DIV/0!</v>
      </c>
      <c r="AB128" s="311" t="e">
        <f>INDEX($AJ$3:AK137,MATCH(COUNTA(J128:Q128),$AJ$3:$AJ$12,0),2)</f>
        <v>#N/A</v>
      </c>
      <c r="AC128" s="108" t="e">
        <f t="shared" si="14"/>
        <v>#DIV/0!</v>
      </c>
      <c r="AD128" s="310" t="str">
        <f t="shared" si="15"/>
        <v>n.d.</v>
      </c>
      <c r="AH128" s="147" t="s">
        <v>110</v>
      </c>
    </row>
    <row r="129" spans="1:34">
      <c r="A129" s="139" t="s">
        <v>177</v>
      </c>
      <c r="B129">
        <v>588.79</v>
      </c>
      <c r="G129">
        <v>731.29</v>
      </c>
      <c r="H129">
        <v>1161.82</v>
      </c>
      <c r="I129">
        <v>3085.58</v>
      </c>
      <c r="J129" s="306">
        <v>588.79</v>
      </c>
      <c r="O129">
        <v>731.29</v>
      </c>
      <c r="R129">
        <v>0.73</v>
      </c>
      <c r="S129">
        <v>0.41199999999999998</v>
      </c>
      <c r="T129" s="307">
        <v>11.8268</v>
      </c>
      <c r="U129" s="312">
        <v>0.45</v>
      </c>
      <c r="V129" s="87">
        <f t="shared" si="8"/>
        <v>0.625</v>
      </c>
      <c r="W129" s="203">
        <f t="shared" si="9"/>
        <v>0.53749999999999998</v>
      </c>
      <c r="X129" s="49">
        <f t="shared" si="10"/>
        <v>10.794800315132417</v>
      </c>
      <c r="Y129" s="49">
        <f t="shared" si="11"/>
        <v>71.871649931300666</v>
      </c>
      <c r="Z129" s="50">
        <f t="shared" si="12"/>
        <v>1</v>
      </c>
      <c r="AA129" s="105">
        <f t="shared" si="13"/>
        <v>1</v>
      </c>
      <c r="AB129" s="311" t="e">
        <f>INDEX($AJ$3:AK138,MATCH(COUNTA(J129:Q129),$AJ$3:$AJ$12,0),2)</f>
        <v>#N/A</v>
      </c>
      <c r="AC129" s="108">
        <f t="shared" si="14"/>
        <v>660.04</v>
      </c>
      <c r="AD129" s="310">
        <f t="shared" si="15"/>
        <v>55.808840937531706</v>
      </c>
      <c r="AH129" s="147" t="s">
        <v>110</v>
      </c>
    </row>
    <row r="130" spans="1:34">
      <c r="A130" s="139" t="s">
        <v>178</v>
      </c>
      <c r="B130">
        <v>398.02</v>
      </c>
      <c r="C130">
        <v>138.55000000000001</v>
      </c>
      <c r="D130">
        <v>13.26</v>
      </c>
      <c r="E130">
        <v>54.21</v>
      </c>
      <c r="F130">
        <v>221.84</v>
      </c>
      <c r="G130">
        <v>560.25</v>
      </c>
      <c r="H130">
        <v>795.34</v>
      </c>
      <c r="I130">
        <v>873.94</v>
      </c>
      <c r="J130" s="306">
        <v>398.02</v>
      </c>
      <c r="K130">
        <v>138.55000000000001</v>
      </c>
      <c r="L130">
        <v>13.26</v>
      </c>
      <c r="M130">
        <v>54.21</v>
      </c>
      <c r="N130">
        <v>221.84</v>
      </c>
      <c r="O130">
        <v>560.25</v>
      </c>
      <c r="R130">
        <v>0.83599999999999997</v>
      </c>
      <c r="S130">
        <v>0.41199999999999998</v>
      </c>
      <c r="T130" s="307">
        <v>6.7368800000000002</v>
      </c>
      <c r="U130" s="312">
        <v>0.48</v>
      </c>
      <c r="V130" s="87">
        <f t="shared" ref="V130:V193" si="16">(COUNT(J130:Q130)*(1/(COUNT(J130:Q130)+COUNTBLANK(J130:Q130)))+(IF(X130&lt;35,1,IF(X130&lt;70,0.5,IF(X130&gt;70,0)))))/2</f>
        <v>0.375</v>
      </c>
      <c r="W130" s="203">
        <f t="shared" ref="W130:W193" si="17">AVERAGE(U130:V130)</f>
        <v>0.42749999999999999</v>
      </c>
      <c r="X130" s="49">
        <f t="shared" ref="X130:X193" si="18">((_xlfn.STDEV.P(J130:Q130))/(AVERAGE(J130:Q130)))*100</f>
        <v>83.561300800154783</v>
      </c>
      <c r="Y130" s="49">
        <f t="shared" ref="Y130:Y193" si="19">((_xlfn.STDEV.P(B130:I130))/(AVERAGE(B130:I130)))*100</f>
        <v>81.400450140108958</v>
      </c>
      <c r="Z130" s="50">
        <f t="shared" ref="Z130:Z193" si="20">(ABS((LARGE(J130:Q130,2) -MAX(J130:Q130))))/(ABS(MIN(J130:Q130)-MAX(J130:Q130)))</f>
        <v>0.2965867748953363</v>
      </c>
      <c r="AA130" s="105">
        <f t="shared" ref="AA130:AA193" si="21">(ABS(MAX(J130:Q130)-AVERAGE(J130:Q130))/_xlfn.STDEV.P(J130:Q130))</f>
        <v>1.7054512070274883</v>
      </c>
      <c r="AB130" s="311">
        <f>INDEX($AJ$3:AK139,MATCH(COUNTA(J130:Q130),$AJ$3:$AJ$12,0),2)</f>
        <v>1.94</v>
      </c>
      <c r="AC130" s="108">
        <f t="shared" ref="AC130:AC193" si="22">AVERAGE(J130:Q130)</f>
        <v>231.02166666666668</v>
      </c>
      <c r="AD130" s="310">
        <f t="shared" ref="AD130:AD193" si="23">IF(AND(J130="",K130="",M130="",O130="",Q130=""),"n.d.", AC130/T130)</f>
        <v>34.292085752850973</v>
      </c>
      <c r="AH130" s="147" t="s">
        <v>110</v>
      </c>
    </row>
    <row r="131" spans="1:34">
      <c r="A131" s="139" t="s">
        <v>179</v>
      </c>
      <c r="B131">
        <v>267.62</v>
      </c>
      <c r="C131">
        <v>154.46</v>
      </c>
      <c r="F131">
        <v>1043.42</v>
      </c>
      <c r="G131">
        <v>116.85</v>
      </c>
      <c r="H131">
        <v>134.28</v>
      </c>
      <c r="I131">
        <v>107.48</v>
      </c>
      <c r="J131" s="306">
        <v>267.62</v>
      </c>
      <c r="K131">
        <v>154.46</v>
      </c>
      <c r="O131">
        <v>116.85</v>
      </c>
      <c r="P131">
        <v>134.28</v>
      </c>
      <c r="Q131" s="307">
        <v>107.48</v>
      </c>
      <c r="R131">
        <v>0.31900000000000001</v>
      </c>
      <c r="S131">
        <v>6.6000000000000003E-2</v>
      </c>
      <c r="T131" s="307">
        <v>9.8973499999999994</v>
      </c>
      <c r="U131" s="312">
        <v>0.53</v>
      </c>
      <c r="V131" s="87">
        <f t="shared" si="16"/>
        <v>0.5625</v>
      </c>
      <c r="W131" s="203">
        <f t="shared" si="17"/>
        <v>0.54625000000000001</v>
      </c>
      <c r="X131" s="49">
        <f t="shared" si="18"/>
        <v>37.146595871632115</v>
      </c>
      <c r="Y131" s="49">
        <f t="shared" si="19"/>
        <v>110.15207652326828</v>
      </c>
      <c r="Z131" s="50">
        <f t="shared" si="20"/>
        <v>0.70663169726489328</v>
      </c>
      <c r="AA131" s="105">
        <f t="shared" si="21"/>
        <v>1.9221050435551466</v>
      </c>
      <c r="AB131" s="311">
        <f>INDEX($AJ$3:AK140,MATCH(COUNTA(J131:Q131),$AJ$3:$AJ$12,0),2)</f>
        <v>1.75</v>
      </c>
      <c r="AC131" s="108">
        <f t="shared" si="22"/>
        <v>156.13800000000001</v>
      </c>
      <c r="AD131" s="310">
        <f t="shared" si="23"/>
        <v>15.775737950057341</v>
      </c>
      <c r="AH131" s="147" t="s">
        <v>110</v>
      </c>
    </row>
    <row r="132" spans="1:34">
      <c r="A132" s="139" t="s">
        <v>180</v>
      </c>
      <c r="B132">
        <v>130.25</v>
      </c>
      <c r="C132">
        <v>55.44</v>
      </c>
      <c r="G132">
        <v>29.13</v>
      </c>
      <c r="H132">
        <v>65.77</v>
      </c>
      <c r="J132" s="306">
        <v>130.25</v>
      </c>
      <c r="K132">
        <v>55.44</v>
      </c>
      <c r="O132">
        <v>29.13</v>
      </c>
      <c r="P132">
        <v>65.77</v>
      </c>
      <c r="R132">
        <v>0.98799999999999999</v>
      </c>
      <c r="S132">
        <v>6.6000000000000003E-2</v>
      </c>
      <c r="T132" s="307">
        <v>7.9930649999999996</v>
      </c>
      <c r="U132" s="312">
        <v>0.75</v>
      </c>
      <c r="V132" s="87">
        <f t="shared" si="16"/>
        <v>0.5</v>
      </c>
      <c r="W132" s="203">
        <f t="shared" si="17"/>
        <v>0.625</v>
      </c>
      <c r="X132" s="49">
        <f t="shared" si="18"/>
        <v>53.006480204266907</v>
      </c>
      <c r="Y132" s="49">
        <f t="shared" si="19"/>
        <v>53.006480204266907</v>
      </c>
      <c r="Z132" s="50">
        <f t="shared" si="20"/>
        <v>0.63765822784810122</v>
      </c>
      <c r="AA132" s="105">
        <f t="shared" si="21"/>
        <v>1.6164094199249348</v>
      </c>
      <c r="AB132" s="311">
        <f>INDEX($AJ$3:AK141,MATCH(COUNTA(J132:Q132),$AJ$3:$AJ$12,0),2)</f>
        <v>1.49</v>
      </c>
      <c r="AC132" s="108">
        <f t="shared" si="22"/>
        <v>70.147499999999994</v>
      </c>
      <c r="AD132" s="310">
        <f t="shared" si="23"/>
        <v>8.7760452342124076</v>
      </c>
      <c r="AH132" s="147" t="s">
        <v>110</v>
      </c>
    </row>
    <row r="133" spans="1:34">
      <c r="A133" s="139" t="s">
        <v>181</v>
      </c>
      <c r="B133">
        <v>193.62</v>
      </c>
      <c r="C133">
        <v>103.52</v>
      </c>
      <c r="G133">
        <v>52.92</v>
      </c>
      <c r="H133">
        <v>76.55</v>
      </c>
      <c r="J133" s="306">
        <v>193.62</v>
      </c>
      <c r="K133">
        <v>103.52</v>
      </c>
      <c r="O133">
        <v>52.92</v>
      </c>
      <c r="P133">
        <v>76.55</v>
      </c>
      <c r="R133">
        <v>0.86799999999999999</v>
      </c>
      <c r="S133">
        <v>6.6000000000000003E-2</v>
      </c>
      <c r="T133" s="307">
        <v>12.607849999999999</v>
      </c>
      <c r="U133" s="312">
        <v>0.62</v>
      </c>
      <c r="V133" s="87">
        <f t="shared" si="16"/>
        <v>0.5</v>
      </c>
      <c r="W133" s="203">
        <f t="shared" si="17"/>
        <v>0.56000000000000005</v>
      </c>
      <c r="X133" s="49">
        <f t="shared" si="18"/>
        <v>49.981853281676614</v>
      </c>
      <c r="Y133" s="49">
        <f t="shared" si="19"/>
        <v>49.981853281676614</v>
      </c>
      <c r="Z133" s="50">
        <f t="shared" si="20"/>
        <v>0.64036958066808825</v>
      </c>
      <c r="AA133" s="105">
        <f t="shared" si="21"/>
        <v>1.6314493322547856</v>
      </c>
      <c r="AB133" s="311">
        <f>INDEX($AJ$3:AK142,MATCH(COUNTA(J133:Q133),$AJ$3:$AJ$12,0),2)</f>
        <v>1.49</v>
      </c>
      <c r="AC133" s="108">
        <f t="shared" si="22"/>
        <v>106.6525</v>
      </c>
      <c r="AD133" s="310">
        <f t="shared" si="23"/>
        <v>8.4592139024496653</v>
      </c>
      <c r="AH133" s="147" t="s">
        <v>110</v>
      </c>
    </row>
    <row r="134" spans="1:34">
      <c r="A134" s="139" t="s">
        <v>182</v>
      </c>
      <c r="B134">
        <v>389.41</v>
      </c>
      <c r="H134">
        <v>354.06</v>
      </c>
      <c r="I134">
        <v>431.15</v>
      </c>
      <c r="J134" s="306">
        <v>389.41</v>
      </c>
      <c r="P134">
        <v>354.06</v>
      </c>
      <c r="Q134" s="307">
        <v>431.15</v>
      </c>
      <c r="R134">
        <v>0.75</v>
      </c>
      <c r="S134">
        <v>5.2999999999999999E-2</v>
      </c>
      <c r="T134" s="307">
        <v>13.6172</v>
      </c>
      <c r="U134" s="312">
        <v>0.55000000000000004</v>
      </c>
      <c r="V134" s="87">
        <f t="shared" si="16"/>
        <v>0.6875</v>
      </c>
      <c r="W134" s="203">
        <f t="shared" si="17"/>
        <v>0.61875000000000002</v>
      </c>
      <c r="X134" s="49">
        <f t="shared" si="18"/>
        <v>8.0471674510383764</v>
      </c>
      <c r="Y134" s="49">
        <f t="shared" si="19"/>
        <v>8.0471674510383764</v>
      </c>
      <c r="Z134" s="50">
        <f t="shared" si="20"/>
        <v>0.54144506421066241</v>
      </c>
      <c r="AA134" s="105">
        <f t="shared" si="21"/>
        <v>1.257145853887119</v>
      </c>
      <c r="AB134" s="311">
        <f>INDEX($AJ$3:AK143,MATCH(COUNTA(J134:Q134),$AJ$3:$AJ$12,0),2)</f>
        <v>1.1499999999999999</v>
      </c>
      <c r="AC134" s="108">
        <f t="shared" si="22"/>
        <v>391.53999999999996</v>
      </c>
      <c r="AD134" s="310">
        <f t="shared" si="23"/>
        <v>28.753341362394615</v>
      </c>
      <c r="AH134" s="147" t="s">
        <v>110</v>
      </c>
    </row>
    <row r="135" spans="1:34">
      <c r="A135" s="139" t="s">
        <v>183</v>
      </c>
      <c r="B135">
        <v>166.42</v>
      </c>
      <c r="C135">
        <v>79.14</v>
      </c>
      <c r="F135">
        <v>1015.28</v>
      </c>
      <c r="G135">
        <v>42.29</v>
      </c>
      <c r="H135">
        <v>109.56</v>
      </c>
      <c r="I135">
        <v>127.18</v>
      </c>
      <c r="J135" s="306">
        <v>166.42</v>
      </c>
      <c r="K135">
        <v>79.14</v>
      </c>
      <c r="O135">
        <v>42.29</v>
      </c>
      <c r="P135">
        <v>109.56</v>
      </c>
      <c r="Q135" s="307">
        <v>127.18</v>
      </c>
      <c r="R135">
        <v>0.89700000000000002</v>
      </c>
      <c r="S135">
        <v>5.2999999999999999E-2</v>
      </c>
      <c r="T135" s="307">
        <v>7.6774300000000002</v>
      </c>
      <c r="U135" s="312">
        <v>0.57999999999999996</v>
      </c>
      <c r="V135" s="87">
        <f t="shared" si="16"/>
        <v>0.5625</v>
      </c>
      <c r="W135" s="203">
        <f t="shared" si="17"/>
        <v>0.57125000000000004</v>
      </c>
      <c r="X135" s="49">
        <f t="shared" si="18"/>
        <v>40.181692757268024</v>
      </c>
      <c r="Y135" s="49">
        <f t="shared" si="19"/>
        <v>133.04277353258996</v>
      </c>
      <c r="Z135" s="50">
        <f t="shared" si="20"/>
        <v>0.31612019656811391</v>
      </c>
      <c r="AA135" s="105">
        <f t="shared" si="21"/>
        <v>1.4588512341324777</v>
      </c>
      <c r="AB135" s="311">
        <f>INDEX($AJ$3:AK144,MATCH(COUNTA(J135:Q135),$AJ$3:$AJ$12,0),2)</f>
        <v>1.75</v>
      </c>
      <c r="AC135" s="108">
        <f t="shared" si="22"/>
        <v>104.91800000000001</v>
      </c>
      <c r="AD135" s="310">
        <f t="shared" si="23"/>
        <v>13.665770967628491</v>
      </c>
      <c r="AH135" s="147" t="s">
        <v>110</v>
      </c>
    </row>
    <row r="136" spans="1:34">
      <c r="A136" s="139" t="s">
        <v>184</v>
      </c>
      <c r="B136">
        <v>299.56</v>
      </c>
      <c r="C136">
        <v>144.30000000000001</v>
      </c>
      <c r="F136">
        <v>1158.8900000000001</v>
      </c>
      <c r="G136">
        <v>174.75</v>
      </c>
      <c r="H136">
        <v>251.65</v>
      </c>
      <c r="I136">
        <v>216.9</v>
      </c>
      <c r="J136" s="306">
        <v>299.56</v>
      </c>
      <c r="K136">
        <v>144.30000000000001</v>
      </c>
      <c r="O136">
        <v>174.75</v>
      </c>
      <c r="P136">
        <v>251.65</v>
      </c>
      <c r="Q136" s="307">
        <v>216.9</v>
      </c>
      <c r="R136">
        <v>0.59099999999999997</v>
      </c>
      <c r="S136">
        <v>5.2999999999999999E-2</v>
      </c>
      <c r="T136" s="307">
        <v>12.9139</v>
      </c>
      <c r="U136" s="312">
        <v>0.52</v>
      </c>
      <c r="V136" s="87">
        <f t="shared" si="16"/>
        <v>0.8125</v>
      </c>
      <c r="W136" s="203">
        <f t="shared" si="17"/>
        <v>0.66625000000000001</v>
      </c>
      <c r="X136" s="49">
        <f t="shared" si="18"/>
        <v>25.262803645000371</v>
      </c>
      <c r="Y136" s="49">
        <f t="shared" si="19"/>
        <v>94.679738636020147</v>
      </c>
      <c r="Z136" s="50">
        <f t="shared" si="20"/>
        <v>0.30857915754218729</v>
      </c>
      <c r="AA136" s="105">
        <f t="shared" si="21"/>
        <v>1.4951550765351593</v>
      </c>
      <c r="AB136" s="311">
        <f>INDEX($AJ$3:AK145,MATCH(COUNTA(J136:Q136),$AJ$3:$AJ$12,0),2)</f>
        <v>1.75</v>
      </c>
      <c r="AC136" s="108">
        <f t="shared" si="22"/>
        <v>217.43200000000002</v>
      </c>
      <c r="AD136" s="310">
        <f t="shared" si="23"/>
        <v>16.837051549106004</v>
      </c>
      <c r="AH136" s="147" t="s">
        <v>110</v>
      </c>
    </row>
    <row r="137" spans="1:34">
      <c r="A137" s="139" t="s">
        <v>185</v>
      </c>
      <c r="B137">
        <v>27.84</v>
      </c>
      <c r="E137">
        <v>9.4700000000000006</v>
      </c>
      <c r="H137">
        <v>21.93</v>
      </c>
      <c r="I137">
        <v>31.79</v>
      </c>
      <c r="J137" s="306">
        <v>27.84</v>
      </c>
      <c r="M137">
        <v>9.4700000000000006</v>
      </c>
      <c r="P137">
        <v>21.93</v>
      </c>
      <c r="Q137" s="307">
        <v>31.79</v>
      </c>
      <c r="T137" s="307"/>
      <c r="U137" s="312">
        <v>0.75</v>
      </c>
      <c r="V137" s="87">
        <f t="shared" si="16"/>
        <v>0.5</v>
      </c>
      <c r="W137" s="203">
        <f t="shared" si="17"/>
        <v>0.625</v>
      </c>
      <c r="X137" s="49">
        <f t="shared" si="18"/>
        <v>37.068830560835892</v>
      </c>
      <c r="Y137" s="49">
        <f t="shared" si="19"/>
        <v>37.068830560835892</v>
      </c>
      <c r="Z137" s="50">
        <f t="shared" si="20"/>
        <v>0.17697132616487452</v>
      </c>
      <c r="AA137" s="105">
        <f t="shared" si="21"/>
        <v>1.0707165944411987</v>
      </c>
      <c r="AB137" s="311">
        <f>INDEX($AJ$3:AK146,MATCH(COUNTA(J137:Q137),$AJ$3:$AJ$12,0),2)</f>
        <v>1.49</v>
      </c>
      <c r="AC137" s="108">
        <f t="shared" si="22"/>
        <v>22.7575</v>
      </c>
      <c r="AD137" s="310" t="e">
        <f t="shared" si="23"/>
        <v>#DIV/0!</v>
      </c>
      <c r="AH137" s="147" t="s">
        <v>186</v>
      </c>
    </row>
    <row r="138" spans="1:34">
      <c r="A138" s="139" t="s">
        <v>187</v>
      </c>
      <c r="H138">
        <v>20.71</v>
      </c>
      <c r="I138">
        <v>73.400000000000006</v>
      </c>
      <c r="P138">
        <v>20.71</v>
      </c>
      <c r="Q138" s="307">
        <v>73.400000000000006</v>
      </c>
      <c r="T138" s="307"/>
      <c r="U138" s="312">
        <v>0.42</v>
      </c>
      <c r="V138" s="87">
        <f t="shared" si="16"/>
        <v>0.375</v>
      </c>
      <c r="W138" s="203">
        <f t="shared" si="17"/>
        <v>0.39749999999999996</v>
      </c>
      <c r="X138" s="49">
        <f t="shared" si="18"/>
        <v>55.987673998512356</v>
      </c>
      <c r="Y138" s="49">
        <f t="shared" si="19"/>
        <v>55.987673998512356</v>
      </c>
      <c r="Z138" s="50">
        <f t="shared" si="20"/>
        <v>1</v>
      </c>
      <c r="AA138" s="105">
        <f t="shared" si="21"/>
        <v>1.0000000000000002</v>
      </c>
      <c r="AB138" s="311" t="e">
        <f>INDEX($AJ$3:AK147,MATCH(COUNTA(J138:Q138),$AJ$3:$AJ$12,0),2)</f>
        <v>#N/A</v>
      </c>
      <c r="AC138" s="108">
        <f t="shared" si="22"/>
        <v>47.055000000000007</v>
      </c>
      <c r="AD138" s="310" t="e">
        <f t="shared" si="23"/>
        <v>#DIV/0!</v>
      </c>
      <c r="AH138" s="147" t="s">
        <v>186</v>
      </c>
    </row>
    <row r="139" spans="1:34">
      <c r="A139" s="139" t="s">
        <v>188</v>
      </c>
      <c r="H139">
        <v>26.01</v>
      </c>
      <c r="I139">
        <v>56.22</v>
      </c>
      <c r="P139">
        <v>26.01</v>
      </c>
      <c r="Q139" s="307">
        <v>56.22</v>
      </c>
      <c r="T139" s="307"/>
      <c r="U139" s="312">
        <v>0.42</v>
      </c>
      <c r="V139" s="87">
        <f t="shared" si="16"/>
        <v>0.375</v>
      </c>
      <c r="W139" s="203">
        <f t="shared" si="17"/>
        <v>0.39749999999999996</v>
      </c>
      <c r="X139" s="49">
        <f t="shared" si="18"/>
        <v>36.738416636264127</v>
      </c>
      <c r="Y139" s="49">
        <f t="shared" si="19"/>
        <v>36.738416636264127</v>
      </c>
      <c r="Z139" s="50">
        <f t="shared" si="20"/>
        <v>1</v>
      </c>
      <c r="AA139" s="105">
        <f t="shared" si="21"/>
        <v>1</v>
      </c>
      <c r="AB139" s="311" t="e">
        <f>INDEX($AJ$3:AK148,MATCH(COUNTA(J139:Q139),$AJ$3:$AJ$12,0),2)</f>
        <v>#N/A</v>
      </c>
      <c r="AC139" s="108">
        <f t="shared" si="22"/>
        <v>41.115000000000002</v>
      </c>
      <c r="AD139" s="310" t="e">
        <f t="shared" si="23"/>
        <v>#DIV/0!</v>
      </c>
      <c r="AH139" s="147" t="s">
        <v>186</v>
      </c>
    </row>
    <row r="140" spans="1:34">
      <c r="A140" s="139" t="s">
        <v>189</v>
      </c>
      <c r="T140" s="307"/>
      <c r="V140" s="87" t="e">
        <f t="shared" si="16"/>
        <v>#DIV/0!</v>
      </c>
      <c r="W140" s="203" t="e">
        <f t="shared" si="17"/>
        <v>#DIV/0!</v>
      </c>
      <c r="X140" s="49" t="e">
        <f t="shared" si="18"/>
        <v>#DIV/0!</v>
      </c>
      <c r="Y140" s="49" t="e">
        <f t="shared" si="19"/>
        <v>#DIV/0!</v>
      </c>
      <c r="Z140" s="50" t="e">
        <f t="shared" si="20"/>
        <v>#NUM!</v>
      </c>
      <c r="AA140" s="105" t="e">
        <f t="shared" si="21"/>
        <v>#DIV/0!</v>
      </c>
      <c r="AB140" s="311" t="e">
        <f>INDEX($AJ$3:AK149,MATCH(COUNTA(J140:Q140),$AJ$3:$AJ$12,0),2)</f>
        <v>#N/A</v>
      </c>
      <c r="AC140" s="108" t="e">
        <f t="shared" si="22"/>
        <v>#DIV/0!</v>
      </c>
      <c r="AD140" s="310" t="str">
        <f t="shared" si="23"/>
        <v>n.d.</v>
      </c>
      <c r="AH140" s="147" t="s">
        <v>186</v>
      </c>
    </row>
    <row r="141" spans="1:34">
      <c r="A141" s="139" t="s">
        <v>190</v>
      </c>
      <c r="T141" s="307">
        <v>0.61838899999999997</v>
      </c>
      <c r="U141" s="312">
        <v>0.42</v>
      </c>
      <c r="V141" s="87" t="e">
        <f t="shared" si="16"/>
        <v>#DIV/0!</v>
      </c>
      <c r="W141" s="203" t="e">
        <f t="shared" si="17"/>
        <v>#DIV/0!</v>
      </c>
      <c r="X141" s="49" t="e">
        <f t="shared" si="18"/>
        <v>#DIV/0!</v>
      </c>
      <c r="Y141" s="49" t="e">
        <f t="shared" si="19"/>
        <v>#DIV/0!</v>
      </c>
      <c r="Z141" s="50" t="e">
        <f t="shared" si="20"/>
        <v>#NUM!</v>
      </c>
      <c r="AA141" s="105" t="e">
        <f t="shared" si="21"/>
        <v>#DIV/0!</v>
      </c>
      <c r="AB141" s="311" t="e">
        <f>INDEX($AJ$3:AK150,MATCH(COUNTA(J141:Q141),$AJ$3:$AJ$12,0),2)</f>
        <v>#N/A</v>
      </c>
      <c r="AC141" s="108" t="e">
        <f t="shared" si="22"/>
        <v>#DIV/0!</v>
      </c>
      <c r="AD141" s="310" t="str">
        <f t="shared" si="23"/>
        <v>n.d.</v>
      </c>
      <c r="AH141" s="147" t="s">
        <v>191</v>
      </c>
    </row>
    <row r="142" spans="1:34">
      <c r="A142" s="245" t="s">
        <v>192</v>
      </c>
      <c r="T142" s="307">
        <v>0.122319</v>
      </c>
      <c r="V142" s="87" t="e">
        <f t="shared" si="16"/>
        <v>#DIV/0!</v>
      </c>
      <c r="W142" s="203" t="e">
        <f t="shared" si="17"/>
        <v>#DIV/0!</v>
      </c>
      <c r="X142" s="49" t="e">
        <f t="shared" si="18"/>
        <v>#DIV/0!</v>
      </c>
      <c r="Y142" s="49" t="e">
        <f t="shared" si="19"/>
        <v>#DIV/0!</v>
      </c>
      <c r="Z142" s="50" t="e">
        <f t="shared" si="20"/>
        <v>#NUM!</v>
      </c>
      <c r="AA142" s="105" t="e">
        <f t="shared" si="21"/>
        <v>#DIV/0!</v>
      </c>
      <c r="AB142" s="311" t="e">
        <f>INDEX($AJ$3:AK151,MATCH(COUNTA(J142:Q142),$AJ$3:$AJ$12,0),2)</f>
        <v>#N/A</v>
      </c>
      <c r="AC142" s="108" t="e">
        <f t="shared" si="22"/>
        <v>#DIV/0!</v>
      </c>
      <c r="AD142" s="310" t="str">
        <f t="shared" si="23"/>
        <v>n.d.</v>
      </c>
      <c r="AH142" s="147" t="s">
        <v>191</v>
      </c>
    </row>
    <row r="143" spans="1:34" s="51" customFormat="1">
      <c r="A143" s="140" t="s">
        <v>193</v>
      </c>
      <c r="B143" s="51">
        <v>99.58</v>
      </c>
      <c r="C143" s="51">
        <v>57.7</v>
      </c>
      <c r="F143" s="51">
        <v>176.48</v>
      </c>
      <c r="J143" s="63">
        <v>99.58</v>
      </c>
      <c r="K143" s="51">
        <v>57.7</v>
      </c>
      <c r="N143" s="51">
        <v>176.48</v>
      </c>
      <c r="Q143" s="78"/>
      <c r="R143" s="51">
        <v>1.093</v>
      </c>
      <c r="S143" s="51">
        <v>0.10100000000000001</v>
      </c>
      <c r="T143" s="78">
        <v>5.5792199999999994</v>
      </c>
      <c r="U143" s="51">
        <v>0.75</v>
      </c>
      <c r="V143" s="89">
        <f t="shared" si="16"/>
        <v>0.4375</v>
      </c>
      <c r="W143" s="68">
        <f t="shared" si="17"/>
        <v>0.59375</v>
      </c>
      <c r="X143" s="69">
        <f t="shared" si="18"/>
        <v>44.213723261643437</v>
      </c>
      <c r="Y143" s="69">
        <f t="shared" si="19"/>
        <v>44.213723261643437</v>
      </c>
      <c r="Z143" s="70">
        <f t="shared" si="20"/>
        <v>0.64741538979626201</v>
      </c>
      <c r="AA143" s="104">
        <f t="shared" si="21"/>
        <v>1.326035235502139</v>
      </c>
      <c r="AB143" s="71">
        <f>INDEX($AJ$3:AK152,MATCH(COUNTA(J143:Q143),$AJ$3:$AJ$12,0),2)</f>
        <v>1.1499999999999999</v>
      </c>
      <c r="AC143" s="107">
        <f t="shared" si="22"/>
        <v>111.25333333333333</v>
      </c>
      <c r="AD143" s="90">
        <f t="shared" si="23"/>
        <v>19.940660761420656</v>
      </c>
      <c r="AG143" s="78"/>
      <c r="AH143" s="148" t="s">
        <v>42</v>
      </c>
    </row>
    <row r="144" spans="1:34">
      <c r="A144" s="140" t="s">
        <v>194</v>
      </c>
      <c r="B144">
        <v>254.56</v>
      </c>
      <c r="C144">
        <v>58.75</v>
      </c>
      <c r="D144">
        <v>18.03</v>
      </c>
      <c r="F144">
        <v>463.45</v>
      </c>
      <c r="J144" s="306">
        <v>254.56</v>
      </c>
      <c r="K144">
        <v>58.75</v>
      </c>
      <c r="L144">
        <v>18.03</v>
      </c>
      <c r="N144">
        <v>463.45</v>
      </c>
      <c r="R144">
        <v>0.40500000000000003</v>
      </c>
      <c r="S144">
        <v>0.10100000000000001</v>
      </c>
      <c r="T144" s="307">
        <v>9.1932700000000001</v>
      </c>
      <c r="U144">
        <v>0.75</v>
      </c>
      <c r="V144" s="87">
        <f t="shared" si="16"/>
        <v>0.25</v>
      </c>
      <c r="W144" s="203">
        <f t="shared" si="17"/>
        <v>0.5</v>
      </c>
      <c r="X144" s="49">
        <f t="shared" si="18"/>
        <v>89.124392429664752</v>
      </c>
      <c r="Y144" s="49">
        <f t="shared" si="19"/>
        <v>89.124392429664752</v>
      </c>
      <c r="Z144" s="50">
        <f t="shared" si="20"/>
        <v>0.46897310403663961</v>
      </c>
      <c r="AA144" s="105">
        <f t="shared" si="21"/>
        <v>1.495034052157092</v>
      </c>
      <c r="AB144" s="311">
        <f>INDEX($AJ$3:AK153,MATCH(COUNTA(J144:Q144),$AJ$3:$AJ$12,0),2)</f>
        <v>1.49</v>
      </c>
      <c r="AC144" s="108">
        <f t="shared" si="22"/>
        <v>198.69749999999999</v>
      </c>
      <c r="AD144" s="310">
        <f t="shared" si="23"/>
        <v>21.613364994175086</v>
      </c>
      <c r="AH144" s="147" t="s">
        <v>42</v>
      </c>
    </row>
    <row r="145" spans="1:34">
      <c r="A145" s="140" t="s">
        <v>195</v>
      </c>
      <c r="B145">
        <v>387.52</v>
      </c>
      <c r="C145">
        <v>111.43</v>
      </c>
      <c r="D145">
        <v>25.5</v>
      </c>
      <c r="F145">
        <v>432.22</v>
      </c>
      <c r="H145">
        <v>96.15</v>
      </c>
      <c r="J145" s="306">
        <v>387.52</v>
      </c>
      <c r="K145">
        <v>111.43</v>
      </c>
      <c r="L145">
        <v>25.5</v>
      </c>
      <c r="N145">
        <v>432.22</v>
      </c>
      <c r="P145">
        <v>96.15</v>
      </c>
      <c r="R145">
        <v>0.74</v>
      </c>
      <c r="S145">
        <v>0.10100000000000001</v>
      </c>
      <c r="T145" s="307">
        <v>9.9659200000000006</v>
      </c>
      <c r="U145">
        <v>0.65</v>
      </c>
      <c r="V145" s="87">
        <f t="shared" si="16"/>
        <v>0.3125</v>
      </c>
      <c r="W145" s="203">
        <f t="shared" si="17"/>
        <v>0.48125000000000001</v>
      </c>
      <c r="X145" s="49">
        <f t="shared" si="18"/>
        <v>78.78769716004102</v>
      </c>
      <c r="Y145" s="49">
        <f t="shared" si="19"/>
        <v>78.78769716004102</v>
      </c>
      <c r="Z145" s="50">
        <f t="shared" si="20"/>
        <v>0.1099036191974824</v>
      </c>
      <c r="AA145" s="105">
        <f t="shared" si="21"/>
        <v>1.3360938428959837</v>
      </c>
      <c r="AB145" s="311">
        <f>INDEX($AJ$3:AK154,MATCH(COUNTA(J145:Q145),$AJ$3:$AJ$12,0),2)</f>
        <v>1.75</v>
      </c>
      <c r="AC145" s="108">
        <f t="shared" si="22"/>
        <v>210.56400000000002</v>
      </c>
      <c r="AD145" s="310">
        <f t="shared" si="23"/>
        <v>21.128405606306291</v>
      </c>
      <c r="AH145" s="147" t="s">
        <v>42</v>
      </c>
    </row>
    <row r="146" spans="1:34">
      <c r="A146" s="140" t="s">
        <v>196</v>
      </c>
      <c r="B146">
        <v>184.86</v>
      </c>
      <c r="C146">
        <v>65.38</v>
      </c>
      <c r="E146">
        <v>10.17</v>
      </c>
      <c r="F146">
        <v>52.27</v>
      </c>
      <c r="I146">
        <v>39.479999999999997</v>
      </c>
      <c r="K146">
        <v>65.38</v>
      </c>
      <c r="M146">
        <v>10.17</v>
      </c>
      <c r="N146">
        <v>52.27</v>
      </c>
      <c r="Q146" s="307">
        <v>39.479999999999997</v>
      </c>
      <c r="R146">
        <v>0.41599999999999998</v>
      </c>
      <c r="S146">
        <v>0.19</v>
      </c>
      <c r="T146" s="307">
        <v>7.4657300000000006</v>
      </c>
      <c r="U146">
        <v>0.89</v>
      </c>
      <c r="V146" s="87">
        <f t="shared" si="16"/>
        <v>0.5</v>
      </c>
      <c r="W146" s="203">
        <f t="shared" si="17"/>
        <v>0.69500000000000006</v>
      </c>
      <c r="X146" s="49">
        <f t="shared" si="18"/>
        <v>48.874674766677238</v>
      </c>
      <c r="Y146" s="49">
        <f t="shared" si="19"/>
        <v>85.280039184928029</v>
      </c>
      <c r="Z146" s="50">
        <f t="shared" si="20"/>
        <v>0.23745698243071897</v>
      </c>
      <c r="AA146" s="105">
        <f t="shared" si="21"/>
        <v>1.1522939416099558</v>
      </c>
      <c r="AB146" s="311">
        <f>INDEX($AJ$3:AK155,MATCH(COUNTA(J146:Q146),$AJ$3:$AJ$12,0),2)</f>
        <v>1.49</v>
      </c>
      <c r="AC146" s="108">
        <f t="shared" si="22"/>
        <v>41.824999999999996</v>
      </c>
      <c r="AD146" s="310">
        <f t="shared" si="23"/>
        <v>5.6022652841718079</v>
      </c>
      <c r="AH146" s="147" t="s">
        <v>146</v>
      </c>
    </row>
    <row r="147" spans="1:34">
      <c r="A147" s="140" t="s">
        <v>197</v>
      </c>
      <c r="B147">
        <v>147.11000000000001</v>
      </c>
      <c r="C147">
        <v>60.17</v>
      </c>
      <c r="D147">
        <v>8.9700000000000006</v>
      </c>
      <c r="E147">
        <v>15.66</v>
      </c>
      <c r="F147">
        <v>33.130000000000003</v>
      </c>
      <c r="H147">
        <v>25.12</v>
      </c>
      <c r="I147">
        <v>38.229999999999997</v>
      </c>
      <c r="K147">
        <v>60.17</v>
      </c>
      <c r="L147">
        <v>8.9700000000000006</v>
      </c>
      <c r="M147">
        <v>15.66</v>
      </c>
      <c r="N147">
        <v>33.130000000000003</v>
      </c>
      <c r="P147">
        <v>25.12</v>
      </c>
      <c r="Q147" s="307">
        <v>38.229999999999997</v>
      </c>
      <c r="R147">
        <v>1.0229999999999999</v>
      </c>
      <c r="S147">
        <v>0.19</v>
      </c>
      <c r="T147" s="307">
        <v>6.9106949999999996</v>
      </c>
      <c r="U147">
        <v>0.95</v>
      </c>
      <c r="V147" s="87">
        <f t="shared" si="16"/>
        <v>0.625</v>
      </c>
      <c r="W147" s="203">
        <f t="shared" si="17"/>
        <v>0.78749999999999998</v>
      </c>
      <c r="X147" s="49">
        <f t="shared" si="18"/>
        <v>55.039521360685242</v>
      </c>
      <c r="Y147" s="49">
        <f t="shared" si="19"/>
        <v>93.165645023057024</v>
      </c>
      <c r="Z147" s="50">
        <f t="shared" si="20"/>
        <v>0.42851562500000007</v>
      </c>
      <c r="AA147" s="105">
        <f t="shared" si="21"/>
        <v>1.8014416365858232</v>
      </c>
      <c r="AB147" s="311">
        <f>INDEX($AJ$3:AK156,MATCH(COUNTA(J147:Q147),$AJ$3:$AJ$12,0),2)</f>
        <v>1.94</v>
      </c>
      <c r="AC147" s="108">
        <f t="shared" si="22"/>
        <v>30.213333333333335</v>
      </c>
      <c r="AD147" s="310">
        <f t="shared" si="23"/>
        <v>4.3719674118642677</v>
      </c>
      <c r="AH147" s="147" t="s">
        <v>146</v>
      </c>
    </row>
    <row r="148" spans="1:34">
      <c r="A148" s="140" t="s">
        <v>198</v>
      </c>
      <c r="B148">
        <v>93.81</v>
      </c>
      <c r="C148">
        <v>41.85</v>
      </c>
      <c r="F148">
        <v>17.940000000000001</v>
      </c>
      <c r="H148">
        <v>18.239999999999998</v>
      </c>
      <c r="K148">
        <v>41.85</v>
      </c>
      <c r="N148">
        <v>17.940000000000001</v>
      </c>
      <c r="P148">
        <v>18.239999999999998</v>
      </c>
      <c r="R148">
        <v>0.80500000000000005</v>
      </c>
      <c r="S148">
        <v>0.19</v>
      </c>
      <c r="T148" s="307">
        <v>6.5458299999999996</v>
      </c>
      <c r="U148">
        <v>0.68</v>
      </c>
      <c r="V148" s="87">
        <f t="shared" si="16"/>
        <v>0.4375</v>
      </c>
      <c r="W148" s="203">
        <f t="shared" si="17"/>
        <v>0.55875000000000008</v>
      </c>
      <c r="X148" s="49">
        <f t="shared" si="18"/>
        <v>43.06513265157502</v>
      </c>
      <c r="Y148" s="49">
        <f t="shared" si="19"/>
        <v>71.972496965399742</v>
      </c>
      <c r="Z148" s="50">
        <f t="shared" si="20"/>
        <v>0.98745294855708921</v>
      </c>
      <c r="AA148" s="105">
        <f t="shared" si="21"/>
        <v>1.4141290234017536</v>
      </c>
      <c r="AB148" s="311">
        <f>INDEX($AJ$3:AK157,MATCH(COUNTA(J148:Q148),$AJ$3:$AJ$12,0),2)</f>
        <v>1.1499999999999999</v>
      </c>
      <c r="AC148" s="108">
        <f t="shared" si="22"/>
        <v>26.01</v>
      </c>
      <c r="AD148" s="310">
        <f t="shared" si="23"/>
        <v>3.9735220743587907</v>
      </c>
      <c r="AH148" s="147" t="s">
        <v>146</v>
      </c>
    </row>
    <row r="149" spans="1:34">
      <c r="A149" s="140" t="s">
        <v>199</v>
      </c>
      <c r="B149">
        <v>253.69</v>
      </c>
      <c r="C149">
        <v>121.1</v>
      </c>
      <c r="D149">
        <v>39.619999999999997</v>
      </c>
      <c r="E149">
        <v>19.829999999999998</v>
      </c>
      <c r="F149">
        <v>307.20999999999998</v>
      </c>
      <c r="J149" s="306">
        <v>253.69</v>
      </c>
      <c r="K149">
        <v>121.1</v>
      </c>
      <c r="L149">
        <v>39.619999999999997</v>
      </c>
      <c r="M149">
        <v>19.829999999999998</v>
      </c>
      <c r="N149">
        <v>307.20999999999998</v>
      </c>
      <c r="R149">
        <v>0.79200000000000004</v>
      </c>
      <c r="S149">
        <v>8.5999999999999993E-2</v>
      </c>
      <c r="T149" s="307">
        <v>11.9077</v>
      </c>
      <c r="U149">
        <v>0.65</v>
      </c>
      <c r="V149" s="87">
        <f t="shared" si="16"/>
        <v>0.3125</v>
      </c>
      <c r="W149" s="203">
        <f t="shared" si="17"/>
        <v>0.48125000000000001</v>
      </c>
      <c r="X149" s="49">
        <f t="shared" si="18"/>
        <v>77.133377149332887</v>
      </c>
      <c r="Y149" s="49">
        <f t="shared" si="19"/>
        <v>77.133377149332887</v>
      </c>
      <c r="Z149" s="50">
        <f t="shared" si="20"/>
        <v>0.18623425429744583</v>
      </c>
      <c r="AA149" s="105">
        <f t="shared" si="21"/>
        <v>1.3893905625662499</v>
      </c>
      <c r="AB149" s="311">
        <f>INDEX($AJ$3:AK158,MATCH(COUNTA(J149:Q149),$AJ$3:$AJ$12,0),2)</f>
        <v>1.75</v>
      </c>
      <c r="AC149" s="108">
        <f t="shared" si="22"/>
        <v>148.29</v>
      </c>
      <c r="AD149" s="310">
        <f t="shared" si="23"/>
        <v>12.45328652888467</v>
      </c>
      <c r="AH149" s="147" t="s">
        <v>146</v>
      </c>
    </row>
    <row r="150" spans="1:34">
      <c r="A150" s="140" t="s">
        <v>200</v>
      </c>
      <c r="B150">
        <v>248.52</v>
      </c>
      <c r="C150">
        <v>139.51</v>
      </c>
      <c r="D150">
        <v>22.39</v>
      </c>
      <c r="E150">
        <v>19.149999999999999</v>
      </c>
      <c r="F150">
        <v>370.53</v>
      </c>
      <c r="G150">
        <v>16.309999999999999</v>
      </c>
      <c r="J150" s="306">
        <v>248.52</v>
      </c>
      <c r="K150">
        <v>139.51</v>
      </c>
      <c r="L150">
        <v>22.39</v>
      </c>
      <c r="M150">
        <v>19.149999999999999</v>
      </c>
      <c r="N150">
        <v>370.53</v>
      </c>
      <c r="O150">
        <v>16.309999999999999</v>
      </c>
      <c r="R150">
        <v>0.34799999999999998</v>
      </c>
      <c r="S150">
        <v>8.5999999999999993E-2</v>
      </c>
      <c r="T150" s="307">
        <v>8.1406600000000005</v>
      </c>
      <c r="U150">
        <v>0.67</v>
      </c>
      <c r="V150" s="87">
        <f t="shared" si="16"/>
        <v>0.375</v>
      </c>
      <c r="W150" s="203">
        <f t="shared" si="17"/>
        <v>0.52249999999999996</v>
      </c>
      <c r="X150" s="49">
        <f t="shared" si="18"/>
        <v>98.857735029507609</v>
      </c>
      <c r="Y150" s="49">
        <f t="shared" si="19"/>
        <v>98.857735029507609</v>
      </c>
      <c r="Z150" s="50">
        <f t="shared" si="20"/>
        <v>0.34444695387047591</v>
      </c>
      <c r="AA150" s="105">
        <f t="shared" si="21"/>
        <v>1.7430270486838071</v>
      </c>
      <c r="AB150" s="311">
        <f>INDEX($AJ$3:AK159,MATCH(COUNTA(J150:Q150),$AJ$3:$AJ$12,0),2)</f>
        <v>1.94</v>
      </c>
      <c r="AC150" s="108">
        <f t="shared" si="22"/>
        <v>136.0683333333333</v>
      </c>
      <c r="AD150" s="310">
        <f t="shared" si="23"/>
        <v>16.714656223614952</v>
      </c>
      <c r="AH150" s="147" t="s">
        <v>146</v>
      </c>
    </row>
    <row r="151" spans="1:34">
      <c r="A151" s="140" t="s">
        <v>201</v>
      </c>
      <c r="B151">
        <v>251.66</v>
      </c>
      <c r="C151">
        <v>133.58000000000001</v>
      </c>
      <c r="D151">
        <v>27.82</v>
      </c>
      <c r="E151">
        <v>22.74</v>
      </c>
      <c r="F151">
        <v>354.45</v>
      </c>
      <c r="H151">
        <v>58.32</v>
      </c>
      <c r="J151" s="306">
        <v>251.66</v>
      </c>
      <c r="K151">
        <v>133.58000000000001</v>
      </c>
      <c r="L151">
        <v>27.82</v>
      </c>
      <c r="M151">
        <v>22.74</v>
      </c>
      <c r="N151">
        <v>354.45</v>
      </c>
      <c r="P151">
        <v>58.32</v>
      </c>
      <c r="R151">
        <v>1.0620000000000001</v>
      </c>
      <c r="S151">
        <v>8.5999999999999993E-2</v>
      </c>
      <c r="T151" s="307">
        <v>9.8009899999999988</v>
      </c>
      <c r="U151">
        <v>0.72</v>
      </c>
      <c r="V151" s="87">
        <f t="shared" si="16"/>
        <v>0.375</v>
      </c>
      <c r="W151" s="203">
        <f t="shared" si="17"/>
        <v>0.54749999999999999</v>
      </c>
      <c r="X151" s="49">
        <f t="shared" si="18"/>
        <v>87.312937748180232</v>
      </c>
      <c r="Y151" s="49">
        <f t="shared" si="19"/>
        <v>87.312937748180232</v>
      </c>
      <c r="Z151" s="50">
        <f t="shared" si="20"/>
        <v>0.3098791112718941</v>
      </c>
      <c r="AA151" s="105">
        <f t="shared" si="21"/>
        <v>1.7250780689290708</v>
      </c>
      <c r="AB151" s="311">
        <f>INDEX($AJ$3:AK160,MATCH(COUNTA(J151:Q151),$AJ$3:$AJ$12,0),2)</f>
        <v>1.94</v>
      </c>
      <c r="AC151" s="108">
        <f t="shared" si="22"/>
        <v>141.42833333333334</v>
      </c>
      <c r="AD151" s="310">
        <f t="shared" si="23"/>
        <v>14.430004860053256</v>
      </c>
      <c r="AH151" s="147" t="s">
        <v>146</v>
      </c>
    </row>
    <row r="152" spans="1:34">
      <c r="A152" s="140" t="s">
        <v>202</v>
      </c>
      <c r="B152">
        <v>200.1</v>
      </c>
      <c r="C152">
        <v>91.24</v>
      </c>
      <c r="D152">
        <v>26.31</v>
      </c>
      <c r="E152">
        <v>12.32</v>
      </c>
      <c r="F152">
        <v>215.46</v>
      </c>
      <c r="K152">
        <v>91.24</v>
      </c>
      <c r="L152">
        <v>26.31</v>
      </c>
      <c r="M152">
        <v>12.32</v>
      </c>
      <c r="R152">
        <v>0.191</v>
      </c>
      <c r="S152">
        <v>0.17599999999999999</v>
      </c>
      <c r="T152" s="307">
        <v>8.4228899999999989</v>
      </c>
      <c r="U152">
        <v>0.63</v>
      </c>
      <c r="V152" s="87">
        <f t="shared" si="16"/>
        <v>0.1875</v>
      </c>
      <c r="W152" s="203">
        <f t="shared" si="17"/>
        <v>0.40875</v>
      </c>
      <c r="X152" s="49">
        <f t="shared" si="18"/>
        <v>79.425836589744065</v>
      </c>
      <c r="Y152" s="49">
        <f t="shared" si="19"/>
        <v>77.92877964528185</v>
      </c>
      <c r="Z152" s="50">
        <f t="shared" si="20"/>
        <v>0.82273188038520029</v>
      </c>
      <c r="AA152" s="105">
        <f t="shared" si="21"/>
        <v>1.3945664977599159</v>
      </c>
      <c r="AB152" s="311">
        <f>INDEX($AJ$3:AK161,MATCH(COUNTA(J152:Q152),$AJ$3:$AJ$12,0),2)</f>
        <v>1.1499999999999999</v>
      </c>
      <c r="AC152" s="108">
        <f t="shared" si="22"/>
        <v>43.29</v>
      </c>
      <c r="AD152" s="310">
        <f t="shared" si="23"/>
        <v>5.1395661109191746</v>
      </c>
      <c r="AH152" s="147" t="s">
        <v>203</v>
      </c>
    </row>
    <row r="153" spans="1:34">
      <c r="A153" s="140" t="s">
        <v>204</v>
      </c>
      <c r="C153">
        <v>22.99</v>
      </c>
      <c r="K153">
        <v>22.99</v>
      </c>
      <c r="R153">
        <v>0.95699999999999996</v>
      </c>
      <c r="S153">
        <v>0.17599999999999999</v>
      </c>
      <c r="T153" s="307">
        <v>5.5259049999999998</v>
      </c>
      <c r="U153">
        <v>0.75</v>
      </c>
      <c r="V153" s="87">
        <f t="shared" si="16"/>
        <v>0.5625</v>
      </c>
      <c r="W153" s="203">
        <f t="shared" si="17"/>
        <v>0.65625</v>
      </c>
      <c r="X153" s="49">
        <f t="shared" si="18"/>
        <v>0</v>
      </c>
      <c r="Y153" s="49">
        <f t="shared" si="19"/>
        <v>0</v>
      </c>
      <c r="Z153" s="50" t="e">
        <f t="shared" si="20"/>
        <v>#NUM!</v>
      </c>
      <c r="AA153" s="105" t="e">
        <f t="shared" si="21"/>
        <v>#DIV/0!</v>
      </c>
      <c r="AB153" s="311" t="e">
        <f>INDEX($AJ$3:AK162,MATCH(COUNTA(J153:Q153),$AJ$3:$AJ$12,0),2)</f>
        <v>#N/A</v>
      </c>
      <c r="AC153" s="108">
        <f t="shared" si="22"/>
        <v>22.99</v>
      </c>
      <c r="AD153" s="310">
        <f t="shared" si="23"/>
        <v>4.1604044948293533</v>
      </c>
      <c r="AH153" s="147" t="s">
        <v>203</v>
      </c>
    </row>
    <row r="154" spans="1:34">
      <c r="A154" s="140" t="s">
        <v>205</v>
      </c>
      <c r="B154">
        <v>328.95</v>
      </c>
      <c r="C154">
        <v>89.41</v>
      </c>
      <c r="D154">
        <v>7.77</v>
      </c>
      <c r="F154">
        <v>170.81</v>
      </c>
      <c r="K154">
        <v>89.41</v>
      </c>
      <c r="L154">
        <v>7.77</v>
      </c>
      <c r="N154">
        <v>170.81</v>
      </c>
      <c r="R154">
        <v>0.97</v>
      </c>
      <c r="S154">
        <v>0.17599999999999999</v>
      </c>
      <c r="T154" s="307">
        <v>12.773300000000001</v>
      </c>
      <c r="U154">
        <v>0.7</v>
      </c>
      <c r="V154" s="87">
        <f t="shared" si="16"/>
        <v>0.1875</v>
      </c>
      <c r="W154" s="203">
        <f t="shared" si="17"/>
        <v>0.44374999999999998</v>
      </c>
      <c r="X154" s="49">
        <f t="shared" si="18"/>
        <v>74.511166814503596</v>
      </c>
      <c r="Y154" s="49">
        <f t="shared" si="19"/>
        <v>79.535862196051809</v>
      </c>
      <c r="Z154" s="50">
        <f t="shared" si="20"/>
        <v>0.49926398429833174</v>
      </c>
      <c r="AA154" s="105">
        <f t="shared" si="21"/>
        <v>1.2241434749931357</v>
      </c>
      <c r="AB154" s="311">
        <f>INDEX($AJ$3:AK163,MATCH(COUNTA(J154:Q154),$AJ$3:$AJ$12,0),2)</f>
        <v>1.1499999999999999</v>
      </c>
      <c r="AC154" s="108">
        <f t="shared" si="22"/>
        <v>89.33</v>
      </c>
      <c r="AD154" s="310">
        <f t="shared" si="23"/>
        <v>6.9934942418952026</v>
      </c>
      <c r="AH154" s="147" t="s">
        <v>203</v>
      </c>
    </row>
    <row r="155" spans="1:34">
      <c r="A155" s="140" t="s">
        <v>206</v>
      </c>
      <c r="R155">
        <v>0.34399999999999997</v>
      </c>
      <c r="S155">
        <v>2.3E-2</v>
      </c>
      <c r="T155" s="307">
        <v>6.3905200000000004</v>
      </c>
      <c r="U155">
        <v>0.55000000000000004</v>
      </c>
      <c r="V155" s="87" t="e">
        <f t="shared" si="16"/>
        <v>#DIV/0!</v>
      </c>
      <c r="W155" s="203" t="e">
        <f t="shared" si="17"/>
        <v>#DIV/0!</v>
      </c>
      <c r="X155" s="49" t="e">
        <f t="shared" si="18"/>
        <v>#DIV/0!</v>
      </c>
      <c r="Y155" s="49" t="e">
        <f t="shared" si="19"/>
        <v>#DIV/0!</v>
      </c>
      <c r="Z155" s="50" t="e">
        <f t="shared" si="20"/>
        <v>#NUM!</v>
      </c>
      <c r="AA155" s="105" t="e">
        <f t="shared" si="21"/>
        <v>#DIV/0!</v>
      </c>
      <c r="AB155" s="311" t="e">
        <f>INDEX($AJ$3:AK164,MATCH(COUNTA(J155:Q155),$AJ$3:$AJ$12,0),2)</f>
        <v>#N/A</v>
      </c>
      <c r="AC155" s="108" t="e">
        <f t="shared" si="22"/>
        <v>#DIV/0!</v>
      </c>
      <c r="AD155" s="310" t="str">
        <f t="shared" si="23"/>
        <v>n.d.</v>
      </c>
      <c r="AH155" s="147" t="s">
        <v>207</v>
      </c>
    </row>
    <row r="156" spans="1:34">
      <c r="A156" s="140" t="s">
        <v>208</v>
      </c>
      <c r="R156">
        <v>0.86199999999999999</v>
      </c>
      <c r="S156">
        <v>2.3E-2</v>
      </c>
      <c r="T156" s="307">
        <v>7.3049899999999992</v>
      </c>
      <c r="U156">
        <v>0.65</v>
      </c>
      <c r="V156" s="87" t="e">
        <f t="shared" si="16"/>
        <v>#DIV/0!</v>
      </c>
      <c r="W156" s="203" t="e">
        <f t="shared" si="17"/>
        <v>#DIV/0!</v>
      </c>
      <c r="X156" s="49" t="e">
        <f t="shared" si="18"/>
        <v>#DIV/0!</v>
      </c>
      <c r="Y156" s="49" t="e">
        <f t="shared" si="19"/>
        <v>#DIV/0!</v>
      </c>
      <c r="Z156" s="50" t="e">
        <f t="shared" si="20"/>
        <v>#NUM!</v>
      </c>
      <c r="AA156" s="105" t="e">
        <f t="shared" si="21"/>
        <v>#DIV/0!</v>
      </c>
      <c r="AB156" s="311" t="e">
        <f>INDEX($AJ$3:AK165,MATCH(COUNTA(J156:Q156),$AJ$3:$AJ$12,0),2)</f>
        <v>#N/A</v>
      </c>
      <c r="AC156" s="108" t="e">
        <f t="shared" si="22"/>
        <v>#DIV/0!</v>
      </c>
      <c r="AD156" s="310" t="str">
        <f t="shared" si="23"/>
        <v>n.d.</v>
      </c>
      <c r="AH156" s="147" t="s">
        <v>207</v>
      </c>
    </row>
    <row r="157" spans="1:34">
      <c r="A157" s="140" t="s">
        <v>209</v>
      </c>
      <c r="H157">
        <v>9.99</v>
      </c>
      <c r="P157">
        <v>9.99</v>
      </c>
      <c r="R157">
        <v>1.0049999999999999</v>
      </c>
      <c r="S157">
        <v>2.3E-2</v>
      </c>
      <c r="T157" s="307">
        <v>8.3328150000000001</v>
      </c>
      <c r="U157">
        <v>0.65</v>
      </c>
      <c r="V157" s="87">
        <f t="shared" si="16"/>
        <v>0.5625</v>
      </c>
      <c r="W157" s="203">
        <f t="shared" si="17"/>
        <v>0.60624999999999996</v>
      </c>
      <c r="X157" s="49">
        <f t="shared" si="18"/>
        <v>0</v>
      </c>
      <c r="Y157" s="49">
        <f t="shared" si="19"/>
        <v>0</v>
      </c>
      <c r="Z157" s="50" t="e">
        <f t="shared" si="20"/>
        <v>#NUM!</v>
      </c>
      <c r="AA157" s="105" t="e">
        <f t="shared" si="21"/>
        <v>#DIV/0!</v>
      </c>
      <c r="AB157" s="311" t="e">
        <f>INDEX($AJ$3:AK166,MATCH(COUNTA(J157:Q157),$AJ$3:$AJ$12,0),2)</f>
        <v>#N/A</v>
      </c>
      <c r="AC157" s="108">
        <f t="shared" si="22"/>
        <v>9.99</v>
      </c>
      <c r="AD157" s="310" t="str">
        <f t="shared" si="23"/>
        <v>n.d.</v>
      </c>
      <c r="AH157" s="147" t="s">
        <v>207</v>
      </c>
    </row>
    <row r="158" spans="1:34">
      <c r="A158" s="140" t="s">
        <v>210</v>
      </c>
      <c r="R158">
        <v>0.44400000000000001</v>
      </c>
      <c r="S158">
        <v>5.8999999999999997E-2</v>
      </c>
      <c r="T158" s="307">
        <v>5.7549900000000003</v>
      </c>
      <c r="U158">
        <v>0.75</v>
      </c>
      <c r="V158" s="87" t="e">
        <f t="shared" si="16"/>
        <v>#DIV/0!</v>
      </c>
      <c r="W158" s="203" t="e">
        <f t="shared" si="17"/>
        <v>#DIV/0!</v>
      </c>
      <c r="X158" s="49" t="e">
        <f t="shared" si="18"/>
        <v>#DIV/0!</v>
      </c>
      <c r="Y158" s="49" t="e">
        <f t="shared" si="19"/>
        <v>#DIV/0!</v>
      </c>
      <c r="Z158" s="50" t="e">
        <f t="shared" si="20"/>
        <v>#NUM!</v>
      </c>
      <c r="AA158" s="105" t="e">
        <f t="shared" si="21"/>
        <v>#DIV/0!</v>
      </c>
      <c r="AB158" s="311" t="e">
        <f>INDEX($AJ$3:AK167,MATCH(COUNTA(J158:Q158),$AJ$3:$AJ$12,0),2)</f>
        <v>#N/A</v>
      </c>
      <c r="AC158" s="108" t="e">
        <f t="shared" si="22"/>
        <v>#DIV/0!</v>
      </c>
      <c r="AD158" s="310" t="str">
        <f t="shared" si="23"/>
        <v>n.d.</v>
      </c>
      <c r="AH158" s="147" t="s">
        <v>207</v>
      </c>
    </row>
    <row r="159" spans="1:34">
      <c r="A159" s="140" t="s">
        <v>211</v>
      </c>
      <c r="C159">
        <v>40.58</v>
      </c>
      <c r="D159">
        <v>15.65</v>
      </c>
      <c r="K159">
        <v>40.58</v>
      </c>
      <c r="L159">
        <v>15.65</v>
      </c>
      <c r="R159">
        <v>1.101</v>
      </c>
      <c r="S159">
        <v>5.8999999999999997E-2</v>
      </c>
      <c r="T159" s="307">
        <v>9.8056399999999986</v>
      </c>
      <c r="U159">
        <v>0.57999999999999996</v>
      </c>
      <c r="V159" s="87">
        <f t="shared" si="16"/>
        <v>0.375</v>
      </c>
      <c r="W159" s="203">
        <f t="shared" si="17"/>
        <v>0.47749999999999998</v>
      </c>
      <c r="X159" s="49">
        <f t="shared" si="18"/>
        <v>44.33576382713855</v>
      </c>
      <c r="Y159" s="49">
        <f t="shared" si="19"/>
        <v>44.33576382713855</v>
      </c>
      <c r="Z159" s="50">
        <f t="shared" si="20"/>
        <v>1</v>
      </c>
      <c r="AA159" s="105">
        <f t="shared" si="21"/>
        <v>0.99999999999999967</v>
      </c>
      <c r="AB159" s="311" t="e">
        <f>INDEX($AJ$3:AK168,MATCH(COUNTA(J159:Q159),$AJ$3:$AJ$12,0),2)</f>
        <v>#N/A</v>
      </c>
      <c r="AC159" s="108">
        <f t="shared" si="22"/>
        <v>28.114999999999998</v>
      </c>
      <c r="AD159" s="310">
        <f t="shared" si="23"/>
        <v>2.8672274323756533</v>
      </c>
      <c r="AH159" s="147" t="s">
        <v>207</v>
      </c>
    </row>
    <row r="160" spans="1:34">
      <c r="A160" s="140" t="s">
        <v>212</v>
      </c>
      <c r="R160">
        <v>0.71799999999999997</v>
      </c>
      <c r="S160">
        <v>5.8999999999999997E-2</v>
      </c>
      <c r="T160" s="307">
        <v>5.9145799999999999</v>
      </c>
      <c r="U160">
        <v>0.68</v>
      </c>
      <c r="V160" s="87" t="e">
        <f t="shared" si="16"/>
        <v>#DIV/0!</v>
      </c>
      <c r="W160" s="203" t="e">
        <f t="shared" si="17"/>
        <v>#DIV/0!</v>
      </c>
      <c r="X160" s="49" t="e">
        <f t="shared" si="18"/>
        <v>#DIV/0!</v>
      </c>
      <c r="Y160" s="49" t="e">
        <f t="shared" si="19"/>
        <v>#DIV/0!</v>
      </c>
      <c r="Z160" s="50" t="e">
        <f t="shared" si="20"/>
        <v>#NUM!</v>
      </c>
      <c r="AA160" s="105" t="e">
        <f t="shared" si="21"/>
        <v>#DIV/0!</v>
      </c>
      <c r="AB160" s="311" t="e">
        <f>INDEX($AJ$3:AK169,MATCH(COUNTA(J160:Q160),$AJ$3:$AJ$12,0),2)</f>
        <v>#N/A</v>
      </c>
      <c r="AC160" s="108" t="e">
        <f t="shared" si="22"/>
        <v>#DIV/0!</v>
      </c>
      <c r="AD160" s="310" t="str">
        <f t="shared" si="23"/>
        <v>n.d.</v>
      </c>
      <c r="AH160" s="147" t="s">
        <v>207</v>
      </c>
    </row>
    <row r="161" spans="1:34">
      <c r="A161" s="140" t="s">
        <v>213</v>
      </c>
      <c r="C161">
        <v>20.59</v>
      </c>
      <c r="K161">
        <v>20.59</v>
      </c>
      <c r="R161">
        <v>0.51400000000000001</v>
      </c>
      <c r="S161">
        <v>6.0999999999999999E-2</v>
      </c>
      <c r="T161" s="307">
        <v>7.65665</v>
      </c>
      <c r="U161">
        <v>0.68</v>
      </c>
      <c r="V161" s="87">
        <f t="shared" si="16"/>
        <v>0.5625</v>
      </c>
      <c r="W161" s="203">
        <f t="shared" si="17"/>
        <v>0.62125000000000008</v>
      </c>
      <c r="X161" s="49">
        <f t="shared" si="18"/>
        <v>0</v>
      </c>
      <c r="Y161" s="49">
        <f t="shared" si="19"/>
        <v>0</v>
      </c>
      <c r="Z161" s="50" t="e">
        <f t="shared" si="20"/>
        <v>#NUM!</v>
      </c>
      <c r="AA161" s="105" t="e">
        <f t="shared" si="21"/>
        <v>#DIV/0!</v>
      </c>
      <c r="AB161" s="311" t="e">
        <f>INDEX($AJ$3:AK169,MATCH(COUNTA(J161:Q161),$AJ$3:$AJ$12,0),2)</f>
        <v>#N/A</v>
      </c>
      <c r="AC161" s="108">
        <f t="shared" si="22"/>
        <v>20.59</v>
      </c>
      <c r="AD161" s="310">
        <f t="shared" si="23"/>
        <v>2.6891656272651878</v>
      </c>
      <c r="AH161" s="147" t="s">
        <v>207</v>
      </c>
    </row>
    <row r="162" spans="1:34">
      <c r="A162" s="140" t="s">
        <v>214</v>
      </c>
      <c r="C162">
        <v>15.14</v>
      </c>
      <c r="K162">
        <v>15.14</v>
      </c>
      <c r="R162">
        <v>0.621</v>
      </c>
      <c r="S162">
        <v>6.0999999999999999E-2</v>
      </c>
      <c r="T162" s="307">
        <v>8.9807000000000006</v>
      </c>
      <c r="U162">
        <v>0.68</v>
      </c>
      <c r="V162" s="87">
        <f t="shared" si="16"/>
        <v>0.5625</v>
      </c>
      <c r="W162" s="203">
        <f t="shared" si="17"/>
        <v>0.62125000000000008</v>
      </c>
      <c r="X162" s="49">
        <f t="shared" si="18"/>
        <v>0</v>
      </c>
      <c r="Y162" s="49">
        <f t="shared" si="19"/>
        <v>0</v>
      </c>
      <c r="Z162" s="50" t="e">
        <f t="shared" si="20"/>
        <v>#NUM!</v>
      </c>
      <c r="AA162" s="105" t="e">
        <f t="shared" si="21"/>
        <v>#DIV/0!</v>
      </c>
      <c r="AB162" s="311" t="e">
        <f>INDEX($AJ$3:AK170,MATCH(COUNTA(J162:Q162),$AJ$3:$AJ$12,0),2)</f>
        <v>#N/A</v>
      </c>
      <c r="AC162" s="108">
        <f t="shared" si="22"/>
        <v>15.14</v>
      </c>
      <c r="AD162" s="310">
        <f t="shared" si="23"/>
        <v>1.6858374068836504</v>
      </c>
      <c r="AH162" s="147" t="s">
        <v>207</v>
      </c>
    </row>
    <row r="163" spans="1:34">
      <c r="A163" s="140" t="s">
        <v>215</v>
      </c>
      <c r="R163">
        <v>1.1120000000000001</v>
      </c>
      <c r="S163">
        <v>6.0999999999999999E-2</v>
      </c>
      <c r="T163" s="307">
        <v>5.3088700000000006</v>
      </c>
      <c r="U163">
        <v>0.57999999999999996</v>
      </c>
      <c r="V163" s="87" t="e">
        <f t="shared" si="16"/>
        <v>#DIV/0!</v>
      </c>
      <c r="W163" s="203" t="e">
        <f t="shared" si="17"/>
        <v>#DIV/0!</v>
      </c>
      <c r="X163" s="49" t="e">
        <f t="shared" si="18"/>
        <v>#DIV/0!</v>
      </c>
      <c r="Y163" s="49" t="e">
        <f t="shared" si="19"/>
        <v>#DIV/0!</v>
      </c>
      <c r="Z163" s="50" t="e">
        <f t="shared" si="20"/>
        <v>#NUM!</v>
      </c>
      <c r="AA163" s="105" t="e">
        <f t="shared" si="21"/>
        <v>#DIV/0!</v>
      </c>
      <c r="AB163" s="311" t="e">
        <f>INDEX($AJ$3:AK171,MATCH(COUNTA(J163:Q163),$AJ$3:$AJ$12,0),2)</f>
        <v>#N/A</v>
      </c>
      <c r="AC163" s="108" t="e">
        <f t="shared" si="22"/>
        <v>#DIV/0!</v>
      </c>
      <c r="AD163" s="310" t="str">
        <f t="shared" si="23"/>
        <v>n.d.</v>
      </c>
      <c r="AH163" s="147" t="s">
        <v>207</v>
      </c>
    </row>
    <row r="164" spans="1:34">
      <c r="A164" s="140" t="s">
        <v>216</v>
      </c>
      <c r="B164">
        <v>232.55</v>
      </c>
      <c r="F164">
        <v>1193.1199999999999</v>
      </c>
      <c r="G164">
        <v>1256.5</v>
      </c>
      <c r="H164">
        <v>562.82000000000005</v>
      </c>
      <c r="I164">
        <v>588.96</v>
      </c>
      <c r="J164" s="306">
        <v>232.55</v>
      </c>
      <c r="P164">
        <v>562.82000000000005</v>
      </c>
      <c r="Q164" s="307">
        <v>588.96</v>
      </c>
      <c r="R164">
        <v>0.42699999999999999</v>
      </c>
      <c r="S164">
        <v>0.17699999999999999</v>
      </c>
      <c r="T164" s="307">
        <v>9.4334749999999996</v>
      </c>
      <c r="U164">
        <v>0.68</v>
      </c>
      <c r="V164" s="87">
        <f t="shared" si="16"/>
        <v>0.4375</v>
      </c>
      <c r="W164" s="203">
        <f t="shared" si="17"/>
        <v>0.55875000000000008</v>
      </c>
      <c r="X164" s="49">
        <f t="shared" si="18"/>
        <v>35.151327981032779</v>
      </c>
      <c r="Y164" s="49">
        <f t="shared" si="19"/>
        <v>51.516350933630086</v>
      </c>
      <c r="Z164" s="50">
        <f t="shared" si="20"/>
        <v>7.3342498807553058E-2</v>
      </c>
      <c r="AA164" s="105">
        <f t="shared" si="21"/>
        <v>0.78615257050065435</v>
      </c>
      <c r="AB164" s="311">
        <f>INDEX($AJ$3:AK172,MATCH(COUNTA(J164:Q164),$AJ$3:$AJ$12,0),2)</f>
        <v>1.1499999999999999</v>
      </c>
      <c r="AC164" s="108">
        <f t="shared" si="22"/>
        <v>461.44333333333338</v>
      </c>
      <c r="AD164" s="310">
        <f t="shared" si="23"/>
        <v>48.915519819932044</v>
      </c>
      <c r="AH164" s="147" t="s">
        <v>42</v>
      </c>
    </row>
    <row r="165" spans="1:34">
      <c r="A165" s="140" t="s">
        <v>217</v>
      </c>
      <c r="F165">
        <v>2371.63</v>
      </c>
      <c r="G165">
        <v>2494.94</v>
      </c>
      <c r="H165">
        <v>400.43</v>
      </c>
      <c r="I165">
        <v>504.56</v>
      </c>
      <c r="P165">
        <v>400.43</v>
      </c>
      <c r="Q165" s="307">
        <v>504.56</v>
      </c>
      <c r="R165">
        <v>1.0229999999999999</v>
      </c>
      <c r="S165">
        <v>0.17699999999999999</v>
      </c>
      <c r="T165" s="307">
        <v>12.192550000000001</v>
      </c>
      <c r="U165">
        <v>0.88</v>
      </c>
      <c r="V165" s="87">
        <f t="shared" si="16"/>
        <v>0.625</v>
      </c>
      <c r="W165" s="203">
        <f t="shared" si="17"/>
        <v>0.75249999999999995</v>
      </c>
      <c r="X165" s="49">
        <f t="shared" si="18"/>
        <v>11.506204488447368</v>
      </c>
      <c r="Y165" s="49">
        <f t="shared" si="19"/>
        <v>68.753505308485813</v>
      </c>
      <c r="Z165" s="50">
        <f t="shared" si="20"/>
        <v>1</v>
      </c>
      <c r="AA165" s="105">
        <f t="shared" si="21"/>
        <v>1.0000000000000016</v>
      </c>
      <c r="AB165" s="311" t="e">
        <f>INDEX($AJ$3:AK173,MATCH(COUNTA(J165:Q165),$AJ$3:$AJ$12,0),2)</f>
        <v>#N/A</v>
      </c>
      <c r="AC165" s="108">
        <f t="shared" si="22"/>
        <v>452.495</v>
      </c>
      <c r="AD165" s="310">
        <f t="shared" si="23"/>
        <v>37.112417008747144</v>
      </c>
      <c r="AH165" s="147" t="s">
        <v>42</v>
      </c>
    </row>
    <row r="166" spans="1:34">
      <c r="A166" s="140" t="s">
        <v>218</v>
      </c>
      <c r="B166">
        <v>189.15</v>
      </c>
      <c r="F166">
        <v>929.33</v>
      </c>
      <c r="G166">
        <v>355.75</v>
      </c>
      <c r="H166">
        <v>896.96</v>
      </c>
      <c r="I166">
        <v>656.38</v>
      </c>
      <c r="J166" s="306">
        <v>189.15</v>
      </c>
      <c r="N166">
        <v>929.33</v>
      </c>
      <c r="O166">
        <v>355.75</v>
      </c>
      <c r="P166">
        <v>896.96</v>
      </c>
      <c r="Q166" s="307">
        <v>656.38</v>
      </c>
      <c r="R166">
        <v>0.74</v>
      </c>
      <c r="S166">
        <v>0.17699999999999999</v>
      </c>
      <c r="T166" s="307">
        <v>7.2366899999999994</v>
      </c>
      <c r="U166">
        <v>0.5</v>
      </c>
      <c r="V166" s="87">
        <f t="shared" si="16"/>
        <v>0.5625</v>
      </c>
      <c r="W166" s="203">
        <f t="shared" si="17"/>
        <v>0.53125</v>
      </c>
      <c r="X166" s="49">
        <f t="shared" si="18"/>
        <v>48.325525994785465</v>
      </c>
      <c r="Y166" s="49">
        <f t="shared" si="19"/>
        <v>48.325525994785465</v>
      </c>
      <c r="Z166" s="50">
        <f t="shared" si="20"/>
        <v>4.37326055824259E-2</v>
      </c>
      <c r="AA166" s="105">
        <f t="shared" si="21"/>
        <v>1.1066174778573532</v>
      </c>
      <c r="AB166" s="311">
        <f>INDEX($AJ$3:AK174,MATCH(COUNTA(J166:Q166),$AJ$3:$AJ$12,0),2)</f>
        <v>1.75</v>
      </c>
      <c r="AC166" s="108">
        <f t="shared" si="22"/>
        <v>605.51400000000001</v>
      </c>
      <c r="AD166" s="310">
        <f t="shared" si="23"/>
        <v>83.672784104335008</v>
      </c>
      <c r="AH166" s="147" t="s">
        <v>42</v>
      </c>
    </row>
    <row r="167" spans="1:34">
      <c r="A167" s="140" t="s">
        <v>219</v>
      </c>
      <c r="B167">
        <v>363.66</v>
      </c>
      <c r="C167">
        <v>341.26</v>
      </c>
      <c r="D167">
        <v>233.77</v>
      </c>
      <c r="E167">
        <v>203.21</v>
      </c>
      <c r="F167">
        <v>382.54</v>
      </c>
      <c r="G167">
        <v>365.76</v>
      </c>
      <c r="H167">
        <v>185.46</v>
      </c>
      <c r="I167">
        <v>295.02999999999997</v>
      </c>
      <c r="J167" s="306">
        <v>363.66</v>
      </c>
      <c r="K167">
        <v>341.26</v>
      </c>
      <c r="L167">
        <v>233.77</v>
      </c>
      <c r="M167">
        <v>203.21</v>
      </c>
      <c r="N167">
        <v>382.54</v>
      </c>
      <c r="O167">
        <v>365.76</v>
      </c>
      <c r="P167">
        <v>185.46</v>
      </c>
      <c r="Q167" s="307">
        <v>295.02999999999997</v>
      </c>
      <c r="T167" s="307">
        <v>0.28799999999999998</v>
      </c>
      <c r="U167">
        <v>0.82</v>
      </c>
      <c r="V167" s="87">
        <f t="shared" si="16"/>
        <v>1</v>
      </c>
      <c r="W167" s="203">
        <f t="shared" si="17"/>
        <v>0.90999999999999992</v>
      </c>
      <c r="X167" s="49">
        <f t="shared" si="18"/>
        <v>24.936168381463471</v>
      </c>
      <c r="Y167" s="49">
        <f t="shared" si="19"/>
        <v>24.936168381463471</v>
      </c>
      <c r="Z167" s="50">
        <f t="shared" si="20"/>
        <v>8.5143089100872885E-2</v>
      </c>
      <c r="AA167" s="105">
        <f t="shared" si="21"/>
        <v>1.1665722895543809</v>
      </c>
      <c r="AB167" s="311">
        <f>INDEX($AJ$3:AK175,MATCH(COUNTA(J167:Q167),$AJ$3:$AJ$12,0),2)</f>
        <v>2.2200000000000002</v>
      </c>
      <c r="AC167" s="108">
        <f t="shared" si="22"/>
        <v>296.33624999999995</v>
      </c>
      <c r="AD167" s="310">
        <f t="shared" si="23"/>
        <v>1028.9453125</v>
      </c>
      <c r="AF167" s="203">
        <f>(T167-0.0664978)*1000</f>
        <v>221.50219999999999</v>
      </c>
      <c r="AG167" s="309">
        <f>100*(AC167/AF167)</f>
        <v>133.78478859352185</v>
      </c>
      <c r="AH167" s="147" t="s">
        <v>64</v>
      </c>
    </row>
    <row r="168" spans="1:34">
      <c r="A168" s="140" t="s">
        <v>220</v>
      </c>
      <c r="T168" s="307">
        <v>0.15598200000000001</v>
      </c>
      <c r="V168" s="87" t="e">
        <f t="shared" si="16"/>
        <v>#DIV/0!</v>
      </c>
      <c r="W168" s="203" t="e">
        <f t="shared" si="17"/>
        <v>#DIV/0!</v>
      </c>
      <c r="X168" s="49" t="e">
        <f t="shared" si="18"/>
        <v>#DIV/0!</v>
      </c>
      <c r="Y168" s="49" t="e">
        <f t="shared" si="19"/>
        <v>#DIV/0!</v>
      </c>
      <c r="Z168" s="50" t="e">
        <f t="shared" si="20"/>
        <v>#NUM!</v>
      </c>
      <c r="AA168" s="105" t="e">
        <f t="shared" si="21"/>
        <v>#DIV/0!</v>
      </c>
      <c r="AB168" s="311" t="e">
        <f>INDEX($AJ$3:AK176,MATCH(COUNTA(J168:Q168),$AJ$3:$AJ$12,0),2)</f>
        <v>#N/A</v>
      </c>
      <c r="AC168" s="108" t="e">
        <f t="shared" si="22"/>
        <v>#DIV/0!</v>
      </c>
      <c r="AD168" s="310" t="str">
        <f t="shared" si="23"/>
        <v>n.d.</v>
      </c>
      <c r="AH168" s="147" t="s">
        <v>64</v>
      </c>
    </row>
    <row r="169" spans="1:34">
      <c r="A169" s="246" t="s">
        <v>221</v>
      </c>
      <c r="T169" s="307">
        <v>0.40368500000000002</v>
      </c>
      <c r="V169" s="87" t="e">
        <f t="shared" si="16"/>
        <v>#DIV/0!</v>
      </c>
      <c r="W169" s="203" t="e">
        <f t="shared" si="17"/>
        <v>#DIV/0!</v>
      </c>
      <c r="X169" s="49" t="e">
        <f t="shared" si="18"/>
        <v>#DIV/0!</v>
      </c>
      <c r="Y169" s="49" t="e">
        <f t="shared" si="19"/>
        <v>#DIV/0!</v>
      </c>
      <c r="Z169" s="50" t="e">
        <f t="shared" si="20"/>
        <v>#NUM!</v>
      </c>
      <c r="AA169" s="105" t="e">
        <f t="shared" si="21"/>
        <v>#DIV/0!</v>
      </c>
      <c r="AB169" s="311" t="e">
        <f>INDEX($AJ$3:AK177,MATCH(COUNTA(J169:Q169),$AJ$3:$AJ$12,0),2)</f>
        <v>#N/A</v>
      </c>
      <c r="AC169" s="108" t="e">
        <f t="shared" si="22"/>
        <v>#DIV/0!</v>
      </c>
      <c r="AD169" s="310" t="str">
        <f t="shared" si="23"/>
        <v>n.d.</v>
      </c>
      <c r="AH169" s="147" t="s">
        <v>64</v>
      </c>
    </row>
    <row r="170" spans="1:34" s="51" customFormat="1">
      <c r="A170" s="172" t="s">
        <v>222</v>
      </c>
      <c r="B170" s="51">
        <v>425.98</v>
      </c>
      <c r="C170" s="51">
        <v>147.96</v>
      </c>
      <c r="D170" s="51">
        <v>18.149999999999999</v>
      </c>
      <c r="E170" s="51">
        <v>23.25</v>
      </c>
      <c r="F170" s="51">
        <v>243.67</v>
      </c>
      <c r="G170" s="51">
        <v>78.63</v>
      </c>
      <c r="H170" s="51">
        <v>83.6</v>
      </c>
      <c r="J170" s="63"/>
      <c r="L170" s="51">
        <v>18.149999999999999</v>
      </c>
      <c r="M170" s="51">
        <v>23.25</v>
      </c>
      <c r="O170" s="51">
        <v>78.63</v>
      </c>
      <c r="P170" s="51">
        <v>83.6</v>
      </c>
      <c r="Q170" s="78"/>
      <c r="R170" s="51">
        <v>0.93100000000000005</v>
      </c>
      <c r="S170" s="51">
        <v>0.15</v>
      </c>
      <c r="T170" s="51">
        <v>6.3953800000000003</v>
      </c>
      <c r="U170" s="51">
        <v>0.78</v>
      </c>
      <c r="V170" s="89">
        <f t="shared" si="16"/>
        <v>0.5</v>
      </c>
      <c r="W170" s="68">
        <f t="shared" si="17"/>
        <v>0.64</v>
      </c>
      <c r="X170" s="69">
        <f t="shared" si="18"/>
        <v>59.543761550379813</v>
      </c>
      <c r="Y170" s="69">
        <f t="shared" si="19"/>
        <v>92.608031294238899</v>
      </c>
      <c r="Z170" s="70">
        <f t="shared" si="20"/>
        <v>7.593582887700534E-2</v>
      </c>
      <c r="AA170" s="104">
        <f t="shared" si="21"/>
        <v>1.0785247001358644</v>
      </c>
      <c r="AB170" s="71">
        <f>INDEX($AJ$3:AK178,MATCH(COUNTA(J170:Q170),$AJ$3:$AJ$12,0),2)</f>
        <v>1.49</v>
      </c>
      <c r="AC170" s="107">
        <f t="shared" si="22"/>
        <v>50.907499999999999</v>
      </c>
      <c r="AD170" s="90">
        <f t="shared" si="23"/>
        <v>7.9600430310630479</v>
      </c>
      <c r="AG170" s="78"/>
      <c r="AH170" s="148" t="s">
        <v>42</v>
      </c>
    </row>
    <row r="171" spans="1:34">
      <c r="A171" s="172" t="s">
        <v>223</v>
      </c>
      <c r="B171">
        <v>329.81</v>
      </c>
      <c r="C171">
        <v>110.45</v>
      </c>
      <c r="D171">
        <v>71.790000000000006</v>
      </c>
      <c r="E171">
        <v>49.99</v>
      </c>
      <c r="F171">
        <v>1055.7</v>
      </c>
      <c r="G171">
        <v>293.68</v>
      </c>
      <c r="H171">
        <v>238.36</v>
      </c>
      <c r="L171">
        <v>71.790000000000006</v>
      </c>
      <c r="M171">
        <v>49.99</v>
      </c>
      <c r="R171">
        <v>0.98199999999999998</v>
      </c>
      <c r="S171">
        <v>0.15</v>
      </c>
      <c r="T171">
        <v>14.388500000000001</v>
      </c>
      <c r="U171">
        <v>0.48</v>
      </c>
      <c r="V171" s="87">
        <f t="shared" si="16"/>
        <v>0.625</v>
      </c>
      <c r="W171" s="203">
        <f t="shared" si="17"/>
        <v>0.55249999999999999</v>
      </c>
      <c r="X171" s="49">
        <f t="shared" si="18"/>
        <v>17.90113319100023</v>
      </c>
      <c r="Y171" s="49">
        <f t="shared" si="19"/>
        <v>104.86112333142931</v>
      </c>
      <c r="Z171" s="50">
        <f t="shared" si="20"/>
        <v>1</v>
      </c>
      <c r="AA171" s="105">
        <f t="shared" si="21"/>
        <v>0.99999999999999689</v>
      </c>
      <c r="AB171" s="311" t="e">
        <f>INDEX($AJ$3:AK179,MATCH(COUNTA(J171:Q171),$AJ$3:$AJ$12,0),2)</f>
        <v>#N/A</v>
      </c>
      <c r="AC171" s="108">
        <f t="shared" si="22"/>
        <v>60.89</v>
      </c>
      <c r="AD171" s="310">
        <f t="shared" si="23"/>
        <v>4.2318518261111304</v>
      </c>
      <c r="AH171" s="147" t="s">
        <v>42</v>
      </c>
    </row>
    <row r="172" spans="1:34">
      <c r="A172" s="172" t="s">
        <v>224</v>
      </c>
      <c r="B172">
        <v>431.19</v>
      </c>
      <c r="C172">
        <v>121.72</v>
      </c>
      <c r="E172">
        <v>14.6</v>
      </c>
      <c r="F172">
        <v>130.29</v>
      </c>
      <c r="H172">
        <v>57.33</v>
      </c>
      <c r="I172">
        <v>41.64</v>
      </c>
      <c r="M172">
        <v>14.6</v>
      </c>
      <c r="N172">
        <v>130.29</v>
      </c>
      <c r="P172">
        <v>57.33</v>
      </c>
      <c r="Q172" s="307">
        <v>41.64</v>
      </c>
      <c r="R172">
        <v>0.24199999999999999</v>
      </c>
      <c r="S172">
        <v>0.15</v>
      </c>
      <c r="T172">
        <v>9.6715149999999994</v>
      </c>
      <c r="U172">
        <v>0.8</v>
      </c>
      <c r="V172" s="87">
        <f t="shared" si="16"/>
        <v>0.25</v>
      </c>
      <c r="W172" s="203">
        <f t="shared" si="17"/>
        <v>0.52500000000000002</v>
      </c>
      <c r="X172" s="49">
        <f t="shared" si="18"/>
        <v>70.275930372919078</v>
      </c>
      <c r="Y172" s="49">
        <f t="shared" si="19"/>
        <v>105.22050620691338</v>
      </c>
      <c r="Z172" s="50">
        <f t="shared" si="20"/>
        <v>0.63065087734462788</v>
      </c>
      <c r="AA172" s="105">
        <f t="shared" si="21"/>
        <v>1.6180900832098795</v>
      </c>
      <c r="AB172" s="311">
        <f>INDEX($AJ$3:AK180,MATCH(COUNTA(J172:Q172),$AJ$3:$AJ$12,0),2)</f>
        <v>1.49</v>
      </c>
      <c r="AC172" s="108">
        <f t="shared" si="22"/>
        <v>60.964999999999989</v>
      </c>
      <c r="AD172" s="310">
        <f t="shared" si="23"/>
        <v>6.3035625752532045</v>
      </c>
      <c r="AH172" s="147" t="s">
        <v>42</v>
      </c>
    </row>
    <row r="173" spans="1:34">
      <c r="A173" s="172" t="s">
        <v>225</v>
      </c>
      <c r="B173">
        <v>594.52</v>
      </c>
      <c r="C173">
        <v>172.43</v>
      </c>
      <c r="D173">
        <v>44.94</v>
      </c>
      <c r="E173">
        <v>61.28</v>
      </c>
      <c r="F173">
        <v>184.85</v>
      </c>
      <c r="G173">
        <v>94.66</v>
      </c>
      <c r="H173">
        <v>60.68</v>
      </c>
      <c r="I173">
        <v>52.47</v>
      </c>
      <c r="K173">
        <v>172.43</v>
      </c>
      <c r="L173">
        <v>44.94</v>
      </c>
      <c r="M173">
        <v>61.28</v>
      </c>
      <c r="N173">
        <v>184.85</v>
      </c>
      <c r="O173">
        <v>94.66</v>
      </c>
      <c r="P173">
        <v>60.68</v>
      </c>
      <c r="Q173" s="307">
        <v>52.47</v>
      </c>
      <c r="T173">
        <v>8.4091399999999989</v>
      </c>
      <c r="U173">
        <v>0.85</v>
      </c>
      <c r="V173" s="87">
        <f t="shared" si="16"/>
        <v>0.6875</v>
      </c>
      <c r="W173" s="203">
        <f t="shared" si="17"/>
        <v>0.76875000000000004</v>
      </c>
      <c r="X173" s="49">
        <f t="shared" si="18"/>
        <v>56.693467207373928</v>
      </c>
      <c r="Y173" s="49">
        <f t="shared" si="19"/>
        <v>109.06184232942373</v>
      </c>
      <c r="Z173" s="50">
        <f t="shared" si="20"/>
        <v>8.8771353012650905E-2</v>
      </c>
      <c r="AA173" s="105">
        <f t="shared" si="21"/>
        <v>1.635990897093597</v>
      </c>
      <c r="AB173" s="311">
        <f>INDEX($AJ$3:AK181,MATCH(COUNTA(J173:Q173),$AJ$3:$AJ$12,0),2)</f>
        <v>2.1</v>
      </c>
      <c r="AC173" s="108">
        <f t="shared" si="22"/>
        <v>95.901428571428568</v>
      </c>
      <c r="AD173" s="310">
        <f t="shared" si="23"/>
        <v>11.404427631295064</v>
      </c>
      <c r="AF173" s="149">
        <v>6.6711400000000004E-2</v>
      </c>
      <c r="AG173" s="91">
        <f>100*((AC173-AVERAGE(AD171:AD172)*T173)/(AF173*1000))</f>
        <v>77.354906720416793</v>
      </c>
      <c r="AH173" s="147" t="s">
        <v>226</v>
      </c>
    </row>
    <row r="174" spans="1:34">
      <c r="A174" s="172" t="s">
        <v>227</v>
      </c>
      <c r="B174">
        <v>700.35</v>
      </c>
      <c r="D174">
        <v>55.59</v>
      </c>
      <c r="E174">
        <v>34.86</v>
      </c>
      <c r="F174">
        <v>561.67999999999995</v>
      </c>
      <c r="G174">
        <v>125.78</v>
      </c>
      <c r="H174">
        <v>90.81</v>
      </c>
      <c r="I174">
        <v>106.7</v>
      </c>
      <c r="L174">
        <v>55.59</v>
      </c>
      <c r="M174">
        <v>34.86</v>
      </c>
      <c r="O174">
        <v>125.78</v>
      </c>
      <c r="P174">
        <v>90.81</v>
      </c>
      <c r="Q174" s="307">
        <v>106.7</v>
      </c>
      <c r="T174">
        <v>11.4796</v>
      </c>
      <c r="U174">
        <v>0.65</v>
      </c>
      <c r="V174" s="87">
        <f t="shared" si="16"/>
        <v>0.5625</v>
      </c>
      <c r="W174" s="203">
        <f t="shared" si="17"/>
        <v>0.60624999999999996</v>
      </c>
      <c r="X174" s="49">
        <f t="shared" si="18"/>
        <v>40.158434612563006</v>
      </c>
      <c r="Y174" s="49">
        <f t="shared" si="19"/>
        <v>105.26880871943408</v>
      </c>
      <c r="Z174" s="50">
        <f t="shared" si="20"/>
        <v>0.20985481742190934</v>
      </c>
      <c r="AA174" s="105">
        <f t="shared" si="21"/>
        <v>1.2949626723880396</v>
      </c>
      <c r="AB174" s="311">
        <f>INDEX($AJ$3:AK182,MATCH(COUNTA(J174:Q174),$AJ$3:$AJ$12,0),2)</f>
        <v>1.75</v>
      </c>
      <c r="AC174" s="108">
        <f t="shared" si="22"/>
        <v>82.748000000000005</v>
      </c>
      <c r="AD174" s="310">
        <f t="shared" si="23"/>
        <v>7.2082650963448209</v>
      </c>
      <c r="AH174" s="147" t="s">
        <v>226</v>
      </c>
    </row>
    <row r="175" spans="1:34">
      <c r="A175" s="172" t="s">
        <v>228</v>
      </c>
      <c r="B175">
        <v>580.45000000000005</v>
      </c>
      <c r="C175">
        <v>151.97999999999999</v>
      </c>
      <c r="D175">
        <v>73.36</v>
      </c>
      <c r="E175">
        <v>28.58</v>
      </c>
      <c r="F175">
        <v>413.8</v>
      </c>
      <c r="G175">
        <v>84.01</v>
      </c>
      <c r="H175">
        <v>42.5</v>
      </c>
      <c r="K175">
        <v>151.97999999999999</v>
      </c>
      <c r="L175">
        <v>73.36</v>
      </c>
      <c r="M175">
        <v>28.58</v>
      </c>
      <c r="O175">
        <v>84.01</v>
      </c>
      <c r="P175">
        <v>42.5</v>
      </c>
      <c r="T175">
        <v>6.8967000000000001</v>
      </c>
      <c r="U175">
        <v>0.63</v>
      </c>
      <c r="V175" s="87">
        <f t="shared" si="16"/>
        <v>0.5625</v>
      </c>
      <c r="W175" s="203">
        <f t="shared" si="17"/>
        <v>0.59624999999999995</v>
      </c>
      <c r="X175" s="49">
        <f t="shared" si="18"/>
        <v>56.423102245589121</v>
      </c>
      <c r="Y175" s="49">
        <f t="shared" si="19"/>
        <v>101.1758074281111</v>
      </c>
      <c r="Z175" s="50">
        <f t="shared" si="20"/>
        <v>0.55081037277147482</v>
      </c>
      <c r="AA175" s="105">
        <f t="shared" si="21"/>
        <v>1.767851287870384</v>
      </c>
      <c r="AB175" s="311">
        <f>INDEX($AJ$3:AK183,MATCH(COUNTA(J175:Q175),$AJ$3:$AJ$12,0),2)</f>
        <v>1.75</v>
      </c>
      <c r="AC175" s="108">
        <f t="shared" si="22"/>
        <v>76.085999999999984</v>
      </c>
      <c r="AD175" s="310">
        <f t="shared" si="23"/>
        <v>11.032232806994648</v>
      </c>
      <c r="AH175" s="147" t="s">
        <v>226</v>
      </c>
    </row>
    <row r="176" spans="1:34">
      <c r="A176" s="172" t="s">
        <v>229</v>
      </c>
      <c r="B176">
        <v>604.76</v>
      </c>
      <c r="C176">
        <v>163.22</v>
      </c>
      <c r="D176">
        <v>21.7</v>
      </c>
      <c r="E176">
        <v>23.31</v>
      </c>
      <c r="F176">
        <v>383.84</v>
      </c>
      <c r="G176">
        <v>142.19</v>
      </c>
      <c r="H176">
        <v>100.55</v>
      </c>
      <c r="I176">
        <v>63.41</v>
      </c>
      <c r="K176">
        <v>163.22</v>
      </c>
      <c r="L176">
        <v>21.7</v>
      </c>
      <c r="M176">
        <v>23.31</v>
      </c>
      <c r="O176">
        <v>142.19</v>
      </c>
      <c r="P176">
        <v>100.55</v>
      </c>
      <c r="Q176" s="307">
        <v>63.41</v>
      </c>
      <c r="R176">
        <v>0.70699999999999996</v>
      </c>
      <c r="S176">
        <v>0.122</v>
      </c>
      <c r="T176">
        <v>8.6541700000000006</v>
      </c>
      <c r="U176">
        <v>0.78</v>
      </c>
      <c r="V176" s="87">
        <f t="shared" si="16"/>
        <v>0.625</v>
      </c>
      <c r="W176" s="203">
        <f t="shared" si="17"/>
        <v>0.70250000000000001</v>
      </c>
      <c r="X176" s="49">
        <f t="shared" si="18"/>
        <v>63.722823449903842</v>
      </c>
      <c r="Y176" s="49">
        <f t="shared" si="19"/>
        <v>101.8135608589666</v>
      </c>
      <c r="Z176" s="50">
        <f t="shared" si="20"/>
        <v>0.14860090446579988</v>
      </c>
      <c r="AA176" s="105">
        <f t="shared" si="21"/>
        <v>1.4184623953317923</v>
      </c>
      <c r="AB176" s="311">
        <f>INDEX($AJ$3:AK184,MATCH(COUNTA(J176:Q176),$AJ$3:$AJ$12,0),2)</f>
        <v>1.94</v>
      </c>
      <c r="AC176" s="108">
        <f t="shared" si="22"/>
        <v>85.73</v>
      </c>
      <c r="AD176" s="310">
        <f t="shared" si="23"/>
        <v>9.9062070654955932</v>
      </c>
      <c r="AH176" s="147" t="s">
        <v>42</v>
      </c>
    </row>
    <row r="177" spans="1:34">
      <c r="A177" s="172" t="s">
        <v>230</v>
      </c>
      <c r="B177">
        <v>212.24</v>
      </c>
      <c r="C177">
        <v>91.57</v>
      </c>
      <c r="F177">
        <v>85.71</v>
      </c>
      <c r="H177">
        <v>38.369999999999997</v>
      </c>
      <c r="J177" s="306">
        <v>212.24</v>
      </c>
      <c r="K177">
        <v>91.57</v>
      </c>
      <c r="N177">
        <v>85.71</v>
      </c>
      <c r="P177">
        <v>38.369999999999997</v>
      </c>
      <c r="R177">
        <v>0.70699999999999996</v>
      </c>
      <c r="S177">
        <v>0.122</v>
      </c>
      <c r="T177">
        <v>7.3876200000000001</v>
      </c>
      <c r="U177">
        <v>0.78</v>
      </c>
      <c r="V177" s="87">
        <f t="shared" si="16"/>
        <v>0.5</v>
      </c>
      <c r="W177" s="203">
        <f t="shared" si="17"/>
        <v>0.64</v>
      </c>
      <c r="X177" s="49">
        <f t="shared" si="18"/>
        <v>59.997803926940755</v>
      </c>
      <c r="Y177" s="49">
        <f t="shared" si="19"/>
        <v>59.997803926940755</v>
      </c>
      <c r="Z177" s="50">
        <f t="shared" si="20"/>
        <v>0.69402427100707431</v>
      </c>
      <c r="AA177" s="105">
        <f t="shared" si="21"/>
        <v>1.6401622388885944</v>
      </c>
      <c r="AB177" s="311">
        <f>INDEX($AJ$3:AK185,MATCH(COUNTA(J177:Q177),$AJ$3:$AJ$12,0),2)</f>
        <v>1.49</v>
      </c>
      <c r="AC177" s="108">
        <f t="shared" si="22"/>
        <v>106.9725</v>
      </c>
      <c r="AD177" s="310">
        <f t="shared" si="23"/>
        <v>14.479967838085878</v>
      </c>
      <c r="AH177" s="147" t="s">
        <v>42</v>
      </c>
    </row>
    <row r="178" spans="1:34">
      <c r="A178" s="172" t="s">
        <v>231</v>
      </c>
      <c r="E178">
        <v>12.81</v>
      </c>
      <c r="M178">
        <v>12.81</v>
      </c>
      <c r="R178">
        <v>0.81799999999999995</v>
      </c>
      <c r="S178">
        <v>3.5000000000000003E-2</v>
      </c>
      <c r="T178">
        <v>7.5310050000000004</v>
      </c>
      <c r="U178">
        <v>0.75</v>
      </c>
      <c r="V178" s="87">
        <f t="shared" si="16"/>
        <v>0.5625</v>
      </c>
      <c r="W178" s="203">
        <f t="shared" si="17"/>
        <v>0.65625</v>
      </c>
      <c r="X178" s="49">
        <f t="shared" si="18"/>
        <v>0</v>
      </c>
      <c r="Y178" s="49">
        <f t="shared" si="19"/>
        <v>0</v>
      </c>
      <c r="Z178" s="50" t="e">
        <f t="shared" si="20"/>
        <v>#NUM!</v>
      </c>
      <c r="AA178" s="105" t="e">
        <f t="shared" si="21"/>
        <v>#DIV/0!</v>
      </c>
      <c r="AB178" s="311" t="e">
        <f>INDEX($AJ$3:AK186,MATCH(COUNTA(J178:Q178),$AJ$3:$AJ$12,0),2)</f>
        <v>#N/A</v>
      </c>
      <c r="AC178" s="108">
        <f t="shared" si="22"/>
        <v>12.81</v>
      </c>
      <c r="AD178" s="310">
        <f t="shared" si="23"/>
        <v>1.7009681974716522</v>
      </c>
      <c r="AH178" s="147" t="s">
        <v>42</v>
      </c>
    </row>
    <row r="179" spans="1:34">
      <c r="A179" s="172" t="s">
        <v>232</v>
      </c>
      <c r="E179">
        <v>17.37</v>
      </c>
      <c r="H179">
        <v>10.54</v>
      </c>
      <c r="I179">
        <v>12.45</v>
      </c>
      <c r="M179">
        <v>17.37</v>
      </c>
      <c r="P179">
        <v>10.54</v>
      </c>
      <c r="Q179" s="307">
        <v>12.45</v>
      </c>
      <c r="R179">
        <v>0.50800000000000001</v>
      </c>
      <c r="S179">
        <v>3.5000000000000003E-2</v>
      </c>
      <c r="T179">
        <v>7.2204149999999991</v>
      </c>
      <c r="U179">
        <v>0.57999999999999996</v>
      </c>
      <c r="V179" s="87">
        <f t="shared" si="16"/>
        <v>0.6875</v>
      </c>
      <c r="W179" s="203">
        <f t="shared" si="17"/>
        <v>0.63375000000000004</v>
      </c>
      <c r="X179" s="49">
        <f t="shared" si="18"/>
        <v>21.386360766304961</v>
      </c>
      <c r="Y179" s="49">
        <f t="shared" si="19"/>
        <v>21.386360766304961</v>
      </c>
      <c r="Z179" s="50">
        <f t="shared" si="20"/>
        <v>0.72035139092240119</v>
      </c>
      <c r="AA179" s="105">
        <f t="shared" si="21"/>
        <v>1.3612873863749613</v>
      </c>
      <c r="AB179" s="311">
        <f>INDEX($AJ$3:AK186,MATCH(COUNTA(J179:Q179),$AJ$3:$AJ$12,0),2)</f>
        <v>1.1499999999999999</v>
      </c>
      <c r="AC179" s="108">
        <f t="shared" si="22"/>
        <v>13.453333333333333</v>
      </c>
      <c r="AD179" s="310">
        <f t="shared" si="23"/>
        <v>1.8632354696140505</v>
      </c>
      <c r="AH179" s="147" t="s">
        <v>42</v>
      </c>
    </row>
    <row r="180" spans="1:34">
      <c r="A180" s="172" t="s">
        <v>233</v>
      </c>
      <c r="R180">
        <v>0.86099999999999999</v>
      </c>
      <c r="S180">
        <v>3.5000000000000003E-2</v>
      </c>
      <c r="T180">
        <v>6.5432199999999998</v>
      </c>
      <c r="U180">
        <v>0.75</v>
      </c>
      <c r="V180" s="87" t="e">
        <f t="shared" si="16"/>
        <v>#DIV/0!</v>
      </c>
      <c r="W180" s="203" t="e">
        <f t="shared" si="17"/>
        <v>#DIV/0!</v>
      </c>
      <c r="X180" s="49" t="e">
        <f t="shared" si="18"/>
        <v>#DIV/0!</v>
      </c>
      <c r="Y180" s="49" t="e">
        <f t="shared" si="19"/>
        <v>#DIV/0!</v>
      </c>
      <c r="Z180" s="50" t="e">
        <f t="shared" si="20"/>
        <v>#NUM!</v>
      </c>
      <c r="AA180" s="105" t="e">
        <f t="shared" si="21"/>
        <v>#DIV/0!</v>
      </c>
      <c r="AB180" s="311" t="e">
        <f>INDEX($AJ$3:AK186,MATCH(COUNTA(J180:Q180),$AJ$3:$AJ$12,0),2)</f>
        <v>#N/A</v>
      </c>
      <c r="AC180" s="108" t="e">
        <f t="shared" si="22"/>
        <v>#DIV/0!</v>
      </c>
      <c r="AD180" s="310" t="str">
        <f t="shared" si="23"/>
        <v>n.d.</v>
      </c>
      <c r="AH180" s="147" t="s">
        <v>42</v>
      </c>
    </row>
    <row r="181" spans="1:34">
      <c r="A181" s="172" t="s">
        <v>234</v>
      </c>
      <c r="T181">
        <v>6.5395599999999998</v>
      </c>
      <c r="V181" s="87" t="e">
        <f t="shared" si="16"/>
        <v>#DIV/0!</v>
      </c>
      <c r="W181" s="203" t="e">
        <f t="shared" si="17"/>
        <v>#DIV/0!</v>
      </c>
      <c r="X181" s="49" t="e">
        <f t="shared" si="18"/>
        <v>#DIV/0!</v>
      </c>
      <c r="Y181" s="49" t="e">
        <f t="shared" si="19"/>
        <v>#DIV/0!</v>
      </c>
      <c r="Z181" s="50" t="e">
        <f t="shared" si="20"/>
        <v>#NUM!</v>
      </c>
      <c r="AA181" s="105" t="e">
        <f t="shared" si="21"/>
        <v>#DIV/0!</v>
      </c>
      <c r="AB181" s="311" t="e">
        <f>INDEX($AJ$3:AK187,MATCH(COUNTA(J181:Q181),$AJ$3:$AJ$12,0),2)</f>
        <v>#N/A</v>
      </c>
      <c r="AC181" s="108" t="e">
        <f t="shared" si="22"/>
        <v>#DIV/0!</v>
      </c>
      <c r="AD181" s="310" t="str">
        <f t="shared" si="23"/>
        <v>n.d.</v>
      </c>
      <c r="AH181" s="147" t="s">
        <v>226</v>
      </c>
    </row>
    <row r="182" spans="1:34">
      <c r="A182" s="172" t="s">
        <v>235</v>
      </c>
      <c r="B182">
        <v>312.77999999999997</v>
      </c>
      <c r="C182">
        <v>150.16</v>
      </c>
      <c r="D182">
        <v>22.46</v>
      </c>
      <c r="F182">
        <v>193.86</v>
      </c>
      <c r="G182">
        <v>40.72</v>
      </c>
      <c r="H182">
        <v>99.97</v>
      </c>
      <c r="I182">
        <v>107.47</v>
      </c>
      <c r="K182">
        <v>150.16</v>
      </c>
      <c r="L182">
        <v>22.46</v>
      </c>
      <c r="N182">
        <v>193.86</v>
      </c>
      <c r="O182">
        <v>40.72</v>
      </c>
      <c r="P182">
        <v>99.97</v>
      </c>
      <c r="Q182" s="307">
        <v>107.47</v>
      </c>
      <c r="R182">
        <v>0.70699999999999996</v>
      </c>
      <c r="S182">
        <v>0.14799999999999999</v>
      </c>
      <c r="T182">
        <v>12.27675</v>
      </c>
      <c r="U182">
        <v>0.81</v>
      </c>
      <c r="V182" s="87">
        <f t="shared" si="16"/>
        <v>0.625</v>
      </c>
      <c r="W182" s="203">
        <f t="shared" si="17"/>
        <v>0.71750000000000003</v>
      </c>
      <c r="X182" s="49">
        <f t="shared" si="18"/>
        <v>57.575901088766493</v>
      </c>
      <c r="Y182" s="49">
        <f t="shared" si="19"/>
        <v>69.173905534881072</v>
      </c>
      <c r="Z182" s="50">
        <f t="shared" si="20"/>
        <v>0.25495915985997675</v>
      </c>
      <c r="AA182" s="105">
        <f t="shared" si="21"/>
        <v>1.5499971640449386</v>
      </c>
      <c r="AB182" s="311">
        <f>INDEX($AJ$3:AK188,MATCH(COUNTA(J182:Q182),$AJ$3:$AJ$12,0),2)</f>
        <v>1.94</v>
      </c>
      <c r="AC182" s="108">
        <f t="shared" si="22"/>
        <v>102.44000000000001</v>
      </c>
      <c r="AD182" s="310">
        <f t="shared" si="23"/>
        <v>8.3442279104811945</v>
      </c>
      <c r="AH182" s="147" t="s">
        <v>42</v>
      </c>
    </row>
    <row r="183" spans="1:34">
      <c r="A183" s="172" t="s">
        <v>236</v>
      </c>
      <c r="B183">
        <v>292.27</v>
      </c>
      <c r="D183">
        <v>10.67</v>
      </c>
      <c r="F183">
        <v>241.36</v>
      </c>
      <c r="H183">
        <v>90.67</v>
      </c>
      <c r="J183" s="306">
        <v>292.27</v>
      </c>
      <c r="L183">
        <v>10.67</v>
      </c>
      <c r="N183">
        <v>241.36</v>
      </c>
      <c r="P183">
        <v>90.67</v>
      </c>
      <c r="R183">
        <v>0.70699999999999996</v>
      </c>
      <c r="S183">
        <v>0.14799999999999999</v>
      </c>
      <c r="T183">
        <v>6.5768300000000002</v>
      </c>
      <c r="U183">
        <v>0.51</v>
      </c>
      <c r="V183" s="87">
        <f t="shared" si="16"/>
        <v>0.25</v>
      </c>
      <c r="W183" s="203">
        <f t="shared" si="17"/>
        <v>0.38</v>
      </c>
      <c r="X183" s="49">
        <f t="shared" si="18"/>
        <v>71.280965827632912</v>
      </c>
      <c r="Y183" s="49">
        <f t="shared" si="19"/>
        <v>71.280965827632912</v>
      </c>
      <c r="Z183" s="50">
        <f t="shared" si="20"/>
        <v>0.18078835227272719</v>
      </c>
      <c r="AA183" s="105">
        <f t="shared" si="21"/>
        <v>1.1800595575699671</v>
      </c>
      <c r="AB183" s="311">
        <f>INDEX($AJ$3:AK189,MATCH(COUNTA(J183:Q183),$AJ$3:$AJ$12,0),2)</f>
        <v>1.49</v>
      </c>
      <c r="AC183" s="108">
        <f t="shared" si="22"/>
        <v>158.74249999999998</v>
      </c>
      <c r="AD183" s="310">
        <f t="shared" si="23"/>
        <v>24.136628132398126</v>
      </c>
      <c r="AH183" s="147" t="s">
        <v>42</v>
      </c>
    </row>
    <row r="184" spans="1:34">
      <c r="A184" s="172" t="s">
        <v>237</v>
      </c>
      <c r="R184">
        <v>0.70699999999999996</v>
      </c>
      <c r="S184">
        <v>0.34799999999999998</v>
      </c>
      <c r="T184">
        <v>4.1054899999999996</v>
      </c>
      <c r="U184">
        <v>0.42</v>
      </c>
      <c r="V184" s="87" t="e">
        <f t="shared" si="16"/>
        <v>#DIV/0!</v>
      </c>
      <c r="W184" s="203" t="e">
        <f t="shared" si="17"/>
        <v>#DIV/0!</v>
      </c>
      <c r="X184" s="49" t="e">
        <f t="shared" si="18"/>
        <v>#DIV/0!</v>
      </c>
      <c r="Y184" s="49" t="e">
        <f t="shared" si="19"/>
        <v>#DIV/0!</v>
      </c>
      <c r="Z184" s="50" t="e">
        <f t="shared" si="20"/>
        <v>#NUM!</v>
      </c>
      <c r="AA184" s="105" t="e">
        <f t="shared" si="21"/>
        <v>#DIV/0!</v>
      </c>
      <c r="AB184" s="311" t="e">
        <f>INDEX($AJ$3:AK190,MATCH(COUNTA(J184:Q184),$AJ$3:$AJ$12,0),2)</f>
        <v>#N/A</v>
      </c>
      <c r="AC184" s="108" t="e">
        <f t="shared" si="22"/>
        <v>#DIV/0!</v>
      </c>
      <c r="AD184" s="310" t="str">
        <f t="shared" si="23"/>
        <v>n.d.</v>
      </c>
      <c r="AH184" s="147" t="s">
        <v>42</v>
      </c>
    </row>
    <row r="185" spans="1:34">
      <c r="A185" s="172" t="s">
        <v>238</v>
      </c>
      <c r="B185">
        <v>404.8</v>
      </c>
      <c r="C185">
        <v>164.02</v>
      </c>
      <c r="D185">
        <v>58.37</v>
      </c>
      <c r="E185">
        <v>48.58</v>
      </c>
      <c r="F185">
        <v>230.23</v>
      </c>
      <c r="G185">
        <v>129.80000000000001</v>
      </c>
      <c r="H185">
        <v>111.64</v>
      </c>
      <c r="I185">
        <v>190.54</v>
      </c>
      <c r="K185">
        <v>164.02</v>
      </c>
      <c r="L185">
        <v>58.37</v>
      </c>
      <c r="M185">
        <v>48.58</v>
      </c>
      <c r="N185">
        <v>230.23</v>
      </c>
      <c r="O185">
        <v>129.80000000000001</v>
      </c>
      <c r="P185">
        <v>111.64</v>
      </c>
      <c r="Q185" s="307">
        <v>190.54</v>
      </c>
      <c r="R185">
        <v>0.70699999999999996</v>
      </c>
      <c r="S185">
        <v>0.34799999999999998</v>
      </c>
      <c r="T185">
        <v>7.0180100000000003</v>
      </c>
      <c r="U185">
        <v>0.81</v>
      </c>
      <c r="V185" s="87">
        <f t="shared" si="16"/>
        <v>0.6875</v>
      </c>
      <c r="W185" s="203">
        <f t="shared" si="17"/>
        <v>0.74875000000000003</v>
      </c>
      <c r="X185" s="49">
        <f t="shared" si="18"/>
        <v>46.49117370471393</v>
      </c>
      <c r="Y185" s="49">
        <f t="shared" si="19"/>
        <v>63.903563699556841</v>
      </c>
      <c r="Z185" s="50">
        <f t="shared" si="20"/>
        <v>0.2184971098265896</v>
      </c>
      <c r="AA185" s="105">
        <f t="shared" si="21"/>
        <v>1.5637564400485304</v>
      </c>
      <c r="AB185" s="311">
        <f>INDEX($AJ$3:AK191,MATCH(COUNTA(J185:Q185),$AJ$3:$AJ$12,0),2)</f>
        <v>2.1</v>
      </c>
      <c r="AC185" s="108">
        <f t="shared" si="22"/>
        <v>133.31142857142856</v>
      </c>
      <c r="AD185" s="310">
        <f t="shared" si="23"/>
        <v>18.995616787583455</v>
      </c>
      <c r="AH185" s="147" t="s">
        <v>42</v>
      </c>
    </row>
    <row r="186" spans="1:34">
      <c r="A186" s="247" t="s">
        <v>239</v>
      </c>
      <c r="T186">
        <v>7.1787899999999988E-2</v>
      </c>
      <c r="V186" s="87" t="e">
        <f t="shared" si="16"/>
        <v>#DIV/0!</v>
      </c>
      <c r="W186" s="203" t="e">
        <f t="shared" si="17"/>
        <v>#DIV/0!</v>
      </c>
      <c r="X186" s="49" t="e">
        <f t="shared" si="18"/>
        <v>#DIV/0!</v>
      </c>
      <c r="Y186" s="49" t="e">
        <f t="shared" si="19"/>
        <v>#DIV/0!</v>
      </c>
      <c r="Z186" s="50" t="e">
        <f t="shared" si="20"/>
        <v>#NUM!</v>
      </c>
      <c r="AA186" s="105" t="e">
        <f t="shared" si="21"/>
        <v>#DIV/0!</v>
      </c>
      <c r="AB186" s="311" t="e">
        <f>INDEX($AJ$3:AK192,MATCH(COUNTA(J186:Q186),$AJ$3:$AJ$12,0),2)</f>
        <v>#N/A</v>
      </c>
      <c r="AC186" s="108" t="e">
        <f t="shared" si="22"/>
        <v>#DIV/0!</v>
      </c>
      <c r="AD186" s="310" t="str">
        <f t="shared" si="23"/>
        <v>n.d.</v>
      </c>
      <c r="AH186" s="147" t="s">
        <v>64</v>
      </c>
    </row>
    <row r="187" spans="1:34" s="51" customFormat="1">
      <c r="A187" s="173" t="s">
        <v>240</v>
      </c>
      <c r="B187" s="51">
        <v>277.68</v>
      </c>
      <c r="C187" s="51">
        <v>94.07</v>
      </c>
      <c r="E187" s="51">
        <v>22.02</v>
      </c>
      <c r="F187" s="51">
        <v>162.9</v>
      </c>
      <c r="G187" s="51">
        <v>75.37</v>
      </c>
      <c r="H187" s="51">
        <v>103.99</v>
      </c>
      <c r="I187" s="51">
        <v>99.88</v>
      </c>
      <c r="J187" s="63"/>
      <c r="K187" s="51">
        <v>94.07</v>
      </c>
      <c r="M187" s="51">
        <v>22.02</v>
      </c>
      <c r="N187" s="51">
        <v>162.9</v>
      </c>
      <c r="O187" s="51">
        <v>75.37</v>
      </c>
      <c r="P187" s="51">
        <v>103.99</v>
      </c>
      <c r="Q187" s="78">
        <v>99.88</v>
      </c>
      <c r="R187" s="51">
        <v>0.71699999999999997</v>
      </c>
      <c r="S187" s="51">
        <v>0.308</v>
      </c>
      <c r="T187" s="51">
        <v>5.5142600000000002</v>
      </c>
      <c r="U187" s="51">
        <v>0.93</v>
      </c>
      <c r="V187" s="89">
        <f t="shared" si="16"/>
        <v>0.625</v>
      </c>
      <c r="W187" s="68">
        <f t="shared" si="17"/>
        <v>0.77750000000000008</v>
      </c>
      <c r="X187" s="69">
        <f t="shared" si="18"/>
        <v>44.757682332504238</v>
      </c>
      <c r="Y187" s="69">
        <f t="shared" si="19"/>
        <v>63.00600088809464</v>
      </c>
      <c r="Z187" s="70">
        <f t="shared" si="20"/>
        <v>0.41815729699034648</v>
      </c>
      <c r="AA187" s="104">
        <f t="shared" si="21"/>
        <v>1.6776811724478136</v>
      </c>
      <c r="AB187" s="71">
        <f>INDEX($AJ$3:AK193,MATCH(COUNTA(J187:Q187),$AJ$3:$AJ$12,0),2)</f>
        <v>1.94</v>
      </c>
      <c r="AC187" s="107">
        <f t="shared" si="22"/>
        <v>93.038333333333341</v>
      </c>
      <c r="AD187" s="90">
        <f t="shared" si="23"/>
        <v>16.872315294043688</v>
      </c>
      <c r="AG187" s="78"/>
      <c r="AH187" s="148" t="s">
        <v>146</v>
      </c>
    </row>
    <row r="188" spans="1:34">
      <c r="A188" s="173" t="s">
        <v>241</v>
      </c>
      <c r="B188">
        <v>202.5</v>
      </c>
      <c r="C188">
        <v>153.91</v>
      </c>
      <c r="D188">
        <v>31.26</v>
      </c>
      <c r="E188">
        <v>34.97</v>
      </c>
      <c r="F188">
        <v>425.41</v>
      </c>
      <c r="G188">
        <v>167.14</v>
      </c>
      <c r="H188">
        <v>177.68</v>
      </c>
      <c r="I188">
        <v>168.51</v>
      </c>
      <c r="J188" s="306">
        <v>202.5</v>
      </c>
      <c r="K188">
        <v>153.91</v>
      </c>
      <c r="L188">
        <v>31.26</v>
      </c>
      <c r="M188">
        <v>34.97</v>
      </c>
      <c r="O188">
        <v>167.14</v>
      </c>
      <c r="P188">
        <v>177.68</v>
      </c>
      <c r="Q188" s="307">
        <v>168.51</v>
      </c>
      <c r="R188">
        <v>0.63600000000000001</v>
      </c>
      <c r="S188">
        <v>0.308</v>
      </c>
      <c r="T188">
        <v>8.6348099999999999</v>
      </c>
      <c r="U188">
        <v>0.63</v>
      </c>
      <c r="V188" s="87">
        <f t="shared" si="16"/>
        <v>0.6875</v>
      </c>
      <c r="W188" s="203">
        <f t="shared" si="17"/>
        <v>0.65874999999999995</v>
      </c>
      <c r="X188" s="49">
        <f t="shared" si="18"/>
        <v>48.672348494797994</v>
      </c>
      <c r="Y188" s="49">
        <f t="shared" si="19"/>
        <v>67.033501802849656</v>
      </c>
      <c r="Z188" s="50">
        <f t="shared" si="20"/>
        <v>0.14494277038075212</v>
      </c>
      <c r="AA188" s="105">
        <f t="shared" si="21"/>
        <v>1.0570100551754544</v>
      </c>
      <c r="AB188" s="311">
        <f>INDEX($AJ$3:AK194,MATCH(COUNTA(J188:Q188),$AJ$3:$AJ$12,0),2)</f>
        <v>2.1</v>
      </c>
      <c r="AC188" s="108">
        <f t="shared" si="22"/>
        <v>133.71</v>
      </c>
      <c r="AD188" s="310">
        <f t="shared" si="23"/>
        <v>15.484996195631405</v>
      </c>
      <c r="AH188" s="147" t="s">
        <v>146</v>
      </c>
    </row>
    <row r="189" spans="1:34">
      <c r="A189" s="173" t="s">
        <v>242</v>
      </c>
      <c r="B189">
        <v>320.64</v>
      </c>
      <c r="C189">
        <v>145.72</v>
      </c>
      <c r="D189">
        <v>45.65</v>
      </c>
      <c r="E189">
        <v>56.97</v>
      </c>
      <c r="F189">
        <v>792.14</v>
      </c>
      <c r="G189">
        <v>237.39</v>
      </c>
      <c r="H189">
        <v>231.24</v>
      </c>
      <c r="I189">
        <v>167.42</v>
      </c>
      <c r="J189" s="306">
        <v>320.64</v>
      </c>
      <c r="K189">
        <v>145.72</v>
      </c>
      <c r="L189">
        <v>45.65</v>
      </c>
      <c r="M189">
        <v>56.97</v>
      </c>
      <c r="O189">
        <v>237.39</v>
      </c>
      <c r="P189">
        <v>231.24</v>
      </c>
      <c r="Q189" s="307">
        <v>167.42</v>
      </c>
      <c r="R189">
        <v>0.86399999999999999</v>
      </c>
      <c r="S189">
        <v>0.308</v>
      </c>
      <c r="T189">
        <v>9.2441649999999989</v>
      </c>
      <c r="U189">
        <v>0.53</v>
      </c>
      <c r="V189" s="87">
        <f t="shared" si="16"/>
        <v>0.6875</v>
      </c>
      <c r="W189" s="203">
        <f t="shared" si="17"/>
        <v>0.60875000000000001</v>
      </c>
      <c r="X189" s="49">
        <f t="shared" si="18"/>
        <v>53.685090771806912</v>
      </c>
      <c r="Y189" s="49">
        <f t="shared" si="19"/>
        <v>89.135003788424754</v>
      </c>
      <c r="Z189" s="50">
        <f t="shared" si="20"/>
        <v>0.30273828139205061</v>
      </c>
      <c r="AA189" s="105">
        <f t="shared" si="21"/>
        <v>1.6067638522119501</v>
      </c>
      <c r="AB189" s="311">
        <f>INDEX($AJ$3:AK195,MATCH(COUNTA(J189:Q189),$AJ$3:$AJ$12,0),2)</f>
        <v>2.1</v>
      </c>
      <c r="AC189" s="108">
        <f t="shared" si="22"/>
        <v>172.14714285714288</v>
      </c>
      <c r="AD189" s="310">
        <f t="shared" si="23"/>
        <v>18.622249046522093</v>
      </c>
      <c r="AH189" s="147" t="s">
        <v>146</v>
      </c>
    </row>
    <row r="190" spans="1:34">
      <c r="A190" s="173" t="s">
        <v>243</v>
      </c>
      <c r="C190">
        <v>73.88</v>
      </c>
      <c r="F190">
        <v>182.73</v>
      </c>
      <c r="H190">
        <v>59.76</v>
      </c>
      <c r="I190">
        <v>53.82</v>
      </c>
      <c r="K190">
        <v>73.88</v>
      </c>
      <c r="P190">
        <v>59.76</v>
      </c>
      <c r="Q190" s="307">
        <v>53.82</v>
      </c>
      <c r="R190">
        <v>0.52</v>
      </c>
      <c r="S190">
        <v>5.7000000000000002E-2</v>
      </c>
      <c r="T190">
        <v>8.5557249999999989</v>
      </c>
      <c r="U190">
        <v>0.52</v>
      </c>
      <c r="V190" s="87">
        <f t="shared" si="16"/>
        <v>0.6875</v>
      </c>
      <c r="W190" s="203">
        <f t="shared" si="17"/>
        <v>0.60375000000000001</v>
      </c>
      <c r="X190" s="49">
        <f t="shared" si="18"/>
        <v>13.464247967128099</v>
      </c>
      <c r="Y190" s="49">
        <f t="shared" si="19"/>
        <v>56.807832876410345</v>
      </c>
      <c r="Z190" s="50">
        <f t="shared" si="20"/>
        <v>0.70388833499501502</v>
      </c>
      <c r="AA190" s="105">
        <f t="shared" si="21"/>
        <v>1.3541954316428966</v>
      </c>
      <c r="AB190" s="311">
        <f>INDEX($AJ$3:AK196,MATCH(COUNTA(J190:Q190),$AJ$3:$AJ$12,0),2)</f>
        <v>1.1499999999999999</v>
      </c>
      <c r="AC190" s="108">
        <f t="shared" si="22"/>
        <v>62.486666666666657</v>
      </c>
      <c r="AD190" s="310">
        <f t="shared" si="23"/>
        <v>7.3034917165601589</v>
      </c>
      <c r="AH190" s="147" t="s">
        <v>244</v>
      </c>
    </row>
    <row r="191" spans="1:34">
      <c r="A191" s="173" t="s">
        <v>245</v>
      </c>
      <c r="B191">
        <v>363.4</v>
      </c>
      <c r="F191">
        <v>812.08</v>
      </c>
      <c r="G191">
        <v>84.62</v>
      </c>
      <c r="H191">
        <v>132.43</v>
      </c>
      <c r="O191">
        <v>84.62</v>
      </c>
      <c r="P191">
        <v>132.43</v>
      </c>
      <c r="R191">
        <v>0.77600000000000002</v>
      </c>
      <c r="S191">
        <v>5.7000000000000002E-2</v>
      </c>
      <c r="T191">
        <v>12.1275</v>
      </c>
      <c r="U191">
        <v>0.55000000000000004</v>
      </c>
      <c r="V191" s="87">
        <f t="shared" si="16"/>
        <v>0.625</v>
      </c>
      <c r="W191" s="203">
        <f t="shared" si="17"/>
        <v>0.58750000000000002</v>
      </c>
      <c r="X191" s="49">
        <f t="shared" si="18"/>
        <v>22.027182676802575</v>
      </c>
      <c r="Y191" s="49">
        <f t="shared" si="19"/>
        <v>82.686068174455045</v>
      </c>
      <c r="Z191" s="50">
        <f t="shared" si="20"/>
        <v>1</v>
      </c>
      <c r="AA191" s="105">
        <f t="shared" si="21"/>
        <v>1.0000000000000002</v>
      </c>
      <c r="AB191" s="311" t="e">
        <f>INDEX($AJ$3:AK197,MATCH(COUNTA(J191:Q191),$AJ$3:$AJ$12,0),2)</f>
        <v>#N/A</v>
      </c>
      <c r="AC191" s="108">
        <f t="shared" si="22"/>
        <v>108.52500000000001</v>
      </c>
      <c r="AD191" s="310">
        <f t="shared" si="23"/>
        <v>8.9486703772418075</v>
      </c>
      <c r="AH191" s="147" t="s">
        <v>244</v>
      </c>
    </row>
    <row r="192" spans="1:34">
      <c r="A192" s="173" t="s">
        <v>246</v>
      </c>
      <c r="B192">
        <v>278.2</v>
      </c>
      <c r="C192">
        <v>98.25</v>
      </c>
      <c r="D192">
        <v>8.76</v>
      </c>
      <c r="F192">
        <v>585.57000000000005</v>
      </c>
      <c r="H192">
        <v>117.13</v>
      </c>
      <c r="I192">
        <v>83.43</v>
      </c>
      <c r="K192">
        <v>98.25</v>
      </c>
      <c r="L192">
        <v>8.76</v>
      </c>
      <c r="P192">
        <v>117.13</v>
      </c>
      <c r="Q192" s="307">
        <v>83.43</v>
      </c>
      <c r="R192">
        <v>0.91</v>
      </c>
      <c r="S192">
        <v>5.7000000000000002E-2</v>
      </c>
      <c r="T192">
        <v>7.9963800000000003</v>
      </c>
      <c r="U192">
        <v>0.65</v>
      </c>
      <c r="V192" s="87">
        <f t="shared" si="16"/>
        <v>0.5</v>
      </c>
      <c r="W192" s="203">
        <f t="shared" si="17"/>
        <v>0.57499999999999996</v>
      </c>
      <c r="X192" s="49">
        <f t="shared" si="18"/>
        <v>53.463648103875308</v>
      </c>
      <c r="Y192" s="49">
        <f t="shared" si="19"/>
        <v>98.535556059645842</v>
      </c>
      <c r="Z192" s="50">
        <f t="shared" si="20"/>
        <v>0.17421795699916948</v>
      </c>
      <c r="AA192" s="105">
        <f t="shared" si="21"/>
        <v>0.97878750987679075</v>
      </c>
      <c r="AB192" s="311">
        <f>INDEX($AJ$3:AK198,MATCH(COUNTA(J192:Q192),$AJ$3:$AJ$12,0),2)</f>
        <v>1.49</v>
      </c>
      <c r="AC192" s="108">
        <f t="shared" si="22"/>
        <v>76.892499999999998</v>
      </c>
      <c r="AD192" s="310">
        <f t="shared" si="23"/>
        <v>9.6159137009496796</v>
      </c>
      <c r="AH192" s="147" t="s">
        <v>244</v>
      </c>
    </row>
    <row r="193" spans="1:34">
      <c r="A193" s="173" t="s">
        <v>247</v>
      </c>
      <c r="B193">
        <v>287.39</v>
      </c>
      <c r="C193">
        <v>58.3</v>
      </c>
      <c r="D193">
        <v>30.49</v>
      </c>
      <c r="F193">
        <v>389.25</v>
      </c>
      <c r="H193">
        <v>95.74</v>
      </c>
      <c r="J193" s="306">
        <v>287.39</v>
      </c>
      <c r="K193">
        <v>58.3</v>
      </c>
      <c r="L193">
        <v>30.49</v>
      </c>
      <c r="N193">
        <v>389.25</v>
      </c>
      <c r="P193">
        <v>95.74</v>
      </c>
      <c r="R193">
        <v>0.70699999999999996</v>
      </c>
      <c r="S193">
        <v>4.3999999999999997E-2</v>
      </c>
      <c r="T193">
        <v>9.1964899999999989</v>
      </c>
      <c r="U193">
        <v>0.61</v>
      </c>
      <c r="V193" s="87">
        <f t="shared" si="16"/>
        <v>0.3125</v>
      </c>
      <c r="W193" s="203">
        <f t="shared" si="17"/>
        <v>0.46124999999999999</v>
      </c>
      <c r="X193" s="49">
        <f t="shared" si="18"/>
        <v>81.81408630863568</v>
      </c>
      <c r="Y193" s="49">
        <f t="shared" si="19"/>
        <v>81.81408630863568</v>
      </c>
      <c r="Z193" s="50">
        <f t="shared" si="20"/>
        <v>0.28392239937562719</v>
      </c>
      <c r="AA193" s="105">
        <f t="shared" si="21"/>
        <v>1.5400853225568385</v>
      </c>
      <c r="AB193" s="311">
        <f>INDEX($AJ$3:AK199,MATCH(COUNTA(J193:Q193),$AJ$3:$AJ$12,0),2)</f>
        <v>1.75</v>
      </c>
      <c r="AC193" s="108">
        <f t="shared" si="22"/>
        <v>172.23400000000001</v>
      </c>
      <c r="AD193" s="310">
        <f t="shared" si="23"/>
        <v>18.728232184235509</v>
      </c>
      <c r="AH193" s="147" t="s">
        <v>244</v>
      </c>
    </row>
    <row r="194" spans="1:34">
      <c r="A194" s="173" t="s">
        <v>248</v>
      </c>
      <c r="C194">
        <v>43.01</v>
      </c>
      <c r="F194">
        <v>78.91</v>
      </c>
      <c r="H194">
        <v>53.21</v>
      </c>
      <c r="I194">
        <v>65.239999999999995</v>
      </c>
      <c r="K194">
        <v>43.01</v>
      </c>
      <c r="N194">
        <v>78.91</v>
      </c>
      <c r="P194">
        <v>53.21</v>
      </c>
      <c r="Q194" s="307">
        <v>65.239999999999995</v>
      </c>
      <c r="R194">
        <v>0.70699999999999996</v>
      </c>
      <c r="S194">
        <v>4.3999999999999997E-2</v>
      </c>
      <c r="T194">
        <v>7.59185</v>
      </c>
      <c r="U194">
        <v>0.52</v>
      </c>
      <c r="V194" s="87">
        <f t="shared" ref="V194:V228" si="24">(COUNT(J194:Q194)*(1/(COUNT(J194:Q194)+COUNTBLANK(J194:Q194)))+(IF(X194&lt;35,1,IF(X194&lt;70,0.5,IF(X194&gt;70,0)))))/2</f>
        <v>0.75</v>
      </c>
      <c r="W194" s="203">
        <f t="shared" ref="W194:W257" si="25">AVERAGE(U194:V194)</f>
        <v>0.63500000000000001</v>
      </c>
      <c r="X194" s="49">
        <f t="shared" ref="X194:X228" si="26">((_xlfn.STDEV.P(J194:Q194))/(AVERAGE(J194:Q194)))*100</f>
        <v>22.32278184031669</v>
      </c>
      <c r="Y194" s="49">
        <f t="shared" ref="Y194:Y228" si="27">((_xlfn.STDEV.P(B194:I194))/(AVERAGE(B194:I194)))*100</f>
        <v>22.32278184031669</v>
      </c>
      <c r="Z194" s="50">
        <f t="shared" ref="Z194:Z228" si="28">(ABS((LARGE(J194:Q194,2) -MAX(J194:Q194))))/(ABS(MIN(J194:Q194)-MAX(J194:Q194)))</f>
        <v>0.38077994428969364</v>
      </c>
      <c r="AA194" s="105">
        <f t="shared" ref="AA194:AA228" si="29">(ABS(MAX(J194:Q194)-AVERAGE(J194:Q194))/_xlfn.STDEV.P(J194:Q194))</f>
        <v>1.4027921846307465</v>
      </c>
      <c r="AB194" s="311">
        <f>INDEX($AJ$3:AK200,MATCH(COUNTA(J194:Q194),$AJ$3:$AJ$12,0),2)</f>
        <v>1.49</v>
      </c>
      <c r="AC194" s="108">
        <f t="shared" ref="AC194:AC228" si="30">AVERAGE(J194:Q194)</f>
        <v>60.092500000000001</v>
      </c>
      <c r="AD194" s="310">
        <f t="shared" ref="AD194:AD257" si="31">IF(AND(J194="",K194="",M194="",O194="",Q194=""),"n.d.", AC194/T194)</f>
        <v>7.915396115571304</v>
      </c>
      <c r="AH194" s="147" t="s">
        <v>244</v>
      </c>
    </row>
    <row r="195" spans="1:34">
      <c r="A195" s="173" t="s">
        <v>249</v>
      </c>
      <c r="B195">
        <v>491.26</v>
      </c>
      <c r="C195">
        <v>84.02</v>
      </c>
      <c r="F195">
        <v>267.64</v>
      </c>
      <c r="H195">
        <v>132.68</v>
      </c>
      <c r="I195">
        <v>131.9</v>
      </c>
      <c r="K195">
        <v>84.02</v>
      </c>
      <c r="P195">
        <v>132.68</v>
      </c>
      <c r="Q195" s="307">
        <v>131.9</v>
      </c>
      <c r="R195">
        <v>0.70699999999999996</v>
      </c>
      <c r="S195">
        <v>0.17599999999999999</v>
      </c>
      <c r="T195">
        <v>9.1481399999999997</v>
      </c>
      <c r="U195">
        <v>0.47</v>
      </c>
      <c r="V195" s="87">
        <f t="shared" si="24"/>
        <v>0.6875</v>
      </c>
      <c r="W195" s="203">
        <f t="shared" si="25"/>
        <v>0.57874999999999999</v>
      </c>
      <c r="X195" s="49">
        <f t="shared" si="26"/>
        <v>19.584272135105465</v>
      </c>
      <c r="Y195" s="49">
        <f t="shared" si="27"/>
        <v>66.877301951395822</v>
      </c>
      <c r="Z195" s="50">
        <f t="shared" si="28"/>
        <v>1.6029593094944533E-2</v>
      </c>
      <c r="AA195" s="105">
        <f t="shared" si="29"/>
        <v>0.72417519344717585</v>
      </c>
      <c r="AB195" s="311">
        <f>INDEX($AJ$3:AK201,MATCH(COUNTA(J195:Q195),$AJ$3:$AJ$12,0),2)</f>
        <v>1.1499999999999999</v>
      </c>
      <c r="AC195" s="108">
        <f t="shared" si="30"/>
        <v>116.2</v>
      </c>
      <c r="AD195" s="310">
        <f t="shared" si="31"/>
        <v>12.702035605051957</v>
      </c>
      <c r="AH195" s="147" t="s">
        <v>244</v>
      </c>
    </row>
    <row r="196" spans="1:34">
      <c r="A196" s="173" t="s">
        <v>250</v>
      </c>
      <c r="C196">
        <v>69.959999999999994</v>
      </c>
      <c r="F196">
        <v>74.959999999999994</v>
      </c>
      <c r="H196">
        <v>60.46</v>
      </c>
      <c r="I196">
        <v>95.94</v>
      </c>
      <c r="K196">
        <v>69.959999999999994</v>
      </c>
      <c r="N196">
        <v>74.959999999999994</v>
      </c>
      <c r="P196">
        <v>60.46</v>
      </c>
      <c r="Q196" s="307">
        <v>95.94</v>
      </c>
      <c r="R196">
        <v>0.70699999999999996</v>
      </c>
      <c r="S196">
        <v>0.17599999999999999</v>
      </c>
      <c r="T196">
        <v>5.17957</v>
      </c>
      <c r="U196">
        <v>0.52</v>
      </c>
      <c r="V196" s="87">
        <f t="shared" si="24"/>
        <v>0.75</v>
      </c>
      <c r="W196" s="203">
        <f t="shared" si="25"/>
        <v>0.63500000000000001</v>
      </c>
      <c r="X196" s="49">
        <f t="shared" si="26"/>
        <v>17.242879041627589</v>
      </c>
      <c r="Y196" s="49">
        <f t="shared" si="27"/>
        <v>17.242879041627589</v>
      </c>
      <c r="Z196" s="50">
        <f t="shared" si="28"/>
        <v>0.59131905298759879</v>
      </c>
      <c r="AA196" s="105">
        <f t="shared" si="29"/>
        <v>1.5867198056743892</v>
      </c>
      <c r="AB196" s="311">
        <f>INDEX($AJ$3:AK201,MATCH(COUNTA(J196:Q196),$AJ$3:$AJ$12,0),2)</f>
        <v>1.49</v>
      </c>
      <c r="AC196" s="108">
        <f t="shared" si="30"/>
        <v>75.33</v>
      </c>
      <c r="AD196" s="310">
        <f t="shared" si="31"/>
        <v>14.543678336232544</v>
      </c>
      <c r="AH196" s="147" t="s">
        <v>244</v>
      </c>
    </row>
    <row r="197" spans="1:34">
      <c r="A197" s="173" t="s">
        <v>251</v>
      </c>
      <c r="B197">
        <v>162.1</v>
      </c>
      <c r="C197">
        <v>84.01</v>
      </c>
      <c r="D197">
        <v>39.159999999999997</v>
      </c>
      <c r="F197">
        <v>90.83</v>
      </c>
      <c r="H197">
        <v>47.16</v>
      </c>
      <c r="K197">
        <v>84.01</v>
      </c>
      <c r="L197">
        <v>39.159999999999997</v>
      </c>
      <c r="N197">
        <v>90.83</v>
      </c>
      <c r="P197">
        <v>47.16</v>
      </c>
      <c r="R197">
        <v>0.70699999999999996</v>
      </c>
      <c r="S197">
        <v>5.2999999999999999E-2</v>
      </c>
      <c r="T197">
        <v>9.0249299999999995</v>
      </c>
      <c r="U197">
        <v>0.63</v>
      </c>
      <c r="V197" s="87">
        <f t="shared" si="24"/>
        <v>0.75</v>
      </c>
      <c r="W197" s="203">
        <f t="shared" si="25"/>
        <v>0.69</v>
      </c>
      <c r="X197" s="49">
        <f t="shared" si="26"/>
        <v>34.369644591172502</v>
      </c>
      <c r="Y197" s="49">
        <f t="shared" si="27"/>
        <v>51.524339415985366</v>
      </c>
      <c r="Z197" s="50">
        <f t="shared" si="28"/>
        <v>0.13199148442035985</v>
      </c>
      <c r="AA197" s="105">
        <f t="shared" si="29"/>
        <v>1.1381491623724345</v>
      </c>
      <c r="AB197" s="311">
        <f>INDEX($AJ$3:AK201,MATCH(COUNTA(J197:Q197),$AJ$3:$AJ$12,0),2)</f>
        <v>1.49</v>
      </c>
      <c r="AC197" s="108">
        <f t="shared" si="30"/>
        <v>65.289999999999992</v>
      </c>
      <c r="AD197" s="310">
        <f t="shared" si="31"/>
        <v>7.2344051422005489</v>
      </c>
      <c r="AH197" s="147" t="s">
        <v>244</v>
      </c>
    </row>
    <row r="198" spans="1:34">
      <c r="A198" s="173" t="s">
        <v>252</v>
      </c>
      <c r="B198">
        <v>167.34</v>
      </c>
      <c r="C198">
        <v>92.77</v>
      </c>
      <c r="D198">
        <v>18.649999999999999</v>
      </c>
      <c r="E198">
        <v>10.37</v>
      </c>
      <c r="F198">
        <v>62.58</v>
      </c>
      <c r="H198">
        <v>41.65</v>
      </c>
      <c r="I198">
        <v>75.239999999999995</v>
      </c>
      <c r="K198">
        <v>92.77</v>
      </c>
      <c r="L198">
        <v>18.649999999999999</v>
      </c>
      <c r="M198">
        <v>10.37</v>
      </c>
      <c r="N198">
        <v>62.58</v>
      </c>
      <c r="P198">
        <v>41.65</v>
      </c>
      <c r="Q198" s="307">
        <v>75.239999999999995</v>
      </c>
      <c r="R198">
        <v>0.70699999999999996</v>
      </c>
      <c r="S198">
        <v>5.2999999999999999E-2</v>
      </c>
      <c r="T198">
        <v>8.3660199999999989</v>
      </c>
      <c r="U198">
        <v>0.85</v>
      </c>
      <c r="V198" s="87">
        <f t="shared" si="24"/>
        <v>0.625</v>
      </c>
      <c r="W198" s="203">
        <f t="shared" si="25"/>
        <v>0.73750000000000004</v>
      </c>
      <c r="X198" s="49">
        <f t="shared" si="26"/>
        <v>58.898795405875383</v>
      </c>
      <c r="Y198" s="49">
        <f t="shared" si="27"/>
        <v>73.630811991631049</v>
      </c>
      <c r="Z198" s="50">
        <f t="shared" si="28"/>
        <v>0.21274271844660197</v>
      </c>
      <c r="AA198" s="105">
        <f t="shared" si="29"/>
        <v>1.4391464316492604</v>
      </c>
      <c r="AB198" s="311">
        <f>INDEX($AJ$3:AK202,MATCH(COUNTA(J198:Q198),$AJ$3:$AJ$12,0),2)</f>
        <v>1.94</v>
      </c>
      <c r="AC198" s="108">
        <f t="shared" si="30"/>
        <v>50.21</v>
      </c>
      <c r="AD198" s="310">
        <f t="shared" si="31"/>
        <v>6.0016590923760651</v>
      </c>
      <c r="AH198" s="147" t="s">
        <v>244</v>
      </c>
    </row>
    <row r="199" spans="1:34">
      <c r="A199" s="173" t="s">
        <v>253</v>
      </c>
      <c r="B199">
        <v>445.88</v>
      </c>
      <c r="C199">
        <v>108.4</v>
      </c>
      <c r="D199">
        <v>10.91</v>
      </c>
      <c r="E199">
        <v>11.8</v>
      </c>
      <c r="F199">
        <v>110.22</v>
      </c>
      <c r="H199">
        <v>88.77</v>
      </c>
      <c r="I199">
        <v>78.239999999999995</v>
      </c>
      <c r="K199">
        <v>108.4</v>
      </c>
      <c r="L199">
        <v>10.91</v>
      </c>
      <c r="M199">
        <v>11.8</v>
      </c>
      <c r="N199">
        <v>110.22</v>
      </c>
      <c r="P199">
        <v>88.77</v>
      </c>
      <c r="Q199" s="307">
        <v>78.239999999999995</v>
      </c>
      <c r="R199">
        <v>0.67700000000000005</v>
      </c>
      <c r="S199">
        <v>4.8000000000000001E-2</v>
      </c>
      <c r="T199">
        <v>8.8748400000000007</v>
      </c>
      <c r="U199">
        <v>0.75</v>
      </c>
      <c r="V199" s="87">
        <f t="shared" si="24"/>
        <v>0.625</v>
      </c>
      <c r="W199" s="203">
        <f t="shared" si="25"/>
        <v>0.6875</v>
      </c>
      <c r="X199" s="49">
        <f t="shared" si="26"/>
        <v>61.082153752793268</v>
      </c>
      <c r="Y199" s="49">
        <f t="shared" si="27"/>
        <v>112.83856984588635</v>
      </c>
      <c r="Z199" s="50">
        <f t="shared" si="28"/>
        <v>1.8326452522404522E-2</v>
      </c>
      <c r="AA199" s="105">
        <f t="shared" si="29"/>
        <v>1.0142614565129724</v>
      </c>
      <c r="AB199" s="311">
        <f>INDEX($AJ$3:AK203,MATCH(COUNTA(J199:Q199),$AJ$3:$AJ$12,0),2)</f>
        <v>1.94</v>
      </c>
      <c r="AC199" s="108">
        <f t="shared" si="30"/>
        <v>68.056666666666672</v>
      </c>
      <c r="AD199" s="310">
        <f t="shared" si="31"/>
        <v>7.668495056436698</v>
      </c>
      <c r="AH199" s="147" t="s">
        <v>244</v>
      </c>
    </row>
    <row r="200" spans="1:34">
      <c r="A200" s="173" t="s">
        <v>254</v>
      </c>
      <c r="B200">
        <v>521.21</v>
      </c>
      <c r="C200">
        <v>134.04</v>
      </c>
      <c r="D200">
        <v>62.03</v>
      </c>
      <c r="E200">
        <v>18.649999999999999</v>
      </c>
      <c r="F200">
        <v>185.42</v>
      </c>
      <c r="H200">
        <v>106.22</v>
      </c>
      <c r="I200">
        <v>43.93</v>
      </c>
      <c r="K200">
        <v>134.04</v>
      </c>
      <c r="L200">
        <v>62.03</v>
      </c>
      <c r="M200">
        <v>18.649999999999999</v>
      </c>
      <c r="N200">
        <v>185.42</v>
      </c>
      <c r="P200">
        <v>106.22</v>
      </c>
      <c r="Q200" s="307">
        <v>43.93</v>
      </c>
      <c r="R200">
        <v>0.87</v>
      </c>
      <c r="S200">
        <v>4.8000000000000001E-2</v>
      </c>
      <c r="T200">
        <v>10.6442</v>
      </c>
      <c r="U200">
        <v>0.63</v>
      </c>
      <c r="V200" s="87">
        <f t="shared" si="24"/>
        <v>0.625</v>
      </c>
      <c r="W200" s="203">
        <f t="shared" si="25"/>
        <v>0.62749999999999995</v>
      </c>
      <c r="X200" s="49">
        <f t="shared" si="26"/>
        <v>61.815838391806551</v>
      </c>
      <c r="Y200" s="49">
        <f t="shared" si="27"/>
        <v>103.99984137829428</v>
      </c>
      <c r="Z200" s="50">
        <f t="shared" si="28"/>
        <v>0.30808898482940578</v>
      </c>
      <c r="AA200" s="105">
        <f t="shared" si="29"/>
        <v>1.6528088543489661</v>
      </c>
      <c r="AB200" s="311">
        <f>INDEX($AJ$3:AK204,MATCH(COUNTA(J200:Q200),$AJ$3:$AJ$12,0),2)</f>
        <v>1.94</v>
      </c>
      <c r="AC200" s="108">
        <f t="shared" si="30"/>
        <v>91.714999999999989</v>
      </c>
      <c r="AD200" s="310">
        <f t="shared" si="31"/>
        <v>8.6164296048552256</v>
      </c>
      <c r="AH200" s="147" t="s">
        <v>244</v>
      </c>
    </row>
    <row r="201" spans="1:34">
      <c r="A201" s="248" t="s">
        <v>255</v>
      </c>
      <c r="B201">
        <v>264.05</v>
      </c>
      <c r="C201">
        <v>105.87</v>
      </c>
      <c r="D201">
        <v>20.010000000000002</v>
      </c>
      <c r="E201">
        <v>18.86</v>
      </c>
      <c r="F201">
        <v>104.34</v>
      </c>
      <c r="H201">
        <v>53.13</v>
      </c>
      <c r="I201">
        <v>43.73</v>
      </c>
      <c r="K201">
        <v>105.87</v>
      </c>
      <c r="L201">
        <v>20.010000000000002</v>
      </c>
      <c r="M201">
        <v>18.86</v>
      </c>
      <c r="N201">
        <v>104.34</v>
      </c>
      <c r="P201">
        <v>53.13</v>
      </c>
      <c r="Q201" s="307">
        <v>43.73</v>
      </c>
      <c r="R201">
        <v>0.626</v>
      </c>
      <c r="S201">
        <v>4.8000000000000001E-2</v>
      </c>
      <c r="T201">
        <v>8.4144699999999997</v>
      </c>
      <c r="U201">
        <v>0.87</v>
      </c>
      <c r="V201" s="87">
        <f t="shared" si="24"/>
        <v>0.625</v>
      </c>
      <c r="W201" s="203">
        <f t="shared" si="25"/>
        <v>0.74750000000000005</v>
      </c>
      <c r="X201" s="49">
        <f t="shared" si="26"/>
        <v>61.893205206328041</v>
      </c>
      <c r="Y201" s="49">
        <f t="shared" si="27"/>
        <v>91.139972742814805</v>
      </c>
      <c r="Z201" s="50">
        <f t="shared" si="28"/>
        <v>1.7584185725778658E-2</v>
      </c>
      <c r="AA201" s="105">
        <f t="shared" si="29"/>
        <v>1.351060055214317</v>
      </c>
      <c r="AB201" s="311">
        <f>INDEX($AJ$3:AK205,MATCH(COUNTA(J201:Q201),$AJ$3:$AJ$12,0),2)</f>
        <v>1.94</v>
      </c>
      <c r="AC201" s="108">
        <f t="shared" si="30"/>
        <v>57.656666666666673</v>
      </c>
      <c r="AD201" s="310">
        <f t="shared" si="31"/>
        <v>6.8520853561384945</v>
      </c>
      <c r="AH201" s="147" t="s">
        <v>244</v>
      </c>
    </row>
    <row r="202" spans="1:34" s="51" customFormat="1">
      <c r="A202" s="170" t="s">
        <v>256</v>
      </c>
      <c r="B202" s="51">
        <v>277.29000000000002</v>
      </c>
      <c r="C202" s="51">
        <v>128.77000000000001</v>
      </c>
      <c r="F202" s="51">
        <v>296.24</v>
      </c>
      <c r="G202" s="51">
        <v>116.82</v>
      </c>
      <c r="H202" s="51">
        <v>160.9</v>
      </c>
      <c r="I202" s="51">
        <v>137.80000000000001</v>
      </c>
      <c r="J202" s="63">
        <v>277.29000000000002</v>
      </c>
      <c r="K202" s="51">
        <v>128.77000000000001</v>
      </c>
      <c r="N202" s="51">
        <v>296.24</v>
      </c>
      <c r="O202" s="51">
        <v>116.82</v>
      </c>
      <c r="P202" s="51">
        <v>160.9</v>
      </c>
      <c r="Q202" s="78">
        <v>137.80000000000001</v>
      </c>
      <c r="R202" s="51">
        <v>0.70699999999999996</v>
      </c>
      <c r="S202" s="51">
        <v>0.113</v>
      </c>
      <c r="T202" s="51">
        <v>4.5994950000000001</v>
      </c>
      <c r="U202" s="51">
        <v>0.95</v>
      </c>
      <c r="V202" s="89">
        <f t="shared" si="24"/>
        <v>0.625</v>
      </c>
      <c r="W202" s="68">
        <f t="shared" si="25"/>
        <v>0.78749999999999998</v>
      </c>
      <c r="X202" s="69">
        <f t="shared" si="26"/>
        <v>38.892236744607402</v>
      </c>
      <c r="Y202" s="69">
        <f t="shared" si="27"/>
        <v>38.892236744607402</v>
      </c>
      <c r="Z202" s="70">
        <f t="shared" si="28"/>
        <v>0.10561810277561022</v>
      </c>
      <c r="AA202" s="104">
        <f t="shared" si="29"/>
        <v>1.5172565420359065</v>
      </c>
      <c r="AB202" s="71">
        <f>INDEX($AJ$3:AK206,MATCH(COUNTA(J202:Q202),$AJ$3:$AJ$12,0),2)</f>
        <v>1.94</v>
      </c>
      <c r="AC202" s="107">
        <f t="shared" si="30"/>
        <v>186.30333333333337</v>
      </c>
      <c r="AD202" s="90">
        <f t="shared" si="31"/>
        <v>40.505171401063237</v>
      </c>
      <c r="AG202" s="78"/>
      <c r="AH202" s="83" t="s">
        <v>146</v>
      </c>
    </row>
    <row r="203" spans="1:34">
      <c r="A203" s="170" t="s">
        <v>257</v>
      </c>
      <c r="B203">
        <v>365.22</v>
      </c>
      <c r="C203">
        <v>153.30000000000001</v>
      </c>
      <c r="D203">
        <v>155.83000000000001</v>
      </c>
      <c r="E203">
        <v>47.31</v>
      </c>
      <c r="H203">
        <v>209.47</v>
      </c>
      <c r="J203" s="306">
        <v>365.22</v>
      </c>
      <c r="K203">
        <v>153.30000000000001</v>
      </c>
      <c r="L203">
        <v>155.83000000000001</v>
      </c>
      <c r="M203">
        <v>47.31</v>
      </c>
      <c r="P203">
        <v>209.47</v>
      </c>
      <c r="R203">
        <v>0.70699999999999996</v>
      </c>
      <c r="S203">
        <v>0.113</v>
      </c>
      <c r="T203">
        <v>6.10121</v>
      </c>
      <c r="U203">
        <v>0.75</v>
      </c>
      <c r="V203" s="87">
        <f t="shared" si="24"/>
        <v>0.5625</v>
      </c>
      <c r="W203" s="203">
        <f t="shared" si="25"/>
        <v>0.65625</v>
      </c>
      <c r="X203" s="49">
        <f t="shared" si="26"/>
        <v>55.745258920153319</v>
      </c>
      <c r="Y203" s="49">
        <f t="shared" si="27"/>
        <v>55.745258920153319</v>
      </c>
      <c r="Z203" s="50">
        <f t="shared" si="28"/>
        <v>0.48991853040168604</v>
      </c>
      <c r="AA203" s="105">
        <f t="shared" si="29"/>
        <v>1.7242102453838639</v>
      </c>
      <c r="AB203" s="311">
        <f>INDEX($AJ$3:AK207,MATCH(COUNTA(J203:Q203),$AJ$3:$AJ$12,0),2)</f>
        <v>1.75</v>
      </c>
      <c r="AC203" s="108">
        <f t="shared" si="30"/>
        <v>186.22600000000003</v>
      </c>
      <c r="AD203" s="310">
        <f t="shared" si="31"/>
        <v>30.522797936802704</v>
      </c>
      <c r="AH203" s="312" t="s">
        <v>146</v>
      </c>
    </row>
    <row r="204" spans="1:34">
      <c r="A204" s="170" t="s">
        <v>258</v>
      </c>
      <c r="B204">
        <v>114.47</v>
      </c>
      <c r="C204">
        <v>112.81</v>
      </c>
      <c r="D204">
        <v>39.659999999999997</v>
      </c>
      <c r="E204">
        <v>39.19</v>
      </c>
      <c r="F204">
        <v>173.43</v>
      </c>
      <c r="G204">
        <v>12.63</v>
      </c>
      <c r="H204">
        <v>82.14</v>
      </c>
      <c r="J204" s="306">
        <v>114.47</v>
      </c>
      <c r="K204">
        <v>112.81</v>
      </c>
      <c r="L204">
        <v>39.659999999999997</v>
      </c>
      <c r="M204">
        <v>39.19</v>
      </c>
      <c r="N204">
        <v>173.43</v>
      </c>
      <c r="O204">
        <v>12.63</v>
      </c>
      <c r="P204">
        <v>82.14</v>
      </c>
      <c r="R204">
        <v>0.70699999999999996</v>
      </c>
      <c r="S204">
        <v>9.7000000000000003E-2</v>
      </c>
      <c r="T204">
        <v>4.843</v>
      </c>
      <c r="U204">
        <v>0.81</v>
      </c>
      <c r="V204" s="87">
        <f t="shared" si="24"/>
        <v>0.6875</v>
      </c>
      <c r="W204" s="203">
        <f t="shared" si="25"/>
        <v>0.74875000000000003</v>
      </c>
      <c r="X204" s="49">
        <f t="shared" si="26"/>
        <v>63.164502311785419</v>
      </c>
      <c r="Y204" s="49">
        <f t="shared" si="27"/>
        <v>63.164502311785419</v>
      </c>
      <c r="Z204" s="50">
        <f t="shared" si="28"/>
        <v>0.3666666666666667</v>
      </c>
      <c r="AA204" s="105">
        <f t="shared" si="29"/>
        <v>1.763308056151645</v>
      </c>
      <c r="AB204" s="311">
        <f>INDEX($AJ$3:AK208,MATCH(COUNTA(J204:Q204),$AJ$3:$AJ$12,0),2)</f>
        <v>2.1</v>
      </c>
      <c r="AC204" s="108">
        <f t="shared" si="30"/>
        <v>82.047142857142859</v>
      </c>
      <c r="AD204" s="310">
        <f t="shared" si="31"/>
        <v>16.94138815964131</v>
      </c>
      <c r="AH204" s="312" t="s">
        <v>146</v>
      </c>
    </row>
    <row r="205" spans="1:34">
      <c r="A205" s="170" t="s">
        <v>259</v>
      </c>
      <c r="H205">
        <v>101.5</v>
      </c>
      <c r="P205">
        <v>101.5</v>
      </c>
      <c r="R205">
        <v>0.70699999999999996</v>
      </c>
      <c r="S205">
        <v>9.7000000000000003E-2</v>
      </c>
      <c r="T205">
        <v>6.6468399999999992</v>
      </c>
      <c r="U205">
        <v>0.42</v>
      </c>
      <c r="V205" s="87">
        <f t="shared" si="24"/>
        <v>0.5625</v>
      </c>
      <c r="W205" s="203">
        <f t="shared" si="25"/>
        <v>0.49124999999999996</v>
      </c>
      <c r="X205" s="49">
        <f t="shared" si="26"/>
        <v>0</v>
      </c>
      <c r="Y205" s="49">
        <f t="shared" si="27"/>
        <v>0</v>
      </c>
      <c r="Z205" s="50" t="e">
        <f t="shared" si="28"/>
        <v>#NUM!</v>
      </c>
      <c r="AA205" s="105" t="e">
        <f t="shared" si="29"/>
        <v>#DIV/0!</v>
      </c>
      <c r="AB205" s="311" t="e">
        <f>INDEX($AJ$3:AK209,MATCH(COUNTA(J205:Q205),$AJ$3:$AJ$12,0),2)</f>
        <v>#N/A</v>
      </c>
      <c r="AC205" s="108">
        <f t="shared" si="30"/>
        <v>101.5</v>
      </c>
      <c r="AD205" s="310" t="str">
        <f t="shared" si="31"/>
        <v>n.d.</v>
      </c>
      <c r="AH205" s="312" t="s">
        <v>146</v>
      </c>
    </row>
    <row r="206" spans="1:34">
      <c r="A206" s="249" t="s">
        <v>260</v>
      </c>
      <c r="B206">
        <v>1053.33</v>
      </c>
      <c r="C206">
        <v>819.72</v>
      </c>
      <c r="D206">
        <v>686.71</v>
      </c>
      <c r="E206">
        <v>452.88</v>
      </c>
      <c r="F206">
        <v>1201.5</v>
      </c>
      <c r="G206">
        <v>1047.1500000000001</v>
      </c>
      <c r="H206">
        <v>400.84</v>
      </c>
      <c r="I206">
        <v>591.69000000000005</v>
      </c>
      <c r="K206">
        <v>819.72</v>
      </c>
      <c r="L206">
        <v>686.71</v>
      </c>
      <c r="M206">
        <v>452.88</v>
      </c>
      <c r="P206">
        <v>400.84</v>
      </c>
      <c r="Q206" s="307">
        <v>591.69000000000005</v>
      </c>
      <c r="T206">
        <f>1000*0.5434</f>
        <v>543.4</v>
      </c>
      <c r="U206">
        <v>0.82</v>
      </c>
      <c r="V206" s="87">
        <f t="shared" si="24"/>
        <v>0.8125</v>
      </c>
      <c r="W206" s="203">
        <f t="shared" si="25"/>
        <v>0.81624999999999992</v>
      </c>
      <c r="X206" s="49">
        <f t="shared" si="26"/>
        <v>25.878889163284224</v>
      </c>
      <c r="Y206" s="49">
        <f t="shared" si="27"/>
        <v>35.61847175839938</v>
      </c>
      <c r="Z206" s="50">
        <f t="shared" si="28"/>
        <v>0.31753724216959506</v>
      </c>
      <c r="AA206" s="105">
        <f t="shared" si="29"/>
        <v>1.501184570171493</v>
      </c>
      <c r="AB206" s="311">
        <f>INDEX($AJ$3:AK210,MATCH(COUNTA(J206:Q206),$AJ$3:$AJ$12,0),2)</f>
        <v>1.75</v>
      </c>
      <c r="AC206" s="108">
        <f t="shared" si="30"/>
        <v>590.36800000000005</v>
      </c>
      <c r="AD206" s="310">
        <f t="shared" si="31"/>
        <v>1.0864335664335665</v>
      </c>
      <c r="AG206" s="91">
        <f>AD206*100</f>
        <v>108.64335664335665</v>
      </c>
      <c r="AH206" s="312" t="s">
        <v>64</v>
      </c>
    </row>
    <row r="207" spans="1:34" s="51" customFormat="1">
      <c r="A207" s="170" t="s">
        <v>261</v>
      </c>
      <c r="B207" s="51">
        <v>836.17</v>
      </c>
      <c r="C207" s="51">
        <v>156.61000000000001</v>
      </c>
      <c r="D207" s="51">
        <v>90.15</v>
      </c>
      <c r="E207" s="51">
        <v>108.53</v>
      </c>
      <c r="F207" s="51">
        <v>464.35</v>
      </c>
      <c r="G207" s="51">
        <v>27.88</v>
      </c>
      <c r="H207" s="51">
        <v>261.14</v>
      </c>
      <c r="I207" s="51">
        <v>311.31</v>
      </c>
      <c r="J207" s="63"/>
      <c r="K207" s="51">
        <v>156.61000000000001</v>
      </c>
      <c r="L207" s="51">
        <v>90.15</v>
      </c>
      <c r="M207" s="51">
        <v>108.53</v>
      </c>
      <c r="N207" s="51">
        <v>464.35</v>
      </c>
      <c r="O207" s="51">
        <v>27.88</v>
      </c>
      <c r="P207" s="51">
        <v>261.14</v>
      </c>
      <c r="Q207" s="78">
        <v>311.31</v>
      </c>
      <c r="T207" s="51">
        <v>5.4117899999999999</v>
      </c>
      <c r="U207" s="51">
        <v>0.75</v>
      </c>
      <c r="V207" s="89">
        <f t="shared" si="24"/>
        <v>0.6875</v>
      </c>
      <c r="W207" s="68">
        <f t="shared" si="25"/>
        <v>0.71875</v>
      </c>
      <c r="X207" s="69">
        <f t="shared" si="26"/>
        <v>69.189807280273456</v>
      </c>
      <c r="Y207" s="69">
        <f t="shared" si="27"/>
        <v>87.652816569146538</v>
      </c>
      <c r="Z207" s="70">
        <f t="shared" si="28"/>
        <v>0.35063120031159073</v>
      </c>
      <c r="AA207" s="104">
        <f t="shared" si="29"/>
        <v>1.8631323133635682</v>
      </c>
      <c r="AB207" s="71">
        <f>INDEX($AJ$3:AK211,MATCH(COUNTA(J207:Q207),$AJ$3:$AJ$12,0),2)</f>
        <v>2.1</v>
      </c>
      <c r="AC207" s="107">
        <f t="shared" si="30"/>
        <v>202.85285714285715</v>
      </c>
      <c r="AD207" s="90">
        <f t="shared" si="31"/>
        <v>37.483504929580995</v>
      </c>
      <c r="AF207" s="126">
        <v>0.1615</v>
      </c>
      <c r="AG207" s="93">
        <f>100*((AC207-AVERAGE(AD204)*T207)/(AF207*1000))</f>
        <v>68.835679327796839</v>
      </c>
      <c r="AH207" s="83" t="s">
        <v>49</v>
      </c>
    </row>
    <row r="208" spans="1:34">
      <c r="A208" s="170" t="s">
        <v>262</v>
      </c>
      <c r="B208">
        <v>322.63</v>
      </c>
      <c r="F208">
        <v>1260.21</v>
      </c>
      <c r="G208">
        <v>192.78</v>
      </c>
      <c r="J208" s="306">
        <v>322.63</v>
      </c>
      <c r="O208">
        <v>192.78</v>
      </c>
      <c r="T208">
        <v>5.4577400000000003</v>
      </c>
      <c r="U208">
        <v>0.38</v>
      </c>
      <c r="V208" s="87">
        <f t="shared" si="24"/>
        <v>0.625</v>
      </c>
      <c r="W208" s="203">
        <f t="shared" si="25"/>
        <v>0.50249999999999995</v>
      </c>
      <c r="X208" s="49">
        <f t="shared" si="26"/>
        <v>25.193535243786563</v>
      </c>
      <c r="Y208" s="49">
        <f t="shared" si="27"/>
        <v>80.346461999734885</v>
      </c>
      <c r="Z208" s="50">
        <f t="shared" si="28"/>
        <v>1</v>
      </c>
      <c r="AA208" s="105">
        <f t="shared" si="29"/>
        <v>0.99999999999999778</v>
      </c>
      <c r="AB208" s="311" t="e">
        <f>INDEX($AJ$3:AK212,MATCH(COUNTA(J208:Q208),$AJ$3:$AJ$12,0),2)</f>
        <v>#N/A</v>
      </c>
      <c r="AC208" s="108">
        <f t="shared" si="30"/>
        <v>257.70499999999998</v>
      </c>
      <c r="AD208" s="310">
        <f t="shared" si="31"/>
        <v>47.218262504259997</v>
      </c>
      <c r="AH208" s="312" t="s">
        <v>49</v>
      </c>
    </row>
    <row r="209" spans="1:34">
      <c r="A209" s="170" t="s">
        <v>263</v>
      </c>
      <c r="V209" s="87" t="e">
        <f t="shared" si="24"/>
        <v>#DIV/0!</v>
      </c>
      <c r="W209" s="203" t="e">
        <f t="shared" si="25"/>
        <v>#DIV/0!</v>
      </c>
      <c r="X209" s="49" t="e">
        <f t="shared" si="26"/>
        <v>#DIV/0!</v>
      </c>
      <c r="Y209" s="49" t="e">
        <f t="shared" si="27"/>
        <v>#DIV/0!</v>
      </c>
      <c r="Z209" s="50" t="e">
        <f t="shared" si="28"/>
        <v>#NUM!</v>
      </c>
      <c r="AA209" s="105" t="e">
        <f t="shared" si="29"/>
        <v>#DIV/0!</v>
      </c>
      <c r="AB209" s="311" t="e">
        <f>INDEX($AJ$3:AK213,MATCH(COUNTA(J209:Q209),$AJ$3:$AJ$12,0),2)</f>
        <v>#N/A</v>
      </c>
      <c r="AC209" s="108" t="e">
        <f t="shared" si="30"/>
        <v>#DIV/0!</v>
      </c>
      <c r="AD209" s="310" t="str">
        <f t="shared" si="31"/>
        <v>n.d.</v>
      </c>
      <c r="AH209" s="312" t="s">
        <v>49</v>
      </c>
    </row>
    <row r="210" spans="1:34">
      <c r="A210" s="170" t="s">
        <v>264</v>
      </c>
      <c r="B210">
        <v>235.72</v>
      </c>
      <c r="C210">
        <v>85.6</v>
      </c>
      <c r="H210">
        <v>634.5</v>
      </c>
      <c r="I210">
        <v>538.36</v>
      </c>
      <c r="J210" s="306">
        <v>235.72</v>
      </c>
      <c r="K210">
        <v>85.6</v>
      </c>
      <c r="P210">
        <v>634.5</v>
      </c>
      <c r="Q210" s="307">
        <v>538.36</v>
      </c>
      <c r="R210">
        <v>0.70699999999999996</v>
      </c>
      <c r="S210">
        <v>0.10199999999999999</v>
      </c>
      <c r="T210">
        <v>10.235150000000001</v>
      </c>
      <c r="U210">
        <v>0.55000000000000004</v>
      </c>
      <c r="V210" s="87">
        <f t="shared" si="24"/>
        <v>0.5</v>
      </c>
      <c r="W210" s="203">
        <f t="shared" si="25"/>
        <v>0.52500000000000002</v>
      </c>
      <c r="X210" s="49">
        <f t="shared" si="26"/>
        <v>59.435647620980525</v>
      </c>
      <c r="Y210" s="49">
        <f t="shared" si="27"/>
        <v>59.435647620980525</v>
      </c>
      <c r="Z210" s="50">
        <f t="shared" si="28"/>
        <v>0.17515030060120237</v>
      </c>
      <c r="AA210" s="105">
        <f t="shared" si="29"/>
        <v>1.1753729608806256</v>
      </c>
      <c r="AB210" s="311">
        <f>INDEX($AJ$3:AK214,MATCH(COUNTA(J210:Q210),$AJ$3:$AJ$12,0),2)</f>
        <v>1.49</v>
      </c>
      <c r="AC210" s="108">
        <f t="shared" si="30"/>
        <v>373.54499999999996</v>
      </c>
      <c r="AD210" s="310">
        <f t="shared" si="31"/>
        <v>36.496289746608497</v>
      </c>
      <c r="AH210" s="312" t="s">
        <v>244</v>
      </c>
    </row>
    <row r="211" spans="1:34">
      <c r="A211" s="170" t="s">
        <v>265</v>
      </c>
      <c r="B211">
        <v>270.42</v>
      </c>
      <c r="J211" s="306">
        <v>270.42</v>
      </c>
      <c r="R211">
        <v>0.70699999999999996</v>
      </c>
      <c r="S211">
        <v>0.10199999999999999</v>
      </c>
      <c r="T211">
        <v>8.9477550000000008</v>
      </c>
      <c r="U211">
        <v>0.55000000000000004</v>
      </c>
      <c r="V211" s="87">
        <f t="shared" si="24"/>
        <v>0.5625</v>
      </c>
      <c r="W211" s="203">
        <f t="shared" si="25"/>
        <v>0.55625000000000002</v>
      </c>
      <c r="X211" s="49">
        <f t="shared" si="26"/>
        <v>0</v>
      </c>
      <c r="Y211" s="49">
        <f t="shared" si="27"/>
        <v>0</v>
      </c>
      <c r="Z211" s="50" t="e">
        <f t="shared" si="28"/>
        <v>#NUM!</v>
      </c>
      <c r="AA211" s="105" t="e">
        <f t="shared" si="29"/>
        <v>#DIV/0!</v>
      </c>
      <c r="AB211" s="311" t="e">
        <f>INDEX($AJ$3:AK215,MATCH(COUNTA(J211:Q211),$AJ$3:$AJ$12,0),2)</f>
        <v>#N/A</v>
      </c>
      <c r="AC211" s="108">
        <f t="shared" si="30"/>
        <v>270.42</v>
      </c>
      <c r="AD211" s="310">
        <f t="shared" si="31"/>
        <v>30.222105991949935</v>
      </c>
      <c r="AH211" s="312" t="s">
        <v>244</v>
      </c>
    </row>
    <row r="212" spans="1:34">
      <c r="A212" s="170" t="s">
        <v>266</v>
      </c>
      <c r="R212">
        <v>0.70699999999999996</v>
      </c>
      <c r="S212">
        <v>0.96399999999999997</v>
      </c>
      <c r="T212">
        <v>10.384600000000001</v>
      </c>
      <c r="V212" s="87" t="e">
        <f t="shared" si="24"/>
        <v>#DIV/0!</v>
      </c>
      <c r="W212" s="203" t="e">
        <f t="shared" si="25"/>
        <v>#DIV/0!</v>
      </c>
      <c r="X212" s="49" t="e">
        <f t="shared" si="26"/>
        <v>#DIV/0!</v>
      </c>
      <c r="Y212" s="49" t="e">
        <f t="shared" si="27"/>
        <v>#DIV/0!</v>
      </c>
      <c r="Z212" s="50" t="e">
        <f t="shared" si="28"/>
        <v>#NUM!</v>
      </c>
      <c r="AA212" s="105" t="e">
        <f t="shared" si="29"/>
        <v>#DIV/0!</v>
      </c>
      <c r="AB212" s="311" t="e">
        <f>INDEX($AJ$3:AK216,MATCH(COUNTA(J212:Q212),$AJ$3:$AJ$12,0),2)</f>
        <v>#N/A</v>
      </c>
      <c r="AC212" s="108" t="e">
        <f t="shared" si="30"/>
        <v>#DIV/0!</v>
      </c>
      <c r="AD212" s="310" t="str">
        <f t="shared" si="31"/>
        <v>n.d.</v>
      </c>
      <c r="AH212" s="312" t="s">
        <v>244</v>
      </c>
    </row>
    <row r="213" spans="1:34">
      <c r="A213" s="170" t="s">
        <v>267</v>
      </c>
      <c r="R213">
        <v>0.70699999999999996</v>
      </c>
      <c r="S213">
        <v>0.96399999999999997</v>
      </c>
      <c r="T213">
        <v>9.8753700000000002</v>
      </c>
      <c r="V213" s="87" t="e">
        <f t="shared" si="24"/>
        <v>#DIV/0!</v>
      </c>
      <c r="W213" s="203" t="e">
        <f t="shared" si="25"/>
        <v>#DIV/0!</v>
      </c>
      <c r="X213" s="49" t="e">
        <f t="shared" si="26"/>
        <v>#DIV/0!</v>
      </c>
      <c r="Y213" s="49" t="e">
        <f t="shared" si="27"/>
        <v>#DIV/0!</v>
      </c>
      <c r="Z213" s="50" t="e">
        <f t="shared" si="28"/>
        <v>#NUM!</v>
      </c>
      <c r="AA213" s="105" t="e">
        <f t="shared" si="29"/>
        <v>#DIV/0!</v>
      </c>
      <c r="AB213" s="311" t="e">
        <f>INDEX($AJ$3:AK217,MATCH(COUNTA(J213:Q213),$AJ$3:$AJ$12,0),2)</f>
        <v>#N/A</v>
      </c>
      <c r="AC213" s="108" t="e">
        <f t="shared" si="30"/>
        <v>#DIV/0!</v>
      </c>
      <c r="AD213" s="310" t="str">
        <f t="shared" si="31"/>
        <v>n.d.</v>
      </c>
      <c r="AH213" s="312" t="s">
        <v>244</v>
      </c>
    </row>
    <row r="214" spans="1:34">
      <c r="A214" s="170" t="s">
        <v>268</v>
      </c>
      <c r="B214">
        <v>335.27</v>
      </c>
      <c r="E214">
        <v>12.91</v>
      </c>
      <c r="F214">
        <v>74.61</v>
      </c>
      <c r="H214">
        <v>102.66</v>
      </c>
      <c r="I214">
        <v>74.39</v>
      </c>
      <c r="M214">
        <v>12.91</v>
      </c>
      <c r="N214">
        <v>74.61</v>
      </c>
      <c r="P214">
        <v>102.66</v>
      </c>
      <c r="Q214" s="307">
        <v>74.39</v>
      </c>
      <c r="T214">
        <v>6.4336500000000001</v>
      </c>
      <c r="U214">
        <v>0.67</v>
      </c>
      <c r="V214" s="87">
        <f t="shared" si="24"/>
        <v>0.5</v>
      </c>
      <c r="W214" s="203">
        <f t="shared" si="25"/>
        <v>0.58499999999999996</v>
      </c>
      <c r="X214" s="49">
        <f t="shared" si="26"/>
        <v>49.610561868766652</v>
      </c>
      <c r="Y214" s="49">
        <f t="shared" si="27"/>
        <v>93.008250308991663</v>
      </c>
      <c r="Z214" s="50">
        <f t="shared" si="28"/>
        <v>0.31253481894150414</v>
      </c>
      <c r="AA214" s="105">
        <f t="shared" si="29"/>
        <v>1.1128747433779256</v>
      </c>
      <c r="AB214" s="311">
        <f>INDEX($AJ$3:AK218,MATCH(COUNTA(J214:Q214),$AJ$3:$AJ$12,0),2)</f>
        <v>1.49</v>
      </c>
      <c r="AC214" s="108">
        <f t="shared" si="30"/>
        <v>66.142499999999998</v>
      </c>
      <c r="AD214" s="310">
        <f t="shared" si="31"/>
        <v>10.280711571192091</v>
      </c>
      <c r="AH214" s="312" t="s">
        <v>269</v>
      </c>
    </row>
    <row r="215" spans="1:34">
      <c r="A215" s="250" t="s">
        <v>270</v>
      </c>
      <c r="B215">
        <v>59.8</v>
      </c>
      <c r="D215">
        <v>12.89</v>
      </c>
      <c r="E215">
        <v>21.16</v>
      </c>
      <c r="I215">
        <v>52.73</v>
      </c>
      <c r="J215" s="306">
        <v>59.8</v>
      </c>
      <c r="L215">
        <v>12.89</v>
      </c>
      <c r="M215">
        <v>21.16</v>
      </c>
      <c r="Q215" s="307">
        <v>52.73</v>
      </c>
      <c r="T215">
        <v>0.232761</v>
      </c>
      <c r="U215">
        <v>0.57999999999999996</v>
      </c>
      <c r="V215" s="87">
        <f t="shared" si="24"/>
        <v>0.5</v>
      </c>
      <c r="W215" s="203">
        <f t="shared" si="25"/>
        <v>0.54</v>
      </c>
      <c r="X215" s="49">
        <f t="shared" si="26"/>
        <v>54.560075266952765</v>
      </c>
      <c r="Y215" s="49">
        <f t="shared" si="27"/>
        <v>54.560075266952765</v>
      </c>
      <c r="Z215" s="50">
        <f t="shared" si="28"/>
        <v>0.15071413344702625</v>
      </c>
      <c r="AA215" s="105">
        <f t="shared" si="29"/>
        <v>1.1581240983131682</v>
      </c>
      <c r="AB215" s="311">
        <f>INDEX($AJ$3:AK219,MATCH(COUNTA(J215:Q215),$AJ$3:$AJ$12,0),2)</f>
        <v>1.49</v>
      </c>
      <c r="AC215" s="108">
        <f t="shared" si="30"/>
        <v>36.644999999999996</v>
      </c>
      <c r="AD215" s="310">
        <f t="shared" si="31"/>
        <v>157.43616843027826</v>
      </c>
      <c r="AF215" s="168">
        <v>5.2699999999999997E-2</v>
      </c>
      <c r="AG215" s="91">
        <f>100*(AC215/(AF215*1000))</f>
        <v>69.535104364326372</v>
      </c>
      <c r="AH215" s="312" t="s">
        <v>64</v>
      </c>
    </row>
    <row r="216" spans="1:34">
      <c r="A216" s="170" t="s">
        <v>271</v>
      </c>
      <c r="U216">
        <v>0.65</v>
      </c>
      <c r="V216" s="87" t="e">
        <f t="shared" si="24"/>
        <v>#DIV/0!</v>
      </c>
      <c r="W216" s="203" t="e">
        <f t="shared" si="25"/>
        <v>#DIV/0!</v>
      </c>
      <c r="X216" s="49" t="e">
        <f t="shared" si="26"/>
        <v>#DIV/0!</v>
      </c>
      <c r="Y216" s="49" t="e">
        <f t="shared" si="27"/>
        <v>#DIV/0!</v>
      </c>
      <c r="Z216" s="50" t="e">
        <f t="shared" si="28"/>
        <v>#NUM!</v>
      </c>
      <c r="AA216" s="105" t="e">
        <f t="shared" si="29"/>
        <v>#DIV/0!</v>
      </c>
      <c r="AB216" s="311" t="e">
        <f>INDEX($AJ$3:AK220,MATCH(COUNTA(J216:Q216),$AJ$3:$AJ$12,0),2)</f>
        <v>#N/A</v>
      </c>
      <c r="AC216" s="108" t="e">
        <f t="shared" si="30"/>
        <v>#DIV/0!</v>
      </c>
      <c r="AD216" s="310" t="str">
        <f t="shared" si="31"/>
        <v>n.d.</v>
      </c>
      <c r="AH216" s="312" t="s">
        <v>64</v>
      </c>
    </row>
    <row r="217" spans="1:34">
      <c r="A217" s="170" t="s">
        <v>272</v>
      </c>
      <c r="T217">
        <v>0.18177399999999999</v>
      </c>
      <c r="V217" s="87" t="e">
        <f t="shared" si="24"/>
        <v>#DIV/0!</v>
      </c>
      <c r="W217" s="203" t="e">
        <f t="shared" si="25"/>
        <v>#DIV/0!</v>
      </c>
      <c r="X217" s="49" t="e">
        <f t="shared" si="26"/>
        <v>#DIV/0!</v>
      </c>
      <c r="Y217" s="49" t="e">
        <f t="shared" si="27"/>
        <v>#DIV/0!</v>
      </c>
      <c r="Z217" s="50" t="e">
        <f t="shared" si="28"/>
        <v>#NUM!</v>
      </c>
      <c r="AA217" s="105" t="e">
        <f t="shared" si="29"/>
        <v>#DIV/0!</v>
      </c>
      <c r="AB217" s="311" t="e">
        <f>INDEX($AJ$3:AK221,MATCH(COUNTA(J217:Q217),$AJ$3:$AJ$12,0),2)</f>
        <v>#N/A</v>
      </c>
      <c r="AC217" s="108" t="e">
        <f t="shared" si="30"/>
        <v>#DIV/0!</v>
      </c>
      <c r="AD217" s="310" t="str">
        <f t="shared" si="31"/>
        <v>n.d.</v>
      </c>
      <c r="AH217" s="312" t="s">
        <v>64</v>
      </c>
    </row>
    <row r="218" spans="1:34">
      <c r="A218" s="218" t="s">
        <v>534</v>
      </c>
      <c r="B218">
        <v>317.92</v>
      </c>
      <c r="C218">
        <v>138.62</v>
      </c>
      <c r="D218">
        <v>456.55</v>
      </c>
      <c r="E218">
        <v>397.44</v>
      </c>
      <c r="K218">
        <v>138.62</v>
      </c>
      <c r="L218">
        <v>456.55</v>
      </c>
      <c r="M218">
        <v>397.44</v>
      </c>
      <c r="R218">
        <v>1.133</v>
      </c>
      <c r="S218">
        <v>0.12</v>
      </c>
      <c r="T218">
        <v>11.5961</v>
      </c>
      <c r="U218">
        <v>0.85</v>
      </c>
      <c r="V218" s="87">
        <f t="shared" si="24"/>
        <v>0.4375</v>
      </c>
      <c r="W218" s="203">
        <f t="shared" si="25"/>
        <v>0.64375000000000004</v>
      </c>
      <c r="X218" s="49">
        <f t="shared" si="26"/>
        <v>41.728327604128197</v>
      </c>
      <c r="Y218" s="49">
        <f t="shared" si="27"/>
        <v>36.534998545035066</v>
      </c>
      <c r="Z218" s="50">
        <f t="shared" si="28"/>
        <v>0.18592142924543142</v>
      </c>
      <c r="AA218" s="105">
        <f t="shared" si="29"/>
        <v>0.91028586970876957</v>
      </c>
      <c r="AB218" s="311">
        <f>INDEX($AJ$3:AK222,MATCH(COUNTA(J218:Q218),$AJ$3:$AJ$12,0),2)</f>
        <v>1.1499999999999999</v>
      </c>
      <c r="AC218" s="108">
        <f t="shared" si="30"/>
        <v>330.87000000000006</v>
      </c>
      <c r="AD218" s="310">
        <f t="shared" si="31"/>
        <v>28.532868809341078</v>
      </c>
      <c r="AH218" s="312" t="s">
        <v>67</v>
      </c>
    </row>
    <row r="219" spans="1:34">
      <c r="A219" s="218" t="s">
        <v>535</v>
      </c>
      <c r="B219">
        <v>193.66</v>
      </c>
      <c r="C219">
        <v>188.53</v>
      </c>
      <c r="D219">
        <v>248.41</v>
      </c>
      <c r="E219">
        <v>189.45</v>
      </c>
      <c r="K219">
        <v>188.53</v>
      </c>
      <c r="L219">
        <v>248.41</v>
      </c>
      <c r="M219">
        <v>189.45</v>
      </c>
      <c r="R219">
        <v>0.622</v>
      </c>
      <c r="S219">
        <v>0.12</v>
      </c>
      <c r="T219">
        <v>7.643110000000001</v>
      </c>
      <c r="U219">
        <v>0.88</v>
      </c>
      <c r="V219" s="87">
        <f t="shared" si="24"/>
        <v>0.6875</v>
      </c>
      <c r="W219" s="203">
        <f t="shared" si="25"/>
        <v>0.78374999999999995</v>
      </c>
      <c r="X219" s="49">
        <f t="shared" si="26"/>
        <v>13.41658132321777</v>
      </c>
      <c r="Y219" s="49">
        <f t="shared" si="27"/>
        <v>12.257834954753204</v>
      </c>
      <c r="Z219" s="50">
        <f t="shared" si="28"/>
        <v>0.98463593854375442</v>
      </c>
      <c r="AA219" s="105">
        <f t="shared" si="29"/>
        <v>1.414086447002497</v>
      </c>
      <c r="AB219" s="311">
        <f>INDEX($AJ$3:AK223,MATCH(COUNTA(J219:Q219),$AJ$3:$AJ$12,0),2)</f>
        <v>1.1499999999999999</v>
      </c>
      <c r="AC219" s="108">
        <f t="shared" si="30"/>
        <v>208.79666666666665</v>
      </c>
      <c r="AD219" s="310">
        <f t="shared" si="31"/>
        <v>27.31828622990728</v>
      </c>
      <c r="AH219" s="312" t="s">
        <v>67</v>
      </c>
    </row>
    <row r="220" spans="1:34">
      <c r="A220" s="218" t="s">
        <v>536</v>
      </c>
      <c r="B220">
        <v>227.27</v>
      </c>
      <c r="C220">
        <v>187.95</v>
      </c>
      <c r="D220">
        <v>144.24</v>
      </c>
      <c r="E220">
        <v>128.51</v>
      </c>
      <c r="K220">
        <v>187.95</v>
      </c>
      <c r="L220">
        <v>144.24</v>
      </c>
      <c r="M220">
        <v>128.51</v>
      </c>
      <c r="R220">
        <v>0.52700000000000002</v>
      </c>
      <c r="S220">
        <v>0.12</v>
      </c>
      <c r="T220">
        <v>7.9017200000000001</v>
      </c>
      <c r="U220">
        <v>0.85</v>
      </c>
      <c r="V220" s="87">
        <f t="shared" si="24"/>
        <v>0.6875</v>
      </c>
      <c r="W220" s="203">
        <f t="shared" si="25"/>
        <v>0.76875000000000004</v>
      </c>
      <c r="X220" s="49">
        <f t="shared" si="26"/>
        <v>16.374961990872514</v>
      </c>
      <c r="Y220" s="49">
        <f t="shared" si="27"/>
        <v>22.464166922865164</v>
      </c>
      <c r="Z220" s="50">
        <f t="shared" si="28"/>
        <v>0.7353633916554505</v>
      </c>
      <c r="AA220" s="105">
        <f t="shared" si="29"/>
        <v>1.3673217414461472</v>
      </c>
      <c r="AB220" s="311">
        <f>INDEX($AJ$3:AK224,MATCH(COUNTA(J220:Q220),$AJ$3:$AJ$12,0),2)</f>
        <v>1.1499999999999999</v>
      </c>
      <c r="AC220" s="108">
        <f t="shared" si="30"/>
        <v>153.56666666666666</v>
      </c>
      <c r="AD220" s="310">
        <f t="shared" si="31"/>
        <v>19.434587237546591</v>
      </c>
      <c r="AH220" s="312" t="s">
        <v>67</v>
      </c>
    </row>
    <row r="221" spans="1:34">
      <c r="A221" s="218" t="s">
        <v>537</v>
      </c>
      <c r="U221">
        <v>0.57999999999999996</v>
      </c>
      <c r="V221" s="87" t="e">
        <f t="shared" si="24"/>
        <v>#DIV/0!</v>
      </c>
      <c r="W221" s="203" t="e">
        <f t="shared" si="25"/>
        <v>#DIV/0!</v>
      </c>
      <c r="X221" s="49" t="e">
        <f t="shared" si="26"/>
        <v>#DIV/0!</v>
      </c>
      <c r="Y221" s="49" t="e">
        <f t="shared" si="27"/>
        <v>#DIV/0!</v>
      </c>
      <c r="Z221" s="50" t="e">
        <f t="shared" si="28"/>
        <v>#NUM!</v>
      </c>
      <c r="AA221" s="105" t="e">
        <f t="shared" si="29"/>
        <v>#DIV/0!</v>
      </c>
      <c r="AB221" s="311" t="e">
        <f>INDEX($AJ$3:AK225,MATCH(COUNTA(J221:Q221),$AJ$3:$AJ$12,0),2)</f>
        <v>#N/A</v>
      </c>
      <c r="AC221" s="108" t="e">
        <f t="shared" si="30"/>
        <v>#DIV/0!</v>
      </c>
      <c r="AD221" s="310" t="str">
        <f t="shared" si="31"/>
        <v>n.d.</v>
      </c>
      <c r="AH221" s="312" t="s">
        <v>64</v>
      </c>
    </row>
    <row r="222" spans="1:34">
      <c r="A222" s="218" t="s">
        <v>538</v>
      </c>
      <c r="B222">
        <v>402.76</v>
      </c>
      <c r="D222">
        <v>7.96</v>
      </c>
      <c r="E222">
        <v>36.020000000000003</v>
      </c>
      <c r="L222">
        <v>7.96</v>
      </c>
      <c r="M222">
        <v>36.020000000000003</v>
      </c>
      <c r="R222">
        <v>0.878</v>
      </c>
      <c r="S222">
        <v>9.5000000000000001E-2</v>
      </c>
      <c r="T222">
        <v>11.2964</v>
      </c>
      <c r="U222">
        <v>0.85</v>
      </c>
      <c r="V222" s="87">
        <f t="shared" si="24"/>
        <v>0.375</v>
      </c>
      <c r="W222" s="203">
        <f t="shared" si="25"/>
        <v>0.61250000000000004</v>
      </c>
      <c r="X222" s="49">
        <f t="shared" si="26"/>
        <v>63.801728058208262</v>
      </c>
      <c r="Y222" s="49">
        <f t="shared" si="27"/>
        <v>120.78291861731051</v>
      </c>
      <c r="Z222" s="50">
        <f t="shared" si="28"/>
        <v>1</v>
      </c>
      <c r="AA222" s="105">
        <f t="shared" si="29"/>
        <v>1.0000000000000002</v>
      </c>
      <c r="AB222" s="311" t="e">
        <f>INDEX($AJ$3:AK226,MATCH(COUNTA(J222:Q222),$AJ$3:$AJ$12,0),2)</f>
        <v>#N/A</v>
      </c>
      <c r="AC222" s="108">
        <f t="shared" si="30"/>
        <v>21.990000000000002</v>
      </c>
      <c r="AD222" s="310">
        <f t="shared" si="31"/>
        <v>1.9466378669310578</v>
      </c>
      <c r="AH222" s="312" t="s">
        <v>244</v>
      </c>
    </row>
    <row r="223" spans="1:34">
      <c r="A223" s="218" t="s">
        <v>539</v>
      </c>
      <c r="B223">
        <v>456.67</v>
      </c>
      <c r="C223">
        <v>121.85</v>
      </c>
      <c r="D223">
        <v>14.99</v>
      </c>
      <c r="E223">
        <v>34.119999999999997</v>
      </c>
      <c r="L223">
        <v>14.99</v>
      </c>
      <c r="M223">
        <v>34.119999999999997</v>
      </c>
      <c r="R223">
        <v>1.008</v>
      </c>
      <c r="S223">
        <v>9.5000000000000001E-2</v>
      </c>
      <c r="T223">
        <v>14.131</v>
      </c>
      <c r="U223">
        <v>0.7</v>
      </c>
      <c r="V223" s="87">
        <f t="shared" si="24"/>
        <v>0.375</v>
      </c>
      <c r="W223" s="203">
        <f t="shared" si="25"/>
        <v>0.53749999999999998</v>
      </c>
      <c r="X223" s="49">
        <f t="shared" si="26"/>
        <v>38.953369985746264</v>
      </c>
      <c r="Y223" s="49">
        <f t="shared" si="27"/>
        <v>113.24909401201242</v>
      </c>
      <c r="Z223" s="50">
        <f t="shared" si="28"/>
        <v>1</v>
      </c>
      <c r="AA223" s="105">
        <f t="shared" si="29"/>
        <v>1.0000000000000002</v>
      </c>
      <c r="AB223" s="311" t="e">
        <f>INDEX($AJ$3:AK227,MATCH(COUNTA(J223:Q223),$AJ$3:$AJ$12,0),2)</f>
        <v>#N/A</v>
      </c>
      <c r="AC223" s="108">
        <f t="shared" si="30"/>
        <v>24.555</v>
      </c>
      <c r="AD223" s="310">
        <f t="shared" si="31"/>
        <v>1.7376689547802702</v>
      </c>
      <c r="AH223" s="312" t="s">
        <v>244</v>
      </c>
    </row>
    <row r="224" spans="1:34">
      <c r="A224" s="218" t="s">
        <v>540</v>
      </c>
      <c r="B224">
        <v>314.44</v>
      </c>
      <c r="D224">
        <v>10.53</v>
      </c>
      <c r="E224">
        <v>13.81</v>
      </c>
      <c r="L224">
        <v>10.53</v>
      </c>
      <c r="M224">
        <v>13.81</v>
      </c>
      <c r="R224">
        <v>0.317</v>
      </c>
      <c r="S224">
        <v>9.5000000000000001E-2</v>
      </c>
      <c r="T224">
        <v>11.628</v>
      </c>
      <c r="U224">
        <v>0.79</v>
      </c>
      <c r="V224" s="87">
        <f t="shared" si="24"/>
        <v>0.625</v>
      </c>
      <c r="W224" s="203">
        <f t="shared" si="25"/>
        <v>0.70750000000000002</v>
      </c>
      <c r="X224" s="49">
        <f t="shared" si="26"/>
        <v>13.475760065735376</v>
      </c>
      <c r="Y224" s="49">
        <f t="shared" si="27"/>
        <v>126.18608200042081</v>
      </c>
      <c r="Z224" s="50">
        <f t="shared" si="28"/>
        <v>1</v>
      </c>
      <c r="AA224" s="105">
        <f t="shared" si="29"/>
        <v>1.0000000000000033</v>
      </c>
      <c r="AB224" s="311" t="e">
        <f>INDEX($AJ$3:AK228,MATCH(COUNTA(J224:Q224),$AJ$3:$AJ$12,0),2)</f>
        <v>#N/A</v>
      </c>
      <c r="AC224" s="108">
        <f t="shared" si="30"/>
        <v>12.17</v>
      </c>
      <c r="AD224" s="310">
        <f t="shared" si="31"/>
        <v>1.0466116271069832</v>
      </c>
      <c r="AH224" s="312" t="s">
        <v>244</v>
      </c>
    </row>
    <row r="225" spans="1:34">
      <c r="A225" s="218" t="s">
        <v>541</v>
      </c>
      <c r="B225">
        <v>256.72000000000003</v>
      </c>
      <c r="D225">
        <v>56.63</v>
      </c>
      <c r="E225">
        <v>35.159999999999997</v>
      </c>
      <c r="L225">
        <v>56.63</v>
      </c>
      <c r="M225">
        <v>35.159999999999997</v>
      </c>
      <c r="R225">
        <v>1.0489999999999999</v>
      </c>
      <c r="S225">
        <v>6.2E-2</v>
      </c>
      <c r="T225">
        <v>7.5634450000000006</v>
      </c>
      <c r="U225">
        <v>0.67</v>
      </c>
      <c r="V225" s="87">
        <f t="shared" si="24"/>
        <v>0.625</v>
      </c>
      <c r="W225" s="203">
        <f t="shared" si="25"/>
        <v>0.64749999999999996</v>
      </c>
      <c r="X225" s="49">
        <f t="shared" si="26"/>
        <v>23.390347532410985</v>
      </c>
      <c r="Y225" s="49">
        <f t="shared" si="27"/>
        <v>85.882435198468869</v>
      </c>
      <c r="Z225" s="50">
        <f t="shared" si="28"/>
        <v>1</v>
      </c>
      <c r="AA225" s="105">
        <f t="shared" si="29"/>
        <v>0.99999999999999867</v>
      </c>
      <c r="AB225" s="311" t="e">
        <f>INDEX($AJ$3:AK228,MATCH(COUNTA(J225:Q225),$AJ$3:$AJ$12,0),2)</f>
        <v>#N/A</v>
      </c>
      <c r="AC225" s="108">
        <f t="shared" si="30"/>
        <v>45.894999999999996</v>
      </c>
      <c r="AD225" s="310">
        <f t="shared" si="31"/>
        <v>6.0680020810622661</v>
      </c>
      <c r="AH225" s="312" t="s">
        <v>244</v>
      </c>
    </row>
    <row r="226" spans="1:34">
      <c r="A226" s="218" t="s">
        <v>542</v>
      </c>
      <c r="B226">
        <v>234.1</v>
      </c>
      <c r="R226">
        <v>0.53800000000000003</v>
      </c>
      <c r="S226">
        <v>6.2E-2</v>
      </c>
      <c r="T226">
        <v>9.8938349999999993</v>
      </c>
      <c r="U226">
        <v>0.85</v>
      </c>
      <c r="V226" s="87" t="e">
        <f t="shared" si="24"/>
        <v>#DIV/0!</v>
      </c>
      <c r="W226" s="203" t="e">
        <f t="shared" si="25"/>
        <v>#DIV/0!</v>
      </c>
      <c r="X226" s="49" t="e">
        <f t="shared" si="26"/>
        <v>#DIV/0!</v>
      </c>
      <c r="Y226" s="49">
        <f t="shared" si="27"/>
        <v>0</v>
      </c>
      <c r="Z226" s="50" t="e">
        <f t="shared" si="28"/>
        <v>#NUM!</v>
      </c>
      <c r="AA226" s="105" t="e">
        <f t="shared" si="29"/>
        <v>#DIV/0!</v>
      </c>
      <c r="AB226" s="311" t="e">
        <f>INDEX($AJ$3:AK229,MATCH(COUNTA(J226:Q226),$AJ$3:$AJ$12,0),2)</f>
        <v>#N/A</v>
      </c>
      <c r="AC226" s="108" t="e">
        <f t="shared" si="30"/>
        <v>#DIV/0!</v>
      </c>
      <c r="AD226" s="310" t="str">
        <f t="shared" si="31"/>
        <v>n.d.</v>
      </c>
      <c r="AH226" s="312" t="s">
        <v>244</v>
      </c>
    </row>
    <row r="227" spans="1:34">
      <c r="A227" s="218" t="s">
        <v>543</v>
      </c>
      <c r="B227">
        <v>304.57</v>
      </c>
      <c r="D227">
        <v>56.55</v>
      </c>
      <c r="E227">
        <v>40.26</v>
      </c>
      <c r="L227">
        <v>56.55</v>
      </c>
      <c r="M227">
        <v>40.26</v>
      </c>
      <c r="R227">
        <v>0.65200000000000002</v>
      </c>
      <c r="S227">
        <v>6.2E-2</v>
      </c>
      <c r="T227">
        <v>10.473699999999999</v>
      </c>
      <c r="U227">
        <v>0.95</v>
      </c>
      <c r="V227" s="87">
        <f t="shared" si="24"/>
        <v>0.625</v>
      </c>
      <c r="W227" s="203">
        <f t="shared" si="25"/>
        <v>0.78749999999999998</v>
      </c>
      <c r="X227" s="49">
        <f t="shared" si="26"/>
        <v>16.826774093585335</v>
      </c>
      <c r="Y227" s="49">
        <f t="shared" si="27"/>
        <v>90.393386806699667</v>
      </c>
      <c r="Z227" s="50">
        <f t="shared" si="28"/>
        <v>1</v>
      </c>
      <c r="AA227" s="105">
        <f t="shared" si="29"/>
        <v>1.0000000000000018</v>
      </c>
      <c r="AB227" s="311" t="e">
        <f>INDEX($AJ$3:AK230,MATCH(COUNTA(J227:Q227),$AJ$3:$AJ$12,0),2)</f>
        <v>#N/A</v>
      </c>
      <c r="AC227" s="108">
        <f t="shared" si="30"/>
        <v>48.405000000000001</v>
      </c>
      <c r="AD227" s="310">
        <f t="shared" si="31"/>
        <v>4.6215759473729445</v>
      </c>
      <c r="AH227" s="312" t="s">
        <v>244</v>
      </c>
    </row>
    <row r="228" spans="1:34">
      <c r="A228" s="218" t="s">
        <v>544</v>
      </c>
      <c r="T228">
        <v>2.2444700000000002</v>
      </c>
      <c r="V228" s="87" t="e">
        <f t="shared" si="24"/>
        <v>#DIV/0!</v>
      </c>
      <c r="W228" s="203" t="e">
        <f t="shared" si="25"/>
        <v>#DIV/0!</v>
      </c>
      <c r="X228" s="49" t="e">
        <f t="shared" si="26"/>
        <v>#DIV/0!</v>
      </c>
      <c r="Y228" s="49" t="e">
        <f t="shared" si="27"/>
        <v>#DIV/0!</v>
      </c>
      <c r="Z228" s="50" t="e">
        <f t="shared" si="28"/>
        <v>#NUM!</v>
      </c>
      <c r="AA228" s="105" t="e">
        <f t="shared" si="29"/>
        <v>#DIV/0!</v>
      </c>
      <c r="AB228" s="311" t="e">
        <f>INDEX($AJ$3:AK231,MATCH(COUNTA(J228:Q228),$AJ$3:$AJ$12,0),2)</f>
        <v>#N/A</v>
      </c>
      <c r="AC228" s="108" t="e">
        <f t="shared" si="30"/>
        <v>#DIV/0!</v>
      </c>
      <c r="AD228" s="310" t="str">
        <f t="shared" si="31"/>
        <v>n.d.</v>
      </c>
      <c r="AH228" s="312" t="s">
        <v>244</v>
      </c>
    </row>
  </sheetData>
  <autoFilter ref="A1:AK217" xr:uid="{00000000-0009-0000-0000-000001000000}"/>
  <conditionalFormatting sqref="Z2:Z228">
    <cfRule type="expression" dxfId="12" priority="3">
      <formula>$Z2&gt;=$AB2</formula>
    </cfRule>
  </conditionalFormatting>
  <conditionalFormatting sqref="AA2:AA228">
    <cfRule type="expression" dxfId="11" priority="2">
      <formula>$AA2&gt;=$AB2</formula>
    </cfRule>
  </conditionalFormatting>
  <conditionalFormatting sqref="X1:Y228">
    <cfRule type="colorScale" priority="1">
      <colorScale>
        <cfvo type="num" val="0"/>
        <cfvo type="percentile" val="40"/>
        <cfvo type="num" val="10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82"/>
  <sheetViews>
    <sheetView topLeftCell="A433" zoomScale="80" zoomScaleNormal="80" workbookViewId="0">
      <pane xSplit="1" topLeftCell="K1" activePane="topRight" state="frozen"/>
      <selection activeCell="A10" sqref="A10"/>
      <selection pane="topRight" activeCell="L460" sqref="L460"/>
    </sheetView>
  </sheetViews>
  <sheetFormatPr baseColWidth="10" defaultRowHeight="15"/>
  <cols>
    <col min="1" max="1" width="57.5703125" style="323" bestFit="1" customWidth="1"/>
    <col min="8" max="8" width="11.42578125" style="306" customWidth="1"/>
    <col min="9" max="12" width="11.42578125" style="323" customWidth="1"/>
    <col min="13" max="13" width="11.42578125" style="307" customWidth="1"/>
    <col min="14" max="16" width="11.42578125" style="323" customWidth="1"/>
    <col min="29" max="29" width="13.5703125" style="323" bestFit="1" customWidth="1"/>
    <col min="30" max="30" width="33" style="312" bestFit="1" customWidth="1"/>
  </cols>
  <sheetData>
    <row r="1" spans="1:34" s="85" customFormat="1" ht="48.75" customHeight="1">
      <c r="A1" s="150" t="s">
        <v>0</v>
      </c>
      <c r="B1" s="52" t="s">
        <v>545</v>
      </c>
      <c r="C1" s="52" t="s">
        <v>546</v>
      </c>
      <c r="D1" s="52" t="s">
        <v>547</v>
      </c>
      <c r="E1" s="52" t="s">
        <v>548</v>
      </c>
      <c r="F1" s="52" t="s">
        <v>549</v>
      </c>
      <c r="G1" s="53" t="s">
        <v>550</v>
      </c>
      <c r="H1" s="228" t="s">
        <v>545</v>
      </c>
      <c r="I1" s="228" t="s">
        <v>546</v>
      </c>
      <c r="J1" s="228" t="s">
        <v>547</v>
      </c>
      <c r="K1" s="228" t="s">
        <v>548</v>
      </c>
      <c r="L1" s="228" t="s">
        <v>549</v>
      </c>
      <c r="M1" s="228" t="s">
        <v>550</v>
      </c>
      <c r="N1" s="101" t="s">
        <v>13</v>
      </c>
      <c r="O1" s="101" t="s">
        <v>14</v>
      </c>
      <c r="P1" s="101" t="s">
        <v>15</v>
      </c>
      <c r="Q1" s="40" t="s">
        <v>16</v>
      </c>
      <c r="R1" s="41" t="s">
        <v>17</v>
      </c>
      <c r="S1" s="42" t="s">
        <v>551</v>
      </c>
      <c r="T1" s="54" t="s">
        <v>552</v>
      </c>
      <c r="U1" s="55" t="s">
        <v>553</v>
      </c>
      <c r="V1" s="55" t="s">
        <v>21</v>
      </c>
      <c r="W1" s="55" t="s">
        <v>22</v>
      </c>
      <c r="X1" s="54" t="s">
        <v>23</v>
      </c>
      <c r="Y1" s="37" t="s">
        <v>24</v>
      </c>
      <c r="Z1" s="42" t="s">
        <v>25</v>
      </c>
      <c r="AA1" s="42" t="s">
        <v>26</v>
      </c>
      <c r="AB1" s="37" t="s">
        <v>27</v>
      </c>
      <c r="AC1" s="44" t="s">
        <v>28</v>
      </c>
      <c r="AD1" s="45" t="s">
        <v>29</v>
      </c>
      <c r="AE1" s="56"/>
      <c r="AF1" t="s">
        <v>34</v>
      </c>
      <c r="AG1" t="s">
        <v>35</v>
      </c>
      <c r="AH1" s="57"/>
    </row>
    <row r="2" spans="1:34" s="51" customFormat="1">
      <c r="A2" s="151" t="s">
        <v>32</v>
      </c>
      <c r="C2" s="51">
        <v>14.96</v>
      </c>
      <c r="E2" s="51">
        <v>18.510000000000002</v>
      </c>
      <c r="F2" s="51">
        <v>32.4</v>
      </c>
      <c r="H2" s="63"/>
      <c r="I2" s="51">
        <v>14.96</v>
      </c>
      <c r="K2" s="51">
        <v>18.510000000000002</v>
      </c>
      <c r="L2" s="51">
        <v>32.4</v>
      </c>
      <c r="M2" s="78"/>
      <c r="P2" s="117">
        <v>8.8879999999999999</v>
      </c>
      <c r="Q2" s="51">
        <v>0.36</v>
      </c>
      <c r="R2" s="92">
        <f t="shared" ref="R2:R65" si="0">IF(COUNT(H2:M2)=1,0.16,(COUNT(H2:M2)*(1/(COUNT(H2:M2)+COUNTBLANK(H2:M2)))+(IF(T2&lt;35,1,IF(T2&lt;70,0.5,IF(T2&gt;70,0)))))/2)</f>
        <v>0.75</v>
      </c>
      <c r="S2" s="93">
        <f t="shared" ref="S2:S65" si="1">AVERAGE(Q2:R2)</f>
        <v>0.55499999999999994</v>
      </c>
      <c r="T2" s="79">
        <f t="shared" ref="T2:T65" si="2">((_xlfn.STDEV.P(H2:M2))/(AVERAGE(H2:M2)))*100</f>
        <v>34.273986879891524</v>
      </c>
      <c r="U2" s="79">
        <f t="shared" ref="U2:U65" si="3">((_xlfn.STDEV.P(B2:G2))/(AVERAGE(B2:G2)))*100</f>
        <v>34.273986879891524</v>
      </c>
      <c r="V2" s="80">
        <f t="shared" ref="V2:V65" si="4">(ABS(MIN(H2:M2)-AVERAGE(H2:M2))/_xlfn.STDEV.P(H2:M2))</f>
        <v>0.92973707368916514</v>
      </c>
      <c r="W2" s="80">
        <f t="shared" ref="W2:W65" si="5">(ABS(MAX(H2:M2)-AVERAGE(H2:M2))/_xlfn.STDEV.P(H2:M2))</f>
        <v>1.3877399961258476</v>
      </c>
      <c r="X2" s="68" t="e">
        <f>INDEX(#REF!,MATCH(COUNTA(H2:M2),#REF!,0),2)</f>
        <v>#REF!</v>
      </c>
      <c r="Y2" s="90">
        <f t="shared" ref="Y2:Y65" si="6">AVERAGE(H2:M2)</f>
        <v>21.956666666666667</v>
      </c>
      <c r="Z2" s="93">
        <f t="shared" ref="Z2:Z65" si="7">IFERROR(Y2/P2,0)</f>
        <v>2.4703720372037203</v>
      </c>
      <c r="AD2" s="91" t="str">
        <f>PE_aug!AP2</f>
        <v>Massenbilanz KWS</v>
      </c>
    </row>
    <row r="3" spans="1:34">
      <c r="A3" s="151" t="s">
        <v>36</v>
      </c>
      <c r="C3">
        <v>15.41</v>
      </c>
      <c r="E3">
        <v>18.22</v>
      </c>
      <c r="F3">
        <v>30.83</v>
      </c>
      <c r="I3">
        <v>15.41</v>
      </c>
      <c r="K3">
        <v>18.22</v>
      </c>
      <c r="L3">
        <v>30.83</v>
      </c>
      <c r="P3" s="115">
        <v>8.9664000000000001</v>
      </c>
      <c r="Q3">
        <v>0.36</v>
      </c>
      <c r="R3" s="88">
        <f t="shared" si="0"/>
        <v>0.75</v>
      </c>
      <c r="S3" s="91">
        <f t="shared" si="1"/>
        <v>0.55499999999999994</v>
      </c>
      <c r="T3" s="1">
        <f t="shared" si="2"/>
        <v>31.208150938980612</v>
      </c>
      <c r="U3" s="1">
        <f t="shared" si="3"/>
        <v>31.208150938980612</v>
      </c>
      <c r="V3" s="227">
        <f t="shared" si="4"/>
        <v>0.9062089136989997</v>
      </c>
      <c r="W3" s="227">
        <f t="shared" si="5"/>
        <v>1.3933645557313752</v>
      </c>
      <c r="X3" s="203" t="e">
        <f>INDEX(#REF!,MATCH(COUNTA(H3:M3),#REF!,0),2)</f>
        <v>#REF!</v>
      </c>
      <c r="Y3" s="310">
        <f t="shared" si="6"/>
        <v>21.486666666666665</v>
      </c>
      <c r="Z3" s="91">
        <f t="shared" si="7"/>
        <v>2.3963537949083986</v>
      </c>
      <c r="AD3" s="91" t="str">
        <f>PE_aug!AP3</f>
        <v>Massenbilanz KWS</v>
      </c>
    </row>
    <row r="4" spans="1:34">
      <c r="A4" s="151" t="s">
        <v>37</v>
      </c>
      <c r="F4">
        <v>11.62</v>
      </c>
      <c r="L4">
        <v>11.62</v>
      </c>
      <c r="P4" s="115">
        <v>4.3002000000000002</v>
      </c>
      <c r="Q4">
        <v>0.46</v>
      </c>
      <c r="R4" s="88">
        <f t="shared" si="0"/>
        <v>0.16</v>
      </c>
      <c r="S4" s="91">
        <f t="shared" si="1"/>
        <v>0.31</v>
      </c>
      <c r="T4" s="1">
        <f t="shared" si="2"/>
        <v>0</v>
      </c>
      <c r="U4" s="1">
        <f t="shared" si="3"/>
        <v>0</v>
      </c>
      <c r="V4" s="227" t="e">
        <f t="shared" si="4"/>
        <v>#DIV/0!</v>
      </c>
      <c r="W4" s="227" t="e">
        <f t="shared" si="5"/>
        <v>#DIV/0!</v>
      </c>
      <c r="X4" s="203" t="e">
        <f>INDEX(#REF!,MATCH(COUNTA(H4:M4),#REF!,0),2)</f>
        <v>#REF!</v>
      </c>
      <c r="Y4" s="310">
        <f t="shared" si="6"/>
        <v>11.62</v>
      </c>
      <c r="Z4" s="91">
        <f t="shared" si="7"/>
        <v>2.7021998976791775</v>
      </c>
      <c r="AD4" s="91" t="str">
        <f>PE_aug!AP4</f>
        <v>Massenbilanz KWS</v>
      </c>
    </row>
    <row r="5" spans="1:34">
      <c r="A5" s="151" t="s">
        <v>38</v>
      </c>
      <c r="P5" s="115">
        <v>7.8087999999999997</v>
      </c>
      <c r="Q5">
        <v>0.47</v>
      </c>
      <c r="R5" s="88" t="e">
        <f t="shared" si="0"/>
        <v>#DIV/0!</v>
      </c>
      <c r="S5" s="91" t="e">
        <f t="shared" si="1"/>
        <v>#DIV/0!</v>
      </c>
      <c r="T5" s="1" t="e">
        <f t="shared" si="2"/>
        <v>#DIV/0!</v>
      </c>
      <c r="U5" s="1" t="e">
        <f t="shared" si="3"/>
        <v>#DIV/0!</v>
      </c>
      <c r="V5" s="227" t="e">
        <f t="shared" si="4"/>
        <v>#DIV/0!</v>
      </c>
      <c r="W5" s="227" t="e">
        <f t="shared" si="5"/>
        <v>#DIV/0!</v>
      </c>
      <c r="X5" s="203" t="e">
        <f>INDEX(#REF!,MATCH(COUNTA(H5:M5),#REF!,0),2)</f>
        <v>#REF!</v>
      </c>
      <c r="Y5" s="310" t="e">
        <f t="shared" si="6"/>
        <v>#DIV/0!</v>
      </c>
      <c r="Z5" s="91">
        <f t="shared" si="7"/>
        <v>0</v>
      </c>
      <c r="AD5" s="91" t="str">
        <f>PE_aug!AP5</f>
        <v>Massenbilanz KWS</v>
      </c>
    </row>
    <row r="6" spans="1:34">
      <c r="A6" s="151" t="s">
        <v>39</v>
      </c>
      <c r="P6" s="115">
        <v>6.5256999999999996</v>
      </c>
      <c r="Q6">
        <v>0.49</v>
      </c>
      <c r="R6" s="88" t="e">
        <f t="shared" si="0"/>
        <v>#DIV/0!</v>
      </c>
      <c r="S6" s="91" t="e">
        <f t="shared" si="1"/>
        <v>#DIV/0!</v>
      </c>
      <c r="T6" s="1" t="e">
        <f t="shared" si="2"/>
        <v>#DIV/0!</v>
      </c>
      <c r="U6" s="1" t="e">
        <f t="shared" si="3"/>
        <v>#DIV/0!</v>
      </c>
      <c r="V6" s="227" t="e">
        <f t="shared" si="4"/>
        <v>#DIV/0!</v>
      </c>
      <c r="W6" s="227" t="e">
        <f t="shared" si="5"/>
        <v>#DIV/0!</v>
      </c>
      <c r="X6" s="203" t="e">
        <f>INDEX(#REF!,MATCH(COUNTA(H6:M6),#REF!,0),2)</f>
        <v>#REF!</v>
      </c>
      <c r="Y6" s="310" t="e">
        <f t="shared" si="6"/>
        <v>#DIV/0!</v>
      </c>
      <c r="Z6" s="91">
        <f t="shared" si="7"/>
        <v>0</v>
      </c>
      <c r="AD6" s="91" t="str">
        <f>PE_aug!AP6</f>
        <v>Massenbilanz KWS</v>
      </c>
    </row>
    <row r="7" spans="1:34">
      <c r="A7" s="151" t="s">
        <v>40</v>
      </c>
      <c r="P7" s="115">
        <v>8.0249000000000006</v>
      </c>
      <c r="Q7">
        <v>0.47</v>
      </c>
      <c r="R7" s="88" t="e">
        <f t="shared" si="0"/>
        <v>#DIV/0!</v>
      </c>
      <c r="S7" s="91" t="e">
        <f t="shared" si="1"/>
        <v>#DIV/0!</v>
      </c>
      <c r="T7" s="1" t="e">
        <f t="shared" si="2"/>
        <v>#DIV/0!</v>
      </c>
      <c r="U7" s="1" t="e">
        <f t="shared" si="3"/>
        <v>#DIV/0!</v>
      </c>
      <c r="V7" s="227" t="e">
        <f t="shared" si="4"/>
        <v>#DIV/0!</v>
      </c>
      <c r="W7" s="227" t="e">
        <f t="shared" si="5"/>
        <v>#DIV/0!</v>
      </c>
      <c r="X7" s="203" t="e">
        <f>INDEX(#REF!,MATCH(COUNTA(H7:M7),#REF!,0),2)</f>
        <v>#REF!</v>
      </c>
      <c r="Y7" s="310" t="e">
        <f t="shared" si="6"/>
        <v>#DIV/0!</v>
      </c>
      <c r="Z7" s="91">
        <f t="shared" si="7"/>
        <v>0</v>
      </c>
      <c r="AD7" s="91" t="str">
        <f>PE_aug!AP7</f>
        <v>Massenbilanz KWS</v>
      </c>
    </row>
    <row r="8" spans="1:34">
      <c r="A8" s="151" t="s">
        <v>41</v>
      </c>
      <c r="F8">
        <v>6.96</v>
      </c>
      <c r="L8">
        <v>6.96</v>
      </c>
      <c r="P8" s="115">
        <v>7.6868999999999996</v>
      </c>
      <c r="Q8">
        <v>0.54</v>
      </c>
      <c r="R8" s="88">
        <f t="shared" si="0"/>
        <v>0.16</v>
      </c>
      <c r="S8" s="91">
        <f t="shared" si="1"/>
        <v>0.35000000000000003</v>
      </c>
      <c r="T8" s="1">
        <f t="shared" si="2"/>
        <v>0</v>
      </c>
      <c r="U8" s="1">
        <f t="shared" si="3"/>
        <v>0</v>
      </c>
      <c r="V8" s="227" t="e">
        <f t="shared" si="4"/>
        <v>#DIV/0!</v>
      </c>
      <c r="W8" s="227" t="e">
        <f t="shared" si="5"/>
        <v>#DIV/0!</v>
      </c>
      <c r="X8" s="203" t="e">
        <f>INDEX(#REF!,MATCH(COUNTA(H8:M8),#REF!,0),2)</f>
        <v>#REF!</v>
      </c>
      <c r="Y8" s="310">
        <f t="shared" si="6"/>
        <v>6.96</v>
      </c>
      <c r="Z8" s="91">
        <f t="shared" si="7"/>
        <v>0.90543652187487811</v>
      </c>
      <c r="AD8" s="91" t="str">
        <f>PE_aug!AP8</f>
        <v>Kläranlage</v>
      </c>
    </row>
    <row r="9" spans="1:34">
      <c r="A9" s="151" t="s">
        <v>43</v>
      </c>
      <c r="D9">
        <v>29.38</v>
      </c>
      <c r="F9">
        <v>12.37</v>
      </c>
      <c r="G9">
        <v>9.33</v>
      </c>
      <c r="J9">
        <v>29.38</v>
      </c>
      <c r="L9">
        <v>12.37</v>
      </c>
      <c r="M9" s="307">
        <v>9.33</v>
      </c>
      <c r="P9" s="115">
        <v>7.1997</v>
      </c>
      <c r="Q9">
        <v>0.67</v>
      </c>
      <c r="R9" s="88">
        <f t="shared" si="0"/>
        <v>0.5</v>
      </c>
      <c r="S9" s="91">
        <f t="shared" si="1"/>
        <v>0.58499999999999996</v>
      </c>
      <c r="T9" s="1">
        <f t="shared" si="2"/>
        <v>51.817837021093702</v>
      </c>
      <c r="U9" s="1">
        <f t="shared" si="3"/>
        <v>51.817837021093702</v>
      </c>
      <c r="V9" s="227">
        <f t="shared" si="4"/>
        <v>0.87235602239124288</v>
      </c>
      <c r="W9" s="227">
        <f t="shared" si="5"/>
        <v>1.4001521953148313</v>
      </c>
      <c r="X9" s="203" t="e">
        <f>INDEX(#REF!,MATCH(COUNTA(H9:M9),#REF!,0),2)</f>
        <v>#REF!</v>
      </c>
      <c r="Y9" s="310">
        <f t="shared" si="6"/>
        <v>17.026666666666667</v>
      </c>
      <c r="Z9" s="91">
        <f t="shared" si="7"/>
        <v>2.3649133528711843</v>
      </c>
      <c r="AD9" s="91" t="str">
        <f>PE_aug!AP9</f>
        <v>Kläranlage</v>
      </c>
    </row>
    <row r="10" spans="1:34">
      <c r="A10" s="151" t="s">
        <v>44</v>
      </c>
      <c r="P10" s="115">
        <v>5.3699000000000003</v>
      </c>
      <c r="Q10">
        <v>0.56000000000000005</v>
      </c>
      <c r="R10" s="88" t="e">
        <f t="shared" si="0"/>
        <v>#DIV/0!</v>
      </c>
      <c r="S10" s="91" t="e">
        <f t="shared" si="1"/>
        <v>#DIV/0!</v>
      </c>
      <c r="T10" s="1" t="e">
        <f t="shared" si="2"/>
        <v>#DIV/0!</v>
      </c>
      <c r="U10" s="1" t="e">
        <f t="shared" si="3"/>
        <v>#DIV/0!</v>
      </c>
      <c r="V10" s="227" t="e">
        <f t="shared" si="4"/>
        <v>#DIV/0!</v>
      </c>
      <c r="W10" s="227" t="e">
        <f t="shared" si="5"/>
        <v>#DIV/0!</v>
      </c>
      <c r="X10" s="203" t="e">
        <f>INDEX(#REF!,MATCH(COUNTA(H10:M10),#REF!,0),2)</f>
        <v>#REF!</v>
      </c>
      <c r="Y10" s="310" t="e">
        <f t="shared" si="6"/>
        <v>#DIV/0!</v>
      </c>
      <c r="Z10" s="91">
        <f t="shared" si="7"/>
        <v>0</v>
      </c>
      <c r="AD10" s="91" t="str">
        <f>PE_aug!AP10</f>
        <v>Kläranlage</v>
      </c>
    </row>
    <row r="11" spans="1:34">
      <c r="A11" s="151" t="s">
        <v>45</v>
      </c>
      <c r="P11" s="115">
        <v>5.4539999999999997</v>
      </c>
      <c r="Q11">
        <v>0.41</v>
      </c>
      <c r="R11" s="88" t="e">
        <f t="shared" si="0"/>
        <v>#DIV/0!</v>
      </c>
      <c r="S11" s="91" t="e">
        <f t="shared" si="1"/>
        <v>#DIV/0!</v>
      </c>
      <c r="T11" s="1" t="e">
        <f t="shared" si="2"/>
        <v>#DIV/0!</v>
      </c>
      <c r="U11" s="1" t="e">
        <f t="shared" si="3"/>
        <v>#DIV/0!</v>
      </c>
      <c r="V11" s="227" t="e">
        <f t="shared" si="4"/>
        <v>#DIV/0!</v>
      </c>
      <c r="W11" s="227" t="e">
        <f t="shared" si="5"/>
        <v>#DIV/0!</v>
      </c>
      <c r="X11" s="203" t="e">
        <f>INDEX(#REF!,MATCH(COUNTA(H11:M11),#REF!,0),2)</f>
        <v>#REF!</v>
      </c>
      <c r="Y11" s="310" t="e">
        <f t="shared" si="6"/>
        <v>#DIV/0!</v>
      </c>
      <c r="Z11" s="91">
        <f t="shared" si="7"/>
        <v>0</v>
      </c>
      <c r="AD11" s="91" t="str">
        <f>PE_aug!AP11</f>
        <v>Referenzmessung BS</v>
      </c>
    </row>
    <row r="12" spans="1:34">
      <c r="A12" s="285" t="s">
        <v>47</v>
      </c>
      <c r="D12">
        <v>16.84</v>
      </c>
      <c r="F12">
        <v>8.8699999999999992</v>
      </c>
      <c r="J12">
        <v>16.84</v>
      </c>
      <c r="L12">
        <v>8.8699999999999992</v>
      </c>
      <c r="P12" s="115">
        <v>10.198399999999999</v>
      </c>
      <c r="Q12">
        <v>0.61</v>
      </c>
      <c r="R12" s="88">
        <f t="shared" si="0"/>
        <v>0.66666666666666663</v>
      </c>
      <c r="S12" s="91">
        <f t="shared" si="1"/>
        <v>0.63833333333333331</v>
      </c>
      <c r="T12" s="1">
        <f t="shared" si="2"/>
        <v>30.999611046285487</v>
      </c>
      <c r="U12" s="1">
        <f t="shared" si="3"/>
        <v>30.999611046285487</v>
      </c>
      <c r="V12" s="227">
        <f t="shared" si="4"/>
        <v>1.0000000000000004</v>
      </c>
      <c r="W12" s="227">
        <f t="shared" si="5"/>
        <v>1</v>
      </c>
      <c r="X12" s="203" t="e">
        <f>INDEX(#REF!,MATCH(COUNTA(H12:M12),#REF!,0),2)</f>
        <v>#REF!</v>
      </c>
      <c r="Y12" s="310">
        <f t="shared" si="6"/>
        <v>12.855</v>
      </c>
      <c r="Z12" s="91">
        <f t="shared" si="7"/>
        <v>1.2604918418575464</v>
      </c>
      <c r="AD12" s="91" t="str">
        <f>PE_aug!AP12</f>
        <v>Referenzmessung BS</v>
      </c>
    </row>
    <row r="13" spans="1:34" s="51" customFormat="1">
      <c r="A13" s="152" t="s">
        <v>48</v>
      </c>
      <c r="F13" s="51">
        <v>13.08</v>
      </c>
      <c r="H13" s="63"/>
      <c r="L13" s="51">
        <v>13.08</v>
      </c>
      <c r="M13" s="78"/>
      <c r="P13" s="117">
        <v>8.5540000000000003</v>
      </c>
      <c r="Q13" s="51">
        <v>0.79</v>
      </c>
      <c r="R13" s="92">
        <f t="shared" si="0"/>
        <v>0.16</v>
      </c>
      <c r="S13" s="93">
        <f t="shared" si="1"/>
        <v>0.47500000000000003</v>
      </c>
      <c r="T13" s="79">
        <f t="shared" si="2"/>
        <v>0</v>
      </c>
      <c r="U13" s="79">
        <f t="shared" si="3"/>
        <v>0</v>
      </c>
      <c r="V13" s="80" t="e">
        <f t="shared" si="4"/>
        <v>#DIV/0!</v>
      </c>
      <c r="W13" s="80" t="e">
        <f t="shared" si="5"/>
        <v>#DIV/0!</v>
      </c>
      <c r="X13" s="68" t="e">
        <f>INDEX(#REF!,MATCH(COUNTA(H13:M13),#REF!,0),2)</f>
        <v>#REF!</v>
      </c>
      <c r="Y13" s="90">
        <f t="shared" si="6"/>
        <v>13.08</v>
      </c>
      <c r="Z13" s="91">
        <f t="shared" si="7"/>
        <v>1.5291091886836568</v>
      </c>
      <c r="AD13" s="91" t="str">
        <f>PE_aug!AP13</f>
        <v>KWS, Methode</v>
      </c>
    </row>
    <row r="14" spans="1:34">
      <c r="A14" s="152" t="s">
        <v>50</v>
      </c>
      <c r="P14" s="115">
        <v>7.1116999999999999</v>
      </c>
      <c r="Q14">
        <v>0.51</v>
      </c>
      <c r="R14" s="88" t="e">
        <f t="shared" si="0"/>
        <v>#DIV/0!</v>
      </c>
      <c r="S14" s="91" t="e">
        <f t="shared" si="1"/>
        <v>#DIV/0!</v>
      </c>
      <c r="T14" s="1" t="e">
        <f t="shared" si="2"/>
        <v>#DIV/0!</v>
      </c>
      <c r="U14" s="1" t="e">
        <f t="shared" si="3"/>
        <v>#DIV/0!</v>
      </c>
      <c r="V14" s="227" t="e">
        <f t="shared" si="4"/>
        <v>#DIV/0!</v>
      </c>
      <c r="W14" s="227" t="e">
        <f t="shared" si="5"/>
        <v>#DIV/0!</v>
      </c>
      <c r="X14" s="203" t="e">
        <f>INDEX(#REF!,MATCH(COUNTA(H14:M14),#REF!,0),2)</f>
        <v>#REF!</v>
      </c>
      <c r="Y14" s="310" t="e">
        <f t="shared" si="6"/>
        <v>#DIV/0!</v>
      </c>
      <c r="Z14" s="91">
        <f t="shared" si="7"/>
        <v>0</v>
      </c>
      <c r="AD14" s="91" t="str">
        <f>PE_aug!AP14</f>
        <v>KWS, Methode</v>
      </c>
    </row>
    <row r="15" spans="1:34">
      <c r="A15" s="152" t="s">
        <v>51</v>
      </c>
      <c r="P15" s="115">
        <v>7.8148999999999997</v>
      </c>
      <c r="Q15">
        <v>0.39</v>
      </c>
      <c r="R15" s="88" t="e">
        <f t="shared" si="0"/>
        <v>#DIV/0!</v>
      </c>
      <c r="S15" s="91" t="e">
        <f t="shared" si="1"/>
        <v>#DIV/0!</v>
      </c>
      <c r="T15" s="1" t="e">
        <f t="shared" si="2"/>
        <v>#DIV/0!</v>
      </c>
      <c r="U15" s="1" t="e">
        <f t="shared" si="3"/>
        <v>#DIV/0!</v>
      </c>
      <c r="V15" s="227" t="e">
        <f t="shared" si="4"/>
        <v>#DIV/0!</v>
      </c>
      <c r="W15" s="227" t="e">
        <f t="shared" si="5"/>
        <v>#DIV/0!</v>
      </c>
      <c r="X15" s="203" t="e">
        <f>INDEX(#REF!,MATCH(COUNTA(H15:M15),#REF!,0),2)</f>
        <v>#REF!</v>
      </c>
      <c r="Y15" s="310" t="e">
        <f t="shared" si="6"/>
        <v>#DIV/0!</v>
      </c>
      <c r="Z15" s="91">
        <f t="shared" si="7"/>
        <v>0</v>
      </c>
      <c r="AD15" s="91" t="str">
        <f>PE_aug!AP15</f>
        <v>KWS, Methode</v>
      </c>
    </row>
    <row r="16" spans="1:34">
      <c r="A16" s="153" t="s">
        <v>554</v>
      </c>
      <c r="N16" s="51"/>
      <c r="O16" s="51"/>
      <c r="P16" s="117">
        <v>5.2794999999999996</v>
      </c>
      <c r="R16" s="88" t="e">
        <f t="shared" si="0"/>
        <v>#DIV/0!</v>
      </c>
      <c r="S16" s="91" t="e">
        <f t="shared" si="1"/>
        <v>#DIV/0!</v>
      </c>
      <c r="T16" s="1" t="e">
        <f t="shared" si="2"/>
        <v>#DIV/0!</v>
      </c>
      <c r="U16" s="1" t="e">
        <f t="shared" si="3"/>
        <v>#DIV/0!</v>
      </c>
      <c r="V16" s="227" t="e">
        <f t="shared" si="4"/>
        <v>#DIV/0!</v>
      </c>
      <c r="W16" s="227" t="e">
        <f t="shared" si="5"/>
        <v>#DIV/0!</v>
      </c>
      <c r="X16" s="203" t="e">
        <f>INDEX(#REF!,MATCH(COUNTA(H16:M16),#REF!,0),2)</f>
        <v>#REF!</v>
      </c>
      <c r="Y16" s="310" t="e">
        <f t="shared" si="6"/>
        <v>#DIV/0!</v>
      </c>
      <c r="Z16" s="91">
        <f t="shared" si="7"/>
        <v>0</v>
      </c>
      <c r="AD16" s="91" t="str">
        <f>PE_aug!AP16</f>
        <v>Referenzmessung BS</v>
      </c>
    </row>
    <row r="17" spans="1:30">
      <c r="A17" s="153" t="s">
        <v>555</v>
      </c>
      <c r="P17" s="115">
        <v>4.8700999999999999</v>
      </c>
      <c r="R17" s="88" t="e">
        <f t="shared" si="0"/>
        <v>#DIV/0!</v>
      </c>
      <c r="S17" s="91" t="e">
        <f t="shared" si="1"/>
        <v>#DIV/0!</v>
      </c>
      <c r="T17" s="1" t="e">
        <f t="shared" si="2"/>
        <v>#DIV/0!</v>
      </c>
      <c r="U17" s="1" t="e">
        <f t="shared" si="3"/>
        <v>#DIV/0!</v>
      </c>
      <c r="V17" s="227" t="e">
        <f t="shared" si="4"/>
        <v>#DIV/0!</v>
      </c>
      <c r="W17" s="227" t="e">
        <f t="shared" si="5"/>
        <v>#DIV/0!</v>
      </c>
      <c r="X17" s="203" t="e">
        <f>INDEX(#REF!,MATCH(COUNTA(H17:M17),#REF!,0),2)</f>
        <v>#REF!</v>
      </c>
      <c r="Y17" s="310" t="e">
        <f t="shared" si="6"/>
        <v>#DIV/0!</v>
      </c>
      <c r="Z17" s="91">
        <f t="shared" si="7"/>
        <v>0</v>
      </c>
      <c r="AD17" s="91" t="str">
        <f>PE_aug!AP17</f>
        <v>Referenzmessung BS</v>
      </c>
    </row>
    <row r="18" spans="1:30">
      <c r="A18" s="153" t="s">
        <v>556</v>
      </c>
      <c r="N18" s="85"/>
      <c r="O18" s="85"/>
      <c r="P18" s="118">
        <v>9.1433999999999997</v>
      </c>
      <c r="Q18">
        <v>0.5</v>
      </c>
      <c r="R18" s="88" t="e">
        <f t="shared" si="0"/>
        <v>#DIV/0!</v>
      </c>
      <c r="S18" s="91" t="e">
        <f t="shared" si="1"/>
        <v>#DIV/0!</v>
      </c>
      <c r="T18" s="1" t="e">
        <f t="shared" si="2"/>
        <v>#DIV/0!</v>
      </c>
      <c r="U18" s="1" t="e">
        <f t="shared" si="3"/>
        <v>#DIV/0!</v>
      </c>
      <c r="V18" s="227" t="e">
        <f t="shared" si="4"/>
        <v>#DIV/0!</v>
      </c>
      <c r="W18" s="227" t="e">
        <f t="shared" si="5"/>
        <v>#DIV/0!</v>
      </c>
      <c r="X18" s="203" t="e">
        <f>INDEX(#REF!,MATCH(COUNTA(H18:M18),#REF!,0),2)</f>
        <v>#REF!</v>
      </c>
      <c r="Y18" s="310" t="e">
        <f t="shared" si="6"/>
        <v>#DIV/0!</v>
      </c>
      <c r="Z18" s="91">
        <f t="shared" si="7"/>
        <v>0</v>
      </c>
      <c r="AD18" s="91" t="str">
        <f>PE_aug!AP18</f>
        <v>Referenzmessung BS</v>
      </c>
    </row>
    <row r="19" spans="1:30">
      <c r="A19" s="153" t="s">
        <v>55</v>
      </c>
      <c r="N19" s="51"/>
      <c r="O19" s="51"/>
      <c r="P19" s="117">
        <v>8.1303000000000001</v>
      </c>
      <c r="Q19">
        <v>0.51</v>
      </c>
      <c r="R19" s="88" t="e">
        <f t="shared" si="0"/>
        <v>#DIV/0!</v>
      </c>
      <c r="S19" s="91" t="e">
        <f t="shared" si="1"/>
        <v>#DIV/0!</v>
      </c>
      <c r="T19" s="1" t="e">
        <f t="shared" si="2"/>
        <v>#DIV/0!</v>
      </c>
      <c r="U19" s="1" t="e">
        <f t="shared" si="3"/>
        <v>#DIV/0!</v>
      </c>
      <c r="V19" s="227" t="e">
        <f t="shared" si="4"/>
        <v>#DIV/0!</v>
      </c>
      <c r="W19" s="227" t="e">
        <f t="shared" si="5"/>
        <v>#DIV/0!</v>
      </c>
      <c r="X19" s="203" t="e">
        <f>INDEX(#REF!,MATCH(COUNTA(H19:M19),#REF!,0),2)</f>
        <v>#REF!</v>
      </c>
      <c r="Y19" s="310" t="e">
        <f t="shared" si="6"/>
        <v>#DIV/0!</v>
      </c>
      <c r="Z19" s="91">
        <f t="shared" si="7"/>
        <v>0</v>
      </c>
      <c r="AD19" s="91" t="str">
        <f>PE_aug!AP19</f>
        <v>Massenbilanz KWS</v>
      </c>
    </row>
    <row r="20" spans="1:30">
      <c r="A20" s="153" t="s">
        <v>56</v>
      </c>
      <c r="P20" s="115">
        <v>7.2693000000000003</v>
      </c>
      <c r="Q20">
        <v>0.47</v>
      </c>
      <c r="R20" s="88" t="e">
        <f t="shared" si="0"/>
        <v>#DIV/0!</v>
      </c>
      <c r="S20" s="91" t="e">
        <f t="shared" si="1"/>
        <v>#DIV/0!</v>
      </c>
      <c r="T20" s="1" t="e">
        <f t="shared" si="2"/>
        <v>#DIV/0!</v>
      </c>
      <c r="U20" s="1" t="e">
        <f t="shared" si="3"/>
        <v>#DIV/0!</v>
      </c>
      <c r="V20" s="227" t="e">
        <f t="shared" si="4"/>
        <v>#DIV/0!</v>
      </c>
      <c r="W20" s="227" t="e">
        <f t="shared" si="5"/>
        <v>#DIV/0!</v>
      </c>
      <c r="X20" s="203" t="e">
        <f>INDEX(#REF!,MATCH(COUNTA(H20:M20),#REF!,0),2)</f>
        <v>#REF!</v>
      </c>
      <c r="Y20" s="310" t="e">
        <f t="shared" si="6"/>
        <v>#DIV/0!</v>
      </c>
      <c r="Z20" s="91">
        <f t="shared" si="7"/>
        <v>0</v>
      </c>
      <c r="AD20" s="91" t="str">
        <f>PE_aug!AP20</f>
        <v>Massenbilanz KWS</v>
      </c>
    </row>
    <row r="21" spans="1:30">
      <c r="A21" s="153" t="s">
        <v>57</v>
      </c>
      <c r="N21" s="85"/>
      <c r="O21" s="85"/>
      <c r="P21" s="118">
        <v>9.1760999999999999</v>
      </c>
      <c r="Q21">
        <v>0.51</v>
      </c>
      <c r="R21" s="88" t="e">
        <f t="shared" si="0"/>
        <v>#DIV/0!</v>
      </c>
      <c r="S21" s="91" t="e">
        <f t="shared" si="1"/>
        <v>#DIV/0!</v>
      </c>
      <c r="T21" s="1" t="e">
        <f t="shared" si="2"/>
        <v>#DIV/0!</v>
      </c>
      <c r="U21" s="1" t="e">
        <f t="shared" si="3"/>
        <v>#DIV/0!</v>
      </c>
      <c r="V21" s="227" t="e">
        <f t="shared" si="4"/>
        <v>#DIV/0!</v>
      </c>
      <c r="W21" s="227" t="e">
        <f t="shared" si="5"/>
        <v>#DIV/0!</v>
      </c>
      <c r="X21" s="203" t="e">
        <f>INDEX(#REF!,MATCH(COUNTA(H21:M21),#REF!,0),2)</f>
        <v>#REF!</v>
      </c>
      <c r="Y21" s="310" t="e">
        <f t="shared" si="6"/>
        <v>#DIV/0!</v>
      </c>
      <c r="Z21" s="91">
        <f t="shared" si="7"/>
        <v>0</v>
      </c>
      <c r="AD21" s="91" t="str">
        <f>PE_aug!AP21</f>
        <v>Massenbilanz KWS</v>
      </c>
    </row>
    <row r="22" spans="1:30">
      <c r="A22" s="153" t="s">
        <v>58</v>
      </c>
      <c r="B22">
        <v>68.41</v>
      </c>
      <c r="C22">
        <v>81.44</v>
      </c>
      <c r="D22">
        <v>68.02</v>
      </c>
      <c r="E22">
        <v>101.49</v>
      </c>
      <c r="F22">
        <v>116.81</v>
      </c>
      <c r="G22">
        <v>98.66</v>
      </c>
      <c r="H22" s="306">
        <v>68.41</v>
      </c>
      <c r="I22">
        <v>81.44</v>
      </c>
      <c r="J22">
        <v>68.02</v>
      </c>
      <c r="K22">
        <v>101.49</v>
      </c>
      <c r="L22">
        <v>116.81</v>
      </c>
      <c r="M22" s="307">
        <v>98.66</v>
      </c>
      <c r="N22" s="51"/>
      <c r="O22" s="51"/>
      <c r="P22" s="117">
        <v>2.7290999999999999</v>
      </c>
      <c r="Q22">
        <v>0.86</v>
      </c>
      <c r="R22" s="88">
        <f t="shared" si="0"/>
        <v>1</v>
      </c>
      <c r="S22" s="91">
        <f t="shared" si="1"/>
        <v>0.92999999999999994</v>
      </c>
      <c r="T22" s="1">
        <f t="shared" si="2"/>
        <v>20.192600560404088</v>
      </c>
      <c r="U22" s="1">
        <f t="shared" si="3"/>
        <v>20.192600560404088</v>
      </c>
      <c r="V22" s="227">
        <f t="shared" si="4"/>
        <v>1.1732832659884862</v>
      </c>
      <c r="W22" s="227">
        <f t="shared" si="5"/>
        <v>1.5373705362802328</v>
      </c>
      <c r="X22" s="203" t="e">
        <f>INDEX(#REF!,MATCH(COUNTA(H22:M22),#REF!,0),2)</f>
        <v>#REF!</v>
      </c>
      <c r="Y22" s="310">
        <f t="shared" si="6"/>
        <v>89.138333333333335</v>
      </c>
      <c r="Z22" s="91">
        <f t="shared" si="7"/>
        <v>32.662171900382305</v>
      </c>
      <c r="AD22" s="91" t="str">
        <f>PE_aug!AP22</f>
        <v>Massenbilanz KWS</v>
      </c>
    </row>
    <row r="23" spans="1:30">
      <c r="A23" s="153" t="s">
        <v>59</v>
      </c>
      <c r="B23">
        <v>80.5</v>
      </c>
      <c r="C23">
        <v>89.36</v>
      </c>
      <c r="D23">
        <v>77.349999999999994</v>
      </c>
      <c r="E23">
        <v>96.14</v>
      </c>
      <c r="F23">
        <v>115.79</v>
      </c>
      <c r="G23">
        <v>101.98</v>
      </c>
      <c r="H23" s="306">
        <v>80.5</v>
      </c>
      <c r="I23">
        <v>89.36</v>
      </c>
      <c r="J23">
        <v>77.349999999999994</v>
      </c>
      <c r="K23">
        <v>96.14</v>
      </c>
      <c r="L23">
        <v>115.79</v>
      </c>
      <c r="M23" s="307">
        <v>101.98</v>
      </c>
      <c r="P23" s="115">
        <v>3.5952000000000002</v>
      </c>
      <c r="Q23">
        <v>0.76</v>
      </c>
      <c r="R23" s="88">
        <f t="shared" si="0"/>
        <v>1</v>
      </c>
      <c r="S23" s="91">
        <f t="shared" si="1"/>
        <v>0.88</v>
      </c>
      <c r="T23" s="1">
        <f t="shared" si="2"/>
        <v>13.960165434072982</v>
      </c>
      <c r="U23" s="1">
        <f t="shared" si="3"/>
        <v>13.960165434072982</v>
      </c>
      <c r="V23" s="227">
        <f t="shared" si="4"/>
        <v>1.2385540302749867</v>
      </c>
      <c r="W23" s="227">
        <f t="shared" si="5"/>
        <v>1.7057883892531824</v>
      </c>
      <c r="X23" s="203" t="e">
        <f>INDEX(#REF!,MATCH(COUNTA(H23:M23),#REF!,0),2)</f>
        <v>#REF!</v>
      </c>
      <c r="Y23" s="310">
        <f t="shared" si="6"/>
        <v>93.52</v>
      </c>
      <c r="Z23" s="91">
        <f t="shared" si="7"/>
        <v>26.012461059190027</v>
      </c>
      <c r="AD23" s="91" t="str">
        <f>PE_aug!AP23</f>
        <v>Massenbilanz KWS</v>
      </c>
    </row>
    <row r="24" spans="1:30">
      <c r="A24" s="153" t="s">
        <v>60</v>
      </c>
      <c r="B24">
        <v>411.28</v>
      </c>
      <c r="C24">
        <v>510.19</v>
      </c>
      <c r="D24">
        <v>763.42</v>
      </c>
      <c r="E24">
        <v>314.73</v>
      </c>
      <c r="F24">
        <v>491.76</v>
      </c>
      <c r="G24">
        <v>464.46</v>
      </c>
      <c r="H24" s="306">
        <v>411.28</v>
      </c>
      <c r="I24">
        <v>510.19</v>
      </c>
      <c r="J24">
        <v>763.42</v>
      </c>
      <c r="K24">
        <v>314.73</v>
      </c>
      <c r="L24">
        <v>491.76</v>
      </c>
      <c r="M24" s="307">
        <v>464.46</v>
      </c>
      <c r="N24" s="85"/>
      <c r="O24" s="85"/>
      <c r="P24" s="118">
        <v>9.2985000000000007</v>
      </c>
      <c r="Q24">
        <v>0.56000000000000005</v>
      </c>
      <c r="R24" s="88">
        <f t="shared" si="0"/>
        <v>1</v>
      </c>
      <c r="S24" s="91">
        <f t="shared" si="1"/>
        <v>0.78</v>
      </c>
      <c r="T24" s="1">
        <f t="shared" si="2"/>
        <v>27.819490792089109</v>
      </c>
      <c r="U24" s="1">
        <f t="shared" si="3"/>
        <v>27.819490792089109</v>
      </c>
      <c r="V24" s="227">
        <f t="shared" si="4"/>
        <v>1.2981399388380821</v>
      </c>
      <c r="W24" s="227">
        <f t="shared" si="5"/>
        <v>1.9757761375896561</v>
      </c>
      <c r="X24" s="203" t="e">
        <f>INDEX(#REF!,MATCH(COUNTA(H24:M24),#REF!,0),2)</f>
        <v>#REF!</v>
      </c>
      <c r="Y24" s="310">
        <f t="shared" si="6"/>
        <v>492.64000000000004</v>
      </c>
      <c r="Z24" s="91">
        <f t="shared" si="7"/>
        <v>52.980588266924777</v>
      </c>
      <c r="AD24" s="91" t="str">
        <f>PE_aug!AP24</f>
        <v>Massenbilanz KWS</v>
      </c>
    </row>
    <row r="25" spans="1:30">
      <c r="A25" s="153" t="s">
        <v>61</v>
      </c>
      <c r="F25">
        <v>6.49</v>
      </c>
      <c r="L25">
        <v>6.49</v>
      </c>
      <c r="P25" s="115">
        <v>2.0716999999999999</v>
      </c>
      <c r="Q25">
        <v>0.49</v>
      </c>
      <c r="R25" s="88">
        <f t="shared" si="0"/>
        <v>0.16</v>
      </c>
      <c r="S25" s="91">
        <f t="shared" si="1"/>
        <v>0.32500000000000001</v>
      </c>
      <c r="T25" s="1">
        <f t="shared" si="2"/>
        <v>0</v>
      </c>
      <c r="U25" s="1">
        <f t="shared" si="3"/>
        <v>0</v>
      </c>
      <c r="V25" s="227" t="e">
        <f t="shared" si="4"/>
        <v>#DIV/0!</v>
      </c>
      <c r="W25" s="227" t="e">
        <f t="shared" si="5"/>
        <v>#DIV/0!</v>
      </c>
      <c r="X25" s="203" t="e">
        <f>INDEX(#REF!,MATCH(COUNTA(H25:M25),#REF!,0),2)</f>
        <v>#REF!</v>
      </c>
      <c r="Y25" s="310">
        <f t="shared" si="6"/>
        <v>6.49</v>
      </c>
      <c r="Z25" s="91">
        <f t="shared" si="7"/>
        <v>3.1326929574745379</v>
      </c>
      <c r="AD25" s="91" t="str">
        <f>PE_aug!AP25</f>
        <v>Referenzmessung BS</v>
      </c>
    </row>
    <row r="26" spans="1:30">
      <c r="A26" s="153" t="s">
        <v>62</v>
      </c>
      <c r="P26" s="115">
        <v>0.66539999999999999</v>
      </c>
      <c r="Q26">
        <v>0.5</v>
      </c>
      <c r="R26" s="88" t="e">
        <f t="shared" si="0"/>
        <v>#DIV/0!</v>
      </c>
      <c r="S26" s="91" t="e">
        <f t="shared" si="1"/>
        <v>#DIV/0!</v>
      </c>
      <c r="T26" s="1" t="e">
        <f t="shared" si="2"/>
        <v>#DIV/0!</v>
      </c>
      <c r="U26" s="1" t="e">
        <f t="shared" si="3"/>
        <v>#DIV/0!</v>
      </c>
      <c r="V26" s="227" t="e">
        <f t="shared" si="4"/>
        <v>#DIV/0!</v>
      </c>
      <c r="W26" s="227" t="e">
        <f t="shared" si="5"/>
        <v>#DIV/0!</v>
      </c>
      <c r="X26" s="203" t="e">
        <f>INDEX(#REF!,MATCH(COUNTA(H26:M26),#REF!,0),2)</f>
        <v>#REF!</v>
      </c>
      <c r="Y26" s="310" t="e">
        <f t="shared" si="6"/>
        <v>#DIV/0!</v>
      </c>
      <c r="Z26" s="91">
        <f t="shared" si="7"/>
        <v>0</v>
      </c>
      <c r="AD26" s="91" t="str">
        <f>PE_aug!AP26</f>
        <v>Referenzmessung BS</v>
      </c>
    </row>
    <row r="27" spans="1:30">
      <c r="A27" s="153" t="s">
        <v>63</v>
      </c>
      <c r="P27" s="115">
        <v>211.9</v>
      </c>
      <c r="R27" s="88" t="e">
        <f t="shared" si="0"/>
        <v>#DIV/0!</v>
      </c>
      <c r="S27" s="91" t="e">
        <f t="shared" si="1"/>
        <v>#DIV/0!</v>
      </c>
      <c r="T27" s="1" t="e">
        <f t="shared" si="2"/>
        <v>#DIV/0!</v>
      </c>
      <c r="U27" s="1" t="e">
        <f t="shared" si="3"/>
        <v>#DIV/0!</v>
      </c>
      <c r="V27" s="227" t="e">
        <f t="shared" si="4"/>
        <v>#DIV/0!</v>
      </c>
      <c r="W27" s="227" t="e">
        <f t="shared" si="5"/>
        <v>#DIV/0!</v>
      </c>
      <c r="X27" s="203" t="e">
        <f>INDEX(#REF!,MATCH(COUNTA(H27:M27),#REF!,0),2)</f>
        <v>#REF!</v>
      </c>
      <c r="Y27" s="310" t="e">
        <f t="shared" si="6"/>
        <v>#DIV/0!</v>
      </c>
      <c r="Z27" s="91">
        <f t="shared" si="7"/>
        <v>0</v>
      </c>
      <c r="AD27" s="91" t="str">
        <f>PE_aug!AP27</f>
        <v>Methode</v>
      </c>
    </row>
    <row r="28" spans="1:30">
      <c r="A28" s="154" t="s">
        <v>65</v>
      </c>
      <c r="P28" s="115">
        <v>47.3</v>
      </c>
      <c r="R28" s="88" t="e">
        <f t="shared" si="0"/>
        <v>#DIV/0!</v>
      </c>
      <c r="S28" s="91" t="e">
        <f t="shared" si="1"/>
        <v>#DIV/0!</v>
      </c>
      <c r="T28" s="1" t="e">
        <f t="shared" si="2"/>
        <v>#DIV/0!</v>
      </c>
      <c r="U28" s="1" t="e">
        <f t="shared" si="3"/>
        <v>#DIV/0!</v>
      </c>
      <c r="V28" s="227" t="e">
        <f t="shared" si="4"/>
        <v>#DIV/0!</v>
      </c>
      <c r="W28" s="227" t="e">
        <f t="shared" si="5"/>
        <v>#DIV/0!</v>
      </c>
      <c r="X28" s="203" t="e">
        <f>INDEX(#REF!,MATCH(COUNTA(H28:M28),#REF!,0),2)</f>
        <v>#REF!</v>
      </c>
      <c r="Y28" s="310" t="e">
        <f t="shared" si="6"/>
        <v>#DIV/0!</v>
      </c>
      <c r="Z28" s="91">
        <f t="shared" si="7"/>
        <v>0</v>
      </c>
      <c r="AD28" s="91" t="str">
        <f>PE_aug!AP28</f>
        <v>Methode</v>
      </c>
    </row>
    <row r="29" spans="1:30" s="51" customFormat="1">
      <c r="A29" s="155" t="s">
        <v>66</v>
      </c>
      <c r="B29" s="51">
        <v>61.43</v>
      </c>
      <c r="C29" s="51">
        <v>47.38</v>
      </c>
      <c r="D29" s="51">
        <v>48.28</v>
      </c>
      <c r="E29" s="51">
        <v>64.569999999999993</v>
      </c>
      <c r="F29" s="51">
        <v>62.69</v>
      </c>
      <c r="G29" s="51">
        <v>65.67</v>
      </c>
      <c r="H29" s="63">
        <v>61.43</v>
      </c>
      <c r="I29" s="51">
        <v>47.38</v>
      </c>
      <c r="J29" s="51">
        <v>48.28</v>
      </c>
      <c r="K29" s="51">
        <v>64.569999999999993</v>
      </c>
      <c r="L29" s="51">
        <v>62.69</v>
      </c>
      <c r="M29" s="78">
        <v>65.67</v>
      </c>
      <c r="P29" s="117">
        <v>2.4357000000000002</v>
      </c>
      <c r="Q29" s="51">
        <v>0.86</v>
      </c>
      <c r="R29" s="88">
        <f t="shared" si="0"/>
        <v>1</v>
      </c>
      <c r="S29" s="91">
        <f t="shared" si="1"/>
        <v>0.92999999999999994</v>
      </c>
      <c r="T29" s="1">
        <f t="shared" si="2"/>
        <v>12.948218613218646</v>
      </c>
      <c r="U29" s="1">
        <f t="shared" si="3"/>
        <v>12.948218613218646</v>
      </c>
      <c r="V29" s="227">
        <f t="shared" si="4"/>
        <v>1.4505303361876301</v>
      </c>
      <c r="W29" s="227">
        <f t="shared" si="5"/>
        <v>0.97084476410489295</v>
      </c>
      <c r="X29" s="203" t="e">
        <f>INDEX(#REF!,MATCH(COUNTA(H29:M29),#REF!,0),2)</f>
        <v>#REF!</v>
      </c>
      <c r="Y29" s="310">
        <f t="shared" si="6"/>
        <v>58.336666666666673</v>
      </c>
      <c r="Z29" s="91">
        <f t="shared" si="7"/>
        <v>23.950678107593983</v>
      </c>
      <c r="AD29" s="91" t="str">
        <f>PE_aug!AP29</f>
        <v>Methodenvergleich</v>
      </c>
    </row>
    <row r="30" spans="1:30">
      <c r="A30" s="155" t="s">
        <v>68</v>
      </c>
      <c r="F30">
        <v>8.61</v>
      </c>
      <c r="L30">
        <v>8.61</v>
      </c>
      <c r="P30" s="115">
        <v>4.8849</v>
      </c>
      <c r="Q30">
        <v>0.86</v>
      </c>
      <c r="R30" s="88">
        <f t="shared" si="0"/>
        <v>0.16</v>
      </c>
      <c r="S30" s="91">
        <f t="shared" si="1"/>
        <v>0.51</v>
      </c>
      <c r="T30" s="1">
        <f t="shared" si="2"/>
        <v>0</v>
      </c>
      <c r="U30" s="1">
        <f t="shared" si="3"/>
        <v>0</v>
      </c>
      <c r="V30" s="227" t="e">
        <f t="shared" si="4"/>
        <v>#DIV/0!</v>
      </c>
      <c r="W30" s="227" t="e">
        <f t="shared" si="5"/>
        <v>#DIV/0!</v>
      </c>
      <c r="X30" s="203" t="e">
        <f>INDEX(#REF!,MATCH(COUNTA(H30:M30),#REF!,0),2)</f>
        <v>#REF!</v>
      </c>
      <c r="Y30" s="310">
        <f t="shared" si="6"/>
        <v>8.61</v>
      </c>
      <c r="Z30" s="91">
        <f t="shared" si="7"/>
        <v>1.76257446416508</v>
      </c>
      <c r="AD30" s="91" t="str">
        <f>PE_aug!AP30</f>
        <v>Methode</v>
      </c>
    </row>
    <row r="31" spans="1:30">
      <c r="A31" s="155" t="s">
        <v>69</v>
      </c>
      <c r="P31" s="115"/>
      <c r="Q31">
        <v>0.56999999999999995</v>
      </c>
      <c r="R31" s="88" t="e">
        <f t="shared" si="0"/>
        <v>#DIV/0!</v>
      </c>
      <c r="S31" s="91" t="e">
        <f t="shared" si="1"/>
        <v>#DIV/0!</v>
      </c>
      <c r="T31" s="1" t="e">
        <f t="shared" si="2"/>
        <v>#DIV/0!</v>
      </c>
      <c r="U31" s="1" t="e">
        <f t="shared" si="3"/>
        <v>#DIV/0!</v>
      </c>
      <c r="V31" s="227" t="e">
        <f t="shared" si="4"/>
        <v>#DIV/0!</v>
      </c>
      <c r="W31" s="227" t="e">
        <f t="shared" si="5"/>
        <v>#DIV/0!</v>
      </c>
      <c r="X31" s="203" t="e">
        <f>INDEX(#REF!,MATCH(COUNTA(H31:M31),#REF!,0),2)</f>
        <v>#REF!</v>
      </c>
      <c r="Y31" s="310" t="e">
        <f t="shared" si="6"/>
        <v>#DIV/0!</v>
      </c>
      <c r="Z31" s="91">
        <f t="shared" si="7"/>
        <v>0</v>
      </c>
      <c r="AD31" s="91" t="str">
        <f>PE_aug!AP31</f>
        <v>KWS, neue Schlammbehandlung</v>
      </c>
    </row>
    <row r="32" spans="1:30">
      <c r="A32" s="155" t="s">
        <v>71</v>
      </c>
      <c r="D32">
        <v>43.33</v>
      </c>
      <c r="J32">
        <v>43.33</v>
      </c>
      <c r="P32" s="115">
        <v>8.4742072000000004</v>
      </c>
      <c r="Q32">
        <v>0.6</v>
      </c>
      <c r="R32" s="88">
        <f t="shared" si="0"/>
        <v>0.16</v>
      </c>
      <c r="S32" s="91">
        <f t="shared" si="1"/>
        <v>0.38</v>
      </c>
      <c r="T32" s="1">
        <f t="shared" si="2"/>
        <v>0</v>
      </c>
      <c r="U32" s="1">
        <f t="shared" si="3"/>
        <v>0</v>
      </c>
      <c r="V32" s="227" t="e">
        <f t="shared" si="4"/>
        <v>#DIV/0!</v>
      </c>
      <c r="W32" s="227" t="e">
        <f t="shared" si="5"/>
        <v>#DIV/0!</v>
      </c>
      <c r="X32" s="203" t="e">
        <f>INDEX(#REF!,MATCH(COUNTA(H32:M32),#REF!,0),2)</f>
        <v>#REF!</v>
      </c>
      <c r="Y32" s="310">
        <f t="shared" si="6"/>
        <v>43.33</v>
      </c>
      <c r="Z32" s="91">
        <f t="shared" si="7"/>
        <v>5.1131626802799905</v>
      </c>
      <c r="AD32" s="91" t="str">
        <f>PE_aug!AP32</f>
        <v>Methode</v>
      </c>
    </row>
    <row r="33" spans="1:30">
      <c r="A33" s="155" t="s">
        <v>72</v>
      </c>
      <c r="D33">
        <v>47.16</v>
      </c>
      <c r="F33">
        <v>7.14</v>
      </c>
      <c r="J33">
        <v>47.16</v>
      </c>
      <c r="L33">
        <v>7.14</v>
      </c>
      <c r="P33" s="115">
        <v>9.5027999999999988</v>
      </c>
      <c r="Q33">
        <v>0.56000000000000005</v>
      </c>
      <c r="R33" s="88">
        <f t="shared" si="0"/>
        <v>0.16666666666666666</v>
      </c>
      <c r="S33" s="91">
        <f t="shared" si="1"/>
        <v>0.36333333333333334</v>
      </c>
      <c r="T33" s="1">
        <f t="shared" si="2"/>
        <v>73.701657458563545</v>
      </c>
      <c r="U33" s="1">
        <f t="shared" si="3"/>
        <v>73.701657458563545</v>
      </c>
      <c r="V33" s="227">
        <f t="shared" si="4"/>
        <v>0.99999999999999978</v>
      </c>
      <c r="W33" s="227">
        <f t="shared" si="5"/>
        <v>0.99999999999999978</v>
      </c>
      <c r="X33" s="203" t="e">
        <f>INDEX(#REF!,MATCH(COUNTA(H33:M33),#REF!,0),2)</f>
        <v>#REF!</v>
      </c>
      <c r="Y33" s="310">
        <f t="shared" si="6"/>
        <v>27.15</v>
      </c>
      <c r="Z33" s="91">
        <f t="shared" si="7"/>
        <v>2.85705265816391</v>
      </c>
      <c r="AD33" s="91" t="str">
        <f>PE_aug!AP33</f>
        <v>Methode</v>
      </c>
    </row>
    <row r="34" spans="1:30">
      <c r="A34" s="155" t="s">
        <v>73</v>
      </c>
      <c r="B34">
        <v>93.05</v>
      </c>
      <c r="C34">
        <v>95.22</v>
      </c>
      <c r="D34">
        <v>152.76</v>
      </c>
      <c r="E34">
        <v>133.72</v>
      </c>
      <c r="F34">
        <v>128.6</v>
      </c>
      <c r="G34">
        <v>140.24</v>
      </c>
      <c r="H34" s="306">
        <v>93.05</v>
      </c>
      <c r="I34">
        <v>95.22</v>
      </c>
      <c r="K34">
        <v>133.72</v>
      </c>
      <c r="L34">
        <v>128.6</v>
      </c>
      <c r="M34" s="307">
        <v>140.24</v>
      </c>
      <c r="P34" s="115">
        <v>6.3264996</v>
      </c>
      <c r="Q34">
        <v>0.64</v>
      </c>
      <c r="R34" s="88">
        <f t="shared" si="0"/>
        <v>0.91666666666666663</v>
      </c>
      <c r="S34" s="91">
        <f t="shared" si="1"/>
        <v>0.77833333333333332</v>
      </c>
      <c r="T34" s="1">
        <f t="shared" si="2"/>
        <v>16.905820876586297</v>
      </c>
      <c r="U34" s="1">
        <f t="shared" si="3"/>
        <v>18.020712997207941</v>
      </c>
      <c r="V34" s="227">
        <f t="shared" si="4"/>
        <v>1.2572500935860838</v>
      </c>
      <c r="W34" s="227">
        <f t="shared" si="5"/>
        <v>1.1049744611331103</v>
      </c>
      <c r="X34" s="203" t="e">
        <f>INDEX(#REF!,MATCH(COUNTA(H34:M34),#REF!,0),2)</f>
        <v>#REF!</v>
      </c>
      <c r="Y34" s="310">
        <f t="shared" si="6"/>
        <v>118.16600000000001</v>
      </c>
      <c r="Z34" s="91">
        <f t="shared" si="7"/>
        <v>18.677943170975624</v>
      </c>
      <c r="AA34">
        <f>PE_aug!AM34</f>
        <v>6.4188000000000001</v>
      </c>
      <c r="AB34" s="166">
        <f>AA34-P34</f>
        <v>9.230040000000006E-2</v>
      </c>
      <c r="AC34" s="309">
        <f>Y34*100/(AB34*1000)</f>
        <v>128.02328050582656</v>
      </c>
      <c r="AD34" s="91" t="str">
        <f>PE_aug!AP34</f>
        <v>Methode</v>
      </c>
    </row>
    <row r="35" spans="1:30">
      <c r="A35" s="155" t="s">
        <v>74</v>
      </c>
      <c r="P35" s="115">
        <v>20.927900000000001</v>
      </c>
      <c r="Q35">
        <v>0.5</v>
      </c>
      <c r="R35" s="88" t="e">
        <f t="shared" si="0"/>
        <v>#DIV/0!</v>
      </c>
      <c r="S35" s="91" t="e">
        <f t="shared" si="1"/>
        <v>#DIV/0!</v>
      </c>
      <c r="T35" s="1" t="e">
        <f t="shared" si="2"/>
        <v>#DIV/0!</v>
      </c>
      <c r="U35" s="1" t="e">
        <f t="shared" si="3"/>
        <v>#DIV/0!</v>
      </c>
      <c r="V35" s="227" t="e">
        <f t="shared" si="4"/>
        <v>#DIV/0!</v>
      </c>
      <c r="W35" s="227" t="e">
        <f t="shared" si="5"/>
        <v>#DIV/0!</v>
      </c>
      <c r="X35" s="203" t="e">
        <f>INDEX(#REF!,MATCH(COUNTA(H35:M35),#REF!,0),2)</f>
        <v>#REF!</v>
      </c>
      <c r="Y35" s="310" t="e">
        <f t="shared" si="6"/>
        <v>#DIV/0!</v>
      </c>
      <c r="Z35" s="91">
        <f t="shared" si="7"/>
        <v>0</v>
      </c>
      <c r="AD35" s="91" t="str">
        <f>PE_aug!AP35</f>
        <v>GWI Algen</v>
      </c>
    </row>
    <row r="36" spans="1:30">
      <c r="A36" s="155" t="s">
        <v>76</v>
      </c>
      <c r="P36" s="115">
        <v>5.5827999999999998</v>
      </c>
      <c r="Q36">
        <v>0.51</v>
      </c>
      <c r="R36" s="88" t="e">
        <f t="shared" si="0"/>
        <v>#DIV/0!</v>
      </c>
      <c r="S36" s="91" t="e">
        <f t="shared" si="1"/>
        <v>#DIV/0!</v>
      </c>
      <c r="T36" s="1" t="e">
        <f t="shared" si="2"/>
        <v>#DIV/0!</v>
      </c>
      <c r="U36" s="1" t="e">
        <f t="shared" si="3"/>
        <v>#DIV/0!</v>
      </c>
      <c r="V36" s="227" t="e">
        <f t="shared" si="4"/>
        <v>#DIV/0!</v>
      </c>
      <c r="W36" s="227" t="e">
        <f t="shared" si="5"/>
        <v>#DIV/0!</v>
      </c>
      <c r="X36" s="203" t="e">
        <f>INDEX(#REF!,MATCH(COUNTA(H36:M36),#REF!,0),2)</f>
        <v>#REF!</v>
      </c>
      <c r="Y36" s="310" t="e">
        <f t="shared" si="6"/>
        <v>#DIV/0!</v>
      </c>
      <c r="Z36" s="91">
        <f t="shared" si="7"/>
        <v>0</v>
      </c>
      <c r="AD36" s="91" t="str">
        <f>PE_aug!AP36</f>
        <v>KWS, neue Schlammbehandlung</v>
      </c>
    </row>
    <row r="37" spans="1:30">
      <c r="A37" s="155" t="s">
        <v>77</v>
      </c>
      <c r="F37">
        <v>6.26</v>
      </c>
      <c r="P37" s="115">
        <v>9.077</v>
      </c>
      <c r="Q37">
        <v>0.64</v>
      </c>
      <c r="R37" s="88" t="e">
        <f t="shared" si="0"/>
        <v>#DIV/0!</v>
      </c>
      <c r="S37" s="91" t="e">
        <f t="shared" si="1"/>
        <v>#DIV/0!</v>
      </c>
      <c r="T37" s="1" t="e">
        <f t="shared" si="2"/>
        <v>#DIV/0!</v>
      </c>
      <c r="U37" s="1">
        <f t="shared" si="3"/>
        <v>0</v>
      </c>
      <c r="V37" s="227" t="e">
        <f t="shared" si="4"/>
        <v>#DIV/0!</v>
      </c>
      <c r="W37" s="227" t="e">
        <f t="shared" si="5"/>
        <v>#DIV/0!</v>
      </c>
      <c r="X37" s="203" t="e">
        <f>INDEX(#REF!,MATCH(COUNTA(H37:M37),#REF!,0),2)</f>
        <v>#REF!</v>
      </c>
      <c r="Y37" s="310" t="e">
        <f t="shared" si="6"/>
        <v>#DIV/0!</v>
      </c>
      <c r="Z37" s="91">
        <f t="shared" si="7"/>
        <v>0</v>
      </c>
      <c r="AD37" s="91" t="str">
        <f>PE_aug!AP37</f>
        <v>KWS, neue Schlammbehandlung</v>
      </c>
    </row>
    <row r="38" spans="1:30">
      <c r="A38" s="155" t="s">
        <v>78</v>
      </c>
      <c r="P38" s="115">
        <v>4.5395000000000003</v>
      </c>
      <c r="Q38">
        <v>0.44</v>
      </c>
      <c r="R38" s="88" t="e">
        <f t="shared" si="0"/>
        <v>#DIV/0!</v>
      </c>
      <c r="S38" s="91" t="e">
        <f t="shared" si="1"/>
        <v>#DIV/0!</v>
      </c>
      <c r="T38" s="1" t="e">
        <f t="shared" si="2"/>
        <v>#DIV/0!</v>
      </c>
      <c r="U38" s="1" t="e">
        <f t="shared" si="3"/>
        <v>#DIV/0!</v>
      </c>
      <c r="V38" s="227" t="e">
        <f t="shared" si="4"/>
        <v>#DIV/0!</v>
      </c>
      <c r="W38" s="227" t="e">
        <f t="shared" si="5"/>
        <v>#DIV/0!</v>
      </c>
      <c r="X38" s="203" t="e">
        <f>INDEX(#REF!,MATCH(COUNTA(H38:M38),#REF!,0),2)</f>
        <v>#REF!</v>
      </c>
      <c r="Y38" s="310" t="e">
        <f t="shared" si="6"/>
        <v>#DIV/0!</v>
      </c>
      <c r="Z38" s="91">
        <f t="shared" si="7"/>
        <v>0</v>
      </c>
      <c r="AD38" s="91" t="str">
        <f>PE_aug!AP38</f>
        <v>KWS, neue Schlammbehandlung</v>
      </c>
    </row>
    <row r="39" spans="1:30">
      <c r="A39" s="155" t="s">
        <v>79</v>
      </c>
      <c r="P39" s="115">
        <v>11.981299999999999</v>
      </c>
      <c r="R39" s="88" t="e">
        <f t="shared" si="0"/>
        <v>#DIV/0!</v>
      </c>
      <c r="S39" s="91" t="e">
        <f t="shared" si="1"/>
        <v>#DIV/0!</v>
      </c>
      <c r="T39" s="1" t="e">
        <f t="shared" si="2"/>
        <v>#DIV/0!</v>
      </c>
      <c r="U39" s="1" t="e">
        <f t="shared" si="3"/>
        <v>#DIV/0!</v>
      </c>
      <c r="V39" s="227" t="e">
        <f t="shared" si="4"/>
        <v>#DIV/0!</v>
      </c>
      <c r="W39" s="227" t="e">
        <f t="shared" si="5"/>
        <v>#DIV/0!</v>
      </c>
      <c r="X39" s="203" t="e">
        <f>INDEX(#REF!,MATCH(COUNTA(H39:M39),#REF!,0),2)</f>
        <v>#REF!</v>
      </c>
      <c r="Y39" s="310" t="e">
        <f t="shared" si="6"/>
        <v>#DIV/0!</v>
      </c>
      <c r="Z39" s="91">
        <f t="shared" si="7"/>
        <v>0</v>
      </c>
      <c r="AD39" s="91" t="str">
        <f>PE_aug!AP39</f>
        <v>KWS, neue Schlammbehandlung</v>
      </c>
    </row>
    <row r="40" spans="1:30">
      <c r="A40" s="155" t="s">
        <v>80</v>
      </c>
      <c r="P40" s="115">
        <v>22.0534</v>
      </c>
      <c r="R40" s="88" t="e">
        <f t="shared" si="0"/>
        <v>#DIV/0!</v>
      </c>
      <c r="S40" s="91" t="e">
        <f t="shared" si="1"/>
        <v>#DIV/0!</v>
      </c>
      <c r="T40" s="1" t="e">
        <f t="shared" si="2"/>
        <v>#DIV/0!</v>
      </c>
      <c r="U40" s="1" t="e">
        <f t="shared" si="3"/>
        <v>#DIV/0!</v>
      </c>
      <c r="V40" s="227" t="e">
        <f t="shared" si="4"/>
        <v>#DIV/0!</v>
      </c>
      <c r="W40" s="227" t="e">
        <f t="shared" si="5"/>
        <v>#DIV/0!</v>
      </c>
      <c r="X40" s="203" t="e">
        <f>INDEX(#REF!,MATCH(COUNTA(H40:M40),#REF!,0),2)</f>
        <v>#REF!</v>
      </c>
      <c r="Y40" s="310" t="e">
        <f t="shared" si="6"/>
        <v>#DIV/0!</v>
      </c>
      <c r="Z40" s="91">
        <f t="shared" si="7"/>
        <v>0</v>
      </c>
      <c r="AD40" s="91" t="str">
        <f>PE_aug!AP40</f>
        <v>KWS, neue Schlammbehandlung</v>
      </c>
    </row>
    <row r="41" spans="1:30">
      <c r="A41" s="155" t="s">
        <v>81</v>
      </c>
      <c r="P41" s="115">
        <v>14.983700000000001</v>
      </c>
      <c r="R41" s="88" t="e">
        <f t="shared" si="0"/>
        <v>#DIV/0!</v>
      </c>
      <c r="S41" s="91" t="e">
        <f t="shared" si="1"/>
        <v>#DIV/0!</v>
      </c>
      <c r="T41" s="1" t="e">
        <f t="shared" si="2"/>
        <v>#DIV/0!</v>
      </c>
      <c r="U41" s="1" t="e">
        <f t="shared" si="3"/>
        <v>#DIV/0!</v>
      </c>
      <c r="V41" s="227" t="e">
        <f t="shared" si="4"/>
        <v>#DIV/0!</v>
      </c>
      <c r="W41" s="227" t="e">
        <f t="shared" si="5"/>
        <v>#DIV/0!</v>
      </c>
      <c r="X41" s="203" t="e">
        <f>INDEX(#REF!,MATCH(COUNTA(H41:M41),#REF!,0),2)</f>
        <v>#REF!</v>
      </c>
      <c r="Y41" s="310" t="e">
        <f t="shared" si="6"/>
        <v>#DIV/0!</v>
      </c>
      <c r="Z41" s="91">
        <f t="shared" si="7"/>
        <v>0</v>
      </c>
      <c r="AD41" s="91" t="str">
        <f>PE_aug!AP41</f>
        <v>KWS, neue Schlammbehandlung</v>
      </c>
    </row>
    <row r="42" spans="1:30">
      <c r="A42" s="155" t="s">
        <v>82</v>
      </c>
      <c r="B42">
        <v>63.54</v>
      </c>
      <c r="C42">
        <v>51.51</v>
      </c>
      <c r="D42">
        <v>57.58</v>
      </c>
      <c r="E42">
        <v>72.53</v>
      </c>
      <c r="F42">
        <v>75.56</v>
      </c>
      <c r="G42">
        <v>75.2</v>
      </c>
      <c r="H42" s="306">
        <v>63.54</v>
      </c>
      <c r="I42">
        <v>51.51</v>
      </c>
      <c r="J42">
        <v>57.58</v>
      </c>
      <c r="K42">
        <v>72.53</v>
      </c>
      <c r="L42">
        <v>75.56</v>
      </c>
      <c r="M42" s="307">
        <v>75.2</v>
      </c>
      <c r="P42" s="115">
        <v>2.3340000000000001</v>
      </c>
      <c r="Q42">
        <v>0.86</v>
      </c>
      <c r="R42" s="88">
        <f t="shared" si="0"/>
        <v>1</v>
      </c>
      <c r="S42" s="91">
        <f t="shared" si="1"/>
        <v>0.92999999999999994</v>
      </c>
      <c r="T42" s="1">
        <f t="shared" si="2"/>
        <v>13.911174094932152</v>
      </c>
      <c r="U42" s="1">
        <f t="shared" si="3"/>
        <v>13.911174094932152</v>
      </c>
      <c r="V42" s="227">
        <f t="shared" si="4"/>
        <v>1.5770613868024546</v>
      </c>
      <c r="W42" s="227">
        <f t="shared" si="5"/>
        <v>1.0429012900982388</v>
      </c>
      <c r="X42" s="203" t="e">
        <f>INDEX(#REF!,MATCH(COUNTA(H42:M42),#REF!,0),2)</f>
        <v>#REF!</v>
      </c>
      <c r="Y42" s="310">
        <f t="shared" si="6"/>
        <v>65.986666666666665</v>
      </c>
      <c r="Z42" s="91">
        <f t="shared" si="7"/>
        <v>28.271922307912025</v>
      </c>
      <c r="AD42" s="91" t="str">
        <f>PE_aug!AP42</f>
        <v>Methodenvergleich</v>
      </c>
    </row>
    <row r="43" spans="1:30">
      <c r="A43" s="155" t="s">
        <v>83</v>
      </c>
      <c r="P43" s="115">
        <v>5.1288999999999998</v>
      </c>
      <c r="Q43">
        <v>0.83</v>
      </c>
      <c r="R43" s="88" t="e">
        <f t="shared" si="0"/>
        <v>#DIV/0!</v>
      </c>
      <c r="S43" s="91" t="e">
        <f t="shared" si="1"/>
        <v>#DIV/0!</v>
      </c>
      <c r="T43" s="1" t="e">
        <f t="shared" si="2"/>
        <v>#DIV/0!</v>
      </c>
      <c r="U43" s="1" t="e">
        <f t="shared" si="3"/>
        <v>#DIV/0!</v>
      </c>
      <c r="V43" s="227" t="e">
        <f t="shared" si="4"/>
        <v>#DIV/0!</v>
      </c>
      <c r="W43" s="227" t="e">
        <f t="shared" si="5"/>
        <v>#DIV/0!</v>
      </c>
      <c r="X43" s="203" t="e">
        <f>INDEX(#REF!,MATCH(COUNTA(H43:M43),#REF!,0),2)</f>
        <v>#REF!</v>
      </c>
      <c r="Y43" s="310" t="e">
        <f t="shared" si="6"/>
        <v>#DIV/0!</v>
      </c>
      <c r="Z43" s="91">
        <f t="shared" si="7"/>
        <v>0</v>
      </c>
      <c r="AD43" s="91" t="str">
        <f>PE_aug!AP43</f>
        <v>Methodenvergleich</v>
      </c>
    </row>
    <row r="44" spans="1:30">
      <c r="A44" s="155" t="s">
        <v>84</v>
      </c>
      <c r="F44">
        <v>8.69</v>
      </c>
      <c r="P44" s="115">
        <v>2.7223000000000002</v>
      </c>
      <c r="Q44">
        <v>0.81</v>
      </c>
      <c r="R44" s="88" t="e">
        <f t="shared" si="0"/>
        <v>#DIV/0!</v>
      </c>
      <c r="S44" s="91" t="e">
        <f t="shared" si="1"/>
        <v>#DIV/0!</v>
      </c>
      <c r="T44" s="1" t="e">
        <f t="shared" si="2"/>
        <v>#DIV/0!</v>
      </c>
      <c r="U44" s="1">
        <f t="shared" si="3"/>
        <v>0</v>
      </c>
      <c r="V44" s="227" t="e">
        <f t="shared" si="4"/>
        <v>#DIV/0!</v>
      </c>
      <c r="W44" s="227" t="e">
        <f t="shared" si="5"/>
        <v>#DIV/0!</v>
      </c>
      <c r="X44" s="203" t="e">
        <f>INDEX(#REF!,MATCH(COUNTA(H44:M44),#REF!,0),2)</f>
        <v>#REF!</v>
      </c>
      <c r="Y44" s="310" t="e">
        <f t="shared" si="6"/>
        <v>#DIV/0!</v>
      </c>
      <c r="Z44" s="91">
        <f t="shared" si="7"/>
        <v>0</v>
      </c>
      <c r="AD44" s="91" t="str">
        <f>PE_aug!AP44</f>
        <v>Methodenvergleich</v>
      </c>
    </row>
    <row r="45" spans="1:30">
      <c r="A45" s="155" t="s">
        <v>85</v>
      </c>
      <c r="F45">
        <v>9.59</v>
      </c>
      <c r="P45" s="115">
        <v>2.6141000000000001</v>
      </c>
      <c r="Q45">
        <v>0.79</v>
      </c>
      <c r="R45" s="88" t="e">
        <f t="shared" si="0"/>
        <v>#DIV/0!</v>
      </c>
      <c r="S45" s="91" t="e">
        <f t="shared" si="1"/>
        <v>#DIV/0!</v>
      </c>
      <c r="T45" s="1" t="e">
        <f t="shared" si="2"/>
        <v>#DIV/0!</v>
      </c>
      <c r="U45" s="1">
        <f t="shared" si="3"/>
        <v>0</v>
      </c>
      <c r="V45" s="227" t="e">
        <f t="shared" si="4"/>
        <v>#DIV/0!</v>
      </c>
      <c r="W45" s="227" t="e">
        <f t="shared" si="5"/>
        <v>#DIV/0!</v>
      </c>
      <c r="X45" s="203" t="e">
        <f>INDEX(#REF!,MATCH(COUNTA(H45:M45),#REF!,0),2)</f>
        <v>#REF!</v>
      </c>
      <c r="Y45" s="310" t="e">
        <f t="shared" si="6"/>
        <v>#DIV/0!</v>
      </c>
      <c r="Z45" s="91">
        <f t="shared" si="7"/>
        <v>0</v>
      </c>
      <c r="AD45" s="91" t="str">
        <f>PE_aug!AP45</f>
        <v>Methodenvergleich</v>
      </c>
    </row>
    <row r="46" spans="1:30">
      <c r="A46" s="155" t="s">
        <v>86</v>
      </c>
      <c r="E46">
        <v>12.68</v>
      </c>
      <c r="F46">
        <v>18.670000000000002</v>
      </c>
      <c r="G46">
        <v>12.74</v>
      </c>
      <c r="K46">
        <v>12.68</v>
      </c>
      <c r="L46">
        <v>18.670000000000002</v>
      </c>
      <c r="M46" s="307">
        <v>12.74</v>
      </c>
      <c r="P46" s="115">
        <v>3.3165</v>
      </c>
      <c r="Q46">
        <v>0.81</v>
      </c>
      <c r="R46" s="88">
        <f t="shared" si="0"/>
        <v>0.75</v>
      </c>
      <c r="S46" s="91">
        <f t="shared" si="1"/>
        <v>0.78</v>
      </c>
      <c r="T46" s="1">
        <f t="shared" si="2"/>
        <v>19.117788975426738</v>
      </c>
      <c r="U46" s="1">
        <f t="shared" si="3"/>
        <v>19.117788975426738</v>
      </c>
      <c r="V46" s="227">
        <f t="shared" si="4"/>
        <v>0.71775729027112856</v>
      </c>
      <c r="W46" s="227">
        <f t="shared" si="5"/>
        <v>1.4141598181870829</v>
      </c>
      <c r="X46" s="203" t="e">
        <f>INDEX(#REF!,MATCH(COUNTA(H46:M46),#REF!,0),2)</f>
        <v>#REF!</v>
      </c>
      <c r="Y46" s="310">
        <f t="shared" si="6"/>
        <v>14.696666666666667</v>
      </c>
      <c r="Z46" s="91">
        <f t="shared" si="7"/>
        <v>4.4313784612292073</v>
      </c>
      <c r="AD46" s="91" t="str">
        <f>PE_aug!AP46</f>
        <v>Methodenvergleich</v>
      </c>
    </row>
    <row r="47" spans="1:30">
      <c r="A47" s="155" t="s">
        <v>87</v>
      </c>
      <c r="E47">
        <v>7.4</v>
      </c>
      <c r="F47">
        <v>13.11</v>
      </c>
      <c r="K47">
        <v>7.4</v>
      </c>
      <c r="L47">
        <v>13.11</v>
      </c>
      <c r="P47" s="115">
        <v>2.6827000000000001</v>
      </c>
      <c r="Q47">
        <v>0.74</v>
      </c>
      <c r="R47" s="88">
        <f t="shared" si="0"/>
        <v>0.66666666666666663</v>
      </c>
      <c r="S47" s="91">
        <f t="shared" si="1"/>
        <v>0.70333333333333337</v>
      </c>
      <c r="T47" s="1">
        <f t="shared" si="2"/>
        <v>27.840078010726486</v>
      </c>
      <c r="U47" s="1">
        <f t="shared" si="3"/>
        <v>27.840078010726486</v>
      </c>
      <c r="V47" s="227">
        <f t="shared" si="4"/>
        <v>0.99999999999999922</v>
      </c>
      <c r="W47" s="227">
        <f t="shared" si="5"/>
        <v>0.99999999999999989</v>
      </c>
      <c r="X47" s="203" t="e">
        <f>INDEX(#REF!,MATCH(COUNTA(H47:M47),#REF!,0),2)</f>
        <v>#REF!</v>
      </c>
      <c r="Y47" s="310">
        <f t="shared" si="6"/>
        <v>10.254999999999999</v>
      </c>
      <c r="Z47" s="91">
        <f t="shared" si="7"/>
        <v>3.8226413687702681</v>
      </c>
      <c r="AD47" s="91" t="str">
        <f>PE_aug!AP47</f>
        <v>Methodenvergleich</v>
      </c>
    </row>
    <row r="48" spans="1:30">
      <c r="A48" s="155" t="s">
        <v>88</v>
      </c>
      <c r="B48">
        <v>6.5</v>
      </c>
      <c r="C48">
        <v>11.86</v>
      </c>
      <c r="E48">
        <v>18.86</v>
      </c>
      <c r="F48">
        <v>30.6</v>
      </c>
      <c r="G48">
        <v>18.3</v>
      </c>
      <c r="H48" s="306">
        <v>6.5</v>
      </c>
      <c r="I48">
        <v>11.86</v>
      </c>
      <c r="K48">
        <v>18.86</v>
      </c>
      <c r="M48" s="307">
        <v>18.3</v>
      </c>
      <c r="P48" s="115">
        <v>4.9345999999999997</v>
      </c>
      <c r="Q48">
        <v>0.81</v>
      </c>
      <c r="R48" s="88">
        <f t="shared" si="0"/>
        <v>0.58333333333333326</v>
      </c>
      <c r="S48" s="91">
        <f t="shared" si="1"/>
        <v>0.69666666666666666</v>
      </c>
      <c r="T48" s="1">
        <f t="shared" si="2"/>
        <v>36.538388827373176</v>
      </c>
      <c r="U48" s="1">
        <f t="shared" si="3"/>
        <v>46.918207102208889</v>
      </c>
      <c r="V48" s="227">
        <f t="shared" si="4"/>
        <v>1.4551826318792369</v>
      </c>
      <c r="W48" s="227">
        <f t="shared" si="5"/>
        <v>0.98195250769086739</v>
      </c>
      <c r="X48" s="203" t="e">
        <f>INDEX(#REF!,MATCH(COUNTA(H48:M48),#REF!,0),2)</f>
        <v>#REF!</v>
      </c>
      <c r="Y48" s="310">
        <f t="shared" si="6"/>
        <v>13.879999999999999</v>
      </c>
      <c r="Z48" s="91">
        <f t="shared" si="7"/>
        <v>2.8127913103392372</v>
      </c>
      <c r="AD48" s="91" t="str">
        <f>PE_aug!AP48</f>
        <v>Methodenvergleich</v>
      </c>
    </row>
    <row r="49" spans="1:30">
      <c r="A49" s="155" t="s">
        <v>89</v>
      </c>
      <c r="B49">
        <v>8.1199999999999992</v>
      </c>
      <c r="C49">
        <v>13.03</v>
      </c>
      <c r="E49">
        <v>19.41</v>
      </c>
      <c r="F49">
        <v>30.46</v>
      </c>
      <c r="G49">
        <v>18.97</v>
      </c>
      <c r="H49" s="306">
        <v>8.1199999999999992</v>
      </c>
      <c r="I49">
        <v>13.03</v>
      </c>
      <c r="K49">
        <v>19.41</v>
      </c>
      <c r="M49" s="307">
        <v>18.97</v>
      </c>
      <c r="P49" s="115">
        <v>5.2786</v>
      </c>
      <c r="Q49">
        <v>0.69</v>
      </c>
      <c r="R49" s="88">
        <f t="shared" si="0"/>
        <v>0.83333333333333326</v>
      </c>
      <c r="S49" s="91">
        <f t="shared" si="1"/>
        <v>0.7616666666666666</v>
      </c>
      <c r="T49" s="1">
        <f t="shared" si="2"/>
        <v>31.222900661444992</v>
      </c>
      <c r="U49" s="1">
        <f t="shared" si="3"/>
        <v>41.615392363057104</v>
      </c>
      <c r="V49" s="227">
        <f t="shared" si="4"/>
        <v>1.4553187997545989</v>
      </c>
      <c r="W49" s="227">
        <f t="shared" si="5"/>
        <v>0.9743372814623209</v>
      </c>
      <c r="X49" s="203" t="e">
        <f>INDEX(#REF!,MATCH(COUNTA(H49:M49),#REF!,0),2)</f>
        <v>#REF!</v>
      </c>
      <c r="Y49" s="310">
        <f t="shared" si="6"/>
        <v>14.8825</v>
      </c>
      <c r="Z49" s="91">
        <f t="shared" si="7"/>
        <v>2.8194028719736295</v>
      </c>
      <c r="AD49" s="91" t="str">
        <f>PE_aug!AP49</f>
        <v>Methodenvergleich</v>
      </c>
    </row>
    <row r="50" spans="1:30">
      <c r="A50" s="156" t="s">
        <v>90</v>
      </c>
      <c r="N50" s="51"/>
      <c r="O50" s="51"/>
      <c r="P50" s="117">
        <v>6.4586099999999994E-2</v>
      </c>
      <c r="R50" s="88" t="e">
        <f t="shared" si="0"/>
        <v>#DIV/0!</v>
      </c>
      <c r="S50" s="91" t="e">
        <f t="shared" si="1"/>
        <v>#DIV/0!</v>
      </c>
      <c r="T50" s="1" t="e">
        <f t="shared" si="2"/>
        <v>#DIV/0!</v>
      </c>
      <c r="U50" s="1" t="e">
        <f t="shared" si="3"/>
        <v>#DIV/0!</v>
      </c>
      <c r="V50" s="227" t="e">
        <f t="shared" si="4"/>
        <v>#DIV/0!</v>
      </c>
      <c r="W50" s="227" t="e">
        <f t="shared" si="5"/>
        <v>#DIV/0!</v>
      </c>
      <c r="X50" s="203" t="e">
        <f>INDEX(#REF!,MATCH(COUNTA(H50:M50),#REF!,0),2)</f>
        <v>#REF!</v>
      </c>
      <c r="Y50" s="310" t="e">
        <f t="shared" si="6"/>
        <v>#DIV/0!</v>
      </c>
      <c r="Z50" s="91">
        <f t="shared" si="7"/>
        <v>0</v>
      </c>
      <c r="AD50" s="91" t="str">
        <f>PE_aug!AP50</f>
        <v>Methode</v>
      </c>
    </row>
    <row r="51" spans="1:30">
      <c r="A51" s="156" t="s">
        <v>91</v>
      </c>
      <c r="P51" s="115">
        <v>9.7091999999999992</v>
      </c>
      <c r="Q51">
        <v>0.56999999999999995</v>
      </c>
      <c r="R51" s="88" t="e">
        <f t="shared" si="0"/>
        <v>#DIV/0!</v>
      </c>
      <c r="S51" s="91" t="e">
        <f t="shared" si="1"/>
        <v>#DIV/0!</v>
      </c>
      <c r="T51" s="1" t="e">
        <f t="shared" si="2"/>
        <v>#DIV/0!</v>
      </c>
      <c r="U51" s="1" t="e">
        <f t="shared" si="3"/>
        <v>#DIV/0!</v>
      </c>
      <c r="V51" s="227" t="e">
        <f t="shared" si="4"/>
        <v>#DIV/0!</v>
      </c>
      <c r="W51" s="227" t="e">
        <f t="shared" si="5"/>
        <v>#DIV/0!</v>
      </c>
      <c r="X51" s="203" t="e">
        <f>INDEX(#REF!,MATCH(COUNTA(H51:M51),#REF!,0),2)</f>
        <v>#REF!</v>
      </c>
      <c r="Y51" s="310" t="e">
        <f t="shared" si="6"/>
        <v>#DIV/0!</v>
      </c>
      <c r="Z51" s="91">
        <f t="shared" si="7"/>
        <v>0</v>
      </c>
      <c r="AD51" s="91" t="str">
        <f>PE_aug!AP51</f>
        <v>Referenzmessung BS</v>
      </c>
    </row>
    <row r="52" spans="1:30">
      <c r="A52" s="156" t="s">
        <v>92</v>
      </c>
      <c r="P52" s="115">
        <v>13.1975</v>
      </c>
      <c r="Q52">
        <v>0.5</v>
      </c>
      <c r="R52" s="88" t="e">
        <f t="shared" si="0"/>
        <v>#DIV/0!</v>
      </c>
      <c r="S52" s="91" t="e">
        <f t="shared" si="1"/>
        <v>#DIV/0!</v>
      </c>
      <c r="T52" s="1" t="e">
        <f t="shared" si="2"/>
        <v>#DIV/0!</v>
      </c>
      <c r="U52" s="1" t="e">
        <f t="shared" si="3"/>
        <v>#DIV/0!</v>
      </c>
      <c r="V52" s="227" t="e">
        <f t="shared" si="4"/>
        <v>#DIV/0!</v>
      </c>
      <c r="W52" s="227" t="e">
        <f t="shared" si="5"/>
        <v>#DIV/0!</v>
      </c>
      <c r="X52" s="203" t="e">
        <f>INDEX(#REF!,MATCH(COUNTA(H52:M52),#REF!,0),2)</f>
        <v>#REF!</v>
      </c>
      <c r="Y52" s="310" t="e">
        <f t="shared" si="6"/>
        <v>#DIV/0!</v>
      </c>
      <c r="Z52" s="91">
        <f t="shared" si="7"/>
        <v>0</v>
      </c>
      <c r="AD52" s="91" t="str">
        <f>PE_aug!AP52</f>
        <v>Referenzmessung BS</v>
      </c>
    </row>
    <row r="53" spans="1:30">
      <c r="A53" s="156" t="s">
        <v>93</v>
      </c>
      <c r="F53">
        <v>8.43</v>
      </c>
      <c r="L53">
        <v>8.43</v>
      </c>
      <c r="P53" s="115">
        <v>13.651300000000001</v>
      </c>
      <c r="Q53">
        <v>0.5</v>
      </c>
      <c r="R53" s="88">
        <f t="shared" si="0"/>
        <v>0.16</v>
      </c>
      <c r="S53" s="91">
        <f t="shared" si="1"/>
        <v>0.33</v>
      </c>
      <c r="T53" s="1">
        <f t="shared" si="2"/>
        <v>0</v>
      </c>
      <c r="U53" s="1">
        <f t="shared" si="3"/>
        <v>0</v>
      </c>
      <c r="V53" s="227" t="e">
        <f t="shared" si="4"/>
        <v>#DIV/0!</v>
      </c>
      <c r="W53" s="227" t="e">
        <f t="shared" si="5"/>
        <v>#DIV/0!</v>
      </c>
      <c r="X53" s="203" t="e">
        <f>INDEX(#REF!,MATCH(COUNTA(H53:M53),#REF!,0),2)</f>
        <v>#REF!</v>
      </c>
      <c r="Y53" s="310">
        <f t="shared" si="6"/>
        <v>8.43</v>
      </c>
      <c r="Z53" s="91">
        <f t="shared" si="7"/>
        <v>0.61752360581043553</v>
      </c>
      <c r="AD53" s="91" t="str">
        <f>PE_aug!AP53</f>
        <v>Referenzmessung BS</v>
      </c>
    </row>
    <row r="54" spans="1:30">
      <c r="A54" s="156" t="s">
        <v>94</v>
      </c>
      <c r="P54" s="115">
        <v>12.703900000000001</v>
      </c>
      <c r="Q54">
        <v>0.69</v>
      </c>
      <c r="R54" s="88" t="e">
        <f t="shared" si="0"/>
        <v>#DIV/0!</v>
      </c>
      <c r="S54" s="91" t="e">
        <f t="shared" si="1"/>
        <v>#DIV/0!</v>
      </c>
      <c r="T54" s="1" t="e">
        <f t="shared" si="2"/>
        <v>#DIV/0!</v>
      </c>
      <c r="U54" s="1" t="e">
        <f t="shared" si="3"/>
        <v>#DIV/0!</v>
      </c>
      <c r="V54" s="227" t="e">
        <f t="shared" si="4"/>
        <v>#DIV/0!</v>
      </c>
      <c r="W54" s="227" t="e">
        <f t="shared" si="5"/>
        <v>#DIV/0!</v>
      </c>
      <c r="X54" s="203" t="e">
        <f>INDEX(#REF!,MATCH(COUNTA(H54:M54),#REF!,0),2)</f>
        <v>#REF!</v>
      </c>
      <c r="Y54" s="310" t="e">
        <f t="shared" si="6"/>
        <v>#DIV/0!</v>
      </c>
      <c r="Z54" s="91">
        <f t="shared" si="7"/>
        <v>0</v>
      </c>
      <c r="AD54" s="91" t="str">
        <f>PE_aug!AP54</f>
        <v>Referenzmessung BS</v>
      </c>
    </row>
    <row r="55" spans="1:30">
      <c r="A55" s="156" t="s">
        <v>95</v>
      </c>
      <c r="P55" s="115">
        <v>7.2664999999999997</v>
      </c>
      <c r="Q55">
        <v>0.5</v>
      </c>
      <c r="R55" s="88" t="e">
        <f t="shared" si="0"/>
        <v>#DIV/0!</v>
      </c>
      <c r="S55" s="91" t="e">
        <f t="shared" si="1"/>
        <v>#DIV/0!</v>
      </c>
      <c r="T55" s="1" t="e">
        <f t="shared" si="2"/>
        <v>#DIV/0!</v>
      </c>
      <c r="U55" s="1" t="e">
        <f t="shared" si="3"/>
        <v>#DIV/0!</v>
      </c>
      <c r="V55" s="227" t="e">
        <f t="shared" si="4"/>
        <v>#DIV/0!</v>
      </c>
      <c r="W55" s="227" t="e">
        <f t="shared" si="5"/>
        <v>#DIV/0!</v>
      </c>
      <c r="X55" s="203" t="e">
        <f>INDEX(#REF!,MATCH(COUNTA(H55:M55),#REF!,0),2)</f>
        <v>#REF!</v>
      </c>
      <c r="Y55" s="310" t="e">
        <f t="shared" si="6"/>
        <v>#DIV/0!</v>
      </c>
      <c r="Z55" s="91">
        <f t="shared" si="7"/>
        <v>0</v>
      </c>
      <c r="AD55" s="91" t="str">
        <f>PE_aug!AP55</f>
        <v>Referenzmessung BS</v>
      </c>
    </row>
    <row r="56" spans="1:30">
      <c r="A56" s="156" t="s">
        <v>96</v>
      </c>
      <c r="P56" s="115">
        <v>10.364800000000001</v>
      </c>
      <c r="Q56">
        <v>0.5</v>
      </c>
      <c r="R56" s="88" t="e">
        <f t="shared" si="0"/>
        <v>#DIV/0!</v>
      </c>
      <c r="S56" s="91" t="e">
        <f t="shared" si="1"/>
        <v>#DIV/0!</v>
      </c>
      <c r="T56" s="1" t="e">
        <f t="shared" si="2"/>
        <v>#DIV/0!</v>
      </c>
      <c r="U56" s="1" t="e">
        <f t="shared" si="3"/>
        <v>#DIV/0!</v>
      </c>
      <c r="V56" s="227" t="e">
        <f t="shared" si="4"/>
        <v>#DIV/0!</v>
      </c>
      <c r="W56" s="227" t="e">
        <f t="shared" si="5"/>
        <v>#DIV/0!</v>
      </c>
      <c r="X56" s="203" t="e">
        <f>INDEX(#REF!,MATCH(COUNTA(H56:M56),#REF!,0),2)</f>
        <v>#REF!</v>
      </c>
      <c r="Y56" s="310" t="e">
        <f t="shared" si="6"/>
        <v>#DIV/0!</v>
      </c>
      <c r="Z56" s="91">
        <f t="shared" si="7"/>
        <v>0</v>
      </c>
      <c r="AD56" s="91" t="str">
        <f>PE_aug!AP56</f>
        <v>Referenzmessung BS</v>
      </c>
    </row>
    <row r="57" spans="1:30">
      <c r="A57" s="156" t="s">
        <v>97</v>
      </c>
      <c r="P57" s="115">
        <v>10.887700000000001</v>
      </c>
      <c r="R57" s="88" t="e">
        <f t="shared" si="0"/>
        <v>#DIV/0!</v>
      </c>
      <c r="S57" s="91" t="e">
        <f t="shared" si="1"/>
        <v>#DIV/0!</v>
      </c>
      <c r="T57" s="1" t="e">
        <f t="shared" si="2"/>
        <v>#DIV/0!</v>
      </c>
      <c r="U57" s="1" t="e">
        <f t="shared" si="3"/>
        <v>#DIV/0!</v>
      </c>
      <c r="V57" s="227" t="e">
        <f t="shared" si="4"/>
        <v>#DIV/0!</v>
      </c>
      <c r="W57" s="227" t="e">
        <f t="shared" si="5"/>
        <v>#DIV/0!</v>
      </c>
      <c r="X57" s="203" t="e">
        <f>INDEX(#REF!,MATCH(COUNTA(H57:M57),#REF!,0),2)</f>
        <v>#REF!</v>
      </c>
      <c r="Y57" s="310" t="e">
        <f t="shared" si="6"/>
        <v>#DIV/0!</v>
      </c>
      <c r="Z57" s="91">
        <f t="shared" si="7"/>
        <v>0</v>
      </c>
      <c r="AD57" s="91" t="str">
        <f>PE_aug!AP57</f>
        <v>Referenzmessung BS</v>
      </c>
    </row>
    <row r="58" spans="1:30">
      <c r="A58" s="156" t="s">
        <v>98</v>
      </c>
      <c r="P58" s="115">
        <v>8.7660999999999998</v>
      </c>
      <c r="R58" s="88" t="e">
        <f t="shared" si="0"/>
        <v>#DIV/0!</v>
      </c>
      <c r="S58" s="91" t="e">
        <f t="shared" si="1"/>
        <v>#DIV/0!</v>
      </c>
      <c r="T58" s="1" t="e">
        <f t="shared" si="2"/>
        <v>#DIV/0!</v>
      </c>
      <c r="U58" s="1" t="e">
        <f t="shared" si="3"/>
        <v>#DIV/0!</v>
      </c>
      <c r="V58" s="227" t="e">
        <f t="shared" si="4"/>
        <v>#DIV/0!</v>
      </c>
      <c r="W58" s="227" t="e">
        <f t="shared" si="5"/>
        <v>#DIV/0!</v>
      </c>
      <c r="X58" s="203" t="e">
        <f>INDEX(#REF!,MATCH(COUNTA(H58:M58),#REF!,0),2)</f>
        <v>#REF!</v>
      </c>
      <c r="Y58" s="310" t="e">
        <f t="shared" si="6"/>
        <v>#DIV/0!</v>
      </c>
      <c r="Z58" s="91">
        <f t="shared" si="7"/>
        <v>0</v>
      </c>
      <c r="AD58" s="91" t="str">
        <f>PE_aug!AP58</f>
        <v>Referenzmessung BS</v>
      </c>
    </row>
    <row r="59" spans="1:30">
      <c r="A59" s="156" t="s">
        <v>99</v>
      </c>
      <c r="P59" s="115">
        <v>11.4666</v>
      </c>
      <c r="R59" s="88" t="e">
        <f t="shared" si="0"/>
        <v>#DIV/0!</v>
      </c>
      <c r="S59" s="91" t="e">
        <f t="shared" si="1"/>
        <v>#DIV/0!</v>
      </c>
      <c r="T59" s="1" t="e">
        <f t="shared" si="2"/>
        <v>#DIV/0!</v>
      </c>
      <c r="U59" s="1" t="e">
        <f t="shared" si="3"/>
        <v>#DIV/0!</v>
      </c>
      <c r="V59" s="227" t="e">
        <f t="shared" si="4"/>
        <v>#DIV/0!</v>
      </c>
      <c r="W59" s="227" t="e">
        <f t="shared" si="5"/>
        <v>#DIV/0!</v>
      </c>
      <c r="X59" s="203" t="e">
        <f>INDEX(#REF!,MATCH(COUNTA(H59:M59),#REF!,0),2)</f>
        <v>#REF!</v>
      </c>
      <c r="Y59" s="310" t="e">
        <f t="shared" si="6"/>
        <v>#DIV/0!</v>
      </c>
      <c r="Z59" s="91">
        <f t="shared" si="7"/>
        <v>0</v>
      </c>
      <c r="AD59" s="91" t="str">
        <f>PE_aug!AP59</f>
        <v>Referenzmessung BS</v>
      </c>
    </row>
    <row r="60" spans="1:30">
      <c r="A60" s="156" t="s">
        <v>100</v>
      </c>
      <c r="P60" s="115">
        <v>8.7931000000000008</v>
      </c>
      <c r="R60" s="88" t="e">
        <f t="shared" si="0"/>
        <v>#DIV/0!</v>
      </c>
      <c r="S60" s="91" t="e">
        <f t="shared" si="1"/>
        <v>#DIV/0!</v>
      </c>
      <c r="T60" s="1" t="e">
        <f t="shared" si="2"/>
        <v>#DIV/0!</v>
      </c>
      <c r="U60" s="1" t="e">
        <f t="shared" si="3"/>
        <v>#DIV/0!</v>
      </c>
      <c r="V60" s="227" t="e">
        <f t="shared" si="4"/>
        <v>#DIV/0!</v>
      </c>
      <c r="W60" s="227" t="e">
        <f t="shared" si="5"/>
        <v>#DIV/0!</v>
      </c>
      <c r="X60" s="203" t="e">
        <f>INDEX(#REF!,MATCH(COUNTA(H60:M60),#REF!,0),2)</f>
        <v>#REF!</v>
      </c>
      <c r="Y60" s="310" t="e">
        <f t="shared" si="6"/>
        <v>#DIV/0!</v>
      </c>
      <c r="Z60" s="91">
        <f t="shared" si="7"/>
        <v>0</v>
      </c>
      <c r="AD60" s="91" t="str">
        <f>PE_aug!AP60</f>
        <v>Referenzmessung BS</v>
      </c>
    </row>
    <row r="61" spans="1:30">
      <c r="A61" s="156" t="s">
        <v>101</v>
      </c>
      <c r="P61" s="115">
        <v>7.7481</v>
      </c>
      <c r="R61" s="88" t="e">
        <f t="shared" si="0"/>
        <v>#DIV/0!</v>
      </c>
      <c r="S61" s="91" t="e">
        <f t="shared" si="1"/>
        <v>#DIV/0!</v>
      </c>
      <c r="T61" s="1" t="e">
        <f t="shared" si="2"/>
        <v>#DIV/0!</v>
      </c>
      <c r="U61" s="1" t="e">
        <f t="shared" si="3"/>
        <v>#DIV/0!</v>
      </c>
      <c r="V61" s="227" t="e">
        <f t="shared" si="4"/>
        <v>#DIV/0!</v>
      </c>
      <c r="W61" s="227" t="e">
        <f t="shared" si="5"/>
        <v>#DIV/0!</v>
      </c>
      <c r="X61" s="203" t="e">
        <f>INDEX(#REF!,MATCH(COUNTA(H61:M61),#REF!,0),2)</f>
        <v>#REF!</v>
      </c>
      <c r="Y61" s="310" t="e">
        <f t="shared" si="6"/>
        <v>#DIV/0!</v>
      </c>
      <c r="Z61" s="91">
        <f t="shared" si="7"/>
        <v>0</v>
      </c>
      <c r="AD61" s="91" t="str">
        <f>PE_aug!AP61</f>
        <v>Referenzmessung BS</v>
      </c>
    </row>
    <row r="62" spans="1:30">
      <c r="A62" s="156" t="s">
        <v>102</v>
      </c>
      <c r="P62" s="115">
        <v>9.3953000000000007</v>
      </c>
      <c r="R62" s="88" t="e">
        <f t="shared" si="0"/>
        <v>#DIV/0!</v>
      </c>
      <c r="S62" s="91" t="e">
        <f t="shared" si="1"/>
        <v>#DIV/0!</v>
      </c>
      <c r="T62" s="1" t="e">
        <f t="shared" si="2"/>
        <v>#DIV/0!</v>
      </c>
      <c r="U62" s="1" t="e">
        <f t="shared" si="3"/>
        <v>#DIV/0!</v>
      </c>
      <c r="V62" s="227" t="e">
        <f t="shared" si="4"/>
        <v>#DIV/0!</v>
      </c>
      <c r="W62" s="227" t="e">
        <f t="shared" si="5"/>
        <v>#DIV/0!</v>
      </c>
      <c r="X62" s="203" t="e">
        <f>INDEX(#REF!,MATCH(COUNTA(H62:M62),#REF!,0),2)</f>
        <v>#REF!</v>
      </c>
      <c r="Y62" s="310" t="e">
        <f t="shared" si="6"/>
        <v>#DIV/0!</v>
      </c>
      <c r="Z62" s="91">
        <f t="shared" si="7"/>
        <v>0</v>
      </c>
      <c r="AD62" s="91" t="str">
        <f>PE_aug!AP62</f>
        <v>Referenzmessung BS</v>
      </c>
    </row>
    <row r="63" spans="1:30">
      <c r="A63" s="156" t="s">
        <v>103</v>
      </c>
      <c r="F63">
        <v>6.48</v>
      </c>
      <c r="L63">
        <v>6.48</v>
      </c>
      <c r="P63" s="115">
        <v>10.911199999999999</v>
      </c>
      <c r="Q63">
        <v>0.56000000000000005</v>
      </c>
      <c r="R63" s="88">
        <f t="shared" si="0"/>
        <v>0.16</v>
      </c>
      <c r="S63" s="91">
        <f t="shared" si="1"/>
        <v>0.36000000000000004</v>
      </c>
      <c r="T63" s="1">
        <f t="shared" si="2"/>
        <v>0</v>
      </c>
      <c r="U63" s="1">
        <f t="shared" si="3"/>
        <v>0</v>
      </c>
      <c r="V63" s="227" t="e">
        <f t="shared" si="4"/>
        <v>#DIV/0!</v>
      </c>
      <c r="W63" s="227" t="e">
        <f t="shared" si="5"/>
        <v>#DIV/0!</v>
      </c>
      <c r="X63" s="203" t="e">
        <f>INDEX(#REF!,MATCH(COUNTA(H63:M63),#REF!,0),2)</f>
        <v>#REF!</v>
      </c>
      <c r="Y63" s="310">
        <f t="shared" si="6"/>
        <v>6.48</v>
      </c>
      <c r="Z63" s="91">
        <f t="shared" si="7"/>
        <v>0.59388518219810849</v>
      </c>
      <c r="AD63" s="91" t="str">
        <f>PE_aug!AP63</f>
        <v>Referenzmessung BS</v>
      </c>
    </row>
    <row r="64" spans="1:30">
      <c r="A64" s="156" t="s">
        <v>104</v>
      </c>
      <c r="F64">
        <v>21.59</v>
      </c>
      <c r="L64">
        <v>21.59</v>
      </c>
      <c r="P64" s="115">
        <v>9.3252000000000006</v>
      </c>
      <c r="Q64">
        <v>0.51</v>
      </c>
      <c r="R64" s="88">
        <f t="shared" si="0"/>
        <v>0.16</v>
      </c>
      <c r="S64" s="91">
        <f t="shared" si="1"/>
        <v>0.33500000000000002</v>
      </c>
      <c r="T64" s="1">
        <f t="shared" si="2"/>
        <v>0</v>
      </c>
      <c r="U64" s="1">
        <f t="shared" si="3"/>
        <v>0</v>
      </c>
      <c r="V64" s="227" t="e">
        <f t="shared" si="4"/>
        <v>#DIV/0!</v>
      </c>
      <c r="W64" s="227" t="e">
        <f t="shared" si="5"/>
        <v>#DIV/0!</v>
      </c>
      <c r="X64" s="203" t="e">
        <f>INDEX(#REF!,MATCH(COUNTA(H64:M64),#REF!,0),2)</f>
        <v>#REF!</v>
      </c>
      <c r="Y64" s="310">
        <f t="shared" si="6"/>
        <v>21.59</v>
      </c>
      <c r="Z64" s="91">
        <f t="shared" si="7"/>
        <v>2.3152318448934071</v>
      </c>
      <c r="AD64" s="91" t="str">
        <f>PE_aug!AP64</f>
        <v>Referenzmessung BS</v>
      </c>
    </row>
    <row r="65" spans="1:30">
      <c r="A65" s="156" t="s">
        <v>105</v>
      </c>
      <c r="F65">
        <v>6.09</v>
      </c>
      <c r="L65">
        <v>6.09</v>
      </c>
      <c r="P65" s="115">
        <v>10.133599999999999</v>
      </c>
      <c r="Q65">
        <v>0.56000000000000005</v>
      </c>
      <c r="R65" s="88">
        <f t="shared" si="0"/>
        <v>0.16</v>
      </c>
      <c r="S65" s="91">
        <f t="shared" si="1"/>
        <v>0.36000000000000004</v>
      </c>
      <c r="T65" s="1">
        <f t="shared" si="2"/>
        <v>0</v>
      </c>
      <c r="U65" s="1">
        <f t="shared" si="3"/>
        <v>0</v>
      </c>
      <c r="V65" s="227" t="e">
        <f t="shared" si="4"/>
        <v>#DIV/0!</v>
      </c>
      <c r="W65" s="227" t="e">
        <f t="shared" si="5"/>
        <v>#DIV/0!</v>
      </c>
      <c r="X65" s="203" t="e">
        <f>INDEX(#REF!,MATCH(COUNTA(H65:M65),#REF!,0),2)</f>
        <v>#REF!</v>
      </c>
      <c r="Y65" s="310">
        <f t="shared" si="6"/>
        <v>6.09</v>
      </c>
      <c r="Z65" s="91">
        <f t="shared" si="7"/>
        <v>0.6009710270782348</v>
      </c>
      <c r="AD65" s="91" t="str">
        <f>PE_aug!AP65</f>
        <v>Referenzmessung BS</v>
      </c>
    </row>
    <row r="66" spans="1:30">
      <c r="A66" s="156" t="s">
        <v>106</v>
      </c>
      <c r="F66">
        <v>9.0299999999999994</v>
      </c>
      <c r="L66">
        <v>9.0299999999999994</v>
      </c>
      <c r="P66" s="115">
        <v>5.3752000000000004</v>
      </c>
      <c r="Q66">
        <v>0.44</v>
      </c>
      <c r="R66" s="88">
        <f t="shared" ref="R66:R129" si="8">IF(COUNT(H66:M66)=1,0.16,(COUNT(H66:M66)*(1/(COUNT(H66:M66)+COUNTBLANK(H66:M66)))+(IF(T66&lt;35,1,IF(T66&lt;70,0.5,IF(T66&gt;70,0)))))/2)</f>
        <v>0.16</v>
      </c>
      <c r="S66" s="91">
        <f t="shared" ref="S66:S129" si="9">AVERAGE(Q66:R66)</f>
        <v>0.3</v>
      </c>
      <c r="T66" s="1">
        <f t="shared" ref="T66:T129" si="10">((_xlfn.STDEV.P(H66:M66))/(AVERAGE(H66:M66)))*100</f>
        <v>0</v>
      </c>
      <c r="U66" s="1">
        <f t="shared" ref="U66:U129" si="11">((_xlfn.STDEV.P(B66:G66))/(AVERAGE(B66:G66)))*100</f>
        <v>0</v>
      </c>
      <c r="V66" s="227" t="e">
        <f t="shared" ref="V66:V129" si="12">(ABS(MIN(H66:M66)-AVERAGE(H66:M66))/_xlfn.STDEV.P(H66:M66))</f>
        <v>#DIV/0!</v>
      </c>
      <c r="W66" s="227" t="e">
        <f t="shared" ref="W66:W129" si="13">(ABS(MAX(H66:M66)-AVERAGE(H66:M66))/_xlfn.STDEV.P(H66:M66))</f>
        <v>#DIV/0!</v>
      </c>
      <c r="X66" s="203" t="e">
        <f>INDEX(#REF!,MATCH(COUNTA(H66:M66),#REF!,0),2)</f>
        <v>#REF!</v>
      </c>
      <c r="Y66" s="310">
        <f t="shared" ref="Y66:Y129" si="14">AVERAGE(H66:M66)</f>
        <v>9.0299999999999994</v>
      </c>
      <c r="Z66" s="91">
        <f t="shared" ref="Z66:Z129" si="15">IFERROR(Y66/P66,0)</f>
        <v>1.6799374906980202</v>
      </c>
      <c r="AD66" s="91" t="str">
        <f>PE_aug!AP66</f>
        <v>Massenbilanz KWS, Methode</v>
      </c>
    </row>
    <row r="67" spans="1:30">
      <c r="A67" s="156" t="s">
        <v>108</v>
      </c>
      <c r="P67" s="115">
        <v>3.4369000000000001</v>
      </c>
      <c r="Q67">
        <v>0.5</v>
      </c>
      <c r="R67" s="88" t="e">
        <f t="shared" si="8"/>
        <v>#DIV/0!</v>
      </c>
      <c r="S67" s="91" t="e">
        <f t="shared" si="9"/>
        <v>#DIV/0!</v>
      </c>
      <c r="T67" s="1" t="e">
        <f t="shared" si="10"/>
        <v>#DIV/0!</v>
      </c>
      <c r="U67" s="1" t="e">
        <f t="shared" si="11"/>
        <v>#DIV/0!</v>
      </c>
      <c r="V67" s="227" t="e">
        <f t="shared" si="12"/>
        <v>#DIV/0!</v>
      </c>
      <c r="W67" s="227" t="e">
        <f t="shared" si="13"/>
        <v>#DIV/0!</v>
      </c>
      <c r="X67" s="203" t="e">
        <f>INDEX(#REF!,MATCH(COUNTA(H67:M67),#REF!,0),2)</f>
        <v>#REF!</v>
      </c>
      <c r="Y67" s="310" t="e">
        <f t="shared" si="14"/>
        <v>#DIV/0!</v>
      </c>
      <c r="Z67" s="91">
        <f t="shared" si="15"/>
        <v>0</v>
      </c>
      <c r="AD67" s="91" t="str">
        <f>PE_aug!AP67</f>
        <v>Massenbilanz KWS, Methode</v>
      </c>
    </row>
    <row r="68" spans="1:30">
      <c r="A68" s="157" t="s">
        <v>109</v>
      </c>
      <c r="F68">
        <v>7.51</v>
      </c>
      <c r="L68">
        <v>7.51</v>
      </c>
      <c r="N68" s="227">
        <v>0.72500766269002093</v>
      </c>
      <c r="O68" s="227">
        <v>2.3223591542813038</v>
      </c>
      <c r="P68">
        <v>24.244299999999999</v>
      </c>
      <c r="Q68">
        <v>0.44</v>
      </c>
      <c r="R68" s="88">
        <f t="shared" si="8"/>
        <v>0.16</v>
      </c>
      <c r="S68" s="91">
        <f t="shared" si="9"/>
        <v>0.3</v>
      </c>
      <c r="T68" s="1">
        <f t="shared" si="10"/>
        <v>0</v>
      </c>
      <c r="U68" s="1">
        <f t="shared" si="11"/>
        <v>0</v>
      </c>
      <c r="V68" s="227" t="e">
        <f t="shared" si="12"/>
        <v>#DIV/0!</v>
      </c>
      <c r="W68" s="227" t="e">
        <f t="shared" si="13"/>
        <v>#DIV/0!</v>
      </c>
      <c r="X68" s="203" t="e">
        <f>INDEX(#REF!,MATCH(COUNTA(H68:M68),#REF!,0),2)</f>
        <v>#REF!</v>
      </c>
      <c r="Y68" s="310">
        <f t="shared" si="14"/>
        <v>7.51</v>
      </c>
      <c r="Z68" s="91">
        <f t="shared" si="15"/>
        <v>0.30976353204670787</v>
      </c>
      <c r="AD68" s="91" t="str">
        <f>PE_aug!AP68</f>
        <v>Mischwasserüberlauf</v>
      </c>
    </row>
    <row r="69" spans="1:30">
      <c r="A69" s="157" t="s">
        <v>111</v>
      </c>
      <c r="F69">
        <v>10.49</v>
      </c>
      <c r="L69">
        <v>10.49</v>
      </c>
      <c r="N69" s="227">
        <v>1.1387065290790079</v>
      </c>
      <c r="O69" s="227">
        <v>2.3223591542813038</v>
      </c>
      <c r="P69">
        <v>21.4099</v>
      </c>
      <c r="Q69">
        <v>0.51</v>
      </c>
      <c r="R69" s="88">
        <f t="shared" si="8"/>
        <v>0.16</v>
      </c>
      <c r="S69" s="91">
        <f t="shared" si="9"/>
        <v>0.33500000000000002</v>
      </c>
      <c r="T69" s="1">
        <f t="shared" si="10"/>
        <v>0</v>
      </c>
      <c r="U69" s="1">
        <f t="shared" si="11"/>
        <v>0</v>
      </c>
      <c r="V69" s="227" t="e">
        <f t="shared" si="12"/>
        <v>#DIV/0!</v>
      </c>
      <c r="W69" s="227" t="e">
        <f t="shared" si="13"/>
        <v>#DIV/0!</v>
      </c>
      <c r="X69" s="203" t="e">
        <f>INDEX(#REF!,MATCH(COUNTA(H69:M69),#REF!,0),2)</f>
        <v>#REF!</v>
      </c>
      <c r="Y69" s="310">
        <f t="shared" si="14"/>
        <v>10.49</v>
      </c>
      <c r="Z69" s="91">
        <f t="shared" si="15"/>
        <v>0.48996025203293803</v>
      </c>
      <c r="AD69" s="91" t="str">
        <f>PE_aug!AP69</f>
        <v>Mischwasserüberlauf</v>
      </c>
    </row>
    <row r="70" spans="1:30">
      <c r="A70" s="157" t="s">
        <v>112</v>
      </c>
      <c r="F70">
        <v>11.38</v>
      </c>
      <c r="L70">
        <v>11.38</v>
      </c>
      <c r="N70" s="227">
        <v>0.41413423453421311</v>
      </c>
      <c r="O70" s="227">
        <v>2.3223591542813038</v>
      </c>
      <c r="P70">
        <v>19.963000000000001</v>
      </c>
      <c r="Q70">
        <v>0.56000000000000005</v>
      </c>
      <c r="R70" s="88">
        <f t="shared" si="8"/>
        <v>0.16</v>
      </c>
      <c r="S70" s="91">
        <f t="shared" si="9"/>
        <v>0.36000000000000004</v>
      </c>
      <c r="T70" s="1">
        <f t="shared" si="10"/>
        <v>0</v>
      </c>
      <c r="U70" s="1">
        <f t="shared" si="11"/>
        <v>0</v>
      </c>
      <c r="V70" s="227" t="e">
        <f t="shared" si="12"/>
        <v>#DIV/0!</v>
      </c>
      <c r="W70" s="227" t="e">
        <f t="shared" si="13"/>
        <v>#DIV/0!</v>
      </c>
      <c r="X70" s="203" t="e">
        <f>INDEX(#REF!,MATCH(COUNTA(H70:M70),#REF!,0),2)</f>
        <v>#REF!</v>
      </c>
      <c r="Y70" s="310">
        <f t="shared" si="14"/>
        <v>11.38</v>
      </c>
      <c r="Z70" s="91">
        <f t="shared" si="15"/>
        <v>0.570054601011872</v>
      </c>
      <c r="AD70" s="91" t="str">
        <f>PE_aug!AP70</f>
        <v>Mischwasserüberlauf</v>
      </c>
    </row>
    <row r="71" spans="1:30">
      <c r="A71" s="157" t="s">
        <v>113</v>
      </c>
      <c r="N71" s="227">
        <v>0.62561317936058813</v>
      </c>
      <c r="O71" s="227">
        <v>0.28260061430444122</v>
      </c>
      <c r="P71">
        <v>22.075199999999999</v>
      </c>
      <c r="R71" s="88" t="e">
        <f t="shared" si="8"/>
        <v>#DIV/0!</v>
      </c>
      <c r="S71" s="91" t="e">
        <f t="shared" si="9"/>
        <v>#DIV/0!</v>
      </c>
      <c r="T71" s="1" t="e">
        <f t="shared" si="10"/>
        <v>#DIV/0!</v>
      </c>
      <c r="U71" s="1" t="e">
        <f t="shared" si="11"/>
        <v>#DIV/0!</v>
      </c>
      <c r="V71" s="227" t="e">
        <f t="shared" si="12"/>
        <v>#DIV/0!</v>
      </c>
      <c r="W71" s="227" t="e">
        <f t="shared" si="13"/>
        <v>#DIV/0!</v>
      </c>
      <c r="X71" s="203" t="e">
        <f>INDEX(#REF!,MATCH(COUNTA(H71:M71),#REF!,0),2)</f>
        <v>#REF!</v>
      </c>
      <c r="Y71" s="310" t="e">
        <f t="shared" si="14"/>
        <v>#DIV/0!</v>
      </c>
      <c r="Z71" s="91">
        <f t="shared" si="15"/>
        <v>0</v>
      </c>
      <c r="AD71" s="91" t="str">
        <f>PE_aug!AP71</f>
        <v>Mischwasserüberlauf</v>
      </c>
    </row>
    <row r="72" spans="1:30">
      <c r="A72" s="157" t="s">
        <v>114</v>
      </c>
      <c r="F72">
        <v>9.42</v>
      </c>
      <c r="L72">
        <v>9.42</v>
      </c>
      <c r="N72" s="227">
        <v>0.52425544744513741</v>
      </c>
      <c r="O72" s="227">
        <v>0.28260061430444122</v>
      </c>
      <c r="P72">
        <v>19.199200000000001</v>
      </c>
      <c r="Q72">
        <v>0.5</v>
      </c>
      <c r="R72" s="88">
        <f t="shared" si="8"/>
        <v>0.16</v>
      </c>
      <c r="S72" s="91">
        <f t="shared" si="9"/>
        <v>0.33</v>
      </c>
      <c r="T72" s="1">
        <f t="shared" si="10"/>
        <v>0</v>
      </c>
      <c r="U72" s="1">
        <f t="shared" si="11"/>
        <v>0</v>
      </c>
      <c r="V72" s="227" t="e">
        <f t="shared" si="12"/>
        <v>#DIV/0!</v>
      </c>
      <c r="W72" s="227" t="e">
        <f t="shared" si="13"/>
        <v>#DIV/0!</v>
      </c>
      <c r="X72" s="203" t="e">
        <f>INDEX(#REF!,MATCH(COUNTA(H72:M72),#REF!,0),2)</f>
        <v>#REF!</v>
      </c>
      <c r="Y72" s="310">
        <f t="shared" si="14"/>
        <v>9.42</v>
      </c>
      <c r="Z72" s="91">
        <f t="shared" si="15"/>
        <v>0.49064544356014833</v>
      </c>
      <c r="AD72" s="91" t="str">
        <f>PE_aug!AP72</f>
        <v>Mischwasserüberlauf</v>
      </c>
    </row>
    <row r="73" spans="1:30">
      <c r="A73" s="157" t="s">
        <v>115</v>
      </c>
      <c r="N73" s="227">
        <v>1.138537379406299</v>
      </c>
      <c r="O73" s="227">
        <v>0.28260061430444122</v>
      </c>
      <c r="P73">
        <v>32.165999999999997</v>
      </c>
      <c r="R73" s="88" t="e">
        <f t="shared" si="8"/>
        <v>#DIV/0!</v>
      </c>
      <c r="S73" s="91" t="e">
        <f t="shared" si="9"/>
        <v>#DIV/0!</v>
      </c>
      <c r="T73" s="1" t="e">
        <f t="shared" si="10"/>
        <v>#DIV/0!</v>
      </c>
      <c r="U73" s="1" t="e">
        <f t="shared" si="11"/>
        <v>#DIV/0!</v>
      </c>
      <c r="V73" s="227" t="e">
        <f t="shared" si="12"/>
        <v>#DIV/0!</v>
      </c>
      <c r="W73" s="227" t="e">
        <f t="shared" si="13"/>
        <v>#DIV/0!</v>
      </c>
      <c r="X73" s="203" t="e">
        <f>INDEX(#REF!,MATCH(COUNTA(H73:M73),#REF!,0),2)</f>
        <v>#REF!</v>
      </c>
      <c r="Y73" s="310" t="e">
        <f t="shared" si="14"/>
        <v>#DIV/0!</v>
      </c>
      <c r="Z73" s="91">
        <f t="shared" si="15"/>
        <v>0</v>
      </c>
      <c r="AD73" s="91" t="str">
        <f>PE_aug!AP73</f>
        <v>Mischwasserüberlauf</v>
      </c>
    </row>
    <row r="74" spans="1:30">
      <c r="A74" s="157" t="s">
        <v>116</v>
      </c>
      <c r="B74">
        <v>15.08</v>
      </c>
      <c r="C74">
        <v>17.100000000000001</v>
      </c>
      <c r="D74">
        <v>10.58</v>
      </c>
      <c r="E74">
        <v>25.34</v>
      </c>
      <c r="F74">
        <v>25.11</v>
      </c>
      <c r="G74">
        <v>26.01</v>
      </c>
      <c r="H74" s="306">
        <v>15.08</v>
      </c>
      <c r="I74">
        <v>17.100000000000001</v>
      </c>
      <c r="J74">
        <v>10.58</v>
      </c>
      <c r="K74">
        <v>25.34</v>
      </c>
      <c r="L74">
        <v>25.11</v>
      </c>
      <c r="M74" s="307">
        <v>26.01</v>
      </c>
      <c r="N74" s="227"/>
      <c r="O74" s="227"/>
      <c r="P74">
        <v>0.48601299999999997</v>
      </c>
      <c r="Q74">
        <v>0.79</v>
      </c>
      <c r="R74" s="88">
        <f t="shared" si="8"/>
        <v>1</v>
      </c>
      <c r="S74" s="91">
        <f t="shared" si="9"/>
        <v>0.89500000000000002</v>
      </c>
      <c r="T74" s="1">
        <f t="shared" si="10"/>
        <v>29.915317654363388</v>
      </c>
      <c r="U74" s="1">
        <f t="shared" si="11"/>
        <v>29.915317654363388</v>
      </c>
      <c r="V74" s="227">
        <f t="shared" si="12"/>
        <v>1.5628749422779558</v>
      </c>
      <c r="W74" s="227">
        <f t="shared" si="13"/>
        <v>1.0329442567908125</v>
      </c>
      <c r="X74" s="203" t="e">
        <f>INDEX(#REF!,MATCH(COUNTA(H74:M74),#REF!,0),2)</f>
        <v>#REF!</v>
      </c>
      <c r="Y74" s="310">
        <f t="shared" si="14"/>
        <v>19.87</v>
      </c>
      <c r="Z74" s="91">
        <f t="shared" si="15"/>
        <v>40.883680066171074</v>
      </c>
      <c r="AB74" s="65">
        <v>0.13800000000000001</v>
      </c>
      <c r="AC74" s="203">
        <f>100*(Y74/(AB74*1000))</f>
        <v>14.398550724637682</v>
      </c>
      <c r="AD74" s="91" t="str">
        <f>PE_aug!AP74</f>
        <v>Methode</v>
      </c>
    </row>
    <row r="75" spans="1:30">
      <c r="A75" s="157" t="s">
        <v>117</v>
      </c>
      <c r="N75" s="227"/>
      <c r="O75" s="227"/>
      <c r="P75">
        <v>31.152699999999999</v>
      </c>
      <c r="R75" s="88" t="e">
        <f t="shared" si="8"/>
        <v>#DIV/0!</v>
      </c>
      <c r="S75" s="91" t="e">
        <f t="shared" si="9"/>
        <v>#DIV/0!</v>
      </c>
      <c r="T75" s="1" t="e">
        <f t="shared" si="10"/>
        <v>#DIV/0!</v>
      </c>
      <c r="U75" s="1" t="e">
        <f t="shared" si="11"/>
        <v>#DIV/0!</v>
      </c>
      <c r="V75" s="227" t="e">
        <f t="shared" si="12"/>
        <v>#DIV/0!</v>
      </c>
      <c r="W75" s="227" t="e">
        <f t="shared" si="13"/>
        <v>#DIV/0!</v>
      </c>
      <c r="X75" s="203" t="e">
        <f>INDEX(#REF!,MATCH(COUNTA(H75:M75),#REF!,0),2)</f>
        <v>#REF!</v>
      </c>
      <c r="Y75" s="310" t="e">
        <f t="shared" si="14"/>
        <v>#DIV/0!</v>
      </c>
      <c r="Z75" s="91">
        <f t="shared" si="15"/>
        <v>0</v>
      </c>
      <c r="AD75" s="91" t="str">
        <f>PE_aug!AP75</f>
        <v>KWS, Methode</v>
      </c>
    </row>
    <row r="76" spans="1:30">
      <c r="A76" s="157" t="s">
        <v>118</v>
      </c>
      <c r="N76" s="227">
        <v>0.92741006348580879</v>
      </c>
      <c r="O76" s="227">
        <v>0.93563404694108665</v>
      </c>
      <c r="P76">
        <v>10.7529</v>
      </c>
      <c r="R76" s="88" t="e">
        <f t="shared" si="8"/>
        <v>#DIV/0!</v>
      </c>
      <c r="S76" s="91" t="e">
        <f t="shared" si="9"/>
        <v>#DIV/0!</v>
      </c>
      <c r="T76" s="1" t="e">
        <f t="shared" si="10"/>
        <v>#DIV/0!</v>
      </c>
      <c r="U76" s="1" t="e">
        <f t="shared" si="11"/>
        <v>#DIV/0!</v>
      </c>
      <c r="V76" s="227" t="e">
        <f t="shared" si="12"/>
        <v>#DIV/0!</v>
      </c>
      <c r="W76" s="227" t="e">
        <f t="shared" si="13"/>
        <v>#DIV/0!</v>
      </c>
      <c r="X76" s="203" t="e">
        <f>INDEX(#REF!,MATCH(COUNTA(H76:M76),#REF!,0),2)</f>
        <v>#REF!</v>
      </c>
      <c r="Y76" s="310" t="e">
        <f t="shared" si="14"/>
        <v>#DIV/0!</v>
      </c>
      <c r="Z76" s="91">
        <f t="shared" si="15"/>
        <v>0</v>
      </c>
      <c r="AD76" s="91" t="str">
        <f>PE_aug!AP76</f>
        <v>KWS, neue Schlammbehandlung</v>
      </c>
    </row>
    <row r="77" spans="1:30">
      <c r="A77" s="157" t="s">
        <v>119</v>
      </c>
      <c r="N77" s="227">
        <v>0.6165271278721236</v>
      </c>
      <c r="O77" s="227">
        <v>0.93563404694108665</v>
      </c>
      <c r="P77">
        <v>24.845700000000001</v>
      </c>
      <c r="R77" s="88" t="e">
        <f t="shared" si="8"/>
        <v>#DIV/0!</v>
      </c>
      <c r="S77" s="91" t="e">
        <f t="shared" si="9"/>
        <v>#DIV/0!</v>
      </c>
      <c r="T77" s="1" t="e">
        <f t="shared" si="10"/>
        <v>#DIV/0!</v>
      </c>
      <c r="U77" s="1" t="e">
        <f t="shared" si="11"/>
        <v>#DIV/0!</v>
      </c>
      <c r="V77" s="227" t="e">
        <f t="shared" si="12"/>
        <v>#DIV/0!</v>
      </c>
      <c r="W77" s="227" t="e">
        <f t="shared" si="13"/>
        <v>#DIV/0!</v>
      </c>
      <c r="X77" s="203" t="e">
        <f>INDEX(#REF!,MATCH(COUNTA(H77:M77),#REF!,0),2)</f>
        <v>#REF!</v>
      </c>
      <c r="Y77" s="310" t="e">
        <f t="shared" si="14"/>
        <v>#DIV/0!</v>
      </c>
      <c r="Z77" s="91">
        <f t="shared" si="15"/>
        <v>0</v>
      </c>
      <c r="AD77" s="91" t="str">
        <f>PE_aug!AP77</f>
        <v>KWS, neue Schlammbehandlung</v>
      </c>
    </row>
    <row r="78" spans="1:30">
      <c r="A78" s="157" t="s">
        <v>120</v>
      </c>
      <c r="N78" s="227">
        <v>0.69209679096893473</v>
      </c>
      <c r="O78" s="227">
        <v>0.93563404694108665</v>
      </c>
      <c r="P78">
        <v>8.3593499999999992</v>
      </c>
      <c r="R78" s="88" t="e">
        <f t="shared" si="8"/>
        <v>#DIV/0!</v>
      </c>
      <c r="S78" s="91" t="e">
        <f t="shared" si="9"/>
        <v>#DIV/0!</v>
      </c>
      <c r="T78" s="1" t="e">
        <f t="shared" si="10"/>
        <v>#DIV/0!</v>
      </c>
      <c r="U78" s="1" t="e">
        <f t="shared" si="11"/>
        <v>#DIV/0!</v>
      </c>
      <c r="V78" s="227" t="e">
        <f t="shared" si="12"/>
        <v>#DIV/0!</v>
      </c>
      <c r="W78" s="227" t="e">
        <f t="shared" si="13"/>
        <v>#DIV/0!</v>
      </c>
      <c r="X78" s="203" t="e">
        <f>INDEX(#REF!,MATCH(COUNTA(H78:M78),#REF!,0),2)</f>
        <v>#REF!</v>
      </c>
      <c r="Y78" s="310" t="e">
        <f t="shared" si="14"/>
        <v>#DIV/0!</v>
      </c>
      <c r="Z78" s="91">
        <f t="shared" si="15"/>
        <v>0</v>
      </c>
      <c r="AD78" s="91" t="str">
        <f>PE_aug!AP78</f>
        <v>KWS, neue Schlammbehandlung</v>
      </c>
    </row>
    <row r="79" spans="1:30">
      <c r="A79" s="157" t="s">
        <v>121</v>
      </c>
      <c r="N79" s="227"/>
      <c r="O79" s="227"/>
      <c r="P79">
        <v>22.5444</v>
      </c>
      <c r="R79" s="88" t="e">
        <f t="shared" si="8"/>
        <v>#DIV/0!</v>
      </c>
      <c r="S79" s="91" t="e">
        <f t="shared" si="9"/>
        <v>#DIV/0!</v>
      </c>
      <c r="T79" s="1" t="e">
        <f t="shared" si="10"/>
        <v>#DIV/0!</v>
      </c>
      <c r="U79" s="1" t="e">
        <f t="shared" si="11"/>
        <v>#DIV/0!</v>
      </c>
      <c r="V79" s="227" t="e">
        <f t="shared" si="12"/>
        <v>#DIV/0!</v>
      </c>
      <c r="W79" s="227" t="e">
        <f t="shared" si="13"/>
        <v>#DIV/0!</v>
      </c>
      <c r="X79" s="203" t="e">
        <f>INDEX(#REF!,MATCH(COUNTA(H79:M79),#REF!,0),2)</f>
        <v>#REF!</v>
      </c>
      <c r="Y79" s="310" t="e">
        <f t="shared" si="14"/>
        <v>#DIV/0!</v>
      </c>
      <c r="Z79" s="91">
        <f t="shared" si="15"/>
        <v>0</v>
      </c>
      <c r="AD79" s="91" t="str">
        <f>PE_aug!AP79</f>
        <v>KWS, neue Schlammbehandlung</v>
      </c>
    </row>
    <row r="80" spans="1:30">
      <c r="A80" s="157" t="s">
        <v>122</v>
      </c>
      <c r="N80" s="227">
        <v>0.59884540222007288</v>
      </c>
      <c r="O80" s="227">
        <v>0.72751809830295933</v>
      </c>
      <c r="P80">
        <v>4.5157999999999996</v>
      </c>
      <c r="R80" s="88" t="e">
        <f t="shared" si="8"/>
        <v>#DIV/0!</v>
      </c>
      <c r="S80" s="91" t="e">
        <f t="shared" si="9"/>
        <v>#DIV/0!</v>
      </c>
      <c r="T80" s="1" t="e">
        <f t="shared" si="10"/>
        <v>#DIV/0!</v>
      </c>
      <c r="U80" s="1" t="e">
        <f t="shared" si="11"/>
        <v>#DIV/0!</v>
      </c>
      <c r="V80" s="227" t="e">
        <f t="shared" si="12"/>
        <v>#DIV/0!</v>
      </c>
      <c r="W80" s="227" t="e">
        <f t="shared" si="13"/>
        <v>#DIV/0!</v>
      </c>
      <c r="X80" s="203" t="e">
        <f>INDEX(#REF!,MATCH(COUNTA(H80:M80),#REF!,0),2)</f>
        <v>#REF!</v>
      </c>
      <c r="Y80" s="310" t="e">
        <f t="shared" si="14"/>
        <v>#DIV/0!</v>
      </c>
      <c r="Z80" s="91">
        <f t="shared" si="15"/>
        <v>0</v>
      </c>
      <c r="AD80" s="91" t="str">
        <f>PE_aug!AP80</f>
        <v>Flussproben</v>
      </c>
    </row>
    <row r="81" spans="1:30">
      <c r="A81" s="157" t="s">
        <v>124</v>
      </c>
      <c r="N81" s="227">
        <v>0.61625653571817318</v>
      </c>
      <c r="O81" s="227">
        <v>0.72751809830295933</v>
      </c>
      <c r="P81">
        <v>10.894500000000001</v>
      </c>
      <c r="R81" s="88" t="e">
        <f t="shared" si="8"/>
        <v>#DIV/0!</v>
      </c>
      <c r="S81" s="91" t="e">
        <f t="shared" si="9"/>
        <v>#DIV/0!</v>
      </c>
      <c r="T81" s="1" t="e">
        <f t="shared" si="10"/>
        <v>#DIV/0!</v>
      </c>
      <c r="U81" s="1" t="e">
        <f t="shared" si="11"/>
        <v>#DIV/0!</v>
      </c>
      <c r="V81" s="227" t="e">
        <f t="shared" si="12"/>
        <v>#DIV/0!</v>
      </c>
      <c r="W81" s="227" t="e">
        <f t="shared" si="13"/>
        <v>#DIV/0!</v>
      </c>
      <c r="X81" s="203" t="e">
        <f>INDEX(#REF!,MATCH(COUNTA(H81:M81),#REF!,0),2)</f>
        <v>#REF!</v>
      </c>
      <c r="Y81" s="310" t="e">
        <f t="shared" si="14"/>
        <v>#DIV/0!</v>
      </c>
      <c r="Z81" s="91">
        <f t="shared" si="15"/>
        <v>0</v>
      </c>
      <c r="AD81" s="91" t="str">
        <f>PE_aug!AP81</f>
        <v>Flussproben</v>
      </c>
    </row>
    <row r="82" spans="1:30">
      <c r="A82" s="157" t="s">
        <v>125</v>
      </c>
      <c r="N82" s="227">
        <v>0.57667479250297526</v>
      </c>
      <c r="O82" s="227">
        <v>0.72751809830295933</v>
      </c>
      <c r="P82">
        <v>10.5124</v>
      </c>
      <c r="R82" s="88" t="e">
        <f t="shared" si="8"/>
        <v>#DIV/0!</v>
      </c>
      <c r="S82" s="91" t="e">
        <f t="shared" si="9"/>
        <v>#DIV/0!</v>
      </c>
      <c r="T82" s="1" t="e">
        <f t="shared" si="10"/>
        <v>#DIV/0!</v>
      </c>
      <c r="U82" s="1" t="e">
        <f t="shared" si="11"/>
        <v>#DIV/0!</v>
      </c>
      <c r="V82" s="227" t="e">
        <f t="shared" si="12"/>
        <v>#DIV/0!</v>
      </c>
      <c r="W82" s="227" t="e">
        <f t="shared" si="13"/>
        <v>#DIV/0!</v>
      </c>
      <c r="X82" s="203" t="e">
        <f>INDEX(#REF!,MATCH(COUNTA(H82:M82),#REF!,0),2)</f>
        <v>#REF!</v>
      </c>
      <c r="Y82" s="310" t="e">
        <f t="shared" si="14"/>
        <v>#DIV/0!</v>
      </c>
      <c r="Z82" s="91">
        <f t="shared" si="15"/>
        <v>0</v>
      </c>
      <c r="AD82" s="91" t="str">
        <f>PE_aug!AP82</f>
        <v>Flussproben</v>
      </c>
    </row>
    <row r="83" spans="1:30">
      <c r="A83" s="157" t="s">
        <v>126</v>
      </c>
      <c r="N83" s="227">
        <v>1.3019092601025839</v>
      </c>
      <c r="O83" s="227">
        <v>0.72751809830295933</v>
      </c>
      <c r="P83">
        <v>7.32599</v>
      </c>
      <c r="R83" s="88" t="e">
        <f t="shared" si="8"/>
        <v>#DIV/0!</v>
      </c>
      <c r="S83" s="91" t="e">
        <f t="shared" si="9"/>
        <v>#DIV/0!</v>
      </c>
      <c r="T83" s="1" t="e">
        <f t="shared" si="10"/>
        <v>#DIV/0!</v>
      </c>
      <c r="U83" s="1" t="e">
        <f t="shared" si="11"/>
        <v>#DIV/0!</v>
      </c>
      <c r="V83" s="227" t="e">
        <f t="shared" si="12"/>
        <v>#DIV/0!</v>
      </c>
      <c r="W83" s="227" t="e">
        <f t="shared" si="13"/>
        <v>#DIV/0!</v>
      </c>
      <c r="X83" s="203" t="e">
        <f>INDEX(#REF!,MATCH(COUNTA(H83:M83),#REF!,0),2)</f>
        <v>#REF!</v>
      </c>
      <c r="Y83" s="310" t="e">
        <f t="shared" si="14"/>
        <v>#DIV/0!</v>
      </c>
      <c r="Z83" s="91">
        <f t="shared" si="15"/>
        <v>0</v>
      </c>
      <c r="AD83" s="91" t="str">
        <f>PE_aug!AP83</f>
        <v>Flussproben, Methode</v>
      </c>
    </row>
    <row r="84" spans="1:30">
      <c r="A84" s="157" t="s">
        <v>128</v>
      </c>
      <c r="F84">
        <v>5.87</v>
      </c>
      <c r="L84">
        <v>5.87</v>
      </c>
      <c r="N84" s="227">
        <v>0.58906099485757879</v>
      </c>
      <c r="O84" s="227">
        <v>0.99528059171618266</v>
      </c>
      <c r="P84">
        <v>13.3148</v>
      </c>
      <c r="Q84">
        <v>0.76</v>
      </c>
      <c r="R84" s="88">
        <f t="shared" si="8"/>
        <v>0.16</v>
      </c>
      <c r="S84" s="91">
        <f t="shared" si="9"/>
        <v>0.46</v>
      </c>
      <c r="T84" s="1">
        <f t="shared" si="10"/>
        <v>0</v>
      </c>
      <c r="U84" s="1">
        <f t="shared" si="11"/>
        <v>0</v>
      </c>
      <c r="V84" s="227" t="e">
        <f t="shared" si="12"/>
        <v>#DIV/0!</v>
      </c>
      <c r="W84" s="227" t="e">
        <f t="shared" si="13"/>
        <v>#DIV/0!</v>
      </c>
      <c r="X84" s="203" t="e">
        <f>INDEX(#REF!,MATCH(COUNTA(H84:M84),#REF!,0),2)</f>
        <v>#REF!</v>
      </c>
      <c r="Y84" s="310">
        <f t="shared" si="14"/>
        <v>5.87</v>
      </c>
      <c r="Z84" s="91">
        <f t="shared" si="15"/>
        <v>0.44086279929101452</v>
      </c>
      <c r="AD84" s="91" t="str">
        <f>PE_aug!AP84</f>
        <v>Flussproben</v>
      </c>
    </row>
    <row r="85" spans="1:30">
      <c r="A85" s="157" t="s">
        <v>129</v>
      </c>
      <c r="N85" s="227">
        <v>0.51486739662881298</v>
      </c>
      <c r="O85" s="227">
        <v>0.99528059171618266</v>
      </c>
      <c r="P85">
        <v>11.510199999999999</v>
      </c>
      <c r="Q85">
        <v>0.73</v>
      </c>
      <c r="R85" s="88" t="e">
        <f t="shared" si="8"/>
        <v>#DIV/0!</v>
      </c>
      <c r="S85" s="91" t="e">
        <f t="shared" si="9"/>
        <v>#DIV/0!</v>
      </c>
      <c r="T85" s="1" t="e">
        <f t="shared" si="10"/>
        <v>#DIV/0!</v>
      </c>
      <c r="U85" s="1" t="e">
        <f t="shared" si="11"/>
        <v>#DIV/0!</v>
      </c>
      <c r="V85" s="227" t="e">
        <f t="shared" si="12"/>
        <v>#DIV/0!</v>
      </c>
      <c r="W85" s="227" t="e">
        <f t="shared" si="13"/>
        <v>#DIV/0!</v>
      </c>
      <c r="X85" s="203" t="e">
        <f>INDEX(#REF!,MATCH(COUNTA(H85:M85),#REF!,0),2)</f>
        <v>#REF!</v>
      </c>
      <c r="Y85" s="310" t="e">
        <f t="shared" si="14"/>
        <v>#DIV/0!</v>
      </c>
      <c r="Z85" s="91">
        <f t="shared" si="15"/>
        <v>0</v>
      </c>
      <c r="AD85" s="91" t="str">
        <f>PE_aug!AP85</f>
        <v>Flussproben</v>
      </c>
    </row>
    <row r="86" spans="1:30">
      <c r="A86" s="157" t="s">
        <v>130</v>
      </c>
      <c r="N86" s="227">
        <v>0.43495871571275968</v>
      </c>
      <c r="O86" s="227">
        <v>0.99528059171618266</v>
      </c>
      <c r="P86">
        <v>13.69835</v>
      </c>
      <c r="Q86">
        <v>0.56999999999999995</v>
      </c>
      <c r="R86" s="88" t="e">
        <f t="shared" si="8"/>
        <v>#DIV/0!</v>
      </c>
      <c r="S86" s="91" t="e">
        <f t="shared" si="9"/>
        <v>#DIV/0!</v>
      </c>
      <c r="T86" s="1" t="e">
        <f t="shared" si="10"/>
        <v>#DIV/0!</v>
      </c>
      <c r="U86" s="1" t="e">
        <f t="shared" si="11"/>
        <v>#DIV/0!</v>
      </c>
      <c r="V86" s="227" t="e">
        <f t="shared" si="12"/>
        <v>#DIV/0!</v>
      </c>
      <c r="W86" s="227" t="e">
        <f t="shared" si="13"/>
        <v>#DIV/0!</v>
      </c>
      <c r="X86" s="203" t="e">
        <f>INDEX(#REF!,MATCH(COUNTA(H86:M86),#REF!,0),2)</f>
        <v>#REF!</v>
      </c>
      <c r="Y86" s="310" t="e">
        <f t="shared" si="14"/>
        <v>#DIV/0!</v>
      </c>
      <c r="Z86" s="91">
        <f t="shared" si="15"/>
        <v>0</v>
      </c>
      <c r="AD86" s="91" t="str">
        <f>PE_aug!AP86</f>
        <v>Flussproben</v>
      </c>
    </row>
    <row r="87" spans="1:30">
      <c r="A87" s="157" t="s">
        <v>131</v>
      </c>
      <c r="E87">
        <v>7.93</v>
      </c>
      <c r="F87">
        <v>11.83</v>
      </c>
      <c r="G87">
        <v>8.3699999999999992</v>
      </c>
      <c r="K87">
        <v>7.93</v>
      </c>
      <c r="L87">
        <v>11.83</v>
      </c>
      <c r="M87" s="307">
        <v>8.3699999999999992</v>
      </c>
      <c r="N87" s="227">
        <v>1.463439595231159</v>
      </c>
      <c r="O87" s="227">
        <v>0.99528059171618266</v>
      </c>
      <c r="P87">
        <v>4.7008900000000002</v>
      </c>
      <c r="Q87">
        <v>0.89</v>
      </c>
      <c r="R87" s="88">
        <f t="shared" si="8"/>
        <v>0.75</v>
      </c>
      <c r="S87" s="91">
        <f t="shared" si="9"/>
        <v>0.82000000000000006</v>
      </c>
      <c r="T87" s="1">
        <f t="shared" si="10"/>
        <v>18.599827574896942</v>
      </c>
      <c r="U87" s="1">
        <f t="shared" si="11"/>
        <v>18.599827574896942</v>
      </c>
      <c r="V87" s="227">
        <f t="shared" si="12"/>
        <v>0.829489855642774</v>
      </c>
      <c r="W87" s="227">
        <f t="shared" si="13"/>
        <v>1.4066924740854436</v>
      </c>
      <c r="X87" s="203" t="e">
        <f>INDEX(#REF!,MATCH(COUNTA(H87:M87),#REF!,0),2)</f>
        <v>#REF!</v>
      </c>
      <c r="Y87" s="310">
        <f t="shared" si="14"/>
        <v>9.3766666666666652</v>
      </c>
      <c r="Z87" s="91">
        <f t="shared" si="15"/>
        <v>1.9946577492063555</v>
      </c>
      <c r="AD87" s="91" t="str">
        <f>PE_aug!AP87</f>
        <v>Flussproben, Methode</v>
      </c>
    </row>
    <row r="88" spans="1:30">
      <c r="A88" s="157" t="s">
        <v>557</v>
      </c>
      <c r="N88" s="227">
        <v>0.44252277258406802</v>
      </c>
      <c r="O88" s="227">
        <v>0.56732019691233859</v>
      </c>
      <c r="P88">
        <v>7.9326249999999998</v>
      </c>
      <c r="R88" s="88" t="e">
        <f t="shared" si="8"/>
        <v>#DIV/0!</v>
      </c>
      <c r="S88" s="91" t="e">
        <f t="shared" si="9"/>
        <v>#DIV/0!</v>
      </c>
      <c r="T88" s="1" t="e">
        <f t="shared" si="10"/>
        <v>#DIV/0!</v>
      </c>
      <c r="U88" s="1" t="e">
        <f t="shared" si="11"/>
        <v>#DIV/0!</v>
      </c>
      <c r="V88" s="227" t="e">
        <f t="shared" si="12"/>
        <v>#DIV/0!</v>
      </c>
      <c r="W88" s="227" t="e">
        <f t="shared" si="13"/>
        <v>#DIV/0!</v>
      </c>
      <c r="X88" s="203" t="e">
        <f>INDEX(#REF!,MATCH(COUNTA(H88:M88),#REF!,0),2)</f>
        <v>#REF!</v>
      </c>
      <c r="Y88" s="310" t="e">
        <f t="shared" si="14"/>
        <v>#DIV/0!</v>
      </c>
      <c r="Z88" s="91">
        <f t="shared" si="15"/>
        <v>0</v>
      </c>
      <c r="AD88" s="91" t="str">
        <f>PE_aug!AP88</f>
        <v>Mischwasserüberlauf</v>
      </c>
    </row>
    <row r="89" spans="1:30">
      <c r="A89" s="157" t="s">
        <v>558</v>
      </c>
      <c r="N89" s="227">
        <v>0.70058927453223541</v>
      </c>
      <c r="O89" s="227">
        <v>0.56732019691233859</v>
      </c>
      <c r="P89">
        <v>5.5930400000000002</v>
      </c>
      <c r="R89" s="88" t="e">
        <f t="shared" si="8"/>
        <v>#DIV/0!</v>
      </c>
      <c r="S89" s="91" t="e">
        <f t="shared" si="9"/>
        <v>#DIV/0!</v>
      </c>
      <c r="T89" s="1" t="e">
        <f t="shared" si="10"/>
        <v>#DIV/0!</v>
      </c>
      <c r="U89" s="1" t="e">
        <f t="shared" si="11"/>
        <v>#DIV/0!</v>
      </c>
      <c r="V89" s="227" t="e">
        <f t="shared" si="12"/>
        <v>#DIV/0!</v>
      </c>
      <c r="W89" s="227" t="e">
        <f t="shared" si="13"/>
        <v>#DIV/0!</v>
      </c>
      <c r="X89" s="203" t="e">
        <f>INDEX(#REF!,MATCH(COUNTA(H89:M89),#REF!,0),2)</f>
        <v>#REF!</v>
      </c>
      <c r="Y89" s="310" t="e">
        <f t="shared" si="14"/>
        <v>#DIV/0!</v>
      </c>
      <c r="Z89" s="91">
        <f t="shared" si="15"/>
        <v>0</v>
      </c>
      <c r="AD89" s="91" t="str">
        <f>PE_aug!AP89</f>
        <v>Mischwasserüberlauf</v>
      </c>
    </row>
    <row r="90" spans="1:30">
      <c r="A90" s="157" t="s">
        <v>559</v>
      </c>
      <c r="N90" s="227">
        <v>1.1131218618954</v>
      </c>
      <c r="O90" s="227">
        <v>0.56732019691233859</v>
      </c>
      <c r="P90">
        <v>4.9848800000000004</v>
      </c>
      <c r="R90" s="88" t="e">
        <f t="shared" si="8"/>
        <v>#DIV/0!</v>
      </c>
      <c r="S90" s="91" t="e">
        <f t="shared" si="9"/>
        <v>#DIV/0!</v>
      </c>
      <c r="T90" s="1" t="e">
        <f t="shared" si="10"/>
        <v>#DIV/0!</v>
      </c>
      <c r="U90" s="1" t="e">
        <f t="shared" si="11"/>
        <v>#DIV/0!</v>
      </c>
      <c r="V90" s="227" t="e">
        <f t="shared" si="12"/>
        <v>#DIV/0!</v>
      </c>
      <c r="W90" s="227" t="e">
        <f t="shared" si="13"/>
        <v>#DIV/0!</v>
      </c>
      <c r="X90" s="203" t="e">
        <f>INDEX(#REF!,MATCH(COUNTA(H90:M90),#REF!,0),2)</f>
        <v>#REF!</v>
      </c>
      <c r="Y90" s="310" t="e">
        <f t="shared" si="14"/>
        <v>#DIV/0!</v>
      </c>
      <c r="Z90" s="91">
        <f t="shared" si="15"/>
        <v>0</v>
      </c>
      <c r="AD90" s="91" t="str">
        <f>PE_aug!AP90</f>
        <v>Mischwasserüberlauf</v>
      </c>
    </row>
    <row r="91" spans="1:30">
      <c r="A91" s="157" t="s">
        <v>135</v>
      </c>
      <c r="N91" s="227">
        <v>0.95520554433141691</v>
      </c>
      <c r="O91" s="227">
        <v>0.15301122576532269</v>
      </c>
      <c r="P91">
        <v>9.8550500000000003</v>
      </c>
      <c r="Q91">
        <v>0.67</v>
      </c>
      <c r="R91" s="88" t="e">
        <f t="shared" si="8"/>
        <v>#DIV/0!</v>
      </c>
      <c r="S91" s="91" t="e">
        <f t="shared" si="9"/>
        <v>#DIV/0!</v>
      </c>
      <c r="T91" s="1" t="e">
        <f t="shared" si="10"/>
        <v>#DIV/0!</v>
      </c>
      <c r="U91" s="1" t="e">
        <f t="shared" si="11"/>
        <v>#DIV/0!</v>
      </c>
      <c r="V91" s="227" t="e">
        <f t="shared" si="12"/>
        <v>#DIV/0!</v>
      </c>
      <c r="W91" s="227" t="e">
        <f t="shared" si="13"/>
        <v>#DIV/0!</v>
      </c>
      <c r="X91" s="203" t="e">
        <f>INDEX(#REF!,MATCH(COUNTA(H91:M91),#REF!,0),2)</f>
        <v>#REF!</v>
      </c>
      <c r="Y91" s="310" t="e">
        <f t="shared" si="14"/>
        <v>#DIV/0!</v>
      </c>
      <c r="Z91" s="91">
        <f t="shared" si="15"/>
        <v>0</v>
      </c>
      <c r="AD91" s="91" t="str">
        <f>PE_aug!AP91</f>
        <v>KWS, neue Schlammbehandlung</v>
      </c>
    </row>
    <row r="92" spans="1:30">
      <c r="A92" s="157" t="s">
        <v>136</v>
      </c>
      <c r="N92" s="227">
        <v>8.1601885331415172E-2</v>
      </c>
      <c r="O92" s="227">
        <v>0.15301122576532269</v>
      </c>
      <c r="P92">
        <v>8.9800300000000011</v>
      </c>
      <c r="Q92">
        <v>0.67</v>
      </c>
      <c r="R92" s="88" t="e">
        <f t="shared" si="8"/>
        <v>#DIV/0!</v>
      </c>
      <c r="S92" s="91" t="e">
        <f t="shared" si="9"/>
        <v>#DIV/0!</v>
      </c>
      <c r="T92" s="1" t="e">
        <f t="shared" si="10"/>
        <v>#DIV/0!</v>
      </c>
      <c r="U92" s="1" t="e">
        <f t="shared" si="11"/>
        <v>#DIV/0!</v>
      </c>
      <c r="V92" s="227" t="e">
        <f t="shared" si="12"/>
        <v>#DIV/0!</v>
      </c>
      <c r="W92" s="227" t="e">
        <f t="shared" si="13"/>
        <v>#DIV/0!</v>
      </c>
      <c r="X92" s="203" t="e">
        <f>INDEX(#REF!,MATCH(COUNTA(H92:M92),#REF!,0),2)</f>
        <v>#REF!</v>
      </c>
      <c r="Y92" s="310" t="e">
        <f t="shared" si="14"/>
        <v>#DIV/0!</v>
      </c>
      <c r="Z92" s="91">
        <f t="shared" si="15"/>
        <v>0</v>
      </c>
      <c r="AD92" s="91" t="str">
        <f>PE_aug!AP92</f>
        <v>KWS, neue Schlammbehandlung</v>
      </c>
    </row>
    <row r="93" spans="1:30">
      <c r="A93" s="157" t="s">
        <v>137</v>
      </c>
      <c r="N93" s="227">
        <v>1.0305923510445369</v>
      </c>
      <c r="O93" s="227">
        <v>0.15301122576532269</v>
      </c>
      <c r="P93">
        <v>8.0890199999999997</v>
      </c>
      <c r="Q93">
        <v>0.67</v>
      </c>
      <c r="R93" s="88" t="e">
        <f t="shared" si="8"/>
        <v>#DIV/0!</v>
      </c>
      <c r="S93" s="91" t="e">
        <f t="shared" si="9"/>
        <v>#DIV/0!</v>
      </c>
      <c r="T93" s="1" t="e">
        <f t="shared" si="10"/>
        <v>#DIV/0!</v>
      </c>
      <c r="U93" s="1" t="e">
        <f t="shared" si="11"/>
        <v>#DIV/0!</v>
      </c>
      <c r="V93" s="227" t="e">
        <f t="shared" si="12"/>
        <v>#DIV/0!</v>
      </c>
      <c r="W93" s="227" t="e">
        <f t="shared" si="13"/>
        <v>#DIV/0!</v>
      </c>
      <c r="X93" s="203" t="e">
        <f>INDEX(#REF!,MATCH(COUNTA(H93:M93),#REF!,0),2)</f>
        <v>#REF!</v>
      </c>
      <c r="Y93" s="310" t="e">
        <f t="shared" si="14"/>
        <v>#DIV/0!</v>
      </c>
      <c r="Z93" s="91">
        <f t="shared" si="15"/>
        <v>0</v>
      </c>
      <c r="AD93" s="91" t="str">
        <f>PE_aug!AP93</f>
        <v>KWS, neue Schlammbehandlung</v>
      </c>
    </row>
    <row r="94" spans="1:30">
      <c r="A94" s="157" t="s">
        <v>138</v>
      </c>
      <c r="P94">
        <v>1.39551</v>
      </c>
      <c r="R94" s="88" t="e">
        <f t="shared" si="8"/>
        <v>#DIV/0!</v>
      </c>
      <c r="S94" s="91" t="e">
        <f t="shared" si="9"/>
        <v>#DIV/0!</v>
      </c>
      <c r="T94" s="1" t="e">
        <f t="shared" si="10"/>
        <v>#DIV/0!</v>
      </c>
      <c r="U94" s="1" t="e">
        <f t="shared" si="11"/>
        <v>#DIV/0!</v>
      </c>
      <c r="V94" s="227" t="e">
        <f t="shared" si="12"/>
        <v>#DIV/0!</v>
      </c>
      <c r="W94" s="227" t="e">
        <f t="shared" si="13"/>
        <v>#DIV/0!</v>
      </c>
      <c r="X94" s="203" t="e">
        <f>INDEX(#REF!,MATCH(COUNTA(H94:M94),#REF!,0),2)</f>
        <v>#REF!</v>
      </c>
      <c r="Y94" s="310" t="e">
        <f t="shared" si="14"/>
        <v>#DIV/0!</v>
      </c>
      <c r="Z94" s="91">
        <f t="shared" si="15"/>
        <v>0</v>
      </c>
      <c r="AD94" s="91" t="str">
        <f>PE_aug!AP94</f>
        <v>Methode</v>
      </c>
    </row>
    <row r="95" spans="1:30">
      <c r="A95" s="158" t="s">
        <v>139</v>
      </c>
      <c r="P95">
        <v>3.2955000000000001</v>
      </c>
      <c r="R95" s="88" t="e">
        <f t="shared" si="8"/>
        <v>#DIV/0!</v>
      </c>
      <c r="S95" s="91" t="e">
        <f t="shared" si="9"/>
        <v>#DIV/0!</v>
      </c>
      <c r="T95" s="1" t="e">
        <f t="shared" si="10"/>
        <v>#DIV/0!</v>
      </c>
      <c r="U95" s="1" t="e">
        <f t="shared" si="11"/>
        <v>#DIV/0!</v>
      </c>
      <c r="V95" s="227" t="e">
        <f t="shared" si="12"/>
        <v>#DIV/0!</v>
      </c>
      <c r="W95" s="227" t="e">
        <f t="shared" si="13"/>
        <v>#DIV/0!</v>
      </c>
      <c r="X95" s="203" t="e">
        <f>INDEX(#REF!,MATCH(COUNTA(H95:M95),#REF!,0),2)</f>
        <v>#REF!</v>
      </c>
      <c r="Y95" s="310" t="e">
        <f t="shared" si="14"/>
        <v>#DIV/0!</v>
      </c>
      <c r="Z95" s="91">
        <f t="shared" si="15"/>
        <v>0</v>
      </c>
      <c r="AD95" s="91" t="str">
        <f>PE_aug!AP95</f>
        <v>Methode</v>
      </c>
    </row>
    <row r="96" spans="1:30">
      <c r="A96" s="158" t="s">
        <v>140</v>
      </c>
      <c r="N96">
        <v>0.70699999999999996</v>
      </c>
      <c r="O96">
        <v>1.143</v>
      </c>
      <c r="P96">
        <v>5.1746699999999999</v>
      </c>
      <c r="R96" s="88" t="e">
        <f t="shared" si="8"/>
        <v>#DIV/0!</v>
      </c>
      <c r="S96" s="91" t="e">
        <f t="shared" si="9"/>
        <v>#DIV/0!</v>
      </c>
      <c r="T96" s="1" t="e">
        <f t="shared" si="10"/>
        <v>#DIV/0!</v>
      </c>
      <c r="U96" s="1" t="e">
        <f t="shared" si="11"/>
        <v>#DIV/0!</v>
      </c>
      <c r="V96" s="227" t="e">
        <f t="shared" si="12"/>
        <v>#DIV/0!</v>
      </c>
      <c r="W96" s="227" t="e">
        <f t="shared" si="13"/>
        <v>#DIV/0!</v>
      </c>
      <c r="X96" s="203" t="e">
        <f>INDEX(#REF!,MATCH(COUNTA(H96:M96),#REF!,0),2)</f>
        <v>#REF!</v>
      </c>
      <c r="Y96" s="310" t="e">
        <f t="shared" si="14"/>
        <v>#DIV/0!</v>
      </c>
      <c r="Z96" s="91">
        <f t="shared" si="15"/>
        <v>0</v>
      </c>
      <c r="AD96" s="91" t="str">
        <f>PE_aug!AP96</f>
        <v>Algen</v>
      </c>
    </row>
    <row r="97" spans="1:30">
      <c r="A97" s="158" t="s">
        <v>142</v>
      </c>
      <c r="N97">
        <v>0.70699999999999996</v>
      </c>
      <c r="O97">
        <v>1.143</v>
      </c>
      <c r="P97">
        <v>8.3862100000000002</v>
      </c>
      <c r="R97" s="88" t="e">
        <f t="shared" si="8"/>
        <v>#DIV/0!</v>
      </c>
      <c r="S97" s="91" t="e">
        <f t="shared" si="9"/>
        <v>#DIV/0!</v>
      </c>
      <c r="T97" s="1" t="e">
        <f t="shared" si="10"/>
        <v>#DIV/0!</v>
      </c>
      <c r="U97" s="1" t="e">
        <f t="shared" si="11"/>
        <v>#DIV/0!</v>
      </c>
      <c r="V97" s="227" t="e">
        <f t="shared" si="12"/>
        <v>#DIV/0!</v>
      </c>
      <c r="W97" s="227" t="e">
        <f t="shared" si="13"/>
        <v>#DIV/0!</v>
      </c>
      <c r="X97" s="203" t="e">
        <f>INDEX(#REF!,MATCH(COUNTA(H97:M97),#REF!,0),2)</f>
        <v>#REF!</v>
      </c>
      <c r="Y97" s="310" t="e">
        <f t="shared" si="14"/>
        <v>#DIV/0!</v>
      </c>
      <c r="Z97" s="91">
        <f t="shared" si="15"/>
        <v>0</v>
      </c>
      <c r="AD97" s="91" t="str">
        <f>PE_aug!AP97</f>
        <v>Algen</v>
      </c>
    </row>
    <row r="98" spans="1:30">
      <c r="A98" s="158" t="s">
        <v>143</v>
      </c>
      <c r="N98">
        <v>0.70699999999999996</v>
      </c>
      <c r="O98">
        <v>0.104</v>
      </c>
      <c r="P98">
        <v>19.356549999999999</v>
      </c>
      <c r="R98" s="88" t="e">
        <f t="shared" si="8"/>
        <v>#DIV/0!</v>
      </c>
      <c r="S98" s="91" t="e">
        <f t="shared" si="9"/>
        <v>#DIV/0!</v>
      </c>
      <c r="T98" s="1" t="e">
        <f t="shared" si="10"/>
        <v>#DIV/0!</v>
      </c>
      <c r="U98" s="1" t="e">
        <f t="shared" si="11"/>
        <v>#DIV/0!</v>
      </c>
      <c r="V98" s="227" t="e">
        <f t="shared" si="12"/>
        <v>#DIV/0!</v>
      </c>
      <c r="W98" s="227" t="e">
        <f t="shared" si="13"/>
        <v>#DIV/0!</v>
      </c>
      <c r="X98" s="203" t="e">
        <f>INDEX(#REF!,MATCH(COUNTA(H98:M98),#REF!,0),2)</f>
        <v>#REF!</v>
      </c>
      <c r="Y98" s="310" t="e">
        <f t="shared" si="14"/>
        <v>#DIV/0!</v>
      </c>
      <c r="Z98" s="91">
        <f t="shared" si="15"/>
        <v>0</v>
      </c>
      <c r="AD98" s="91" t="str">
        <f>PE_aug!AP98</f>
        <v>Algen</v>
      </c>
    </row>
    <row r="99" spans="1:30">
      <c r="A99" s="158" t="s">
        <v>144</v>
      </c>
      <c r="N99">
        <v>0.70699999999999996</v>
      </c>
      <c r="O99">
        <v>0.104</v>
      </c>
      <c r="P99">
        <v>14.0021</v>
      </c>
      <c r="R99" s="88" t="e">
        <f t="shared" si="8"/>
        <v>#DIV/0!</v>
      </c>
      <c r="S99" s="91" t="e">
        <f t="shared" si="9"/>
        <v>#DIV/0!</v>
      </c>
      <c r="T99" s="1" t="e">
        <f t="shared" si="10"/>
        <v>#DIV/0!</v>
      </c>
      <c r="U99" s="1" t="e">
        <f t="shared" si="11"/>
        <v>#DIV/0!</v>
      </c>
      <c r="V99" s="227" t="e">
        <f t="shared" si="12"/>
        <v>#DIV/0!</v>
      </c>
      <c r="W99" s="227" t="e">
        <f t="shared" si="13"/>
        <v>#DIV/0!</v>
      </c>
      <c r="X99" s="203" t="e">
        <f>INDEX(#REF!,MATCH(COUNTA(H99:M99),#REF!,0),2)</f>
        <v>#REF!</v>
      </c>
      <c r="Y99" s="310" t="e">
        <f t="shared" si="14"/>
        <v>#DIV/0!</v>
      </c>
      <c r="Z99" s="91">
        <f t="shared" si="15"/>
        <v>0</v>
      </c>
      <c r="AD99" s="91" t="str">
        <f>PE_aug!AP99</f>
        <v>Algen</v>
      </c>
    </row>
    <row r="100" spans="1:30">
      <c r="A100" s="158" t="s">
        <v>145</v>
      </c>
      <c r="P100">
        <v>3.68384</v>
      </c>
      <c r="Q100">
        <v>0.5</v>
      </c>
      <c r="R100" s="88" t="e">
        <f t="shared" si="8"/>
        <v>#DIV/0!</v>
      </c>
      <c r="S100" s="91" t="e">
        <f t="shared" si="9"/>
        <v>#DIV/0!</v>
      </c>
      <c r="T100" s="1" t="e">
        <f t="shared" si="10"/>
        <v>#DIV/0!</v>
      </c>
      <c r="U100" s="1" t="e">
        <f t="shared" si="11"/>
        <v>#DIV/0!</v>
      </c>
      <c r="V100" s="227" t="e">
        <f t="shared" si="12"/>
        <v>#DIV/0!</v>
      </c>
      <c r="W100" s="227" t="e">
        <f t="shared" si="13"/>
        <v>#DIV/0!</v>
      </c>
      <c r="X100" s="203" t="e">
        <f>INDEX(#REF!,MATCH(COUNTA(H100:M100),#REF!,0),2)</f>
        <v>#REF!</v>
      </c>
      <c r="Y100" s="310" t="e">
        <f t="shared" si="14"/>
        <v>#DIV/0!</v>
      </c>
      <c r="Z100" s="91">
        <f t="shared" si="15"/>
        <v>0</v>
      </c>
      <c r="AD100" s="91" t="str">
        <f>PE_aug!AP100</f>
        <v>KWS</v>
      </c>
    </row>
    <row r="101" spans="1:30">
      <c r="A101" s="158" t="s">
        <v>147</v>
      </c>
      <c r="N101">
        <v>0.70699999999999996</v>
      </c>
      <c r="O101">
        <v>4.2000000000000003E-2</v>
      </c>
      <c r="P101">
        <v>4.4491899999999998</v>
      </c>
      <c r="R101" s="88" t="e">
        <f t="shared" si="8"/>
        <v>#DIV/0!</v>
      </c>
      <c r="S101" s="91" t="e">
        <f t="shared" si="9"/>
        <v>#DIV/0!</v>
      </c>
      <c r="T101" s="1" t="e">
        <f t="shared" si="10"/>
        <v>#DIV/0!</v>
      </c>
      <c r="U101" s="1" t="e">
        <f t="shared" si="11"/>
        <v>#DIV/0!</v>
      </c>
      <c r="V101" s="227" t="e">
        <f t="shared" si="12"/>
        <v>#DIV/0!</v>
      </c>
      <c r="W101" s="227" t="e">
        <f t="shared" si="13"/>
        <v>#DIV/0!</v>
      </c>
      <c r="X101" s="203" t="e">
        <f>INDEX(#REF!,MATCH(COUNTA(H101:M101),#REF!,0),2)</f>
        <v>#REF!</v>
      </c>
      <c r="Y101" s="310" t="e">
        <f t="shared" si="14"/>
        <v>#DIV/0!</v>
      </c>
      <c r="Z101" s="91">
        <f t="shared" si="15"/>
        <v>0</v>
      </c>
      <c r="AD101" s="91" t="str">
        <f>PE_aug!AP101</f>
        <v>KWS</v>
      </c>
    </row>
    <row r="102" spans="1:30">
      <c r="A102" s="158" t="s">
        <v>148</v>
      </c>
      <c r="N102">
        <v>0.70699999999999996</v>
      </c>
      <c r="O102">
        <v>4.2000000000000003E-2</v>
      </c>
      <c r="P102">
        <v>4.2668999999999997</v>
      </c>
      <c r="Q102">
        <v>0.5</v>
      </c>
      <c r="R102" s="88" t="e">
        <f t="shared" si="8"/>
        <v>#DIV/0!</v>
      </c>
      <c r="S102" s="91" t="e">
        <f t="shared" si="9"/>
        <v>#DIV/0!</v>
      </c>
      <c r="T102" s="1" t="e">
        <f t="shared" si="10"/>
        <v>#DIV/0!</v>
      </c>
      <c r="U102" s="1" t="e">
        <f t="shared" si="11"/>
        <v>#DIV/0!</v>
      </c>
      <c r="V102" s="227" t="e">
        <f t="shared" si="12"/>
        <v>#DIV/0!</v>
      </c>
      <c r="W102" s="227" t="e">
        <f t="shared" si="13"/>
        <v>#DIV/0!</v>
      </c>
      <c r="X102" s="203" t="e">
        <f>INDEX(#REF!,MATCH(COUNTA(H102:M102),#REF!,0),2)</f>
        <v>#REF!</v>
      </c>
      <c r="Y102" s="310" t="e">
        <f t="shared" si="14"/>
        <v>#DIV/0!</v>
      </c>
      <c r="Z102" s="91">
        <f t="shared" si="15"/>
        <v>0</v>
      </c>
      <c r="AD102" s="91" t="str">
        <f>PE_aug!AP102</f>
        <v>KWS</v>
      </c>
    </row>
    <row r="103" spans="1:30">
      <c r="A103" s="158" t="s">
        <v>149</v>
      </c>
      <c r="N103">
        <v>0.70699999999999996</v>
      </c>
      <c r="O103">
        <v>0.16900000000000001</v>
      </c>
      <c r="P103">
        <v>8.0275499999999997</v>
      </c>
      <c r="Q103">
        <v>0.5</v>
      </c>
      <c r="R103" s="88" t="e">
        <f t="shared" si="8"/>
        <v>#DIV/0!</v>
      </c>
      <c r="S103" s="91" t="e">
        <f t="shared" si="9"/>
        <v>#DIV/0!</v>
      </c>
      <c r="T103" s="1" t="e">
        <f t="shared" si="10"/>
        <v>#DIV/0!</v>
      </c>
      <c r="U103" s="1" t="e">
        <f t="shared" si="11"/>
        <v>#DIV/0!</v>
      </c>
      <c r="V103" s="227" t="e">
        <f t="shared" si="12"/>
        <v>#DIV/0!</v>
      </c>
      <c r="W103" s="227" t="e">
        <f t="shared" si="13"/>
        <v>#DIV/0!</v>
      </c>
      <c r="X103" s="203" t="e">
        <f>INDEX(#REF!,MATCH(COUNTA(H103:M103),#REF!,0),2)</f>
        <v>#REF!</v>
      </c>
      <c r="Y103" s="310" t="e">
        <f t="shared" si="14"/>
        <v>#DIV/0!</v>
      </c>
      <c r="Z103" s="91">
        <f t="shared" si="15"/>
        <v>0</v>
      </c>
      <c r="AD103" s="91" t="str">
        <f>PE_aug!AP103</f>
        <v>Münchehofe</v>
      </c>
    </row>
    <row r="104" spans="1:30">
      <c r="A104" s="158" t="s">
        <v>151</v>
      </c>
      <c r="N104">
        <v>0.70699999999999996</v>
      </c>
      <c r="O104">
        <v>0.16900000000000001</v>
      </c>
      <c r="P104">
        <v>5.2789650000000004</v>
      </c>
      <c r="Q104">
        <v>0.5</v>
      </c>
      <c r="R104" s="88" t="e">
        <f t="shared" si="8"/>
        <v>#DIV/0!</v>
      </c>
      <c r="S104" s="91" t="e">
        <f t="shared" si="9"/>
        <v>#DIV/0!</v>
      </c>
      <c r="T104" s="1" t="e">
        <f t="shared" si="10"/>
        <v>#DIV/0!</v>
      </c>
      <c r="U104" s="1" t="e">
        <f t="shared" si="11"/>
        <v>#DIV/0!</v>
      </c>
      <c r="V104" s="227" t="e">
        <f t="shared" si="12"/>
        <v>#DIV/0!</v>
      </c>
      <c r="W104" s="227" t="e">
        <f t="shared" si="13"/>
        <v>#DIV/0!</v>
      </c>
      <c r="X104" s="203" t="e">
        <f>INDEX(#REF!,MATCH(COUNTA(H104:M104),#REF!,0),2)</f>
        <v>#REF!</v>
      </c>
      <c r="Y104" s="310" t="e">
        <f t="shared" si="14"/>
        <v>#DIV/0!</v>
      </c>
      <c r="Z104" s="91">
        <f t="shared" si="15"/>
        <v>0</v>
      </c>
      <c r="AD104" s="91" t="str">
        <f>PE_aug!AP104</f>
        <v>Münchehofe</v>
      </c>
    </row>
    <row r="105" spans="1:30">
      <c r="A105" s="158" t="s">
        <v>152</v>
      </c>
      <c r="F105">
        <v>11.51</v>
      </c>
      <c r="L105">
        <v>11.51</v>
      </c>
      <c r="N105">
        <v>0.42299999999999999</v>
      </c>
      <c r="O105">
        <v>1.327</v>
      </c>
      <c r="P105">
        <v>8.4861800000000009</v>
      </c>
      <c r="Q105">
        <v>0.67</v>
      </c>
      <c r="R105" s="88">
        <f t="shared" si="8"/>
        <v>0.16</v>
      </c>
      <c r="S105" s="91">
        <f t="shared" si="9"/>
        <v>0.41500000000000004</v>
      </c>
      <c r="T105" s="1">
        <f t="shared" si="10"/>
        <v>0</v>
      </c>
      <c r="U105" s="1">
        <f t="shared" si="11"/>
        <v>0</v>
      </c>
      <c r="V105" s="227" t="e">
        <f t="shared" si="12"/>
        <v>#DIV/0!</v>
      </c>
      <c r="W105" s="227" t="e">
        <f t="shared" si="13"/>
        <v>#DIV/0!</v>
      </c>
      <c r="X105" s="203" t="e">
        <f>INDEX(#REF!,MATCH(COUNTA(H105:M105),#REF!,0),2)</f>
        <v>#REF!</v>
      </c>
      <c r="Y105" s="310">
        <f t="shared" si="14"/>
        <v>11.51</v>
      </c>
      <c r="Z105" s="91">
        <f t="shared" si="15"/>
        <v>1.3563228684755684</v>
      </c>
      <c r="AD105" s="91" t="str">
        <f>PE_aug!AP105</f>
        <v>Flussproben Spree</v>
      </c>
    </row>
    <row r="106" spans="1:30">
      <c r="A106" s="158" t="s">
        <v>154</v>
      </c>
      <c r="F106">
        <v>13.51</v>
      </c>
      <c r="L106">
        <v>13.51</v>
      </c>
      <c r="N106">
        <v>0.71199999999999997</v>
      </c>
      <c r="O106">
        <v>1.327</v>
      </c>
      <c r="P106">
        <v>10.4887</v>
      </c>
      <c r="Q106">
        <v>0.61</v>
      </c>
      <c r="R106" s="88">
        <f t="shared" si="8"/>
        <v>0.16</v>
      </c>
      <c r="S106" s="91">
        <f t="shared" si="9"/>
        <v>0.38500000000000001</v>
      </c>
      <c r="T106" s="1">
        <f t="shared" si="10"/>
        <v>0</v>
      </c>
      <c r="U106" s="1">
        <f t="shared" si="11"/>
        <v>0</v>
      </c>
      <c r="V106" s="227" t="e">
        <f t="shared" si="12"/>
        <v>#DIV/0!</v>
      </c>
      <c r="W106" s="227" t="e">
        <f t="shared" si="13"/>
        <v>#DIV/0!</v>
      </c>
      <c r="X106" s="203" t="e">
        <f>INDEX(#REF!,MATCH(COUNTA(H106:M106),#REF!,0),2)</f>
        <v>#REF!</v>
      </c>
      <c r="Y106" s="310">
        <f t="shared" si="14"/>
        <v>13.51</v>
      </c>
      <c r="Z106" s="91">
        <f t="shared" si="15"/>
        <v>1.2880528568840752</v>
      </c>
      <c r="AD106" s="91" t="str">
        <f>PE_aug!AP106</f>
        <v>Flussproben Spree</v>
      </c>
    </row>
    <row r="107" spans="1:30">
      <c r="A107" s="158" t="s">
        <v>155</v>
      </c>
      <c r="B107">
        <v>26.12</v>
      </c>
      <c r="C107">
        <v>25.14</v>
      </c>
      <c r="D107">
        <v>24.42</v>
      </c>
      <c r="E107">
        <v>40.270000000000003</v>
      </c>
      <c r="F107">
        <v>39.93</v>
      </c>
      <c r="G107">
        <v>34.82</v>
      </c>
      <c r="H107" s="306">
        <v>26.12</v>
      </c>
      <c r="I107">
        <v>25.14</v>
      </c>
      <c r="J107">
        <v>24.42</v>
      </c>
      <c r="K107">
        <v>40.270000000000003</v>
      </c>
      <c r="L107">
        <v>39.93</v>
      </c>
      <c r="M107" s="307">
        <v>34.82</v>
      </c>
      <c r="N107">
        <v>1.1220000000000001</v>
      </c>
      <c r="O107">
        <v>1.327</v>
      </c>
      <c r="P107">
        <v>5.2791800000000002</v>
      </c>
      <c r="Q107">
        <v>0.79</v>
      </c>
      <c r="R107" s="88">
        <f t="shared" si="8"/>
        <v>1</v>
      </c>
      <c r="S107" s="91">
        <f t="shared" si="9"/>
        <v>0.89500000000000002</v>
      </c>
      <c r="T107" s="1">
        <f t="shared" si="10"/>
        <v>21.417942041691628</v>
      </c>
      <c r="U107" s="1">
        <f t="shared" si="11"/>
        <v>21.417942041691628</v>
      </c>
      <c r="V107" s="227">
        <f t="shared" si="12"/>
        <v>1.081676213462851</v>
      </c>
      <c r="W107" s="227">
        <f t="shared" si="13"/>
        <v>1.2466942686629332</v>
      </c>
      <c r="X107" s="203" t="e">
        <f>INDEX(#REF!,MATCH(COUNTA(H107:M107),#REF!,0),2)</f>
        <v>#REF!</v>
      </c>
      <c r="Y107" s="310">
        <f t="shared" si="14"/>
        <v>31.783333333333335</v>
      </c>
      <c r="Z107" s="91">
        <f t="shared" si="15"/>
        <v>6.0205057098514034</v>
      </c>
      <c r="AB107" s="132">
        <f>0.5767-0.5442</f>
        <v>3.2499999999999973E-2</v>
      </c>
      <c r="AC107" s="203">
        <f>100*(Y107/(AB107*1000))</f>
        <v>97.794871794871881</v>
      </c>
      <c r="AD107" s="91" t="str">
        <f>PE_aug!AP107</f>
        <v>Methode</v>
      </c>
    </row>
    <row r="108" spans="1:30">
      <c r="A108" s="158" t="s">
        <v>156</v>
      </c>
      <c r="F108">
        <v>18.149999999999999</v>
      </c>
      <c r="L108">
        <v>18.149999999999999</v>
      </c>
      <c r="N108">
        <v>0.70699999999999996</v>
      </c>
      <c r="O108">
        <v>6.7000000000000004E-2</v>
      </c>
      <c r="P108">
        <v>12.811</v>
      </c>
      <c r="Q108">
        <v>0.77</v>
      </c>
      <c r="R108" s="88">
        <f t="shared" si="8"/>
        <v>0.16</v>
      </c>
      <c r="S108" s="91">
        <f t="shared" si="9"/>
        <v>0.46500000000000002</v>
      </c>
      <c r="T108" s="1">
        <f t="shared" si="10"/>
        <v>0</v>
      </c>
      <c r="U108" s="1">
        <f t="shared" si="11"/>
        <v>0</v>
      </c>
      <c r="V108" s="227" t="e">
        <f t="shared" si="12"/>
        <v>#DIV/0!</v>
      </c>
      <c r="W108" s="227" t="e">
        <f t="shared" si="13"/>
        <v>#DIV/0!</v>
      </c>
      <c r="X108" s="203" t="e">
        <f>INDEX(#REF!,MATCH(COUNTA(H108:M108),#REF!,0),2)</f>
        <v>#REF!</v>
      </c>
      <c r="Y108" s="310">
        <f t="shared" si="14"/>
        <v>18.149999999999999</v>
      </c>
      <c r="Z108" s="91">
        <f t="shared" si="15"/>
        <v>1.4167512294122238</v>
      </c>
      <c r="AC108" s="203"/>
      <c r="AD108" s="91" t="str">
        <f>PE_aug!AP108</f>
        <v>Flussproben Spree</v>
      </c>
    </row>
    <row r="109" spans="1:30">
      <c r="A109" s="158" t="s">
        <v>157</v>
      </c>
      <c r="F109">
        <v>8.43</v>
      </c>
      <c r="L109">
        <v>8.43</v>
      </c>
      <c r="N109">
        <v>0.70699999999999996</v>
      </c>
      <c r="O109">
        <v>6.7000000000000004E-2</v>
      </c>
      <c r="P109">
        <v>9.2412299999999998</v>
      </c>
      <c r="Q109">
        <v>0.67</v>
      </c>
      <c r="R109" s="88">
        <f t="shared" si="8"/>
        <v>0.16</v>
      </c>
      <c r="S109" s="91">
        <f t="shared" si="9"/>
        <v>0.41500000000000004</v>
      </c>
      <c r="T109" s="1">
        <f t="shared" si="10"/>
        <v>0</v>
      </c>
      <c r="U109" s="1">
        <f t="shared" si="11"/>
        <v>0</v>
      </c>
      <c r="V109" s="227" t="e">
        <f t="shared" si="12"/>
        <v>#DIV/0!</v>
      </c>
      <c r="W109" s="227" t="e">
        <f t="shared" si="13"/>
        <v>#DIV/0!</v>
      </c>
      <c r="X109" s="203" t="e">
        <f>INDEX(#REF!,MATCH(COUNTA(H109:M109),#REF!,0),2)</f>
        <v>#REF!</v>
      </c>
      <c r="Y109" s="310">
        <f t="shared" si="14"/>
        <v>8.43</v>
      </c>
      <c r="Z109" s="91">
        <f t="shared" si="15"/>
        <v>0.9122162309562688</v>
      </c>
      <c r="AC109" s="203"/>
      <c r="AD109" s="91" t="str">
        <f>PE_aug!AP109</f>
        <v>Flussproben Spree</v>
      </c>
    </row>
    <row r="110" spans="1:30">
      <c r="A110" s="159" t="s">
        <v>158</v>
      </c>
      <c r="E110">
        <v>20.07</v>
      </c>
      <c r="F110">
        <v>30.84</v>
      </c>
      <c r="K110">
        <v>20.07</v>
      </c>
      <c r="L110">
        <v>30.84</v>
      </c>
      <c r="N110">
        <v>1.0109999999999999</v>
      </c>
      <c r="O110">
        <v>0.113</v>
      </c>
      <c r="P110">
        <v>9.0289600000000014</v>
      </c>
      <c r="Q110">
        <v>0.61</v>
      </c>
      <c r="R110" s="88">
        <f t="shared" si="8"/>
        <v>0.66666666666666663</v>
      </c>
      <c r="S110" s="91">
        <f t="shared" si="9"/>
        <v>0.63833333333333331</v>
      </c>
      <c r="T110" s="1">
        <f t="shared" si="10"/>
        <v>21.154979375368317</v>
      </c>
      <c r="U110" s="1">
        <f t="shared" si="11"/>
        <v>21.154979375368317</v>
      </c>
      <c r="V110" s="227">
        <f t="shared" si="12"/>
        <v>0.99999999999999889</v>
      </c>
      <c r="W110" s="227">
        <f t="shared" si="13"/>
        <v>0.99999999999999956</v>
      </c>
      <c r="X110" s="203" t="e">
        <f>INDEX(#REF!,MATCH(COUNTA(H110:M110),#REF!,0),2)</f>
        <v>#REF!</v>
      </c>
      <c r="Y110" s="310">
        <f t="shared" si="14"/>
        <v>25.454999999999998</v>
      </c>
      <c r="Z110" s="91">
        <f t="shared" si="15"/>
        <v>2.8192615760840667</v>
      </c>
      <c r="AC110" s="203"/>
      <c r="AD110" s="91" t="str">
        <f>PE_aug!AP110</f>
        <v>Kläranlage</v>
      </c>
    </row>
    <row r="111" spans="1:30">
      <c r="A111" s="159" t="s">
        <v>159</v>
      </c>
      <c r="E111">
        <v>16.13</v>
      </c>
      <c r="F111">
        <v>37.909999999999997</v>
      </c>
      <c r="K111">
        <v>16.13</v>
      </c>
      <c r="L111">
        <v>37.909999999999997</v>
      </c>
      <c r="N111">
        <v>0.60199999999999998</v>
      </c>
      <c r="O111">
        <v>0.113</v>
      </c>
      <c r="P111">
        <v>9.4451499999999999</v>
      </c>
      <c r="Q111">
        <v>0.36</v>
      </c>
      <c r="R111" s="88">
        <f t="shared" si="8"/>
        <v>0.41666666666666663</v>
      </c>
      <c r="S111" s="91">
        <f t="shared" si="9"/>
        <v>0.38833333333333331</v>
      </c>
      <c r="T111" s="1">
        <f t="shared" si="10"/>
        <v>40.303478904515174</v>
      </c>
      <c r="U111" s="1">
        <f t="shared" si="11"/>
        <v>40.303478904515174</v>
      </c>
      <c r="V111" s="227">
        <f t="shared" si="12"/>
        <v>0.99999999999999989</v>
      </c>
      <c r="W111" s="227">
        <f t="shared" si="13"/>
        <v>1.0000000000000002</v>
      </c>
      <c r="X111" s="203" t="e">
        <f>INDEX(#REF!,MATCH(COUNTA(H111:M111),#REF!,0),2)</f>
        <v>#REF!</v>
      </c>
      <c r="Y111" s="310">
        <f t="shared" si="14"/>
        <v>27.019999999999996</v>
      </c>
      <c r="Z111" s="91">
        <f t="shared" si="15"/>
        <v>2.8607274633012705</v>
      </c>
      <c r="AC111" s="203"/>
      <c r="AD111" s="91" t="str">
        <f>PE_aug!AP111</f>
        <v>Kläranlage</v>
      </c>
    </row>
    <row r="112" spans="1:30">
      <c r="A112" s="159" t="s">
        <v>160</v>
      </c>
      <c r="E112">
        <v>6.84</v>
      </c>
      <c r="F112">
        <v>42.45</v>
      </c>
      <c r="G112">
        <v>7.05</v>
      </c>
      <c r="K112">
        <v>6.84</v>
      </c>
      <c r="L112">
        <v>42.45</v>
      </c>
      <c r="M112" s="307">
        <v>7.05</v>
      </c>
      <c r="N112">
        <v>0.63600000000000001</v>
      </c>
      <c r="O112">
        <v>0.113</v>
      </c>
      <c r="P112">
        <v>8.1411800000000003</v>
      </c>
      <c r="Q112">
        <v>0.35</v>
      </c>
      <c r="R112" s="88">
        <f t="shared" si="8"/>
        <v>0.25</v>
      </c>
      <c r="S112" s="91">
        <f t="shared" si="9"/>
        <v>0.3</v>
      </c>
      <c r="T112" s="1">
        <f t="shared" si="10"/>
        <v>89.123733119233862</v>
      </c>
      <c r="U112" s="1">
        <f t="shared" si="11"/>
        <v>89.123733119233862</v>
      </c>
      <c r="V112" s="227">
        <f t="shared" si="12"/>
        <v>0.71337086694209084</v>
      </c>
      <c r="W112" s="227">
        <f t="shared" si="13"/>
        <v>1.4141950100937428</v>
      </c>
      <c r="X112" s="203" t="e">
        <f>INDEX(#REF!,MATCH(COUNTA(H112:M112),#REF!,0),2)</f>
        <v>#REF!</v>
      </c>
      <c r="Y112" s="310">
        <f t="shared" si="14"/>
        <v>18.78</v>
      </c>
      <c r="Z112" s="91">
        <f t="shared" si="15"/>
        <v>2.3067909074605892</v>
      </c>
      <c r="AC112" s="203"/>
      <c r="AD112" s="91" t="str">
        <f>PE_aug!AP112</f>
        <v>Kläranlage</v>
      </c>
    </row>
    <row r="113" spans="1:30">
      <c r="A113" s="159" t="s">
        <v>161</v>
      </c>
      <c r="E113">
        <v>9.5399999999999991</v>
      </c>
      <c r="F113">
        <v>30.67</v>
      </c>
      <c r="K113">
        <v>9.5399999999999991</v>
      </c>
      <c r="L113">
        <v>30.67</v>
      </c>
      <c r="N113">
        <v>0.60099999999999998</v>
      </c>
      <c r="O113">
        <v>0.121</v>
      </c>
      <c r="P113">
        <v>7.5561999999999996</v>
      </c>
      <c r="Q113">
        <v>0.64</v>
      </c>
      <c r="R113" s="88">
        <f t="shared" si="8"/>
        <v>0.41666666666666663</v>
      </c>
      <c r="S113" s="91">
        <f t="shared" si="9"/>
        <v>0.52833333333333332</v>
      </c>
      <c r="T113" s="1">
        <f t="shared" si="10"/>
        <v>52.549117135041058</v>
      </c>
      <c r="U113" s="1">
        <f t="shared" si="11"/>
        <v>52.549117135041058</v>
      </c>
      <c r="V113" s="227">
        <f t="shared" si="12"/>
        <v>0.99999999999999967</v>
      </c>
      <c r="W113" s="227">
        <f t="shared" si="13"/>
        <v>0.99999999999999967</v>
      </c>
      <c r="X113" s="203" t="e">
        <f>INDEX(#REF!,MATCH(COUNTA(H113:M113),#REF!,0),2)</f>
        <v>#REF!</v>
      </c>
      <c r="Y113" s="310">
        <f t="shared" si="14"/>
        <v>20.105</v>
      </c>
      <c r="Z113" s="91">
        <f t="shared" si="15"/>
        <v>2.6607289378258914</v>
      </c>
      <c r="AC113" s="203"/>
      <c r="AD113" s="91" t="str">
        <f>PE_aug!AP113</f>
        <v>Kläranlage</v>
      </c>
    </row>
    <row r="114" spans="1:30">
      <c r="A114" s="159" t="s">
        <v>162</v>
      </c>
      <c r="F114">
        <v>15.56</v>
      </c>
      <c r="L114">
        <v>15.56</v>
      </c>
      <c r="N114">
        <v>0.873</v>
      </c>
      <c r="O114">
        <v>0.121</v>
      </c>
      <c r="P114">
        <v>4.8253199999999996</v>
      </c>
      <c r="Q114">
        <v>0.56000000000000005</v>
      </c>
      <c r="R114" s="88">
        <f t="shared" si="8"/>
        <v>0.16</v>
      </c>
      <c r="S114" s="91">
        <f t="shared" si="9"/>
        <v>0.36000000000000004</v>
      </c>
      <c r="T114" s="1">
        <f t="shared" si="10"/>
        <v>0</v>
      </c>
      <c r="U114" s="1">
        <f t="shared" si="11"/>
        <v>0</v>
      </c>
      <c r="V114" s="227" t="e">
        <f t="shared" si="12"/>
        <v>#DIV/0!</v>
      </c>
      <c r="W114" s="227" t="e">
        <f t="shared" si="13"/>
        <v>#DIV/0!</v>
      </c>
      <c r="X114" s="203" t="e">
        <f>INDEX(#REF!,MATCH(COUNTA(H114:M114),#REF!,0),2)</f>
        <v>#REF!</v>
      </c>
      <c r="Y114" s="310">
        <f t="shared" si="14"/>
        <v>15.56</v>
      </c>
      <c r="Z114" s="91">
        <f t="shared" si="15"/>
        <v>3.2246566030853914</v>
      </c>
      <c r="AC114" s="203"/>
      <c r="AD114" s="91" t="str">
        <f>PE_aug!AP114</f>
        <v>Kläranlage</v>
      </c>
    </row>
    <row r="115" spans="1:30">
      <c r="A115" s="159" t="s">
        <v>163</v>
      </c>
      <c r="E115">
        <v>7.06</v>
      </c>
      <c r="F115">
        <v>21.9</v>
      </c>
      <c r="K115">
        <v>7.06</v>
      </c>
      <c r="L115">
        <v>21.9</v>
      </c>
      <c r="N115">
        <v>0.76100000000000001</v>
      </c>
      <c r="O115">
        <v>0.121</v>
      </c>
      <c r="P115">
        <v>6.5425250000000004</v>
      </c>
      <c r="Q115">
        <v>0.81</v>
      </c>
      <c r="R115" s="88">
        <f t="shared" si="8"/>
        <v>0.41666666666666663</v>
      </c>
      <c r="S115" s="91">
        <f t="shared" si="9"/>
        <v>0.61333333333333329</v>
      </c>
      <c r="T115" s="1">
        <f t="shared" si="10"/>
        <v>51.243093922651937</v>
      </c>
      <c r="U115" s="1">
        <f t="shared" si="11"/>
        <v>51.243093922651937</v>
      </c>
      <c r="V115" s="227">
        <f t="shared" si="12"/>
        <v>0.99999999999999989</v>
      </c>
      <c r="W115" s="227">
        <f t="shared" si="13"/>
        <v>1</v>
      </c>
      <c r="X115" s="203" t="e">
        <f>INDEX(#REF!,MATCH(COUNTA(H115:M115),#REF!,0),2)</f>
        <v>#REF!</v>
      </c>
      <c r="Y115" s="310">
        <f t="shared" si="14"/>
        <v>14.479999999999999</v>
      </c>
      <c r="Z115" s="91">
        <f t="shared" si="15"/>
        <v>2.2132127886404711</v>
      </c>
      <c r="AC115" s="203"/>
      <c r="AD115" s="91" t="str">
        <f>PE_aug!AP115</f>
        <v>Kläranlage</v>
      </c>
    </row>
    <row r="116" spans="1:30">
      <c r="A116" s="159" t="s">
        <v>164</v>
      </c>
      <c r="E116">
        <v>19.190000000000001</v>
      </c>
      <c r="F116">
        <v>35.42</v>
      </c>
      <c r="K116">
        <v>19.190000000000001</v>
      </c>
      <c r="L116">
        <v>35.42</v>
      </c>
      <c r="N116">
        <v>0.93300000000000005</v>
      </c>
      <c r="O116">
        <v>0.16900000000000001</v>
      </c>
      <c r="P116">
        <v>10.150700000000001</v>
      </c>
      <c r="Q116">
        <v>0.61</v>
      </c>
      <c r="R116" s="88">
        <f t="shared" si="8"/>
        <v>0.66666666666666663</v>
      </c>
      <c r="S116" s="91">
        <f t="shared" si="9"/>
        <v>0.63833333333333331</v>
      </c>
      <c r="T116" s="1">
        <f t="shared" si="10"/>
        <v>29.719831532686335</v>
      </c>
      <c r="U116" s="1">
        <f t="shared" si="11"/>
        <v>29.719831532686335</v>
      </c>
      <c r="V116" s="227">
        <f t="shared" si="12"/>
        <v>0.99999999999999933</v>
      </c>
      <c r="W116" s="227">
        <f t="shared" si="13"/>
        <v>0.99999999999999978</v>
      </c>
      <c r="X116" s="203" t="e">
        <f>INDEX(#REF!,MATCH(COUNTA(H116:M116),#REF!,0),2)</f>
        <v>#REF!</v>
      </c>
      <c r="Y116" s="310">
        <f t="shared" si="14"/>
        <v>27.305</v>
      </c>
      <c r="Z116" s="91">
        <f t="shared" si="15"/>
        <v>2.6899622686120166</v>
      </c>
      <c r="AC116" s="203"/>
      <c r="AD116" s="91" t="str">
        <f>PE_aug!AP116</f>
        <v>Kläranlage</v>
      </c>
    </row>
    <row r="117" spans="1:30">
      <c r="A117" s="159" t="s">
        <v>165</v>
      </c>
      <c r="E117">
        <v>14.48</v>
      </c>
      <c r="F117">
        <v>33.68</v>
      </c>
      <c r="K117">
        <v>14.48</v>
      </c>
      <c r="L117">
        <v>33.68</v>
      </c>
      <c r="N117">
        <v>0.48299999999999998</v>
      </c>
      <c r="O117">
        <v>0.16900000000000001</v>
      </c>
      <c r="P117">
        <v>8.5572100000000013</v>
      </c>
      <c r="Q117">
        <v>0.61</v>
      </c>
      <c r="R117" s="88">
        <f t="shared" si="8"/>
        <v>0.41666666666666663</v>
      </c>
      <c r="S117" s="91">
        <f t="shared" si="9"/>
        <v>0.51333333333333331</v>
      </c>
      <c r="T117" s="1">
        <f t="shared" si="10"/>
        <v>39.867109634551518</v>
      </c>
      <c r="U117" s="1">
        <f t="shared" si="11"/>
        <v>39.867109634551518</v>
      </c>
      <c r="V117" s="227">
        <f t="shared" si="12"/>
        <v>0.99999999999999922</v>
      </c>
      <c r="W117" s="227">
        <f t="shared" si="13"/>
        <v>0.99999999999999967</v>
      </c>
      <c r="X117" s="203" t="e">
        <f>INDEX(#REF!,MATCH(COUNTA(H117:M117),#REF!,0),2)</f>
        <v>#REF!</v>
      </c>
      <c r="Y117" s="310">
        <f t="shared" si="14"/>
        <v>24.08</v>
      </c>
      <c r="Z117" s="91">
        <f t="shared" si="15"/>
        <v>2.8140012924773372</v>
      </c>
      <c r="AC117" s="203"/>
      <c r="AD117" s="91" t="str">
        <f>PE_aug!AP117</f>
        <v>Kläranlage</v>
      </c>
    </row>
    <row r="118" spans="1:30">
      <c r="A118" s="159" t="s">
        <v>166</v>
      </c>
      <c r="E118">
        <v>22.1</v>
      </c>
      <c r="F118">
        <v>40.729999999999997</v>
      </c>
      <c r="K118">
        <v>22.1</v>
      </c>
      <c r="L118">
        <v>40.729999999999997</v>
      </c>
      <c r="N118">
        <v>0.752</v>
      </c>
      <c r="O118">
        <v>0.16900000000000001</v>
      </c>
      <c r="P118">
        <v>10.0943</v>
      </c>
      <c r="Q118">
        <v>0.49</v>
      </c>
      <c r="R118" s="88">
        <f t="shared" si="8"/>
        <v>0.66666666666666663</v>
      </c>
      <c r="S118" s="91">
        <f t="shared" si="9"/>
        <v>0.57833333333333337</v>
      </c>
      <c r="T118" s="1">
        <f t="shared" si="10"/>
        <v>29.651440394715884</v>
      </c>
      <c r="U118" s="1">
        <f t="shared" si="11"/>
        <v>29.651440394715884</v>
      </c>
      <c r="V118" s="227">
        <f t="shared" si="12"/>
        <v>1.0000000000000004</v>
      </c>
      <c r="W118" s="227">
        <f t="shared" si="13"/>
        <v>1.0000000000000004</v>
      </c>
      <c r="X118" s="203" t="e">
        <f>INDEX(#REF!,MATCH(COUNTA(H118:M118),#REF!,0),2)</f>
        <v>#REF!</v>
      </c>
      <c r="Y118" s="310">
        <f t="shared" si="14"/>
        <v>31.414999999999999</v>
      </c>
      <c r="Z118" s="91">
        <f t="shared" si="15"/>
        <v>3.1121524028412071</v>
      </c>
      <c r="AC118" s="203"/>
      <c r="AD118" s="91" t="str">
        <f>PE_aug!AP118</f>
        <v>Kläranlage</v>
      </c>
    </row>
    <row r="119" spans="1:30">
      <c r="A119" s="159" t="s">
        <v>167</v>
      </c>
      <c r="N119">
        <v>0.70699999999999996</v>
      </c>
      <c r="O119">
        <v>8.1000000000000003E-2</v>
      </c>
      <c r="P119">
        <v>11.9978</v>
      </c>
      <c r="Q119">
        <v>0.5</v>
      </c>
      <c r="R119" s="88" t="e">
        <f t="shared" si="8"/>
        <v>#DIV/0!</v>
      </c>
      <c r="S119" s="91" t="e">
        <f t="shared" si="9"/>
        <v>#DIV/0!</v>
      </c>
      <c r="T119" s="1" t="e">
        <f t="shared" si="10"/>
        <v>#DIV/0!</v>
      </c>
      <c r="U119" s="1" t="e">
        <f t="shared" si="11"/>
        <v>#DIV/0!</v>
      </c>
      <c r="V119" s="227" t="e">
        <f t="shared" si="12"/>
        <v>#DIV/0!</v>
      </c>
      <c r="W119" s="227" t="e">
        <f t="shared" si="13"/>
        <v>#DIV/0!</v>
      </c>
      <c r="X119" s="203" t="e">
        <f>INDEX(#REF!,MATCH(COUNTA(H119:M119),#REF!,0),2)</f>
        <v>#REF!</v>
      </c>
      <c r="Y119" s="310" t="e">
        <f t="shared" si="14"/>
        <v>#DIV/0!</v>
      </c>
      <c r="Z119" s="91">
        <f t="shared" si="15"/>
        <v>0</v>
      </c>
      <c r="AC119" s="203"/>
      <c r="AD119" s="91" t="str">
        <f>PE_aug!AP119</f>
        <v>Flussproben</v>
      </c>
    </row>
    <row r="120" spans="1:30">
      <c r="A120" s="159" t="s">
        <v>168</v>
      </c>
      <c r="N120">
        <v>0.70699999999999996</v>
      </c>
      <c r="O120">
        <v>8.1000000000000003E-2</v>
      </c>
      <c r="P120">
        <v>18.2178</v>
      </c>
      <c r="Q120">
        <v>0.83</v>
      </c>
      <c r="R120" s="88" t="e">
        <f t="shared" si="8"/>
        <v>#DIV/0!</v>
      </c>
      <c r="S120" s="91" t="e">
        <f t="shared" si="9"/>
        <v>#DIV/0!</v>
      </c>
      <c r="T120" s="1" t="e">
        <f t="shared" si="10"/>
        <v>#DIV/0!</v>
      </c>
      <c r="U120" s="1" t="e">
        <f t="shared" si="11"/>
        <v>#DIV/0!</v>
      </c>
      <c r="V120" s="227" t="e">
        <f t="shared" si="12"/>
        <v>#DIV/0!</v>
      </c>
      <c r="W120" s="227" t="e">
        <f t="shared" si="13"/>
        <v>#DIV/0!</v>
      </c>
      <c r="X120" s="203" t="e">
        <f>INDEX(#REF!,MATCH(COUNTA(H120:M120),#REF!,0),2)</f>
        <v>#REF!</v>
      </c>
      <c r="Y120" s="310" t="e">
        <f t="shared" si="14"/>
        <v>#DIV/0!</v>
      </c>
      <c r="Z120" s="91">
        <f t="shared" si="15"/>
        <v>0</v>
      </c>
      <c r="AC120" s="203"/>
      <c r="AD120" s="91" t="str">
        <f>PE_aug!AP120</f>
        <v>Flussproben</v>
      </c>
    </row>
    <row r="121" spans="1:30">
      <c r="A121" s="159" t="s">
        <v>169</v>
      </c>
      <c r="F121">
        <v>6.97</v>
      </c>
      <c r="L121">
        <v>6.97</v>
      </c>
      <c r="P121">
        <v>14.882400000000001</v>
      </c>
      <c r="Q121">
        <v>0.5</v>
      </c>
      <c r="R121" s="88">
        <f t="shared" si="8"/>
        <v>0.16</v>
      </c>
      <c r="S121" s="91">
        <f t="shared" si="9"/>
        <v>0.33</v>
      </c>
      <c r="T121" s="1">
        <f t="shared" si="10"/>
        <v>0</v>
      </c>
      <c r="U121" s="1">
        <f t="shared" si="11"/>
        <v>0</v>
      </c>
      <c r="V121" s="227" t="e">
        <f t="shared" si="12"/>
        <v>#DIV/0!</v>
      </c>
      <c r="W121" s="227" t="e">
        <f t="shared" si="13"/>
        <v>#DIV/0!</v>
      </c>
      <c r="X121" s="203" t="e">
        <f>INDEX(#REF!,MATCH(COUNTA(H121:M121),#REF!,0),2)</f>
        <v>#REF!</v>
      </c>
      <c r="Y121" s="310">
        <f t="shared" si="14"/>
        <v>6.97</v>
      </c>
      <c r="Z121" s="91">
        <f t="shared" si="15"/>
        <v>0.46833844003655323</v>
      </c>
      <c r="AC121" s="203"/>
      <c r="AD121" s="91" t="str">
        <f>PE_aug!AP121</f>
        <v>Flussproben, Methode</v>
      </c>
    </row>
    <row r="122" spans="1:30">
      <c r="A122" s="159" t="s">
        <v>170</v>
      </c>
      <c r="F122">
        <v>6.58</v>
      </c>
      <c r="L122">
        <v>6.58</v>
      </c>
      <c r="P122">
        <v>11.2957</v>
      </c>
      <c r="Q122">
        <v>0.83</v>
      </c>
      <c r="R122" s="88">
        <f t="shared" si="8"/>
        <v>0.16</v>
      </c>
      <c r="S122" s="91">
        <f t="shared" si="9"/>
        <v>0.495</v>
      </c>
      <c r="T122" s="1">
        <f t="shared" si="10"/>
        <v>0</v>
      </c>
      <c r="U122" s="1">
        <f t="shared" si="11"/>
        <v>0</v>
      </c>
      <c r="V122" s="227" t="e">
        <f t="shared" si="12"/>
        <v>#DIV/0!</v>
      </c>
      <c r="W122" s="227" t="e">
        <f t="shared" si="13"/>
        <v>#DIV/0!</v>
      </c>
      <c r="X122" s="203" t="e">
        <f>INDEX(#REF!,MATCH(COUNTA(H122:M122),#REF!,0),2)</f>
        <v>#REF!</v>
      </c>
      <c r="Y122" s="310">
        <f t="shared" si="14"/>
        <v>6.58</v>
      </c>
      <c r="Z122" s="91">
        <f t="shared" si="15"/>
        <v>0.58252255282983789</v>
      </c>
      <c r="AC122" s="203"/>
      <c r="AD122" s="91" t="str">
        <f>PE_aug!AP122</f>
        <v>Flussproben, Methode</v>
      </c>
    </row>
    <row r="123" spans="1:30">
      <c r="A123" s="159" t="s">
        <v>171</v>
      </c>
      <c r="B123">
        <v>5.72</v>
      </c>
      <c r="C123">
        <v>7.6</v>
      </c>
      <c r="E123">
        <v>11.57</v>
      </c>
      <c r="F123">
        <v>14.45</v>
      </c>
      <c r="G123">
        <v>9.5500000000000007</v>
      </c>
      <c r="H123" s="306">
        <v>5.72</v>
      </c>
      <c r="I123">
        <v>7.6</v>
      </c>
      <c r="K123">
        <v>11.57</v>
      </c>
      <c r="L123">
        <v>14.45</v>
      </c>
      <c r="M123" s="307">
        <v>9.5500000000000007</v>
      </c>
      <c r="P123">
        <v>8.4538799999999998</v>
      </c>
      <c r="Q123">
        <v>0.89</v>
      </c>
      <c r="R123" s="88">
        <f t="shared" si="8"/>
        <v>0.91666666666666663</v>
      </c>
      <c r="S123" s="91">
        <f t="shared" si="9"/>
        <v>0.90333333333333332</v>
      </c>
      <c r="T123" s="1">
        <f t="shared" si="10"/>
        <v>31.12176918538314</v>
      </c>
      <c r="U123" s="1">
        <f t="shared" si="11"/>
        <v>31.12176918538314</v>
      </c>
      <c r="V123" s="227">
        <f t="shared" si="12"/>
        <v>1.3335144691815941</v>
      </c>
      <c r="W123" s="227">
        <f t="shared" si="13"/>
        <v>1.5352832922662409</v>
      </c>
      <c r="X123" s="203" t="e">
        <f>INDEX(#REF!,MATCH(COUNTA(H123:M123),#REF!,0),2)</f>
        <v>#REF!</v>
      </c>
      <c r="Y123" s="310">
        <f t="shared" si="14"/>
        <v>9.7780000000000005</v>
      </c>
      <c r="Z123" s="91">
        <f t="shared" si="15"/>
        <v>1.1566286722782912</v>
      </c>
      <c r="AB123">
        <v>0.22800000000000001</v>
      </c>
      <c r="AC123" s="203">
        <f>100*(Y123/(AB123*1000))</f>
        <v>4.2885964912280699</v>
      </c>
      <c r="AD123" s="91" t="str">
        <f>PE_aug!AP123</f>
        <v>Flussproben, Methode</v>
      </c>
    </row>
    <row r="124" spans="1:30">
      <c r="A124" s="159" t="s">
        <v>172</v>
      </c>
      <c r="F124">
        <v>8.94</v>
      </c>
      <c r="L124">
        <v>8.94</v>
      </c>
      <c r="P124">
        <v>13.7104</v>
      </c>
      <c r="Q124">
        <v>0.83</v>
      </c>
      <c r="R124" s="88">
        <f t="shared" si="8"/>
        <v>0.16</v>
      </c>
      <c r="S124" s="91">
        <f t="shared" si="9"/>
        <v>0.495</v>
      </c>
      <c r="T124" s="1">
        <f t="shared" si="10"/>
        <v>0</v>
      </c>
      <c r="U124" s="1">
        <f t="shared" si="11"/>
        <v>0</v>
      </c>
      <c r="V124" s="227" t="e">
        <f t="shared" si="12"/>
        <v>#DIV/0!</v>
      </c>
      <c r="W124" s="227" t="e">
        <f t="shared" si="13"/>
        <v>#DIV/0!</v>
      </c>
      <c r="X124" s="203" t="e">
        <f>INDEX(#REF!,MATCH(COUNTA(H124:M124),#REF!,0),2)</f>
        <v>#REF!</v>
      </c>
      <c r="Y124" s="310">
        <f t="shared" si="14"/>
        <v>8.94</v>
      </c>
      <c r="Z124" s="91">
        <f t="shared" si="15"/>
        <v>0.65205975026257434</v>
      </c>
      <c r="AD124" s="91" t="str">
        <f>PE_aug!AP124</f>
        <v>Flussproben, Methode</v>
      </c>
    </row>
    <row r="125" spans="1:30">
      <c r="A125" s="159" t="s">
        <v>173</v>
      </c>
      <c r="F125">
        <v>7.56</v>
      </c>
      <c r="L125">
        <v>7.56</v>
      </c>
      <c r="N125">
        <v>1.0009999999999999</v>
      </c>
      <c r="O125">
        <v>0.155</v>
      </c>
      <c r="P125">
        <v>10.5603</v>
      </c>
      <c r="Q125">
        <v>0.56999999999999995</v>
      </c>
      <c r="R125" s="88">
        <f t="shared" si="8"/>
        <v>0.16</v>
      </c>
      <c r="S125" s="91">
        <f t="shared" si="9"/>
        <v>0.36499999999999999</v>
      </c>
      <c r="T125" s="1">
        <f t="shared" si="10"/>
        <v>0</v>
      </c>
      <c r="U125" s="1">
        <f t="shared" si="11"/>
        <v>0</v>
      </c>
      <c r="V125" s="227" t="e">
        <f t="shared" si="12"/>
        <v>#DIV/0!</v>
      </c>
      <c r="W125" s="227" t="e">
        <f t="shared" si="13"/>
        <v>#DIV/0!</v>
      </c>
      <c r="X125" s="203" t="e">
        <f>INDEX(#REF!,MATCH(COUNTA(H125:M125),#REF!,0),2)</f>
        <v>#REF!</v>
      </c>
      <c r="Y125" s="310">
        <f t="shared" si="14"/>
        <v>7.56</v>
      </c>
      <c r="Z125" s="91">
        <f t="shared" si="15"/>
        <v>0.71588875316042155</v>
      </c>
      <c r="AD125" s="91" t="str">
        <f>PE_aug!AP125</f>
        <v>Flussproben</v>
      </c>
    </row>
    <row r="126" spans="1:30">
      <c r="A126" s="159" t="s">
        <v>174</v>
      </c>
      <c r="F126">
        <v>11.06</v>
      </c>
      <c r="L126">
        <v>11.06</v>
      </c>
      <c r="N126">
        <v>0.25800000000000001</v>
      </c>
      <c r="O126">
        <v>0.155</v>
      </c>
      <c r="P126">
        <v>11.7896</v>
      </c>
      <c r="Q126">
        <v>0.73</v>
      </c>
      <c r="R126" s="88">
        <f t="shared" si="8"/>
        <v>0.16</v>
      </c>
      <c r="S126" s="91">
        <f t="shared" si="9"/>
        <v>0.44500000000000001</v>
      </c>
      <c r="T126" s="1">
        <f t="shared" si="10"/>
        <v>0</v>
      </c>
      <c r="U126" s="1">
        <f t="shared" si="11"/>
        <v>0</v>
      </c>
      <c r="V126" s="227" t="e">
        <f t="shared" si="12"/>
        <v>#DIV/0!</v>
      </c>
      <c r="W126" s="227" t="e">
        <f t="shared" si="13"/>
        <v>#DIV/0!</v>
      </c>
      <c r="X126" s="203" t="e">
        <f>INDEX(#REF!,MATCH(COUNTA(H126:M126),#REF!,0),2)</f>
        <v>#REF!</v>
      </c>
      <c r="Y126" s="310">
        <f t="shared" si="14"/>
        <v>11.06</v>
      </c>
      <c r="Z126" s="91">
        <f t="shared" si="15"/>
        <v>0.93811494876840607</v>
      </c>
      <c r="AD126" s="91" t="str">
        <f>PE_aug!AP126</f>
        <v>Flussproben</v>
      </c>
    </row>
    <row r="127" spans="1:30">
      <c r="A127" s="159" t="s">
        <v>175</v>
      </c>
      <c r="F127">
        <v>12.15</v>
      </c>
      <c r="L127">
        <v>12.15</v>
      </c>
      <c r="N127">
        <v>0.93400000000000005</v>
      </c>
      <c r="O127">
        <v>0.155</v>
      </c>
      <c r="P127">
        <v>12.7499</v>
      </c>
      <c r="Q127">
        <v>0.61</v>
      </c>
      <c r="R127" s="88">
        <f t="shared" si="8"/>
        <v>0.16</v>
      </c>
      <c r="S127" s="91">
        <f t="shared" si="9"/>
        <v>0.38500000000000001</v>
      </c>
      <c r="T127" s="1">
        <f t="shared" si="10"/>
        <v>0</v>
      </c>
      <c r="U127" s="1">
        <f t="shared" si="11"/>
        <v>0</v>
      </c>
      <c r="V127" s="227" t="e">
        <f t="shared" si="12"/>
        <v>#DIV/0!</v>
      </c>
      <c r="W127" s="227" t="e">
        <f t="shared" si="13"/>
        <v>#DIV/0!</v>
      </c>
      <c r="X127" s="203" t="e">
        <f>INDEX(#REF!,MATCH(COUNTA(H127:M127),#REF!,0),2)</f>
        <v>#REF!</v>
      </c>
      <c r="Y127" s="310">
        <f t="shared" si="14"/>
        <v>12.15</v>
      </c>
      <c r="Z127" s="91">
        <f t="shared" si="15"/>
        <v>0.95294865057765155</v>
      </c>
      <c r="AD127" s="91" t="str">
        <f>PE_aug!AP127</f>
        <v>Flussproben</v>
      </c>
    </row>
    <row r="128" spans="1:30">
      <c r="A128" s="159" t="s">
        <v>176</v>
      </c>
      <c r="B128">
        <v>9.3800000000000008</v>
      </c>
      <c r="E128">
        <v>35.26</v>
      </c>
      <c r="F128">
        <v>45.65</v>
      </c>
      <c r="H128" s="306">
        <v>9.3800000000000008</v>
      </c>
      <c r="K128">
        <v>35.26</v>
      </c>
      <c r="L128">
        <v>45.65</v>
      </c>
      <c r="N128">
        <v>0.64800000000000002</v>
      </c>
      <c r="O128">
        <v>0.41199999999999998</v>
      </c>
      <c r="P128">
        <v>8.2120499999999996</v>
      </c>
      <c r="Q128">
        <v>0.49</v>
      </c>
      <c r="R128" s="88">
        <f t="shared" si="8"/>
        <v>0.5</v>
      </c>
      <c r="S128" s="91">
        <f t="shared" si="9"/>
        <v>0.495</v>
      </c>
      <c r="T128" s="1">
        <f t="shared" si="10"/>
        <v>50.672204333242931</v>
      </c>
      <c r="U128" s="1">
        <f t="shared" si="11"/>
        <v>50.672204333242931</v>
      </c>
      <c r="V128" s="227">
        <f t="shared" si="12"/>
        <v>1.3584125418850532</v>
      </c>
      <c r="W128" s="227">
        <f t="shared" si="13"/>
        <v>1.019847613907588</v>
      </c>
      <c r="X128" s="203" t="e">
        <f>INDEX(#REF!,MATCH(COUNTA(H128:M128),#REF!,0),2)</f>
        <v>#REF!</v>
      </c>
      <c r="Y128" s="310">
        <f t="shared" si="14"/>
        <v>30.096666666666664</v>
      </c>
      <c r="Z128" s="91">
        <f t="shared" si="15"/>
        <v>3.6649395299184326</v>
      </c>
      <c r="AD128" s="91" t="str">
        <f>PE_aug!AP128</f>
        <v>Mischwasserüberlauf</v>
      </c>
    </row>
    <row r="129" spans="1:30">
      <c r="A129" s="159" t="s">
        <v>177</v>
      </c>
      <c r="N129">
        <v>0.73</v>
      </c>
      <c r="O129">
        <v>0.41199999999999998</v>
      </c>
      <c r="P129">
        <v>11.8268</v>
      </c>
      <c r="R129" s="88" t="e">
        <f t="shared" si="8"/>
        <v>#DIV/0!</v>
      </c>
      <c r="S129" s="91" t="e">
        <f t="shared" si="9"/>
        <v>#DIV/0!</v>
      </c>
      <c r="T129" s="1" t="e">
        <f t="shared" si="10"/>
        <v>#DIV/0!</v>
      </c>
      <c r="U129" s="1" t="e">
        <f t="shared" si="11"/>
        <v>#DIV/0!</v>
      </c>
      <c r="V129" s="227" t="e">
        <f t="shared" si="12"/>
        <v>#DIV/0!</v>
      </c>
      <c r="W129" s="227" t="e">
        <f t="shared" si="13"/>
        <v>#DIV/0!</v>
      </c>
      <c r="X129" s="203" t="e">
        <f>INDEX(#REF!,MATCH(COUNTA(H129:M129),#REF!,0),2)</f>
        <v>#REF!</v>
      </c>
      <c r="Y129" s="310" t="e">
        <f t="shared" si="14"/>
        <v>#DIV/0!</v>
      </c>
      <c r="Z129" s="91">
        <f t="shared" si="15"/>
        <v>0</v>
      </c>
      <c r="AD129" s="91" t="str">
        <f>PE_aug!AP129</f>
        <v>Mischwasserüberlauf</v>
      </c>
    </row>
    <row r="130" spans="1:30">
      <c r="A130" s="159" t="s">
        <v>178</v>
      </c>
      <c r="E130">
        <v>8.9700000000000006</v>
      </c>
      <c r="F130">
        <v>19.5</v>
      </c>
      <c r="K130">
        <v>8.9700000000000006</v>
      </c>
      <c r="L130">
        <v>19.5</v>
      </c>
      <c r="N130">
        <v>0.83599999999999997</v>
      </c>
      <c r="O130">
        <v>0.41199999999999998</v>
      </c>
      <c r="P130">
        <v>6.7368800000000002</v>
      </c>
      <c r="Q130">
        <v>0.4</v>
      </c>
      <c r="R130" s="88">
        <f t="shared" ref="R130:R193" si="16">IF(COUNT(H130:M130)=1,0.16,(COUNT(H130:M130)*(1/(COUNT(H130:M130)+COUNTBLANK(H130:M130)))+(IF(T130&lt;35,1,IF(T130&lt;70,0.5,IF(T130&gt;70,0)))))/2)</f>
        <v>0.41666666666666663</v>
      </c>
      <c r="S130" s="91">
        <f t="shared" ref="S130:S193" si="17">AVERAGE(Q130:R130)</f>
        <v>0.40833333333333333</v>
      </c>
      <c r="T130" s="1">
        <f t="shared" ref="T130:T193" si="18">((_xlfn.STDEV.P(H130:M130))/(AVERAGE(H130:M130)))*100</f>
        <v>36.986301369863035</v>
      </c>
      <c r="U130" s="1">
        <f t="shared" ref="U130:U193" si="19">((_xlfn.STDEV.P(B130:G130))/(AVERAGE(B130:G130)))*100</f>
        <v>36.986301369863035</v>
      </c>
      <c r="V130" s="227">
        <f t="shared" ref="V130:V193" si="20">(ABS(MIN(H130:M130)-AVERAGE(H130:M130))/_xlfn.STDEV.P(H130:M130))</f>
        <v>0.99999999999999933</v>
      </c>
      <c r="W130" s="227">
        <f t="shared" ref="W130:W193" si="21">(ABS(MAX(H130:M130)-AVERAGE(H130:M130))/_xlfn.STDEV.P(H130:M130))</f>
        <v>0.99999999999999967</v>
      </c>
      <c r="X130" s="203" t="e">
        <f>INDEX(#REF!,MATCH(COUNTA(H130:M130),#REF!,0),2)</f>
        <v>#REF!</v>
      </c>
      <c r="Y130" s="310">
        <f t="shared" ref="Y130:Y193" si="22">AVERAGE(H130:M130)</f>
        <v>14.234999999999999</v>
      </c>
      <c r="Z130" s="91">
        <f t="shared" ref="Z130:Z193" si="23">IFERROR(Y130/P130,0)</f>
        <v>2.112995926897911</v>
      </c>
      <c r="AD130" s="91" t="str">
        <f>PE_aug!AP130</f>
        <v>Mischwasserüberlauf</v>
      </c>
    </row>
    <row r="131" spans="1:30">
      <c r="A131" s="159" t="s">
        <v>179</v>
      </c>
      <c r="E131">
        <v>7.18</v>
      </c>
      <c r="F131">
        <v>14.52</v>
      </c>
      <c r="K131">
        <v>7.18</v>
      </c>
      <c r="L131">
        <v>14.52</v>
      </c>
      <c r="N131">
        <v>0.31900000000000001</v>
      </c>
      <c r="O131">
        <v>6.6000000000000003E-2</v>
      </c>
      <c r="P131">
        <v>9.8973499999999994</v>
      </c>
      <c r="Q131">
        <v>0.44</v>
      </c>
      <c r="R131" s="88">
        <f t="shared" si="16"/>
        <v>0.66666666666666663</v>
      </c>
      <c r="S131" s="91">
        <f t="shared" si="17"/>
        <v>0.55333333333333334</v>
      </c>
      <c r="T131" s="1">
        <f t="shared" si="18"/>
        <v>33.824884792626712</v>
      </c>
      <c r="U131" s="1">
        <f t="shared" si="19"/>
        <v>33.824884792626712</v>
      </c>
      <c r="V131" s="227">
        <f t="shared" si="20"/>
        <v>1.0000000000000004</v>
      </c>
      <c r="W131" s="227">
        <f t="shared" si="21"/>
        <v>1.0000000000000004</v>
      </c>
      <c r="X131" s="203" t="e">
        <f>INDEX(#REF!,MATCH(COUNTA(H131:M131),#REF!,0),2)</f>
        <v>#REF!</v>
      </c>
      <c r="Y131" s="310">
        <f t="shared" si="22"/>
        <v>10.85</v>
      </c>
      <c r="Z131" s="91">
        <f t="shared" si="23"/>
        <v>1.096253037429211</v>
      </c>
      <c r="AD131" s="91" t="str">
        <f>PE_aug!AP131</f>
        <v>Mischwasserüberlauf</v>
      </c>
    </row>
    <row r="132" spans="1:30">
      <c r="A132" s="159" t="s">
        <v>180</v>
      </c>
      <c r="F132">
        <v>6.46</v>
      </c>
      <c r="L132">
        <v>6.46</v>
      </c>
      <c r="N132">
        <v>0.98799999999999999</v>
      </c>
      <c r="O132">
        <v>6.6000000000000003E-2</v>
      </c>
      <c r="P132">
        <v>7.9930649999999996</v>
      </c>
      <c r="Q132">
        <v>0.5</v>
      </c>
      <c r="R132" s="88">
        <f t="shared" si="16"/>
        <v>0.16</v>
      </c>
      <c r="S132" s="91">
        <f t="shared" si="17"/>
        <v>0.33</v>
      </c>
      <c r="T132" s="1">
        <f t="shared" si="18"/>
        <v>0</v>
      </c>
      <c r="U132" s="1">
        <f t="shared" si="19"/>
        <v>0</v>
      </c>
      <c r="V132" s="227" t="e">
        <f t="shared" si="20"/>
        <v>#DIV/0!</v>
      </c>
      <c r="W132" s="227" t="e">
        <f t="shared" si="21"/>
        <v>#DIV/0!</v>
      </c>
      <c r="X132" s="203" t="e">
        <f>INDEX(#REF!,MATCH(COUNTA(H132:M132),#REF!,0),2)</f>
        <v>#REF!</v>
      </c>
      <c r="Y132" s="310">
        <f t="shared" si="22"/>
        <v>6.46</v>
      </c>
      <c r="Z132" s="91">
        <f t="shared" si="23"/>
        <v>0.80820060890284273</v>
      </c>
      <c r="AD132" s="91" t="str">
        <f>PE_aug!AP132</f>
        <v>Mischwasserüberlauf</v>
      </c>
    </row>
    <row r="133" spans="1:30">
      <c r="A133" s="159" t="s">
        <v>181</v>
      </c>
      <c r="F133">
        <v>10.38</v>
      </c>
      <c r="L133">
        <v>10.38</v>
      </c>
      <c r="N133">
        <v>0.86799999999999999</v>
      </c>
      <c r="O133">
        <v>6.6000000000000003E-2</v>
      </c>
      <c r="P133">
        <v>12.607849999999999</v>
      </c>
      <c r="Q133">
        <v>0.69</v>
      </c>
      <c r="R133" s="88">
        <f t="shared" si="16"/>
        <v>0.16</v>
      </c>
      <c r="S133" s="91">
        <f t="shared" si="17"/>
        <v>0.42499999999999999</v>
      </c>
      <c r="T133" s="1">
        <f t="shared" si="18"/>
        <v>0</v>
      </c>
      <c r="U133" s="1">
        <f t="shared" si="19"/>
        <v>0</v>
      </c>
      <c r="V133" s="227" t="e">
        <f t="shared" si="20"/>
        <v>#DIV/0!</v>
      </c>
      <c r="W133" s="227" t="e">
        <f t="shared" si="21"/>
        <v>#DIV/0!</v>
      </c>
      <c r="X133" s="203" t="e">
        <f>INDEX(#REF!,MATCH(COUNTA(H133:M133),#REF!,0),2)</f>
        <v>#REF!</v>
      </c>
      <c r="Y133" s="310">
        <f t="shared" si="22"/>
        <v>10.38</v>
      </c>
      <c r="Z133" s="91">
        <f t="shared" si="23"/>
        <v>0.82329659696141699</v>
      </c>
      <c r="AD133" s="91" t="str">
        <f>PE_aug!AP133</f>
        <v>Mischwasserüberlauf</v>
      </c>
    </row>
    <row r="134" spans="1:30">
      <c r="A134" s="159" t="s">
        <v>182</v>
      </c>
      <c r="E134">
        <v>14.09</v>
      </c>
      <c r="F134">
        <v>25.12</v>
      </c>
      <c r="K134">
        <v>14.09</v>
      </c>
      <c r="L134">
        <v>25.12</v>
      </c>
      <c r="N134">
        <v>0.75</v>
      </c>
      <c r="O134">
        <v>5.2999999999999999E-2</v>
      </c>
      <c r="P134">
        <v>13.6172</v>
      </c>
      <c r="Q134">
        <v>0.31</v>
      </c>
      <c r="R134" s="88">
        <f t="shared" si="16"/>
        <v>0.66666666666666663</v>
      </c>
      <c r="S134" s="91">
        <f t="shared" si="17"/>
        <v>0.48833333333333329</v>
      </c>
      <c r="T134" s="1">
        <f t="shared" si="18"/>
        <v>28.130578933945404</v>
      </c>
      <c r="U134" s="1">
        <f t="shared" si="19"/>
        <v>28.130578933945404</v>
      </c>
      <c r="V134" s="227">
        <f t="shared" si="20"/>
        <v>1.0000000000000007</v>
      </c>
      <c r="W134" s="227">
        <f t="shared" si="21"/>
        <v>1.0000000000000007</v>
      </c>
      <c r="X134" s="203" t="e">
        <f>INDEX(#REF!,MATCH(COUNTA(H134:M134),#REF!,0),2)</f>
        <v>#REF!</v>
      </c>
      <c r="Y134" s="310">
        <f t="shared" si="22"/>
        <v>19.605</v>
      </c>
      <c r="Z134" s="91">
        <f t="shared" si="23"/>
        <v>1.4397232911318039</v>
      </c>
      <c r="AD134" s="91" t="str">
        <f>PE_aug!AP134</f>
        <v>Mischwasserüberlauf</v>
      </c>
    </row>
    <row r="135" spans="1:30">
      <c r="A135" s="159" t="s">
        <v>183</v>
      </c>
      <c r="F135">
        <v>7.87</v>
      </c>
      <c r="L135">
        <v>7.87</v>
      </c>
      <c r="N135">
        <v>0.89700000000000002</v>
      </c>
      <c r="O135">
        <v>5.2999999999999999E-2</v>
      </c>
      <c r="P135">
        <v>7.6774300000000002</v>
      </c>
      <c r="Q135">
        <v>0.67</v>
      </c>
      <c r="R135" s="88">
        <f t="shared" si="16"/>
        <v>0.16</v>
      </c>
      <c r="S135" s="91">
        <f t="shared" si="17"/>
        <v>0.41500000000000004</v>
      </c>
      <c r="T135" s="1">
        <f t="shared" si="18"/>
        <v>0</v>
      </c>
      <c r="U135" s="1">
        <f t="shared" si="19"/>
        <v>0</v>
      </c>
      <c r="V135" s="227" t="e">
        <f t="shared" si="20"/>
        <v>#DIV/0!</v>
      </c>
      <c r="W135" s="227" t="e">
        <f t="shared" si="21"/>
        <v>#DIV/0!</v>
      </c>
      <c r="X135" s="203" t="e">
        <f>INDEX(#REF!,MATCH(COUNTA(H135:M135),#REF!,0),2)</f>
        <v>#REF!</v>
      </c>
      <c r="Y135" s="310">
        <f t="shared" si="22"/>
        <v>7.87</v>
      </c>
      <c r="Z135" s="91">
        <f t="shared" si="23"/>
        <v>1.0250826122804115</v>
      </c>
      <c r="AD135" s="91" t="str">
        <f>PE_aug!AP135</f>
        <v>Mischwasserüberlauf</v>
      </c>
    </row>
    <row r="136" spans="1:30">
      <c r="A136" s="159" t="s">
        <v>184</v>
      </c>
      <c r="E136">
        <v>6.6</v>
      </c>
      <c r="F136">
        <v>17.239999999999998</v>
      </c>
      <c r="K136">
        <v>6.6</v>
      </c>
      <c r="L136">
        <v>17.239999999999998</v>
      </c>
      <c r="N136">
        <v>0.59099999999999997</v>
      </c>
      <c r="O136">
        <v>5.2999999999999999E-2</v>
      </c>
      <c r="P136">
        <v>12.9139</v>
      </c>
      <c r="Q136">
        <v>0.51</v>
      </c>
      <c r="R136" s="88">
        <f t="shared" si="16"/>
        <v>0.41666666666666663</v>
      </c>
      <c r="S136" s="91">
        <f t="shared" si="17"/>
        <v>0.46333333333333332</v>
      </c>
      <c r="T136" s="1">
        <f t="shared" si="18"/>
        <v>44.630872483221481</v>
      </c>
      <c r="U136" s="1">
        <f t="shared" si="19"/>
        <v>44.630872483221481</v>
      </c>
      <c r="V136" s="227">
        <f t="shared" si="20"/>
        <v>0.99999999999999967</v>
      </c>
      <c r="W136" s="227">
        <f t="shared" si="21"/>
        <v>1</v>
      </c>
      <c r="X136" s="203" t="e">
        <f>INDEX(#REF!,MATCH(COUNTA(H136:M136),#REF!,0),2)</f>
        <v>#REF!</v>
      </c>
      <c r="Y136" s="310">
        <f t="shared" si="22"/>
        <v>11.919999999999998</v>
      </c>
      <c r="Z136" s="91">
        <f t="shared" si="23"/>
        <v>0.92303641812310755</v>
      </c>
      <c r="AD136" s="91" t="str">
        <f>PE_aug!AP136</f>
        <v>Mischwasserüberlauf</v>
      </c>
    </row>
    <row r="137" spans="1:30">
      <c r="A137" s="159" t="s">
        <v>185</v>
      </c>
      <c r="B137">
        <v>14.94</v>
      </c>
      <c r="C137">
        <v>17.739999999999998</v>
      </c>
      <c r="D137">
        <v>11.39</v>
      </c>
      <c r="E137">
        <v>24.29</v>
      </c>
      <c r="F137">
        <v>31.56</v>
      </c>
      <c r="G137">
        <v>23.76</v>
      </c>
      <c r="H137" s="306">
        <v>14.94</v>
      </c>
      <c r="I137">
        <v>17.739999999999998</v>
      </c>
      <c r="J137">
        <v>11.39</v>
      </c>
      <c r="K137">
        <v>24.29</v>
      </c>
      <c r="L137">
        <v>31.56</v>
      </c>
      <c r="M137" s="307">
        <v>23.76</v>
      </c>
      <c r="Q137">
        <v>0.81</v>
      </c>
      <c r="R137" s="88">
        <f t="shared" si="16"/>
        <v>1</v>
      </c>
      <c r="S137" s="91">
        <f t="shared" si="17"/>
        <v>0.90500000000000003</v>
      </c>
      <c r="T137" s="1">
        <f t="shared" si="18"/>
        <v>32.468311482893284</v>
      </c>
      <c r="U137" s="1">
        <f t="shared" si="19"/>
        <v>32.468311482893284</v>
      </c>
      <c r="V137" s="227">
        <f t="shared" si="20"/>
        <v>1.3780975941439488</v>
      </c>
      <c r="W137" s="227">
        <f t="shared" si="21"/>
        <v>1.6355881818463056</v>
      </c>
      <c r="X137" s="203" t="e">
        <f>INDEX(#REF!,MATCH(COUNTA(H137:M137),#REF!,0),2)</f>
        <v>#REF!</v>
      </c>
      <c r="Y137" s="310">
        <f t="shared" si="22"/>
        <v>20.613333333333333</v>
      </c>
      <c r="Z137" s="91">
        <f t="shared" si="23"/>
        <v>0</v>
      </c>
      <c r="AD137" s="91" t="str">
        <f>PE_aug!AP137</f>
        <v>Sickerwasser</v>
      </c>
    </row>
    <row r="138" spans="1:30">
      <c r="A138" s="159" t="s">
        <v>187</v>
      </c>
      <c r="Q138">
        <v>0.5</v>
      </c>
      <c r="R138" s="88" t="e">
        <f t="shared" si="16"/>
        <v>#DIV/0!</v>
      </c>
      <c r="S138" s="91" t="e">
        <f t="shared" si="17"/>
        <v>#DIV/0!</v>
      </c>
      <c r="T138" s="1" t="e">
        <f t="shared" si="18"/>
        <v>#DIV/0!</v>
      </c>
      <c r="U138" s="1" t="e">
        <f t="shared" si="19"/>
        <v>#DIV/0!</v>
      </c>
      <c r="V138" s="227" t="e">
        <f t="shared" si="20"/>
        <v>#DIV/0!</v>
      </c>
      <c r="W138" s="227" t="e">
        <f t="shared" si="21"/>
        <v>#DIV/0!</v>
      </c>
      <c r="X138" s="203" t="e">
        <f>INDEX(#REF!,MATCH(COUNTA(H138:M138),#REF!,0),2)</f>
        <v>#REF!</v>
      </c>
      <c r="Y138" s="310" t="e">
        <f t="shared" si="22"/>
        <v>#DIV/0!</v>
      </c>
      <c r="Z138" s="91">
        <f t="shared" si="23"/>
        <v>0</v>
      </c>
      <c r="AD138" s="91" t="str">
        <f>PE_aug!AP138</f>
        <v>Sickerwasser</v>
      </c>
    </row>
    <row r="139" spans="1:30">
      <c r="A139" s="159" t="s">
        <v>188</v>
      </c>
      <c r="F139">
        <v>11.32</v>
      </c>
      <c r="L139">
        <v>11.32</v>
      </c>
      <c r="Q139">
        <v>0.45</v>
      </c>
      <c r="R139" s="88">
        <f t="shared" si="16"/>
        <v>0.16</v>
      </c>
      <c r="S139" s="91">
        <f t="shared" si="17"/>
        <v>0.30499999999999999</v>
      </c>
      <c r="T139" s="1">
        <f t="shared" si="18"/>
        <v>0</v>
      </c>
      <c r="U139" s="1">
        <f t="shared" si="19"/>
        <v>0</v>
      </c>
      <c r="V139" s="227" t="e">
        <f t="shared" si="20"/>
        <v>#DIV/0!</v>
      </c>
      <c r="W139" s="227" t="e">
        <f t="shared" si="21"/>
        <v>#DIV/0!</v>
      </c>
      <c r="X139" s="203" t="e">
        <f>INDEX(#REF!,MATCH(COUNTA(H139:M139),#REF!,0),2)</f>
        <v>#REF!</v>
      </c>
      <c r="Y139" s="310">
        <f t="shared" si="22"/>
        <v>11.32</v>
      </c>
      <c r="Z139" s="91">
        <f t="shared" si="23"/>
        <v>0</v>
      </c>
      <c r="AD139" s="91" t="str">
        <f>PE_aug!AP139</f>
        <v>Sickerwasser</v>
      </c>
    </row>
    <row r="140" spans="1:30">
      <c r="A140" s="159" t="s">
        <v>189</v>
      </c>
      <c r="Q140">
        <v>0.45</v>
      </c>
      <c r="R140" s="88" t="e">
        <f t="shared" si="16"/>
        <v>#DIV/0!</v>
      </c>
      <c r="S140" s="91" t="e">
        <f t="shared" si="17"/>
        <v>#DIV/0!</v>
      </c>
      <c r="T140" s="1" t="e">
        <f t="shared" si="18"/>
        <v>#DIV/0!</v>
      </c>
      <c r="U140" s="1" t="e">
        <f t="shared" si="19"/>
        <v>#DIV/0!</v>
      </c>
      <c r="V140" s="227" t="e">
        <f t="shared" si="20"/>
        <v>#DIV/0!</v>
      </c>
      <c r="W140" s="227" t="e">
        <f t="shared" si="21"/>
        <v>#DIV/0!</v>
      </c>
      <c r="X140" s="203" t="e">
        <f>INDEX(#REF!,MATCH(COUNTA(H140:M140),#REF!,0),2)</f>
        <v>#REF!</v>
      </c>
      <c r="Y140" s="310" t="e">
        <f t="shared" si="22"/>
        <v>#DIV/0!</v>
      </c>
      <c r="Z140" s="91">
        <f t="shared" si="23"/>
        <v>0</v>
      </c>
      <c r="AD140" s="91" t="str">
        <f>PE_aug!AP140</f>
        <v>Sickerwasser</v>
      </c>
    </row>
    <row r="141" spans="1:30">
      <c r="A141" s="159" t="s">
        <v>190</v>
      </c>
      <c r="B141">
        <v>15.24</v>
      </c>
      <c r="C141">
        <v>19.579999999999998</v>
      </c>
      <c r="D141">
        <v>15.08</v>
      </c>
      <c r="E141">
        <v>25.79</v>
      </c>
      <c r="F141">
        <v>35.909999999999997</v>
      </c>
      <c r="G141">
        <v>25.64</v>
      </c>
      <c r="H141" s="306">
        <v>15.24</v>
      </c>
      <c r="I141">
        <v>19.579999999999998</v>
      </c>
      <c r="J141">
        <v>15.08</v>
      </c>
      <c r="K141">
        <v>25.79</v>
      </c>
      <c r="L141">
        <v>35.909999999999997</v>
      </c>
      <c r="M141" s="307">
        <v>25.64</v>
      </c>
      <c r="P141">
        <v>0.61838899999999997</v>
      </c>
      <c r="Q141">
        <v>0.84</v>
      </c>
      <c r="R141" s="88">
        <f t="shared" si="16"/>
        <v>1</v>
      </c>
      <c r="S141" s="91">
        <f t="shared" si="17"/>
        <v>0.91999999999999993</v>
      </c>
      <c r="T141" s="1">
        <f t="shared" si="18"/>
        <v>31.725979998658527</v>
      </c>
      <c r="U141" s="1">
        <f t="shared" si="19"/>
        <v>31.725979998658527</v>
      </c>
      <c r="V141" s="227">
        <f t="shared" si="20"/>
        <v>1.0739368559930405</v>
      </c>
      <c r="W141" s="227">
        <f t="shared" si="21"/>
        <v>1.7964786329293323</v>
      </c>
      <c r="X141" s="203" t="e">
        <f>INDEX(#REF!,MATCH(COUNTA(H141:M141),#REF!,0),2)</f>
        <v>#REF!</v>
      </c>
      <c r="Y141" s="310">
        <f t="shared" si="22"/>
        <v>22.873333333333335</v>
      </c>
      <c r="Z141" s="91">
        <f t="shared" si="23"/>
        <v>36.988583777093929</v>
      </c>
      <c r="AD141" s="91" t="str">
        <f>PE_aug!AP141</f>
        <v>Bodenretentionsfilter</v>
      </c>
    </row>
    <row r="142" spans="1:30">
      <c r="A142" s="159" t="s">
        <v>192</v>
      </c>
      <c r="C142">
        <v>6.41</v>
      </c>
      <c r="E142">
        <v>7.26</v>
      </c>
      <c r="F142">
        <v>12.66</v>
      </c>
      <c r="G142">
        <v>8.92</v>
      </c>
      <c r="I142">
        <v>6.41</v>
      </c>
      <c r="K142">
        <v>7.26</v>
      </c>
      <c r="L142">
        <v>12.66</v>
      </c>
      <c r="M142" s="307">
        <v>8.92</v>
      </c>
      <c r="P142">
        <v>0.122319</v>
      </c>
      <c r="Q142">
        <v>0.8</v>
      </c>
      <c r="R142" s="88">
        <f t="shared" si="16"/>
        <v>0.83333333333333326</v>
      </c>
      <c r="S142" s="91">
        <f t="shared" si="17"/>
        <v>0.81666666666666665</v>
      </c>
      <c r="T142" s="1">
        <f t="shared" si="18"/>
        <v>27.208661340630062</v>
      </c>
      <c r="U142" s="1">
        <f t="shared" si="19"/>
        <v>27.208661340630062</v>
      </c>
      <c r="V142" s="227">
        <f t="shared" si="20"/>
        <v>1.0019754741409275</v>
      </c>
      <c r="W142" s="227">
        <f t="shared" si="21"/>
        <v>1.6046204523443157</v>
      </c>
      <c r="X142" s="203" t="e">
        <f>INDEX(#REF!,MATCH(COUNTA(H142:M142),#REF!,0),2)</f>
        <v>#REF!</v>
      </c>
      <c r="Y142" s="310">
        <f t="shared" si="22"/>
        <v>8.8125</v>
      </c>
      <c r="Z142" s="91">
        <f t="shared" si="23"/>
        <v>72.045226007406868</v>
      </c>
      <c r="AD142" s="91" t="str">
        <f>PE_aug!AP142</f>
        <v>Bodenretentionsfilter</v>
      </c>
    </row>
    <row r="143" spans="1:30">
      <c r="A143" s="160" t="s">
        <v>193</v>
      </c>
      <c r="N143">
        <v>1.093</v>
      </c>
      <c r="O143">
        <v>0.10100000000000001</v>
      </c>
      <c r="P143">
        <v>5.5792199999999994</v>
      </c>
      <c r="Q143">
        <v>0.5</v>
      </c>
      <c r="R143" s="88" t="e">
        <f t="shared" si="16"/>
        <v>#DIV/0!</v>
      </c>
      <c r="S143" s="91" t="e">
        <f t="shared" si="17"/>
        <v>#DIV/0!</v>
      </c>
      <c r="T143" s="1" t="e">
        <f t="shared" si="18"/>
        <v>#DIV/0!</v>
      </c>
      <c r="U143" s="1" t="e">
        <f t="shared" si="19"/>
        <v>#DIV/0!</v>
      </c>
      <c r="V143" s="227" t="e">
        <f t="shared" si="20"/>
        <v>#DIV/0!</v>
      </c>
      <c r="W143" s="227" t="e">
        <f t="shared" si="21"/>
        <v>#DIV/0!</v>
      </c>
      <c r="X143" s="203" t="e">
        <f>INDEX(#REF!,MATCH(COUNTA(H143:M143),#REF!,0),2)</f>
        <v>#REF!</v>
      </c>
      <c r="Y143" s="310" t="e">
        <f t="shared" si="22"/>
        <v>#DIV/0!</v>
      </c>
      <c r="Z143" s="91">
        <f t="shared" si="23"/>
        <v>0</v>
      </c>
      <c r="AD143" s="91" t="str">
        <f>PE_aug!AP143</f>
        <v>Kläranlage</v>
      </c>
    </row>
    <row r="144" spans="1:30">
      <c r="A144" s="160" t="s">
        <v>194</v>
      </c>
      <c r="F144">
        <v>5.99</v>
      </c>
      <c r="L144">
        <v>5.99</v>
      </c>
      <c r="N144">
        <v>0.40500000000000003</v>
      </c>
      <c r="O144">
        <v>0.10100000000000001</v>
      </c>
      <c r="P144">
        <v>9.1932700000000001</v>
      </c>
      <c r="Q144">
        <v>0.5</v>
      </c>
      <c r="R144" s="88">
        <f t="shared" si="16"/>
        <v>0.16</v>
      </c>
      <c r="S144" s="91">
        <f t="shared" si="17"/>
        <v>0.33</v>
      </c>
      <c r="T144" s="1">
        <f t="shared" si="18"/>
        <v>0</v>
      </c>
      <c r="U144" s="1">
        <f t="shared" si="19"/>
        <v>0</v>
      </c>
      <c r="V144" s="227" t="e">
        <f t="shared" si="20"/>
        <v>#DIV/0!</v>
      </c>
      <c r="W144" s="227" t="e">
        <f t="shared" si="21"/>
        <v>#DIV/0!</v>
      </c>
      <c r="X144" s="203" t="e">
        <f>INDEX(#REF!,MATCH(COUNTA(H144:M144),#REF!,0),2)</f>
        <v>#REF!</v>
      </c>
      <c r="Y144" s="310">
        <f t="shared" si="22"/>
        <v>5.99</v>
      </c>
      <c r="Z144" s="91">
        <f t="shared" si="23"/>
        <v>0.651563589451849</v>
      </c>
      <c r="AD144" s="91" t="str">
        <f>PE_aug!AP144</f>
        <v>Kläranlage</v>
      </c>
    </row>
    <row r="145" spans="1:30">
      <c r="A145" s="160" t="s">
        <v>195</v>
      </c>
      <c r="F145">
        <v>8.08</v>
      </c>
      <c r="L145">
        <v>8.08</v>
      </c>
      <c r="N145">
        <v>0.74</v>
      </c>
      <c r="O145">
        <v>0.10100000000000001</v>
      </c>
      <c r="P145">
        <v>9.9659200000000006</v>
      </c>
      <c r="Q145">
        <v>0.5</v>
      </c>
      <c r="R145" s="88">
        <f t="shared" si="16"/>
        <v>0.16</v>
      </c>
      <c r="S145" s="91">
        <f t="shared" si="17"/>
        <v>0.33</v>
      </c>
      <c r="T145" s="1">
        <f t="shared" si="18"/>
        <v>0</v>
      </c>
      <c r="U145" s="1">
        <f t="shared" si="19"/>
        <v>0</v>
      </c>
      <c r="V145" s="227" t="e">
        <f t="shared" si="20"/>
        <v>#DIV/0!</v>
      </c>
      <c r="W145" s="227" t="e">
        <f t="shared" si="21"/>
        <v>#DIV/0!</v>
      </c>
      <c r="X145" s="203" t="e">
        <f>INDEX(#REF!,MATCH(COUNTA(H145:M145),#REF!,0),2)</f>
        <v>#REF!</v>
      </c>
      <c r="Y145" s="310">
        <f t="shared" si="22"/>
        <v>8.08</v>
      </c>
      <c r="Z145" s="91">
        <f t="shared" si="23"/>
        <v>0.81076308057861191</v>
      </c>
      <c r="AD145" s="91" t="str">
        <f>PE_aug!AP145</f>
        <v>Kläranlage</v>
      </c>
    </row>
    <row r="146" spans="1:30">
      <c r="A146" s="160" t="s">
        <v>196</v>
      </c>
      <c r="N146">
        <v>0.41599999999999998</v>
      </c>
      <c r="O146">
        <v>0.19</v>
      </c>
      <c r="P146">
        <v>7.4657300000000006</v>
      </c>
      <c r="R146" s="88" t="e">
        <f t="shared" si="16"/>
        <v>#DIV/0!</v>
      </c>
      <c r="S146" s="91" t="e">
        <f t="shared" si="17"/>
        <v>#DIV/0!</v>
      </c>
      <c r="T146" s="1" t="e">
        <f t="shared" si="18"/>
        <v>#DIV/0!</v>
      </c>
      <c r="U146" s="1" t="e">
        <f t="shared" si="19"/>
        <v>#DIV/0!</v>
      </c>
      <c r="V146" s="227" t="e">
        <f t="shared" si="20"/>
        <v>#DIV/0!</v>
      </c>
      <c r="W146" s="227" t="e">
        <f t="shared" si="21"/>
        <v>#DIV/0!</v>
      </c>
      <c r="X146" s="203" t="e">
        <f>INDEX(#REF!,MATCH(COUNTA(H146:M146),#REF!,0),2)</f>
        <v>#REF!</v>
      </c>
      <c r="Y146" s="310" t="e">
        <f t="shared" si="22"/>
        <v>#DIV/0!</v>
      </c>
      <c r="Z146" s="91">
        <f t="shared" si="23"/>
        <v>0</v>
      </c>
      <c r="AD146" s="91" t="str">
        <f>PE_aug!AP146</f>
        <v>KWS</v>
      </c>
    </row>
    <row r="147" spans="1:30">
      <c r="A147" s="160" t="s">
        <v>197</v>
      </c>
      <c r="N147">
        <v>1.0229999999999999</v>
      </c>
      <c r="O147">
        <v>0.19</v>
      </c>
      <c r="P147">
        <v>6.9106949999999996</v>
      </c>
      <c r="R147" s="88" t="e">
        <f t="shared" si="16"/>
        <v>#DIV/0!</v>
      </c>
      <c r="S147" s="91" t="e">
        <f t="shared" si="17"/>
        <v>#DIV/0!</v>
      </c>
      <c r="T147" s="1" t="e">
        <f t="shared" si="18"/>
        <v>#DIV/0!</v>
      </c>
      <c r="U147" s="1" t="e">
        <f t="shared" si="19"/>
        <v>#DIV/0!</v>
      </c>
      <c r="V147" s="227" t="e">
        <f t="shared" si="20"/>
        <v>#DIV/0!</v>
      </c>
      <c r="W147" s="227" t="e">
        <f t="shared" si="21"/>
        <v>#DIV/0!</v>
      </c>
      <c r="X147" s="203" t="e">
        <f>INDEX(#REF!,MATCH(COUNTA(H147:M147),#REF!,0),2)</f>
        <v>#REF!</v>
      </c>
      <c r="Y147" s="310" t="e">
        <f t="shared" si="22"/>
        <v>#DIV/0!</v>
      </c>
      <c r="Z147" s="91">
        <f t="shared" si="23"/>
        <v>0</v>
      </c>
      <c r="AD147" s="91" t="str">
        <f>PE_aug!AP147</f>
        <v>KWS</v>
      </c>
    </row>
    <row r="148" spans="1:30">
      <c r="A148" s="160" t="s">
        <v>198</v>
      </c>
      <c r="N148">
        <v>0.80500000000000005</v>
      </c>
      <c r="O148">
        <v>0.19</v>
      </c>
      <c r="P148">
        <v>6.5458299999999996</v>
      </c>
      <c r="R148" s="88" t="e">
        <f t="shared" si="16"/>
        <v>#DIV/0!</v>
      </c>
      <c r="S148" s="91" t="e">
        <f t="shared" si="17"/>
        <v>#DIV/0!</v>
      </c>
      <c r="T148" s="1" t="e">
        <f t="shared" si="18"/>
        <v>#DIV/0!</v>
      </c>
      <c r="U148" s="1" t="e">
        <f t="shared" si="19"/>
        <v>#DIV/0!</v>
      </c>
      <c r="V148" s="227" t="e">
        <f t="shared" si="20"/>
        <v>#DIV/0!</v>
      </c>
      <c r="W148" s="227" t="e">
        <f t="shared" si="21"/>
        <v>#DIV/0!</v>
      </c>
      <c r="X148" s="203" t="e">
        <f>INDEX(#REF!,MATCH(COUNTA(H148:M148),#REF!,0),2)</f>
        <v>#REF!</v>
      </c>
      <c r="Y148" s="310" t="e">
        <f t="shared" si="22"/>
        <v>#DIV/0!</v>
      </c>
      <c r="Z148" s="91">
        <f t="shared" si="23"/>
        <v>0</v>
      </c>
      <c r="AD148" s="91" t="str">
        <f>PE_aug!AP148</f>
        <v>KWS</v>
      </c>
    </row>
    <row r="149" spans="1:30">
      <c r="A149" s="160" t="s">
        <v>199</v>
      </c>
      <c r="F149">
        <v>5.9</v>
      </c>
      <c r="L149">
        <v>5.9</v>
      </c>
      <c r="N149">
        <v>0.79200000000000004</v>
      </c>
      <c r="O149">
        <v>8.5999999999999993E-2</v>
      </c>
      <c r="P149">
        <v>11.9077</v>
      </c>
      <c r="Q149">
        <v>0.5</v>
      </c>
      <c r="R149" s="88">
        <f t="shared" si="16"/>
        <v>0.16</v>
      </c>
      <c r="S149" s="91">
        <f t="shared" si="17"/>
        <v>0.33</v>
      </c>
      <c r="T149" s="1">
        <f t="shared" si="18"/>
        <v>0</v>
      </c>
      <c r="U149" s="1">
        <f t="shared" si="19"/>
        <v>0</v>
      </c>
      <c r="V149" s="227" t="e">
        <f t="shared" si="20"/>
        <v>#DIV/0!</v>
      </c>
      <c r="W149" s="227" t="e">
        <f t="shared" si="21"/>
        <v>#DIV/0!</v>
      </c>
      <c r="X149" s="203" t="e">
        <f>INDEX(#REF!,MATCH(COUNTA(H149:M149),#REF!,0),2)</f>
        <v>#REF!</v>
      </c>
      <c r="Y149" s="310">
        <f t="shared" si="22"/>
        <v>5.9</v>
      </c>
      <c r="Z149" s="91">
        <f t="shared" si="23"/>
        <v>0.49547771609966662</v>
      </c>
      <c r="AD149" s="91" t="str">
        <f>PE_aug!AP149</f>
        <v>KWS</v>
      </c>
    </row>
    <row r="150" spans="1:30">
      <c r="A150" s="160" t="s">
        <v>200</v>
      </c>
      <c r="F150">
        <v>8.36</v>
      </c>
      <c r="L150">
        <v>8.36</v>
      </c>
      <c r="N150">
        <v>0.34799999999999998</v>
      </c>
      <c r="O150">
        <v>8.5999999999999993E-2</v>
      </c>
      <c r="P150">
        <v>8.1406600000000005</v>
      </c>
      <c r="Q150">
        <v>0.5</v>
      </c>
      <c r="R150" s="88">
        <f t="shared" si="16"/>
        <v>0.16</v>
      </c>
      <c r="S150" s="91">
        <f t="shared" si="17"/>
        <v>0.33</v>
      </c>
      <c r="T150" s="1">
        <f t="shared" si="18"/>
        <v>0</v>
      </c>
      <c r="U150" s="1">
        <f t="shared" si="19"/>
        <v>0</v>
      </c>
      <c r="V150" s="227" t="e">
        <f t="shared" si="20"/>
        <v>#DIV/0!</v>
      </c>
      <c r="W150" s="227" t="e">
        <f t="shared" si="21"/>
        <v>#DIV/0!</v>
      </c>
      <c r="X150" s="203" t="e">
        <f>INDEX(#REF!,MATCH(COUNTA(H150:M150),#REF!,0),2)</f>
        <v>#REF!</v>
      </c>
      <c r="Y150" s="310">
        <f t="shared" si="22"/>
        <v>8.36</v>
      </c>
      <c r="Z150" s="91">
        <f t="shared" si="23"/>
        <v>1.0269437613166499</v>
      </c>
      <c r="AD150" s="91" t="str">
        <f>PE_aug!AP150</f>
        <v>KWS</v>
      </c>
    </row>
    <row r="151" spans="1:30">
      <c r="A151" s="160" t="s">
        <v>201</v>
      </c>
      <c r="F151">
        <v>7.02</v>
      </c>
      <c r="L151">
        <v>7.02</v>
      </c>
      <c r="N151">
        <v>1.0620000000000001</v>
      </c>
      <c r="O151">
        <v>8.5999999999999993E-2</v>
      </c>
      <c r="P151">
        <v>9.8009899999999988</v>
      </c>
      <c r="Q151">
        <v>0.5</v>
      </c>
      <c r="R151" s="88">
        <f t="shared" si="16"/>
        <v>0.16</v>
      </c>
      <c r="S151" s="91">
        <f t="shared" si="17"/>
        <v>0.33</v>
      </c>
      <c r="T151" s="1">
        <f t="shared" si="18"/>
        <v>0</v>
      </c>
      <c r="U151" s="1">
        <f t="shared" si="19"/>
        <v>0</v>
      </c>
      <c r="V151" s="227" t="e">
        <f t="shared" si="20"/>
        <v>#DIV/0!</v>
      </c>
      <c r="W151" s="227" t="e">
        <f t="shared" si="21"/>
        <v>#DIV/0!</v>
      </c>
      <c r="X151" s="203" t="e">
        <f>INDEX(#REF!,MATCH(COUNTA(H151:M151),#REF!,0),2)</f>
        <v>#REF!</v>
      </c>
      <c r="Y151" s="310">
        <f t="shared" si="22"/>
        <v>7.02</v>
      </c>
      <c r="Z151" s="91">
        <f t="shared" si="23"/>
        <v>0.71625417432320615</v>
      </c>
      <c r="AD151" s="91" t="str">
        <f>PE_aug!AP151</f>
        <v>KWS</v>
      </c>
    </row>
    <row r="152" spans="1:30">
      <c r="A152" s="160" t="s">
        <v>202</v>
      </c>
      <c r="N152">
        <v>0.191</v>
      </c>
      <c r="O152">
        <v>0.17599999999999999</v>
      </c>
      <c r="P152">
        <v>8.4228899999999989</v>
      </c>
      <c r="R152" s="88" t="e">
        <f t="shared" si="16"/>
        <v>#DIV/0!</v>
      </c>
      <c r="S152" s="91" t="e">
        <f t="shared" si="17"/>
        <v>#DIV/0!</v>
      </c>
      <c r="T152" s="1" t="e">
        <f t="shared" si="18"/>
        <v>#DIV/0!</v>
      </c>
      <c r="U152" s="1" t="e">
        <f t="shared" si="19"/>
        <v>#DIV/0!</v>
      </c>
      <c r="V152" s="227" t="e">
        <f t="shared" si="20"/>
        <v>#DIV/0!</v>
      </c>
      <c r="W152" s="227" t="e">
        <f t="shared" si="21"/>
        <v>#DIV/0!</v>
      </c>
      <c r="X152" s="203" t="e">
        <f>INDEX(#REF!,MATCH(COUNTA(H152:M152),#REF!,0),2)</f>
        <v>#REF!</v>
      </c>
      <c r="Y152" s="310" t="e">
        <f t="shared" si="22"/>
        <v>#DIV/0!</v>
      </c>
      <c r="Z152" s="91">
        <f t="shared" si="23"/>
        <v>0</v>
      </c>
      <c r="AD152" s="91" t="str">
        <f>PE_aug!AP152</f>
        <v>KWS, Schlamm</v>
      </c>
    </row>
    <row r="153" spans="1:30">
      <c r="A153" s="160" t="s">
        <v>204</v>
      </c>
      <c r="N153">
        <v>0.95699999999999996</v>
      </c>
      <c r="O153">
        <v>0.17599999999999999</v>
      </c>
      <c r="P153">
        <v>5.5259049999999998</v>
      </c>
      <c r="R153" s="88" t="e">
        <f t="shared" si="16"/>
        <v>#DIV/0!</v>
      </c>
      <c r="S153" s="91" t="e">
        <f t="shared" si="17"/>
        <v>#DIV/0!</v>
      </c>
      <c r="T153" s="1" t="e">
        <f t="shared" si="18"/>
        <v>#DIV/0!</v>
      </c>
      <c r="U153" s="1" t="e">
        <f t="shared" si="19"/>
        <v>#DIV/0!</v>
      </c>
      <c r="V153" s="227" t="e">
        <f t="shared" si="20"/>
        <v>#DIV/0!</v>
      </c>
      <c r="W153" s="227" t="e">
        <f t="shared" si="21"/>
        <v>#DIV/0!</v>
      </c>
      <c r="X153" s="203" t="e">
        <f>INDEX(#REF!,MATCH(COUNTA(H153:M153),#REF!,0),2)</f>
        <v>#REF!</v>
      </c>
      <c r="Y153" s="310" t="e">
        <f t="shared" si="22"/>
        <v>#DIV/0!</v>
      </c>
      <c r="Z153" s="91">
        <f t="shared" si="23"/>
        <v>0</v>
      </c>
      <c r="AD153" s="91" t="str">
        <f>PE_aug!AP153</f>
        <v>KWS, Schlamm</v>
      </c>
    </row>
    <row r="154" spans="1:30">
      <c r="A154" s="160" t="s">
        <v>205</v>
      </c>
      <c r="F154">
        <v>8.94</v>
      </c>
      <c r="L154">
        <v>8.94</v>
      </c>
      <c r="N154">
        <v>0.97</v>
      </c>
      <c r="O154">
        <v>0.17599999999999999</v>
      </c>
      <c r="P154">
        <v>12.773300000000001</v>
      </c>
      <c r="Q154">
        <v>0.83</v>
      </c>
      <c r="R154" s="88">
        <f t="shared" si="16"/>
        <v>0.16</v>
      </c>
      <c r="S154" s="91">
        <f t="shared" si="17"/>
        <v>0.495</v>
      </c>
      <c r="T154" s="1">
        <f t="shared" si="18"/>
        <v>0</v>
      </c>
      <c r="U154" s="1">
        <f t="shared" si="19"/>
        <v>0</v>
      </c>
      <c r="V154" s="227" t="e">
        <f t="shared" si="20"/>
        <v>#DIV/0!</v>
      </c>
      <c r="W154" s="227" t="e">
        <f t="shared" si="21"/>
        <v>#DIV/0!</v>
      </c>
      <c r="X154" s="203" t="e">
        <f>INDEX(#REF!,MATCH(COUNTA(H154:M154),#REF!,0),2)</f>
        <v>#REF!</v>
      </c>
      <c r="Y154" s="310">
        <f t="shared" si="22"/>
        <v>8.94</v>
      </c>
      <c r="Z154" s="91">
        <f t="shared" si="23"/>
        <v>0.69989744232109152</v>
      </c>
      <c r="AD154" s="91" t="str">
        <f>PE_aug!AP154</f>
        <v>KWS, Schlamm</v>
      </c>
    </row>
    <row r="155" spans="1:30">
      <c r="A155" s="160" t="s">
        <v>206</v>
      </c>
      <c r="N155">
        <v>0.34399999999999997</v>
      </c>
      <c r="O155">
        <v>2.3E-2</v>
      </c>
      <c r="P155">
        <v>6.3905200000000004</v>
      </c>
      <c r="R155" s="88" t="e">
        <f t="shared" si="16"/>
        <v>#DIV/0!</v>
      </c>
      <c r="S155" s="91" t="e">
        <f t="shared" si="17"/>
        <v>#DIV/0!</v>
      </c>
      <c r="T155" s="1" t="e">
        <f t="shared" si="18"/>
        <v>#DIV/0!</v>
      </c>
      <c r="U155" s="1" t="e">
        <f t="shared" si="19"/>
        <v>#DIV/0!</v>
      </c>
      <c r="V155" s="227" t="e">
        <f t="shared" si="20"/>
        <v>#DIV/0!</v>
      </c>
      <c r="W155" s="227" t="e">
        <f t="shared" si="21"/>
        <v>#DIV/0!</v>
      </c>
      <c r="X155" s="203" t="e">
        <f>INDEX(#REF!,MATCH(COUNTA(H155:M155),#REF!,0),2)</f>
        <v>#REF!</v>
      </c>
      <c r="Y155" s="310" t="e">
        <f t="shared" si="22"/>
        <v>#DIV/0!</v>
      </c>
      <c r="Z155" s="91">
        <f t="shared" si="23"/>
        <v>0</v>
      </c>
      <c r="AD155" s="91" t="str">
        <f>PE_aug!AP155</f>
        <v>Flussproben, Lippe</v>
      </c>
    </row>
    <row r="156" spans="1:30">
      <c r="A156" s="160" t="s">
        <v>208</v>
      </c>
      <c r="N156">
        <v>0.86199999999999999</v>
      </c>
      <c r="O156">
        <v>2.3E-2</v>
      </c>
      <c r="P156">
        <v>7.3049899999999992</v>
      </c>
      <c r="R156" s="88" t="e">
        <f t="shared" si="16"/>
        <v>#DIV/0!</v>
      </c>
      <c r="S156" s="91" t="e">
        <f t="shared" si="17"/>
        <v>#DIV/0!</v>
      </c>
      <c r="T156" s="1" t="e">
        <f t="shared" si="18"/>
        <v>#DIV/0!</v>
      </c>
      <c r="U156" s="1" t="e">
        <f t="shared" si="19"/>
        <v>#DIV/0!</v>
      </c>
      <c r="V156" s="227" t="e">
        <f t="shared" si="20"/>
        <v>#DIV/0!</v>
      </c>
      <c r="W156" s="227" t="e">
        <f t="shared" si="21"/>
        <v>#DIV/0!</v>
      </c>
      <c r="X156" s="203" t="e">
        <f>INDEX(#REF!,MATCH(COUNTA(H156:M156),#REF!,0),2)</f>
        <v>#REF!</v>
      </c>
      <c r="Y156" s="310" t="e">
        <f t="shared" si="22"/>
        <v>#DIV/0!</v>
      </c>
      <c r="Z156" s="91">
        <f t="shared" si="23"/>
        <v>0</v>
      </c>
      <c r="AD156" s="91" t="str">
        <f>PE_aug!AP156</f>
        <v>Flussproben, Lippe</v>
      </c>
    </row>
    <row r="157" spans="1:30">
      <c r="A157" s="160" t="s">
        <v>209</v>
      </c>
      <c r="N157">
        <v>1.0049999999999999</v>
      </c>
      <c r="O157">
        <v>2.3E-2</v>
      </c>
      <c r="P157">
        <v>8.3328150000000001</v>
      </c>
      <c r="R157" s="88" t="e">
        <f t="shared" si="16"/>
        <v>#DIV/0!</v>
      </c>
      <c r="S157" s="91" t="e">
        <f t="shared" si="17"/>
        <v>#DIV/0!</v>
      </c>
      <c r="T157" s="1" t="e">
        <f t="shared" si="18"/>
        <v>#DIV/0!</v>
      </c>
      <c r="U157" s="1" t="e">
        <f t="shared" si="19"/>
        <v>#DIV/0!</v>
      </c>
      <c r="V157" s="227" t="e">
        <f t="shared" si="20"/>
        <v>#DIV/0!</v>
      </c>
      <c r="W157" s="227" t="e">
        <f t="shared" si="21"/>
        <v>#DIV/0!</v>
      </c>
      <c r="X157" s="203" t="e">
        <f>INDEX(#REF!,MATCH(COUNTA(H157:M157),#REF!,0),2)</f>
        <v>#REF!</v>
      </c>
      <c r="Y157" s="310" t="e">
        <f t="shared" si="22"/>
        <v>#DIV/0!</v>
      </c>
      <c r="Z157" s="91">
        <f t="shared" si="23"/>
        <v>0</v>
      </c>
      <c r="AD157" s="91" t="str">
        <f>PE_aug!AP157</f>
        <v>Flussproben, Lippe</v>
      </c>
    </row>
    <row r="158" spans="1:30">
      <c r="A158" s="160" t="s">
        <v>210</v>
      </c>
      <c r="N158">
        <v>0.44400000000000001</v>
      </c>
      <c r="O158">
        <v>5.8999999999999997E-2</v>
      </c>
      <c r="P158">
        <v>5.7549900000000003</v>
      </c>
      <c r="Q158">
        <v>0.5</v>
      </c>
      <c r="R158" s="88" t="e">
        <f t="shared" si="16"/>
        <v>#DIV/0!</v>
      </c>
      <c r="S158" s="91" t="e">
        <f t="shared" si="17"/>
        <v>#DIV/0!</v>
      </c>
      <c r="T158" s="1" t="e">
        <f t="shared" si="18"/>
        <v>#DIV/0!</v>
      </c>
      <c r="U158" s="1" t="e">
        <f t="shared" si="19"/>
        <v>#DIV/0!</v>
      </c>
      <c r="V158" s="227" t="e">
        <f t="shared" si="20"/>
        <v>#DIV/0!</v>
      </c>
      <c r="W158" s="227" t="e">
        <f t="shared" si="21"/>
        <v>#DIV/0!</v>
      </c>
      <c r="X158" s="203" t="e">
        <f>INDEX(#REF!,MATCH(COUNTA(H158:M158),#REF!,0),2)</f>
        <v>#REF!</v>
      </c>
      <c r="Y158" s="310" t="e">
        <f t="shared" si="22"/>
        <v>#DIV/0!</v>
      </c>
      <c r="Z158" s="91">
        <f t="shared" si="23"/>
        <v>0</v>
      </c>
      <c r="AD158" s="91" t="str">
        <f>PE_aug!AP158</f>
        <v>Flussproben, Lippe</v>
      </c>
    </row>
    <row r="159" spans="1:30">
      <c r="A159" s="160" t="s">
        <v>211</v>
      </c>
      <c r="N159">
        <v>1.101</v>
      </c>
      <c r="O159">
        <v>5.8999999999999997E-2</v>
      </c>
      <c r="P159">
        <v>9.8056399999999986</v>
      </c>
      <c r="Q159">
        <v>0.67</v>
      </c>
      <c r="R159" s="88" t="e">
        <f t="shared" si="16"/>
        <v>#DIV/0!</v>
      </c>
      <c r="S159" s="91" t="e">
        <f t="shared" si="17"/>
        <v>#DIV/0!</v>
      </c>
      <c r="T159" s="1" t="e">
        <f t="shared" si="18"/>
        <v>#DIV/0!</v>
      </c>
      <c r="U159" s="1" t="e">
        <f t="shared" si="19"/>
        <v>#DIV/0!</v>
      </c>
      <c r="V159" s="227" t="e">
        <f t="shared" si="20"/>
        <v>#DIV/0!</v>
      </c>
      <c r="W159" s="227" t="e">
        <f t="shared" si="21"/>
        <v>#DIV/0!</v>
      </c>
      <c r="X159" s="203" t="e">
        <f>INDEX(#REF!,MATCH(COUNTA(H159:M159),#REF!,0),2)</f>
        <v>#REF!</v>
      </c>
      <c r="Y159" s="310" t="e">
        <f t="shared" si="22"/>
        <v>#DIV/0!</v>
      </c>
      <c r="Z159" s="91">
        <f t="shared" si="23"/>
        <v>0</v>
      </c>
      <c r="AD159" s="91" t="str">
        <f>PE_aug!AP159</f>
        <v>Flussproben, Lippe</v>
      </c>
    </row>
    <row r="160" spans="1:30">
      <c r="A160" s="160" t="s">
        <v>212</v>
      </c>
      <c r="N160">
        <v>0.71799999999999997</v>
      </c>
      <c r="O160">
        <v>5.8999999999999997E-2</v>
      </c>
      <c r="P160">
        <v>5.9145799999999999</v>
      </c>
      <c r="Q160">
        <v>0.5</v>
      </c>
      <c r="R160" s="88" t="e">
        <f t="shared" si="16"/>
        <v>#DIV/0!</v>
      </c>
      <c r="S160" s="91" t="e">
        <f t="shared" si="17"/>
        <v>#DIV/0!</v>
      </c>
      <c r="T160" s="1" t="e">
        <f t="shared" si="18"/>
        <v>#DIV/0!</v>
      </c>
      <c r="U160" s="1" t="e">
        <f t="shared" si="19"/>
        <v>#DIV/0!</v>
      </c>
      <c r="V160" s="227" t="e">
        <f t="shared" si="20"/>
        <v>#DIV/0!</v>
      </c>
      <c r="W160" s="227" t="e">
        <f t="shared" si="21"/>
        <v>#DIV/0!</v>
      </c>
      <c r="X160" s="203" t="e">
        <f>INDEX(#REF!,MATCH(COUNTA(H160:M160),#REF!,0),2)</f>
        <v>#REF!</v>
      </c>
      <c r="Y160" s="310" t="e">
        <f t="shared" si="22"/>
        <v>#DIV/0!</v>
      </c>
      <c r="Z160" s="91">
        <f t="shared" si="23"/>
        <v>0</v>
      </c>
      <c r="AD160" s="91" t="str">
        <f>PE_aug!AP160</f>
        <v>Flussproben, Lippe</v>
      </c>
    </row>
    <row r="161" spans="1:30">
      <c r="A161" s="160" t="s">
        <v>213</v>
      </c>
      <c r="N161">
        <v>0.51400000000000001</v>
      </c>
      <c r="O161">
        <v>6.0999999999999999E-2</v>
      </c>
      <c r="P161">
        <v>7.65665</v>
      </c>
      <c r="Q161">
        <v>0.83</v>
      </c>
      <c r="R161" s="88" t="e">
        <f t="shared" si="16"/>
        <v>#DIV/0!</v>
      </c>
      <c r="S161" s="91" t="e">
        <f t="shared" si="17"/>
        <v>#DIV/0!</v>
      </c>
      <c r="T161" s="1" t="e">
        <f t="shared" si="18"/>
        <v>#DIV/0!</v>
      </c>
      <c r="U161" s="1" t="e">
        <f t="shared" si="19"/>
        <v>#DIV/0!</v>
      </c>
      <c r="V161" s="227" t="e">
        <f t="shared" si="20"/>
        <v>#DIV/0!</v>
      </c>
      <c r="W161" s="227" t="e">
        <f t="shared" si="21"/>
        <v>#DIV/0!</v>
      </c>
      <c r="X161" s="203" t="e">
        <f>INDEX(#REF!,MATCH(COUNTA(H161:M161),#REF!,0),2)</f>
        <v>#REF!</v>
      </c>
      <c r="Y161" s="310" t="e">
        <f t="shared" si="22"/>
        <v>#DIV/0!</v>
      </c>
      <c r="Z161" s="91">
        <f t="shared" si="23"/>
        <v>0</v>
      </c>
      <c r="AD161" s="91" t="str">
        <f>PE_aug!AP161</f>
        <v>Flussproben, Lippe</v>
      </c>
    </row>
    <row r="162" spans="1:30">
      <c r="A162" s="160" t="s">
        <v>214</v>
      </c>
      <c r="N162">
        <v>0.621</v>
      </c>
      <c r="O162">
        <v>6.0999999999999999E-2</v>
      </c>
      <c r="P162">
        <v>8.9807000000000006</v>
      </c>
      <c r="Q162">
        <v>0.67</v>
      </c>
      <c r="R162" s="88" t="e">
        <f t="shared" si="16"/>
        <v>#DIV/0!</v>
      </c>
      <c r="S162" s="91" t="e">
        <f t="shared" si="17"/>
        <v>#DIV/0!</v>
      </c>
      <c r="T162" s="1" t="e">
        <f t="shared" si="18"/>
        <v>#DIV/0!</v>
      </c>
      <c r="U162" s="1" t="e">
        <f t="shared" si="19"/>
        <v>#DIV/0!</v>
      </c>
      <c r="V162" s="227" t="e">
        <f t="shared" si="20"/>
        <v>#DIV/0!</v>
      </c>
      <c r="W162" s="227" t="e">
        <f t="shared" si="21"/>
        <v>#DIV/0!</v>
      </c>
      <c r="X162" s="203" t="e">
        <f>INDEX(#REF!,MATCH(COUNTA(H162:M162),#REF!,0),2)</f>
        <v>#REF!</v>
      </c>
      <c r="Y162" s="310" t="e">
        <f t="shared" si="22"/>
        <v>#DIV/0!</v>
      </c>
      <c r="Z162" s="91">
        <f t="shared" si="23"/>
        <v>0</v>
      </c>
      <c r="AD162" s="91" t="str">
        <f>PE_aug!AP162</f>
        <v>Flussproben, Lippe</v>
      </c>
    </row>
    <row r="163" spans="1:30">
      <c r="A163" s="160" t="s">
        <v>215</v>
      </c>
      <c r="N163">
        <v>1.1120000000000001</v>
      </c>
      <c r="O163">
        <v>6.0999999999999999E-2</v>
      </c>
      <c r="P163">
        <v>5.3088700000000006</v>
      </c>
      <c r="Q163">
        <v>0.5</v>
      </c>
      <c r="R163" s="88" t="e">
        <f t="shared" si="16"/>
        <v>#DIV/0!</v>
      </c>
      <c r="S163" s="91" t="e">
        <f t="shared" si="17"/>
        <v>#DIV/0!</v>
      </c>
      <c r="T163" s="1" t="e">
        <f t="shared" si="18"/>
        <v>#DIV/0!</v>
      </c>
      <c r="U163" s="1" t="e">
        <f t="shared" si="19"/>
        <v>#DIV/0!</v>
      </c>
      <c r="V163" s="227" t="e">
        <f t="shared" si="20"/>
        <v>#DIV/0!</v>
      </c>
      <c r="W163" s="227" t="e">
        <f t="shared" si="21"/>
        <v>#DIV/0!</v>
      </c>
      <c r="X163" s="203" t="e">
        <f>INDEX(#REF!,MATCH(COUNTA(H163:M163),#REF!,0),2)</f>
        <v>#REF!</v>
      </c>
      <c r="Y163" s="310" t="e">
        <f t="shared" si="22"/>
        <v>#DIV/0!</v>
      </c>
      <c r="Z163" s="91">
        <f t="shared" si="23"/>
        <v>0</v>
      </c>
      <c r="AD163" s="91" t="str">
        <f>PE_aug!AP163</f>
        <v>Flussproben, Lippe</v>
      </c>
    </row>
    <row r="164" spans="1:30">
      <c r="A164" s="160" t="s">
        <v>216</v>
      </c>
      <c r="F164">
        <v>97.27</v>
      </c>
      <c r="G164">
        <v>21.02</v>
      </c>
      <c r="L164">
        <v>97.27</v>
      </c>
      <c r="M164" s="307">
        <v>21.02</v>
      </c>
      <c r="N164">
        <v>0.42699999999999999</v>
      </c>
      <c r="O164">
        <v>0.17699999999999999</v>
      </c>
      <c r="P164">
        <v>9.4334749999999996</v>
      </c>
      <c r="Q164">
        <v>0.69</v>
      </c>
      <c r="R164" s="88">
        <f t="shared" si="16"/>
        <v>0.41666666666666663</v>
      </c>
      <c r="S164" s="91">
        <f t="shared" si="17"/>
        <v>0.55333333333333323</v>
      </c>
      <c r="T164" s="1">
        <f t="shared" si="18"/>
        <v>64.460224871079532</v>
      </c>
      <c r="U164" s="1">
        <f t="shared" si="19"/>
        <v>64.460224871079532</v>
      </c>
      <c r="V164" s="227">
        <f t="shared" si="20"/>
        <v>1.0000000000000004</v>
      </c>
      <c r="W164" s="227">
        <f t="shared" si="21"/>
        <v>1.0000000000000004</v>
      </c>
      <c r="X164" s="203" t="e">
        <f>INDEX(#REF!,MATCH(COUNTA(H164:M164),#REF!,0),2)</f>
        <v>#REF!</v>
      </c>
      <c r="Y164" s="310">
        <f t="shared" si="22"/>
        <v>59.144999999999996</v>
      </c>
      <c r="Z164" s="91">
        <f t="shared" si="23"/>
        <v>6.269693829686303</v>
      </c>
      <c r="AD164" s="91" t="str">
        <f>PE_aug!AP164</f>
        <v>Kläranlage</v>
      </c>
    </row>
    <row r="165" spans="1:30">
      <c r="A165" s="160" t="s">
        <v>217</v>
      </c>
      <c r="F165">
        <v>101.94</v>
      </c>
      <c r="G165">
        <v>22.76</v>
      </c>
      <c r="L165">
        <v>101.94</v>
      </c>
      <c r="M165" s="307">
        <v>22.76</v>
      </c>
      <c r="N165">
        <v>1.0229999999999999</v>
      </c>
      <c r="O165">
        <v>0.17699999999999999</v>
      </c>
      <c r="P165">
        <v>12.192550000000001</v>
      </c>
      <c r="Q165">
        <v>0.76</v>
      </c>
      <c r="R165" s="88">
        <f t="shared" si="16"/>
        <v>0.41666666666666663</v>
      </c>
      <c r="S165" s="91">
        <f t="shared" si="17"/>
        <v>0.58833333333333337</v>
      </c>
      <c r="T165" s="1">
        <f t="shared" si="18"/>
        <v>63.496391339214107</v>
      </c>
      <c r="U165" s="1">
        <f t="shared" si="19"/>
        <v>63.496391339214107</v>
      </c>
      <c r="V165" s="227">
        <f t="shared" si="20"/>
        <v>1.0000000000000002</v>
      </c>
      <c r="W165" s="227">
        <f t="shared" si="21"/>
        <v>1</v>
      </c>
      <c r="X165" s="203" t="e">
        <f>INDEX(#REF!,MATCH(COUNTA(H165:M165),#REF!,0),2)</f>
        <v>#REF!</v>
      </c>
      <c r="Y165" s="310">
        <f t="shared" si="22"/>
        <v>62.35</v>
      </c>
      <c r="Z165" s="91">
        <f t="shared" si="23"/>
        <v>5.1137784958847821</v>
      </c>
      <c r="AD165" s="91" t="str">
        <f>PE_aug!AP165</f>
        <v>Kläranlage</v>
      </c>
    </row>
    <row r="166" spans="1:30">
      <c r="A166" s="160" t="s">
        <v>218</v>
      </c>
      <c r="F166">
        <v>76.099999999999994</v>
      </c>
      <c r="G166">
        <v>14.74</v>
      </c>
      <c r="L166">
        <v>76.099999999999994</v>
      </c>
      <c r="M166" s="307">
        <v>14.74</v>
      </c>
      <c r="N166">
        <v>0.74</v>
      </c>
      <c r="O166">
        <v>0.17699999999999999</v>
      </c>
      <c r="P166">
        <v>7.2366899999999994</v>
      </c>
      <c r="Q166">
        <v>0.59</v>
      </c>
      <c r="R166" s="88">
        <f t="shared" si="16"/>
        <v>0.41666666666666663</v>
      </c>
      <c r="S166" s="91">
        <f t="shared" si="17"/>
        <v>0.5033333333333333</v>
      </c>
      <c r="T166" s="1">
        <f t="shared" si="18"/>
        <v>67.547335975341269</v>
      </c>
      <c r="U166" s="1">
        <f t="shared" si="19"/>
        <v>67.547335975341269</v>
      </c>
      <c r="V166" s="227">
        <f t="shared" si="20"/>
        <v>0.99999999999999978</v>
      </c>
      <c r="W166" s="227">
        <f t="shared" si="21"/>
        <v>1</v>
      </c>
      <c r="X166" s="203" t="e">
        <f>INDEX(#REF!,MATCH(COUNTA(H166:M166),#REF!,0),2)</f>
        <v>#REF!</v>
      </c>
      <c r="Y166" s="310">
        <f t="shared" si="22"/>
        <v>45.419999999999995</v>
      </c>
      <c r="Z166" s="91">
        <f t="shared" si="23"/>
        <v>6.2763500992857226</v>
      </c>
      <c r="AD166" s="91" t="str">
        <f>PE_aug!AP166</f>
        <v>Kläranlage</v>
      </c>
    </row>
    <row r="167" spans="1:30">
      <c r="A167" s="160" t="s">
        <v>219</v>
      </c>
      <c r="P167">
        <v>0.28799999999999998</v>
      </c>
      <c r="R167" s="88" t="e">
        <f t="shared" si="16"/>
        <v>#DIV/0!</v>
      </c>
      <c r="S167" s="91" t="e">
        <f t="shared" si="17"/>
        <v>#DIV/0!</v>
      </c>
      <c r="T167" s="1" t="e">
        <f t="shared" si="18"/>
        <v>#DIV/0!</v>
      </c>
      <c r="U167" s="1" t="e">
        <f t="shared" si="19"/>
        <v>#DIV/0!</v>
      </c>
      <c r="V167" s="227" t="e">
        <f t="shared" si="20"/>
        <v>#DIV/0!</v>
      </c>
      <c r="W167" s="227" t="e">
        <f t="shared" si="21"/>
        <v>#DIV/0!</v>
      </c>
      <c r="X167" s="203" t="e">
        <f>INDEX(#REF!,MATCH(COUNTA(H167:M167),#REF!,0),2)</f>
        <v>#REF!</v>
      </c>
      <c r="Y167" s="310" t="e">
        <f t="shared" si="22"/>
        <v>#DIV/0!</v>
      </c>
      <c r="Z167" s="91">
        <f t="shared" si="23"/>
        <v>0</v>
      </c>
      <c r="AD167" s="91" t="str">
        <f>PE_aug!AP167</f>
        <v>Methode</v>
      </c>
    </row>
    <row r="168" spans="1:30">
      <c r="A168" s="160" t="s">
        <v>220</v>
      </c>
      <c r="B168">
        <v>44.08</v>
      </c>
      <c r="C168">
        <v>42.66</v>
      </c>
      <c r="D168">
        <v>49.08</v>
      </c>
      <c r="E168">
        <v>68.03</v>
      </c>
      <c r="F168">
        <v>86.32</v>
      </c>
      <c r="G168">
        <v>72.11</v>
      </c>
      <c r="H168" s="306">
        <v>44.08</v>
      </c>
      <c r="I168">
        <v>42.66</v>
      </c>
      <c r="J168">
        <v>49.08</v>
      </c>
      <c r="K168">
        <v>68.03</v>
      </c>
      <c r="L168">
        <v>86.32</v>
      </c>
      <c r="M168" s="307">
        <v>72.11</v>
      </c>
      <c r="P168">
        <v>0.15598200000000001</v>
      </c>
      <c r="Q168">
        <v>0.81</v>
      </c>
      <c r="R168" s="88">
        <f t="shared" si="16"/>
        <v>1</v>
      </c>
      <c r="S168" s="91">
        <f t="shared" si="17"/>
        <v>0.90500000000000003</v>
      </c>
      <c r="T168" s="1">
        <f t="shared" si="18"/>
        <v>26.84487376432763</v>
      </c>
      <c r="U168" s="1">
        <f t="shared" si="19"/>
        <v>26.84487376432763</v>
      </c>
      <c r="V168" s="227">
        <f t="shared" si="20"/>
        <v>1.0932242150215765</v>
      </c>
      <c r="W168" s="227">
        <f t="shared" si="21"/>
        <v>1.6003519265044974</v>
      </c>
      <c r="X168" s="203" t="e">
        <f>INDEX(#REF!,MATCH(COUNTA(H168:M168),#REF!,0),2)</f>
        <v>#REF!</v>
      </c>
      <c r="Y168" s="310">
        <f t="shared" si="22"/>
        <v>60.379999999999995</v>
      </c>
      <c r="Z168" s="91">
        <f t="shared" si="23"/>
        <v>387.0959469682399</v>
      </c>
      <c r="AB168">
        <f>1000*0.0639038</f>
        <v>63.903799999999997</v>
      </c>
      <c r="AC168" s="203">
        <f>100*(Y168/AB168)</f>
        <v>94.485773928936936</v>
      </c>
      <c r="AD168" s="91" t="str">
        <f>PE_aug!AP168</f>
        <v>Methode</v>
      </c>
    </row>
    <row r="169" spans="1:30">
      <c r="A169" s="160" t="s">
        <v>221</v>
      </c>
      <c r="P169">
        <v>0.40368500000000002</v>
      </c>
      <c r="R169" s="88" t="e">
        <f t="shared" si="16"/>
        <v>#DIV/0!</v>
      </c>
      <c r="S169" s="91" t="e">
        <f t="shared" si="17"/>
        <v>#DIV/0!</v>
      </c>
      <c r="T169" s="1" t="e">
        <f t="shared" si="18"/>
        <v>#DIV/0!</v>
      </c>
      <c r="U169" s="1" t="e">
        <f t="shared" si="19"/>
        <v>#DIV/0!</v>
      </c>
      <c r="V169" s="227" t="e">
        <f t="shared" si="20"/>
        <v>#DIV/0!</v>
      </c>
      <c r="W169" s="227" t="e">
        <f t="shared" si="21"/>
        <v>#DIV/0!</v>
      </c>
      <c r="X169" s="203" t="e">
        <f>INDEX(#REF!,MATCH(COUNTA(H169:M169),#REF!,0),2)</f>
        <v>#REF!</v>
      </c>
      <c r="Y169" s="310" t="e">
        <f t="shared" si="22"/>
        <v>#DIV/0!</v>
      </c>
      <c r="Z169" s="91">
        <f t="shared" si="23"/>
        <v>0</v>
      </c>
      <c r="AC169" s="203"/>
      <c r="AD169" s="91" t="str">
        <f>PE_aug!AP169</f>
        <v>Methode</v>
      </c>
    </row>
    <row r="170" spans="1:30">
      <c r="A170" s="161" t="s">
        <v>222</v>
      </c>
      <c r="H170" s="63"/>
      <c r="I170" s="51"/>
      <c r="J170" s="51"/>
      <c r="K170" s="51"/>
      <c r="L170" s="51"/>
      <c r="M170" s="78"/>
      <c r="N170">
        <v>0.93100000000000005</v>
      </c>
      <c r="O170">
        <v>0.15</v>
      </c>
      <c r="P170">
        <v>6.3953800000000003</v>
      </c>
      <c r="R170" s="88" t="e">
        <f t="shared" si="16"/>
        <v>#DIV/0!</v>
      </c>
      <c r="S170" s="91" t="e">
        <f t="shared" si="17"/>
        <v>#DIV/0!</v>
      </c>
      <c r="T170" s="1" t="e">
        <f t="shared" si="18"/>
        <v>#DIV/0!</v>
      </c>
      <c r="U170" s="1" t="e">
        <f t="shared" si="19"/>
        <v>#DIV/0!</v>
      </c>
      <c r="V170" s="227" t="e">
        <f t="shared" si="20"/>
        <v>#DIV/0!</v>
      </c>
      <c r="W170" s="227" t="e">
        <f t="shared" si="21"/>
        <v>#DIV/0!</v>
      </c>
      <c r="X170" s="203" t="e">
        <f>INDEX(#REF!,MATCH(COUNTA(H170:M170),#REF!,0),2)</f>
        <v>#REF!</v>
      </c>
      <c r="Y170" s="310" t="e">
        <f t="shared" si="22"/>
        <v>#DIV/0!</v>
      </c>
      <c r="Z170" s="91">
        <f t="shared" si="23"/>
        <v>0</v>
      </c>
      <c r="AC170" s="203"/>
      <c r="AD170" s="91" t="str">
        <f>PE_aug!AP170</f>
        <v>Kläranlage</v>
      </c>
    </row>
    <row r="171" spans="1:30">
      <c r="A171" s="161" t="s">
        <v>223</v>
      </c>
      <c r="N171">
        <v>0.98199999999999998</v>
      </c>
      <c r="O171">
        <v>0.15</v>
      </c>
      <c r="P171">
        <v>14.388500000000001</v>
      </c>
      <c r="R171" s="88" t="e">
        <f t="shared" si="16"/>
        <v>#DIV/0!</v>
      </c>
      <c r="S171" s="91" t="e">
        <f t="shared" si="17"/>
        <v>#DIV/0!</v>
      </c>
      <c r="T171" s="1" t="e">
        <f t="shared" si="18"/>
        <v>#DIV/0!</v>
      </c>
      <c r="U171" s="1" t="e">
        <f t="shared" si="19"/>
        <v>#DIV/0!</v>
      </c>
      <c r="V171" s="227" t="e">
        <f t="shared" si="20"/>
        <v>#DIV/0!</v>
      </c>
      <c r="W171" s="227" t="e">
        <f t="shared" si="21"/>
        <v>#DIV/0!</v>
      </c>
      <c r="X171" s="203" t="e">
        <f>INDEX(#REF!,MATCH(COUNTA(H171:M171),#REF!,0),2)</f>
        <v>#REF!</v>
      </c>
      <c r="Y171" s="310" t="e">
        <f t="shared" si="22"/>
        <v>#DIV/0!</v>
      </c>
      <c r="Z171" s="91">
        <f t="shared" si="23"/>
        <v>0</v>
      </c>
      <c r="AC171" s="203"/>
      <c r="AD171" s="91" t="str">
        <f>PE_aug!AP171</f>
        <v>Kläranlage</v>
      </c>
    </row>
    <row r="172" spans="1:30">
      <c r="A172" s="161" t="s">
        <v>224</v>
      </c>
      <c r="N172">
        <v>0.24199999999999999</v>
      </c>
      <c r="O172">
        <v>0.15</v>
      </c>
      <c r="P172">
        <v>9.6715149999999994</v>
      </c>
      <c r="R172" s="88" t="e">
        <f t="shared" si="16"/>
        <v>#DIV/0!</v>
      </c>
      <c r="S172" s="91" t="e">
        <f t="shared" si="17"/>
        <v>#DIV/0!</v>
      </c>
      <c r="T172" s="1" t="e">
        <f t="shared" si="18"/>
        <v>#DIV/0!</v>
      </c>
      <c r="U172" s="1" t="e">
        <f t="shared" si="19"/>
        <v>#DIV/0!</v>
      </c>
      <c r="V172" s="227" t="e">
        <f t="shared" si="20"/>
        <v>#DIV/0!</v>
      </c>
      <c r="W172" s="227" t="e">
        <f t="shared" si="21"/>
        <v>#DIV/0!</v>
      </c>
      <c r="X172" s="203" t="e">
        <f>INDEX(#REF!,MATCH(COUNTA(H172:M172),#REF!,0),2)</f>
        <v>#REF!</v>
      </c>
      <c r="Y172" s="310" t="e">
        <f t="shared" si="22"/>
        <v>#DIV/0!</v>
      </c>
      <c r="Z172" s="91">
        <f t="shared" si="23"/>
        <v>0</v>
      </c>
      <c r="AC172" s="203"/>
      <c r="AD172" s="91" t="str">
        <f>PE_aug!AP172</f>
        <v>Kläranlage</v>
      </c>
    </row>
    <row r="173" spans="1:30">
      <c r="A173" s="161" t="s">
        <v>225</v>
      </c>
      <c r="P173">
        <v>8.4091399999999989</v>
      </c>
      <c r="R173" s="88" t="e">
        <f t="shared" si="16"/>
        <v>#DIV/0!</v>
      </c>
      <c r="S173" s="91" t="e">
        <f t="shared" si="17"/>
        <v>#DIV/0!</v>
      </c>
      <c r="T173" s="1" t="e">
        <f t="shared" si="18"/>
        <v>#DIV/0!</v>
      </c>
      <c r="U173" s="1" t="e">
        <f t="shared" si="19"/>
        <v>#DIV/0!</v>
      </c>
      <c r="V173" s="227" t="e">
        <f t="shared" si="20"/>
        <v>#DIV/0!</v>
      </c>
      <c r="W173" s="227" t="e">
        <f t="shared" si="21"/>
        <v>#DIV/0!</v>
      </c>
      <c r="X173" s="203" t="e">
        <f>INDEX(#REF!,MATCH(COUNTA(H173:M173),#REF!,0),2)</f>
        <v>#REF!</v>
      </c>
      <c r="Y173" s="310" t="e">
        <f t="shared" si="22"/>
        <v>#DIV/0!</v>
      </c>
      <c r="Z173" s="91">
        <f t="shared" si="23"/>
        <v>0</v>
      </c>
      <c r="AC173" s="203"/>
      <c r="AD173" s="91" t="str">
        <f>PE_aug!AP173</f>
        <v>Kläranlage, Methode</v>
      </c>
    </row>
    <row r="174" spans="1:30">
      <c r="A174" s="161" t="s">
        <v>227</v>
      </c>
      <c r="P174">
        <v>11.4796</v>
      </c>
      <c r="R174" s="88" t="e">
        <f t="shared" si="16"/>
        <v>#DIV/0!</v>
      </c>
      <c r="S174" s="91" t="e">
        <f t="shared" si="17"/>
        <v>#DIV/0!</v>
      </c>
      <c r="T174" s="1" t="e">
        <f t="shared" si="18"/>
        <v>#DIV/0!</v>
      </c>
      <c r="U174" s="1" t="e">
        <f t="shared" si="19"/>
        <v>#DIV/0!</v>
      </c>
      <c r="V174" s="227" t="e">
        <f t="shared" si="20"/>
        <v>#DIV/0!</v>
      </c>
      <c r="W174" s="227" t="e">
        <f t="shared" si="21"/>
        <v>#DIV/0!</v>
      </c>
      <c r="X174" s="203" t="e">
        <f>INDEX(#REF!,MATCH(COUNTA(H174:M174),#REF!,0),2)</f>
        <v>#REF!</v>
      </c>
      <c r="Y174" s="310" t="e">
        <f t="shared" si="22"/>
        <v>#DIV/0!</v>
      </c>
      <c r="Z174" s="91">
        <f t="shared" si="23"/>
        <v>0</v>
      </c>
      <c r="AC174" s="203"/>
      <c r="AD174" s="91" t="str">
        <f>PE_aug!AP174</f>
        <v>Kläranlage, Methode</v>
      </c>
    </row>
    <row r="175" spans="1:30">
      <c r="A175" s="161" t="s">
        <v>228</v>
      </c>
      <c r="B175">
        <v>29.2</v>
      </c>
      <c r="C175">
        <v>52.49</v>
      </c>
      <c r="D175">
        <v>68.87</v>
      </c>
      <c r="E175">
        <v>69.3</v>
      </c>
      <c r="F175">
        <v>60.78</v>
      </c>
      <c r="G175">
        <v>50.71</v>
      </c>
      <c r="H175" s="306">
        <v>29.2</v>
      </c>
      <c r="I175">
        <v>52.49</v>
      </c>
      <c r="J175">
        <v>68.87</v>
      </c>
      <c r="K175">
        <v>69.3</v>
      </c>
      <c r="L175">
        <v>60.78</v>
      </c>
      <c r="M175" s="307">
        <v>50.71</v>
      </c>
      <c r="P175">
        <v>6.8967000000000001</v>
      </c>
      <c r="Q175">
        <v>0.71</v>
      </c>
      <c r="R175" s="88">
        <f t="shared" si="16"/>
        <v>1</v>
      </c>
      <c r="S175" s="91">
        <f t="shared" si="17"/>
        <v>0.85499999999999998</v>
      </c>
      <c r="T175" s="1">
        <f t="shared" si="18"/>
        <v>24.743371232889334</v>
      </c>
      <c r="U175" s="1">
        <f t="shared" si="19"/>
        <v>24.743371232889334</v>
      </c>
      <c r="V175" s="227">
        <f t="shared" si="20"/>
        <v>1.9045665064506547</v>
      </c>
      <c r="W175" s="227">
        <f t="shared" si="21"/>
        <v>1.0300393305780202</v>
      </c>
      <c r="X175" s="203" t="e">
        <f>INDEX(#REF!,MATCH(COUNTA(H175:M175),#REF!,0),2)</f>
        <v>#REF!</v>
      </c>
      <c r="Y175" s="310">
        <f t="shared" si="22"/>
        <v>55.224999999999994</v>
      </c>
      <c r="Z175" s="91">
        <f t="shared" si="23"/>
        <v>8.0074528397639444</v>
      </c>
      <c r="AB175" s="163">
        <v>3.7414599999999999E-2</v>
      </c>
      <c r="AC175" s="203">
        <f>100*(Y175/(AB175*1000))</f>
        <v>147.60280746018933</v>
      </c>
      <c r="AD175" s="91" t="str">
        <f>PE_aug!AP175</f>
        <v>Kläranlage, Methode</v>
      </c>
    </row>
    <row r="176" spans="1:30">
      <c r="A176" s="161" t="s">
        <v>229</v>
      </c>
      <c r="F176">
        <v>15.28</v>
      </c>
      <c r="L176">
        <v>15.28</v>
      </c>
      <c r="N176">
        <v>0.70699999999999996</v>
      </c>
      <c r="O176">
        <v>0.122</v>
      </c>
      <c r="P176">
        <v>8.6541700000000006</v>
      </c>
      <c r="Q176">
        <v>0.83</v>
      </c>
      <c r="R176" s="88">
        <f t="shared" si="16"/>
        <v>0.16</v>
      </c>
      <c r="S176" s="91">
        <f t="shared" si="17"/>
        <v>0.495</v>
      </c>
      <c r="T176" s="1">
        <f t="shared" si="18"/>
        <v>0</v>
      </c>
      <c r="U176" s="1">
        <f t="shared" si="19"/>
        <v>0</v>
      </c>
      <c r="V176" s="227" t="e">
        <f t="shared" si="20"/>
        <v>#DIV/0!</v>
      </c>
      <c r="W176" s="227" t="e">
        <f t="shared" si="21"/>
        <v>#DIV/0!</v>
      </c>
      <c r="X176" s="203" t="e">
        <f>INDEX(#REF!,MATCH(COUNTA(H176:M176),#REF!,0),2)</f>
        <v>#REF!</v>
      </c>
      <c r="Y176" s="310">
        <f t="shared" si="22"/>
        <v>15.28</v>
      </c>
      <c r="Z176" s="91">
        <f t="shared" si="23"/>
        <v>1.7656228153595317</v>
      </c>
      <c r="AC176" s="203"/>
      <c r="AD176" s="91" t="str">
        <f>PE_aug!AP176</f>
        <v>Kläranlage</v>
      </c>
    </row>
    <row r="177" spans="1:30">
      <c r="A177" s="161" t="s">
        <v>230</v>
      </c>
      <c r="F177">
        <v>9.35</v>
      </c>
      <c r="L177">
        <v>9.35</v>
      </c>
      <c r="N177">
        <v>0.70699999999999996</v>
      </c>
      <c r="O177">
        <v>0.122</v>
      </c>
      <c r="P177">
        <v>7.3876200000000001</v>
      </c>
      <c r="Q177">
        <v>0.67</v>
      </c>
      <c r="R177" s="88">
        <f t="shared" si="16"/>
        <v>0.16</v>
      </c>
      <c r="S177" s="91">
        <f t="shared" si="17"/>
        <v>0.41500000000000004</v>
      </c>
      <c r="T177" s="1">
        <f t="shared" si="18"/>
        <v>0</v>
      </c>
      <c r="U177" s="1">
        <f t="shared" si="19"/>
        <v>0</v>
      </c>
      <c r="V177" s="227" t="e">
        <f t="shared" si="20"/>
        <v>#DIV/0!</v>
      </c>
      <c r="W177" s="227" t="e">
        <f t="shared" si="21"/>
        <v>#DIV/0!</v>
      </c>
      <c r="X177" s="203" t="e">
        <f>INDEX(#REF!,MATCH(COUNTA(H177:M177),#REF!,0),2)</f>
        <v>#REF!</v>
      </c>
      <c r="Y177" s="310">
        <f t="shared" si="22"/>
        <v>9.35</v>
      </c>
      <c r="Z177" s="91">
        <f t="shared" si="23"/>
        <v>1.2656308797691271</v>
      </c>
      <c r="AC177" s="203"/>
      <c r="AD177" s="91" t="str">
        <f>PE_aug!AP177</f>
        <v>Kläranlage</v>
      </c>
    </row>
    <row r="178" spans="1:30">
      <c r="A178" s="161" t="s">
        <v>231</v>
      </c>
      <c r="N178">
        <v>0.81799999999999995</v>
      </c>
      <c r="O178">
        <v>3.5000000000000003E-2</v>
      </c>
      <c r="P178">
        <v>7.5310050000000004</v>
      </c>
      <c r="R178" s="88" t="e">
        <f t="shared" si="16"/>
        <v>#DIV/0!</v>
      </c>
      <c r="S178" s="91" t="e">
        <f t="shared" si="17"/>
        <v>#DIV/0!</v>
      </c>
      <c r="T178" s="1" t="e">
        <f t="shared" si="18"/>
        <v>#DIV/0!</v>
      </c>
      <c r="U178" s="1" t="e">
        <f t="shared" si="19"/>
        <v>#DIV/0!</v>
      </c>
      <c r="V178" s="227" t="e">
        <f t="shared" si="20"/>
        <v>#DIV/0!</v>
      </c>
      <c r="W178" s="227" t="e">
        <f t="shared" si="21"/>
        <v>#DIV/0!</v>
      </c>
      <c r="X178" s="203" t="e">
        <f>INDEX(#REF!,MATCH(COUNTA(H178:M178),#REF!,0),2)</f>
        <v>#REF!</v>
      </c>
      <c r="Y178" s="310" t="e">
        <f t="shared" si="22"/>
        <v>#DIV/0!</v>
      </c>
      <c r="Z178" s="91">
        <f t="shared" si="23"/>
        <v>0</v>
      </c>
      <c r="AC178" s="203"/>
      <c r="AD178" s="91" t="str">
        <f>PE_aug!AP178</f>
        <v>Kläranlage</v>
      </c>
    </row>
    <row r="179" spans="1:30">
      <c r="A179" s="161" t="s">
        <v>232</v>
      </c>
      <c r="N179">
        <v>0.50800000000000001</v>
      </c>
      <c r="O179">
        <v>3.5000000000000003E-2</v>
      </c>
      <c r="P179">
        <v>7.2204149999999991</v>
      </c>
      <c r="R179" s="88" t="e">
        <f t="shared" si="16"/>
        <v>#DIV/0!</v>
      </c>
      <c r="S179" s="91" t="e">
        <f t="shared" si="17"/>
        <v>#DIV/0!</v>
      </c>
      <c r="T179" s="1" t="e">
        <f t="shared" si="18"/>
        <v>#DIV/0!</v>
      </c>
      <c r="U179" s="1" t="e">
        <f t="shared" si="19"/>
        <v>#DIV/0!</v>
      </c>
      <c r="V179" s="227" t="e">
        <f t="shared" si="20"/>
        <v>#DIV/0!</v>
      </c>
      <c r="W179" s="227" t="e">
        <f t="shared" si="21"/>
        <v>#DIV/0!</v>
      </c>
      <c r="X179" s="203" t="e">
        <f>INDEX(#REF!,MATCH(COUNTA(H179:M179),#REF!,0),2)</f>
        <v>#REF!</v>
      </c>
      <c r="Y179" s="310" t="e">
        <f t="shared" si="22"/>
        <v>#DIV/0!</v>
      </c>
      <c r="Z179" s="91">
        <f t="shared" si="23"/>
        <v>0</v>
      </c>
      <c r="AC179" s="203"/>
      <c r="AD179" s="91" t="str">
        <f>PE_aug!AP179</f>
        <v>Kläranlage</v>
      </c>
    </row>
    <row r="180" spans="1:30">
      <c r="A180" s="161" t="s">
        <v>233</v>
      </c>
      <c r="N180">
        <v>0.86099999999999999</v>
      </c>
      <c r="O180">
        <v>3.5000000000000003E-2</v>
      </c>
      <c r="P180">
        <v>6.5432199999999998</v>
      </c>
      <c r="R180" s="88" t="e">
        <f t="shared" si="16"/>
        <v>#DIV/0!</v>
      </c>
      <c r="S180" s="91" t="e">
        <f t="shared" si="17"/>
        <v>#DIV/0!</v>
      </c>
      <c r="T180" s="1" t="e">
        <f t="shared" si="18"/>
        <v>#DIV/0!</v>
      </c>
      <c r="U180" s="1" t="e">
        <f t="shared" si="19"/>
        <v>#DIV/0!</v>
      </c>
      <c r="V180" s="227" t="e">
        <f t="shared" si="20"/>
        <v>#DIV/0!</v>
      </c>
      <c r="W180" s="227" t="e">
        <f t="shared" si="21"/>
        <v>#DIV/0!</v>
      </c>
      <c r="X180" s="203" t="e">
        <f>INDEX(#REF!,MATCH(COUNTA(H180:M180),#REF!,0),2)</f>
        <v>#REF!</v>
      </c>
      <c r="Y180" s="310" t="e">
        <f t="shared" si="22"/>
        <v>#DIV/0!</v>
      </c>
      <c r="Z180" s="91">
        <f t="shared" si="23"/>
        <v>0</v>
      </c>
      <c r="AC180" s="203"/>
      <c r="AD180" s="91" t="str">
        <f>PE_aug!AP180</f>
        <v>Kläranlage</v>
      </c>
    </row>
    <row r="181" spans="1:30">
      <c r="A181" s="161" t="s">
        <v>234</v>
      </c>
      <c r="P181">
        <v>6.5395599999999998</v>
      </c>
      <c r="R181" s="88" t="e">
        <f t="shared" si="16"/>
        <v>#DIV/0!</v>
      </c>
      <c r="S181" s="91" t="e">
        <f t="shared" si="17"/>
        <v>#DIV/0!</v>
      </c>
      <c r="T181" s="1" t="e">
        <f t="shared" si="18"/>
        <v>#DIV/0!</v>
      </c>
      <c r="U181" s="1" t="e">
        <f t="shared" si="19"/>
        <v>#DIV/0!</v>
      </c>
      <c r="V181" s="227" t="e">
        <f t="shared" si="20"/>
        <v>#DIV/0!</v>
      </c>
      <c r="W181" s="227" t="e">
        <f t="shared" si="21"/>
        <v>#DIV/0!</v>
      </c>
      <c r="X181" s="203" t="e">
        <f>INDEX(#REF!,MATCH(COUNTA(H181:M181),#REF!,0),2)</f>
        <v>#REF!</v>
      </c>
      <c r="Y181" s="310" t="e">
        <f t="shared" si="22"/>
        <v>#DIV/0!</v>
      </c>
      <c r="Z181" s="91">
        <f t="shared" si="23"/>
        <v>0</v>
      </c>
      <c r="AC181" s="203"/>
      <c r="AD181" s="91" t="str">
        <f>PE_aug!AP181</f>
        <v>Kläranlage, Methode</v>
      </c>
    </row>
    <row r="182" spans="1:30">
      <c r="A182" s="161" t="s">
        <v>235</v>
      </c>
      <c r="F182">
        <v>9.6300000000000008</v>
      </c>
      <c r="L182">
        <v>9.6300000000000008</v>
      </c>
      <c r="N182">
        <v>0.70699999999999996</v>
      </c>
      <c r="O182">
        <v>0.14799999999999999</v>
      </c>
      <c r="P182">
        <v>12.27675</v>
      </c>
      <c r="Q182">
        <v>0.5</v>
      </c>
      <c r="R182" s="88">
        <f t="shared" si="16"/>
        <v>0.16</v>
      </c>
      <c r="S182" s="91">
        <f t="shared" si="17"/>
        <v>0.33</v>
      </c>
      <c r="T182" s="1">
        <f t="shared" si="18"/>
        <v>0</v>
      </c>
      <c r="U182" s="1">
        <f t="shared" si="19"/>
        <v>0</v>
      </c>
      <c r="V182" s="227" t="e">
        <f t="shared" si="20"/>
        <v>#DIV/0!</v>
      </c>
      <c r="W182" s="227" t="e">
        <f t="shared" si="21"/>
        <v>#DIV/0!</v>
      </c>
      <c r="X182" s="203" t="e">
        <f>INDEX(#REF!,MATCH(COUNTA(H182:M182),#REF!,0),2)</f>
        <v>#REF!</v>
      </c>
      <c r="Y182" s="310">
        <f t="shared" si="22"/>
        <v>9.6300000000000008</v>
      </c>
      <c r="Z182" s="91">
        <f t="shared" si="23"/>
        <v>0.78440955464597728</v>
      </c>
      <c r="AC182" s="203"/>
      <c r="AD182" s="91" t="str">
        <f>PE_aug!AP182</f>
        <v>Kläranlage</v>
      </c>
    </row>
    <row r="183" spans="1:30">
      <c r="A183" s="161" t="s">
        <v>236</v>
      </c>
      <c r="F183">
        <v>10.9</v>
      </c>
      <c r="L183">
        <v>10.9</v>
      </c>
      <c r="N183">
        <v>0.70699999999999996</v>
      </c>
      <c r="O183">
        <v>0.14799999999999999</v>
      </c>
      <c r="P183">
        <v>6.5768300000000002</v>
      </c>
      <c r="Q183">
        <v>0.67</v>
      </c>
      <c r="R183" s="88">
        <f t="shared" si="16"/>
        <v>0.16</v>
      </c>
      <c r="S183" s="91">
        <f t="shared" si="17"/>
        <v>0.41500000000000004</v>
      </c>
      <c r="T183" s="1">
        <f t="shared" si="18"/>
        <v>0</v>
      </c>
      <c r="U183" s="1">
        <f t="shared" si="19"/>
        <v>0</v>
      </c>
      <c r="V183" s="227" t="e">
        <f t="shared" si="20"/>
        <v>#DIV/0!</v>
      </c>
      <c r="W183" s="227" t="e">
        <f t="shared" si="21"/>
        <v>#DIV/0!</v>
      </c>
      <c r="X183" s="203" t="e">
        <f>INDEX(#REF!,MATCH(COUNTA(H183:M183),#REF!,0),2)</f>
        <v>#REF!</v>
      </c>
      <c r="Y183" s="310">
        <f t="shared" si="22"/>
        <v>10.9</v>
      </c>
      <c r="Z183" s="91">
        <f t="shared" si="23"/>
        <v>1.6573333961802266</v>
      </c>
      <c r="AC183" s="203"/>
      <c r="AD183" s="91" t="str">
        <f>PE_aug!AP183</f>
        <v>Kläranlage</v>
      </c>
    </row>
    <row r="184" spans="1:30">
      <c r="A184" s="161" t="s">
        <v>237</v>
      </c>
      <c r="N184">
        <v>0.70699999999999996</v>
      </c>
      <c r="O184">
        <v>0.34799999999999998</v>
      </c>
      <c r="P184">
        <v>4.1054899999999996</v>
      </c>
      <c r="R184" s="88" t="e">
        <f t="shared" si="16"/>
        <v>#DIV/0!</v>
      </c>
      <c r="S184" s="91" t="e">
        <f t="shared" si="17"/>
        <v>#DIV/0!</v>
      </c>
      <c r="T184" s="1" t="e">
        <f t="shared" si="18"/>
        <v>#DIV/0!</v>
      </c>
      <c r="U184" s="1" t="e">
        <f t="shared" si="19"/>
        <v>#DIV/0!</v>
      </c>
      <c r="V184" s="227" t="e">
        <f t="shared" si="20"/>
        <v>#DIV/0!</v>
      </c>
      <c r="W184" s="227" t="e">
        <f t="shared" si="21"/>
        <v>#DIV/0!</v>
      </c>
      <c r="X184" s="203" t="e">
        <f>INDEX(#REF!,MATCH(COUNTA(H184:M184),#REF!,0),2)</f>
        <v>#REF!</v>
      </c>
      <c r="Y184" s="310" t="e">
        <f t="shared" si="22"/>
        <v>#DIV/0!</v>
      </c>
      <c r="Z184" s="91">
        <f t="shared" si="23"/>
        <v>0</v>
      </c>
      <c r="AC184" s="203"/>
      <c r="AD184" s="91" t="str">
        <f>PE_aug!AP184</f>
        <v>Kläranlage</v>
      </c>
    </row>
    <row r="185" spans="1:30">
      <c r="A185" s="161" t="s">
        <v>238</v>
      </c>
      <c r="N185">
        <v>0.70699999999999996</v>
      </c>
      <c r="O185">
        <v>0.34799999999999998</v>
      </c>
      <c r="P185">
        <v>7.0180100000000003</v>
      </c>
      <c r="R185" s="88" t="e">
        <f t="shared" si="16"/>
        <v>#DIV/0!</v>
      </c>
      <c r="S185" s="91" t="e">
        <f t="shared" si="17"/>
        <v>#DIV/0!</v>
      </c>
      <c r="T185" s="1" t="e">
        <f t="shared" si="18"/>
        <v>#DIV/0!</v>
      </c>
      <c r="U185" s="1" t="e">
        <f t="shared" si="19"/>
        <v>#DIV/0!</v>
      </c>
      <c r="V185" s="227" t="e">
        <f t="shared" si="20"/>
        <v>#DIV/0!</v>
      </c>
      <c r="W185" s="227" t="e">
        <f t="shared" si="21"/>
        <v>#DIV/0!</v>
      </c>
      <c r="X185" s="203" t="e">
        <f>INDEX(#REF!,MATCH(COUNTA(H185:M185),#REF!,0),2)</f>
        <v>#REF!</v>
      </c>
      <c r="Y185" s="310" t="e">
        <f t="shared" si="22"/>
        <v>#DIV/0!</v>
      </c>
      <c r="Z185" s="91">
        <f t="shared" si="23"/>
        <v>0</v>
      </c>
      <c r="AC185" s="203"/>
      <c r="AD185" s="91" t="str">
        <f>PE_aug!AP185</f>
        <v>Kläranlage</v>
      </c>
    </row>
    <row r="186" spans="1:30">
      <c r="A186" s="161" t="s">
        <v>239</v>
      </c>
      <c r="B186">
        <v>49.04</v>
      </c>
      <c r="C186">
        <v>45.23</v>
      </c>
      <c r="D186">
        <v>53.07</v>
      </c>
      <c r="E186">
        <v>71.709999999999994</v>
      </c>
      <c r="F186">
        <v>97.89</v>
      </c>
      <c r="G186">
        <v>75.81</v>
      </c>
      <c r="H186" s="306">
        <v>49.04</v>
      </c>
      <c r="I186">
        <v>45.23</v>
      </c>
      <c r="J186">
        <v>53.07</v>
      </c>
      <c r="K186">
        <v>71.709999999999994</v>
      </c>
      <c r="L186">
        <v>97.89</v>
      </c>
      <c r="M186" s="307">
        <v>75.81</v>
      </c>
      <c r="P186">
        <v>7.1787899999999988E-2</v>
      </c>
      <c r="Q186">
        <v>0.74</v>
      </c>
      <c r="R186" s="88">
        <f t="shared" si="16"/>
        <v>1</v>
      </c>
      <c r="S186" s="91">
        <f t="shared" si="17"/>
        <v>0.87</v>
      </c>
      <c r="T186" s="1">
        <f t="shared" si="18"/>
        <v>28.101950692016747</v>
      </c>
      <c r="U186" s="1">
        <f t="shared" si="19"/>
        <v>28.101950692016747</v>
      </c>
      <c r="V186" s="227">
        <f t="shared" si="20"/>
        <v>1.0996606656011365</v>
      </c>
      <c r="W186" s="227">
        <f t="shared" si="21"/>
        <v>1.7630631038916142</v>
      </c>
      <c r="X186" s="203" t="e">
        <f>INDEX(#REF!,MATCH(COUNTA(H186:M186),#REF!,0),2)</f>
        <v>#REF!</v>
      </c>
      <c r="Y186" s="310">
        <f t="shared" si="22"/>
        <v>65.458333333333329</v>
      </c>
      <c r="Z186" s="91">
        <f t="shared" si="23"/>
        <v>911.82961659741181</v>
      </c>
      <c r="AC186" s="203">
        <f>100*(Y186/(P186*1000))</f>
        <v>91.182961659741181</v>
      </c>
      <c r="AD186" s="91" t="str">
        <f>PE_aug!AP186</f>
        <v>Methode</v>
      </c>
    </row>
    <row r="187" spans="1:30">
      <c r="A187" s="162" t="s">
        <v>240</v>
      </c>
      <c r="F187">
        <v>10.57</v>
      </c>
      <c r="L187">
        <v>10.57</v>
      </c>
      <c r="N187">
        <v>0.71699999999999997</v>
      </c>
      <c r="O187">
        <v>0.308</v>
      </c>
      <c r="P187">
        <v>5.5142600000000002</v>
      </c>
      <c r="Q187">
        <v>0.5</v>
      </c>
      <c r="R187" s="88">
        <f t="shared" si="16"/>
        <v>0.16</v>
      </c>
      <c r="S187" s="91">
        <f t="shared" si="17"/>
        <v>0.33</v>
      </c>
      <c r="T187" s="1">
        <f t="shared" si="18"/>
        <v>0</v>
      </c>
      <c r="U187" s="1">
        <f t="shared" si="19"/>
        <v>0</v>
      </c>
      <c r="V187" s="227" t="e">
        <f t="shared" si="20"/>
        <v>#DIV/0!</v>
      </c>
      <c r="W187" s="227" t="e">
        <f t="shared" si="21"/>
        <v>#DIV/0!</v>
      </c>
      <c r="X187" s="203" t="e">
        <f>INDEX(#REF!,MATCH(COUNTA(H187:M187),#REF!,0),2)</f>
        <v>#REF!</v>
      </c>
      <c r="Y187" s="310">
        <f t="shared" si="22"/>
        <v>10.57</v>
      </c>
      <c r="Z187" s="91">
        <f t="shared" si="23"/>
        <v>1.9168483169092498</v>
      </c>
      <c r="AC187" s="203"/>
      <c r="AD187" s="91" t="str">
        <f>PE_aug!AP187</f>
        <v>KWS</v>
      </c>
    </row>
    <row r="188" spans="1:30">
      <c r="A188" s="162" t="s">
        <v>241</v>
      </c>
      <c r="N188">
        <v>0.63600000000000001</v>
      </c>
      <c r="O188">
        <v>0.308</v>
      </c>
      <c r="P188">
        <v>8.6348099999999999</v>
      </c>
      <c r="R188" s="88" t="e">
        <f t="shared" si="16"/>
        <v>#DIV/0!</v>
      </c>
      <c r="S188" s="91" t="e">
        <f t="shared" si="17"/>
        <v>#DIV/0!</v>
      </c>
      <c r="T188" s="1" t="e">
        <f t="shared" si="18"/>
        <v>#DIV/0!</v>
      </c>
      <c r="U188" s="1" t="e">
        <f t="shared" si="19"/>
        <v>#DIV/0!</v>
      </c>
      <c r="V188" s="227" t="e">
        <f t="shared" si="20"/>
        <v>#DIV/0!</v>
      </c>
      <c r="W188" s="227" t="e">
        <f t="shared" si="21"/>
        <v>#DIV/0!</v>
      </c>
      <c r="X188" s="203" t="e">
        <f>INDEX(#REF!,MATCH(COUNTA(H188:M188),#REF!,0),2)</f>
        <v>#REF!</v>
      </c>
      <c r="Y188" s="310" t="e">
        <f t="shared" si="22"/>
        <v>#DIV/0!</v>
      </c>
      <c r="Z188" s="91">
        <f t="shared" si="23"/>
        <v>0</v>
      </c>
      <c r="AC188" s="203"/>
      <c r="AD188" s="91" t="str">
        <f>PE_aug!AP188</f>
        <v>KWS</v>
      </c>
    </row>
    <row r="189" spans="1:30">
      <c r="A189" s="162" t="s">
        <v>242</v>
      </c>
      <c r="N189">
        <v>0.86399999999999999</v>
      </c>
      <c r="O189">
        <v>0.308</v>
      </c>
      <c r="P189">
        <v>9.2441649999999989</v>
      </c>
      <c r="R189" s="88" t="e">
        <f t="shared" si="16"/>
        <v>#DIV/0!</v>
      </c>
      <c r="S189" s="91" t="e">
        <f t="shared" si="17"/>
        <v>#DIV/0!</v>
      </c>
      <c r="T189" s="1" t="e">
        <f t="shared" si="18"/>
        <v>#DIV/0!</v>
      </c>
      <c r="U189" s="1" t="e">
        <f t="shared" si="19"/>
        <v>#DIV/0!</v>
      </c>
      <c r="V189" s="227" t="e">
        <f t="shared" si="20"/>
        <v>#DIV/0!</v>
      </c>
      <c r="W189" s="227" t="e">
        <f t="shared" si="21"/>
        <v>#DIV/0!</v>
      </c>
      <c r="X189" s="203" t="e">
        <f>INDEX(#REF!,MATCH(COUNTA(H189:M189),#REF!,0),2)</f>
        <v>#REF!</v>
      </c>
      <c r="Y189" s="310" t="e">
        <f t="shared" si="22"/>
        <v>#DIV/0!</v>
      </c>
      <c r="Z189" s="91">
        <f t="shared" si="23"/>
        <v>0</v>
      </c>
      <c r="AC189" s="203"/>
      <c r="AD189" s="91" t="str">
        <f>PE_aug!AP189</f>
        <v>KWS</v>
      </c>
    </row>
    <row r="190" spans="1:30">
      <c r="A190" s="162" t="s">
        <v>243</v>
      </c>
      <c r="N190">
        <v>0.52</v>
      </c>
      <c r="O190">
        <v>5.7000000000000002E-2</v>
      </c>
      <c r="P190">
        <v>8.5557249999999989</v>
      </c>
      <c r="R190" s="88" t="e">
        <f t="shared" si="16"/>
        <v>#DIV/0!</v>
      </c>
      <c r="S190" s="91" t="e">
        <f t="shared" si="17"/>
        <v>#DIV/0!</v>
      </c>
      <c r="T190" s="1" t="e">
        <f t="shared" si="18"/>
        <v>#DIV/0!</v>
      </c>
      <c r="U190" s="1" t="e">
        <f t="shared" si="19"/>
        <v>#DIV/0!</v>
      </c>
      <c r="V190" s="227" t="e">
        <f t="shared" si="20"/>
        <v>#DIV/0!</v>
      </c>
      <c r="W190" s="227" t="e">
        <f t="shared" si="21"/>
        <v>#DIV/0!</v>
      </c>
      <c r="X190" s="203" t="e">
        <f>INDEX(#REF!,MATCH(COUNTA(H190:M190),#REF!,0),2)</f>
        <v>#REF!</v>
      </c>
      <c r="Y190" s="310" t="e">
        <f t="shared" si="22"/>
        <v>#DIV/0!</v>
      </c>
      <c r="Z190" s="91">
        <f t="shared" si="23"/>
        <v>0</v>
      </c>
      <c r="AC190" s="203"/>
      <c r="AD190" s="91" t="str">
        <f>PE_aug!AP190</f>
        <v>Kläranlagen</v>
      </c>
    </row>
    <row r="191" spans="1:30">
      <c r="A191" s="162" t="s">
        <v>245</v>
      </c>
      <c r="E191">
        <v>5.65</v>
      </c>
      <c r="F191">
        <v>30.85</v>
      </c>
      <c r="K191">
        <v>5.65</v>
      </c>
      <c r="L191">
        <v>30.85</v>
      </c>
      <c r="N191">
        <v>0.77600000000000002</v>
      </c>
      <c r="O191">
        <v>5.7000000000000002E-2</v>
      </c>
      <c r="P191">
        <v>12.1275</v>
      </c>
      <c r="Q191">
        <v>0.5</v>
      </c>
      <c r="R191" s="88">
        <f t="shared" si="16"/>
        <v>0.41666666666666663</v>
      </c>
      <c r="S191" s="91">
        <f t="shared" si="17"/>
        <v>0.45833333333333331</v>
      </c>
      <c r="T191" s="1">
        <f t="shared" si="18"/>
        <v>69.041095890410958</v>
      </c>
      <c r="U191" s="1">
        <f t="shared" si="19"/>
        <v>69.041095890410958</v>
      </c>
      <c r="V191" s="227">
        <f t="shared" si="20"/>
        <v>0.99999999999999989</v>
      </c>
      <c r="W191" s="227">
        <f t="shared" si="21"/>
        <v>1</v>
      </c>
      <c r="X191" s="203" t="e">
        <f>INDEX(#REF!,MATCH(COUNTA(H191:M191),#REF!,0),2)</f>
        <v>#REF!</v>
      </c>
      <c r="Y191" s="310">
        <f t="shared" si="22"/>
        <v>18.25</v>
      </c>
      <c r="Z191" s="91">
        <f t="shared" si="23"/>
        <v>1.5048443619872192</v>
      </c>
      <c r="AC191" s="203"/>
      <c r="AD191" s="91" t="str">
        <f>PE_aug!AP191</f>
        <v>Kläranlagen</v>
      </c>
    </row>
    <row r="192" spans="1:30">
      <c r="A192" s="162" t="s">
        <v>246</v>
      </c>
      <c r="F192">
        <v>10.34</v>
      </c>
      <c r="L192">
        <v>10.34</v>
      </c>
      <c r="N192">
        <v>0.91</v>
      </c>
      <c r="O192">
        <v>5.7000000000000002E-2</v>
      </c>
      <c r="P192">
        <v>7.9963800000000003</v>
      </c>
      <c r="Q192">
        <v>0.5</v>
      </c>
      <c r="R192" s="88">
        <f t="shared" si="16"/>
        <v>0.16</v>
      </c>
      <c r="S192" s="91">
        <f t="shared" si="17"/>
        <v>0.33</v>
      </c>
      <c r="T192" s="1">
        <f t="shared" si="18"/>
        <v>0</v>
      </c>
      <c r="U192" s="1">
        <f t="shared" si="19"/>
        <v>0</v>
      </c>
      <c r="V192" s="227" t="e">
        <f t="shared" si="20"/>
        <v>#DIV/0!</v>
      </c>
      <c r="W192" s="227" t="e">
        <f t="shared" si="21"/>
        <v>#DIV/0!</v>
      </c>
      <c r="X192" s="203" t="e">
        <f>INDEX(#REF!,MATCH(COUNTA(H192:M192),#REF!,0),2)</f>
        <v>#REF!</v>
      </c>
      <c r="Y192" s="310">
        <f t="shared" si="22"/>
        <v>10.34</v>
      </c>
      <c r="Z192" s="91">
        <f t="shared" si="23"/>
        <v>1.2930851210172603</v>
      </c>
      <c r="AC192" s="203"/>
      <c r="AD192" s="91" t="str">
        <f>PE_aug!AP192</f>
        <v>Kläranlagen</v>
      </c>
    </row>
    <row r="193" spans="1:30">
      <c r="A193" s="162" t="s">
        <v>247</v>
      </c>
      <c r="F193">
        <v>9.02</v>
      </c>
      <c r="L193">
        <v>9.02</v>
      </c>
      <c r="N193">
        <v>0.70699999999999996</v>
      </c>
      <c r="O193">
        <v>4.3999999999999997E-2</v>
      </c>
      <c r="P193">
        <v>9.1964899999999989</v>
      </c>
      <c r="Q193">
        <v>0.67</v>
      </c>
      <c r="R193" s="88">
        <f t="shared" si="16"/>
        <v>0.16</v>
      </c>
      <c r="S193" s="91">
        <f t="shared" si="17"/>
        <v>0.41500000000000004</v>
      </c>
      <c r="T193" s="1">
        <f t="shared" si="18"/>
        <v>0</v>
      </c>
      <c r="U193" s="1">
        <f t="shared" si="19"/>
        <v>0</v>
      </c>
      <c r="V193" s="227" t="e">
        <f t="shared" si="20"/>
        <v>#DIV/0!</v>
      </c>
      <c r="W193" s="227" t="e">
        <f t="shared" si="21"/>
        <v>#DIV/0!</v>
      </c>
      <c r="X193" s="203" t="e">
        <f>INDEX(#REF!,MATCH(COUNTA(H193:M193),#REF!,0),2)</f>
        <v>#REF!</v>
      </c>
      <c r="Y193" s="310">
        <f t="shared" si="22"/>
        <v>9.02</v>
      </c>
      <c r="Z193" s="91">
        <f t="shared" si="23"/>
        <v>0.98080898255747584</v>
      </c>
      <c r="AC193" s="203"/>
      <c r="AD193" s="91" t="str">
        <f>PE_aug!AP193</f>
        <v>Kläranlagen</v>
      </c>
    </row>
    <row r="194" spans="1:30">
      <c r="A194" s="162" t="s">
        <v>248</v>
      </c>
      <c r="F194">
        <v>8.33</v>
      </c>
      <c r="L194">
        <v>8.33</v>
      </c>
      <c r="N194">
        <v>0.70699999999999996</v>
      </c>
      <c r="O194">
        <v>4.3999999999999997E-2</v>
      </c>
      <c r="P194">
        <v>7.59185</v>
      </c>
      <c r="Q194">
        <v>0.5</v>
      </c>
      <c r="R194" s="88">
        <f t="shared" ref="R194:R257" si="24">IF(COUNT(H194:M194)=1,0.16,(COUNT(H194:M194)*(1/(COUNT(H194:M194)+COUNTBLANK(H194:M194)))+(IF(T194&lt;35,1,IF(T194&lt;70,0.5,IF(T194&gt;70,0)))))/2)</f>
        <v>0.16</v>
      </c>
      <c r="S194" s="91">
        <f t="shared" ref="S194:S257" si="25">AVERAGE(Q194:R194)</f>
        <v>0.33</v>
      </c>
      <c r="T194" s="1">
        <f t="shared" ref="T194:T257" si="26">((_xlfn.STDEV.P(H194:M194))/(AVERAGE(H194:M194)))*100</f>
        <v>0</v>
      </c>
      <c r="U194" s="1">
        <f t="shared" ref="U194:U257" si="27">((_xlfn.STDEV.P(B194:G194))/(AVERAGE(B194:G194)))*100</f>
        <v>0</v>
      </c>
      <c r="V194" s="227" t="e">
        <f t="shared" ref="V194:V257" si="28">(ABS(MIN(H194:M194)-AVERAGE(H194:M194))/_xlfn.STDEV.P(H194:M194))</f>
        <v>#DIV/0!</v>
      </c>
      <c r="W194" s="227" t="e">
        <f t="shared" ref="W194:W257" si="29">(ABS(MAX(H194:M194)-AVERAGE(H194:M194))/_xlfn.STDEV.P(H194:M194))</f>
        <v>#DIV/0!</v>
      </c>
      <c r="X194" s="203" t="e">
        <f>INDEX(#REF!,MATCH(COUNTA(H194:M194),#REF!,0),2)</f>
        <v>#REF!</v>
      </c>
      <c r="Y194" s="310">
        <f t="shared" ref="Y194:Y257" si="30">AVERAGE(H194:M194)</f>
        <v>8.33</v>
      </c>
      <c r="Z194" s="91">
        <f t="shared" ref="Z194:Z257" si="31">IFERROR(Y194/P194,0)</f>
        <v>1.0972292655940252</v>
      </c>
      <c r="AC194" s="203"/>
      <c r="AD194" s="91" t="str">
        <f>PE_aug!AP194</f>
        <v>Kläranlagen</v>
      </c>
    </row>
    <row r="195" spans="1:30">
      <c r="A195" s="162" t="s">
        <v>249</v>
      </c>
      <c r="F195">
        <v>10.23</v>
      </c>
      <c r="L195">
        <v>10.23</v>
      </c>
      <c r="N195">
        <v>0.70699999999999996</v>
      </c>
      <c r="O195">
        <v>0.17599999999999999</v>
      </c>
      <c r="P195">
        <v>9.1481399999999997</v>
      </c>
      <c r="Q195">
        <v>0.5</v>
      </c>
      <c r="R195" s="88">
        <f t="shared" si="24"/>
        <v>0.16</v>
      </c>
      <c r="S195" s="91">
        <f t="shared" si="25"/>
        <v>0.33</v>
      </c>
      <c r="T195" s="1">
        <f t="shared" si="26"/>
        <v>0</v>
      </c>
      <c r="U195" s="1">
        <f t="shared" si="27"/>
        <v>0</v>
      </c>
      <c r="V195" s="227" t="e">
        <f t="shared" si="28"/>
        <v>#DIV/0!</v>
      </c>
      <c r="W195" s="227" t="e">
        <f t="shared" si="29"/>
        <v>#DIV/0!</v>
      </c>
      <c r="X195" s="203" t="e">
        <f>INDEX(#REF!,MATCH(COUNTA(H195:M195),#REF!,0),2)</f>
        <v>#REF!</v>
      </c>
      <c r="Y195" s="310">
        <f t="shared" si="30"/>
        <v>10.23</v>
      </c>
      <c r="Z195" s="91">
        <f t="shared" si="31"/>
        <v>1.1182601053328873</v>
      </c>
      <c r="AC195" s="203"/>
      <c r="AD195" s="91" t="str">
        <f>PE_aug!AP195</f>
        <v>Kläranlagen</v>
      </c>
    </row>
    <row r="196" spans="1:30">
      <c r="A196" s="162" t="s">
        <v>250</v>
      </c>
      <c r="N196">
        <v>0.70699999999999996</v>
      </c>
      <c r="O196">
        <v>0.17599999999999999</v>
      </c>
      <c r="P196">
        <v>5.17957</v>
      </c>
      <c r="Q196">
        <v>0.5</v>
      </c>
      <c r="R196" s="88" t="e">
        <f t="shared" si="24"/>
        <v>#DIV/0!</v>
      </c>
      <c r="S196" s="91" t="e">
        <f t="shared" si="25"/>
        <v>#DIV/0!</v>
      </c>
      <c r="T196" s="1" t="e">
        <f t="shared" si="26"/>
        <v>#DIV/0!</v>
      </c>
      <c r="U196" s="1" t="e">
        <f t="shared" si="27"/>
        <v>#DIV/0!</v>
      </c>
      <c r="V196" s="227" t="e">
        <f t="shared" si="28"/>
        <v>#DIV/0!</v>
      </c>
      <c r="W196" s="227" t="e">
        <f t="shared" si="29"/>
        <v>#DIV/0!</v>
      </c>
      <c r="X196" s="203" t="e">
        <f>INDEX(#REF!,MATCH(COUNTA(H196:M196),#REF!,0),2)</f>
        <v>#REF!</v>
      </c>
      <c r="Y196" s="310" t="e">
        <f t="shared" si="30"/>
        <v>#DIV/0!</v>
      </c>
      <c r="Z196" s="91">
        <f t="shared" si="31"/>
        <v>0</v>
      </c>
      <c r="AC196" s="203"/>
      <c r="AD196" s="91" t="str">
        <f>PE_aug!AP196</f>
        <v>Kläranlagen</v>
      </c>
    </row>
    <row r="197" spans="1:30">
      <c r="A197" s="162" t="s">
        <v>251</v>
      </c>
      <c r="F197">
        <v>8.74</v>
      </c>
      <c r="L197">
        <v>8.74</v>
      </c>
      <c r="N197">
        <v>0.70699999999999996</v>
      </c>
      <c r="O197">
        <v>5.2999999999999999E-2</v>
      </c>
      <c r="P197">
        <v>9.0249299999999995</v>
      </c>
      <c r="Q197">
        <v>0.67</v>
      </c>
      <c r="R197" s="88">
        <f t="shared" si="24"/>
        <v>0.16</v>
      </c>
      <c r="S197" s="91">
        <f t="shared" si="25"/>
        <v>0.41500000000000004</v>
      </c>
      <c r="T197" s="1">
        <f t="shared" si="26"/>
        <v>0</v>
      </c>
      <c r="U197" s="1">
        <f t="shared" si="27"/>
        <v>0</v>
      </c>
      <c r="V197" s="227" t="e">
        <f t="shared" si="28"/>
        <v>#DIV/0!</v>
      </c>
      <c r="W197" s="227" t="e">
        <f t="shared" si="29"/>
        <v>#DIV/0!</v>
      </c>
      <c r="X197" s="203" t="e">
        <f>INDEX(#REF!,MATCH(COUNTA(H197:M197),#REF!,0),2)</f>
        <v>#REF!</v>
      </c>
      <c r="Y197" s="310">
        <f t="shared" si="30"/>
        <v>8.74</v>
      </c>
      <c r="Z197" s="91">
        <f t="shared" si="31"/>
        <v>0.96842856398886201</v>
      </c>
      <c r="AC197" s="203"/>
      <c r="AD197" s="91" t="str">
        <f>PE_aug!AP197</f>
        <v>Kläranlagen</v>
      </c>
    </row>
    <row r="198" spans="1:30">
      <c r="A198" s="162" t="s">
        <v>252</v>
      </c>
      <c r="F198">
        <v>7.58</v>
      </c>
      <c r="L198">
        <v>7.58</v>
      </c>
      <c r="N198">
        <v>0.70699999999999996</v>
      </c>
      <c r="O198">
        <v>5.2999999999999999E-2</v>
      </c>
      <c r="P198">
        <v>8.3660199999999989</v>
      </c>
      <c r="Q198">
        <v>0.83</v>
      </c>
      <c r="R198" s="88">
        <f t="shared" si="24"/>
        <v>0.16</v>
      </c>
      <c r="S198" s="91">
        <f t="shared" si="25"/>
        <v>0.495</v>
      </c>
      <c r="T198" s="1">
        <f t="shared" si="26"/>
        <v>0</v>
      </c>
      <c r="U198" s="1">
        <f t="shared" si="27"/>
        <v>0</v>
      </c>
      <c r="V198" s="227" t="e">
        <f t="shared" si="28"/>
        <v>#DIV/0!</v>
      </c>
      <c r="W198" s="227" t="e">
        <f t="shared" si="29"/>
        <v>#DIV/0!</v>
      </c>
      <c r="X198" s="203" t="e">
        <f>INDEX(#REF!,MATCH(COUNTA(H198:M198),#REF!,0),2)</f>
        <v>#REF!</v>
      </c>
      <c r="Y198" s="310">
        <f t="shared" si="30"/>
        <v>7.58</v>
      </c>
      <c r="Z198" s="91">
        <f t="shared" si="31"/>
        <v>0.90604612468055312</v>
      </c>
      <c r="AC198" s="203"/>
      <c r="AD198" s="91" t="str">
        <f>PE_aug!AP198</f>
        <v>Kläranlagen</v>
      </c>
    </row>
    <row r="199" spans="1:30">
      <c r="A199" s="162" t="s">
        <v>253</v>
      </c>
      <c r="N199">
        <v>0.67700000000000005</v>
      </c>
      <c r="O199">
        <v>4.8000000000000001E-2</v>
      </c>
      <c r="P199">
        <v>8.8748400000000007</v>
      </c>
      <c r="Q199">
        <v>0.5</v>
      </c>
      <c r="R199" s="88" t="e">
        <f t="shared" si="24"/>
        <v>#DIV/0!</v>
      </c>
      <c r="S199" s="91" t="e">
        <f t="shared" si="25"/>
        <v>#DIV/0!</v>
      </c>
      <c r="T199" s="1" t="e">
        <f t="shared" si="26"/>
        <v>#DIV/0!</v>
      </c>
      <c r="U199" s="1" t="e">
        <f t="shared" si="27"/>
        <v>#DIV/0!</v>
      </c>
      <c r="V199" s="227" t="e">
        <f t="shared" si="28"/>
        <v>#DIV/0!</v>
      </c>
      <c r="W199" s="227" t="e">
        <f t="shared" si="29"/>
        <v>#DIV/0!</v>
      </c>
      <c r="X199" s="203" t="e">
        <f>INDEX(#REF!,MATCH(COUNTA(H199:M199),#REF!,0),2)</f>
        <v>#REF!</v>
      </c>
      <c r="Y199" s="310" t="e">
        <f t="shared" si="30"/>
        <v>#DIV/0!</v>
      </c>
      <c r="Z199" s="91">
        <f t="shared" si="31"/>
        <v>0</v>
      </c>
      <c r="AC199" s="203"/>
      <c r="AD199" s="91" t="str">
        <f>PE_aug!AP199</f>
        <v>Kläranlagen</v>
      </c>
    </row>
    <row r="200" spans="1:30">
      <c r="A200" s="162" t="s">
        <v>254</v>
      </c>
      <c r="F200">
        <v>8.43</v>
      </c>
      <c r="L200">
        <v>8.43</v>
      </c>
      <c r="N200">
        <v>0.87</v>
      </c>
      <c r="O200">
        <v>4.8000000000000001E-2</v>
      </c>
      <c r="P200">
        <v>10.6442</v>
      </c>
      <c r="Q200">
        <v>0.5</v>
      </c>
      <c r="R200" s="88">
        <f t="shared" si="24"/>
        <v>0.16</v>
      </c>
      <c r="S200" s="91">
        <f t="shared" si="25"/>
        <v>0.33</v>
      </c>
      <c r="T200" s="1">
        <f t="shared" si="26"/>
        <v>0</v>
      </c>
      <c r="U200" s="1">
        <f t="shared" si="27"/>
        <v>0</v>
      </c>
      <c r="V200" s="227" t="e">
        <f t="shared" si="28"/>
        <v>#DIV/0!</v>
      </c>
      <c r="W200" s="227" t="e">
        <f t="shared" si="29"/>
        <v>#DIV/0!</v>
      </c>
      <c r="X200" s="203" t="e">
        <f>INDEX(#REF!,MATCH(COUNTA(H200:M200),#REF!,0),2)</f>
        <v>#REF!</v>
      </c>
      <c r="Y200" s="310">
        <f t="shared" si="30"/>
        <v>8.43</v>
      </c>
      <c r="Z200" s="91">
        <f t="shared" si="31"/>
        <v>0.79198060915803914</v>
      </c>
      <c r="AC200" s="203"/>
      <c r="AD200" s="91" t="str">
        <f>PE_aug!AP200</f>
        <v>Kläranlagen</v>
      </c>
    </row>
    <row r="201" spans="1:30">
      <c r="A201" s="286" t="s">
        <v>255</v>
      </c>
      <c r="F201">
        <v>9.02</v>
      </c>
      <c r="L201">
        <v>9.02</v>
      </c>
      <c r="N201">
        <v>0.626</v>
      </c>
      <c r="O201">
        <v>4.8000000000000001E-2</v>
      </c>
      <c r="P201">
        <v>8.4144699999999997</v>
      </c>
      <c r="Q201">
        <v>0.44</v>
      </c>
      <c r="R201" s="88">
        <f t="shared" si="24"/>
        <v>0.16</v>
      </c>
      <c r="S201" s="91">
        <f t="shared" si="25"/>
        <v>0.3</v>
      </c>
      <c r="T201" s="1">
        <f t="shared" si="26"/>
        <v>0</v>
      </c>
      <c r="U201" s="1">
        <f t="shared" si="27"/>
        <v>0</v>
      </c>
      <c r="V201" s="227" t="e">
        <f t="shared" si="28"/>
        <v>#DIV/0!</v>
      </c>
      <c r="W201" s="227" t="e">
        <f t="shared" si="29"/>
        <v>#DIV/0!</v>
      </c>
      <c r="X201" s="203" t="e">
        <f>INDEX(#REF!,MATCH(COUNTA(H201:M201),#REF!,0),2)</f>
        <v>#REF!</v>
      </c>
      <c r="Y201" s="310">
        <f t="shared" si="30"/>
        <v>9.02</v>
      </c>
      <c r="Z201" s="91">
        <f t="shared" si="31"/>
        <v>1.0719629400306852</v>
      </c>
      <c r="AC201" s="203"/>
      <c r="AD201" s="91" t="str">
        <f>PE_aug!AP201</f>
        <v>Kläranlagen</v>
      </c>
    </row>
    <row r="202" spans="1:30" s="51" customFormat="1">
      <c r="A202" s="214" t="s">
        <v>256</v>
      </c>
      <c r="H202" s="63"/>
      <c r="M202" s="78"/>
      <c r="N202" s="51">
        <v>0.70699999999999996</v>
      </c>
      <c r="O202" s="51">
        <v>0.113</v>
      </c>
      <c r="P202" s="51">
        <v>4.5994950000000001</v>
      </c>
      <c r="R202" s="92" t="e">
        <f t="shared" si="24"/>
        <v>#DIV/0!</v>
      </c>
      <c r="S202" s="93" t="e">
        <f t="shared" si="25"/>
        <v>#DIV/0!</v>
      </c>
      <c r="T202" s="79" t="e">
        <f t="shared" si="26"/>
        <v>#DIV/0!</v>
      </c>
      <c r="U202" s="79" t="e">
        <f t="shared" si="27"/>
        <v>#DIV/0!</v>
      </c>
      <c r="V202" s="80" t="e">
        <f t="shared" si="28"/>
        <v>#DIV/0!</v>
      </c>
      <c r="W202" s="80" t="e">
        <f t="shared" si="29"/>
        <v>#DIV/0!</v>
      </c>
      <c r="X202" s="68" t="e">
        <f>INDEX(#REF!,MATCH(COUNTA(H202:M202),#REF!,0),2)</f>
        <v>#REF!</v>
      </c>
      <c r="Y202" s="90" t="e">
        <f t="shared" si="30"/>
        <v>#DIV/0!</v>
      </c>
      <c r="Z202" s="93">
        <f t="shared" si="31"/>
        <v>0</v>
      </c>
      <c r="AC202" s="68"/>
      <c r="AD202" s="93" t="str">
        <f>PE_aug!AP202</f>
        <v>KWS</v>
      </c>
    </row>
    <row r="203" spans="1:30">
      <c r="A203" s="214" t="s">
        <v>257</v>
      </c>
      <c r="N203">
        <v>0.70699999999999996</v>
      </c>
      <c r="O203">
        <v>0.113</v>
      </c>
      <c r="P203">
        <v>6.10121</v>
      </c>
      <c r="R203" s="88" t="e">
        <f t="shared" si="24"/>
        <v>#DIV/0!</v>
      </c>
      <c r="S203" s="91" t="e">
        <f t="shared" si="25"/>
        <v>#DIV/0!</v>
      </c>
      <c r="T203" s="1" t="e">
        <f t="shared" si="26"/>
        <v>#DIV/0!</v>
      </c>
      <c r="U203" s="1" t="e">
        <f t="shared" si="27"/>
        <v>#DIV/0!</v>
      </c>
      <c r="V203" s="227" t="e">
        <f t="shared" si="28"/>
        <v>#DIV/0!</v>
      </c>
      <c r="W203" s="227" t="e">
        <f t="shared" si="29"/>
        <v>#DIV/0!</v>
      </c>
      <c r="X203" s="203" t="e">
        <f>INDEX(#REF!,MATCH(COUNTA(H203:M203),#REF!,0),2)</f>
        <v>#REF!</v>
      </c>
      <c r="Y203" s="310" t="e">
        <f t="shared" si="30"/>
        <v>#DIV/0!</v>
      </c>
      <c r="Z203" s="91">
        <f t="shared" si="31"/>
        <v>0</v>
      </c>
      <c r="AC203" s="203"/>
      <c r="AD203" s="91" t="str">
        <f>PE_aug!AP203</f>
        <v>KWS</v>
      </c>
    </row>
    <row r="204" spans="1:30">
      <c r="A204" s="214" t="s">
        <v>258</v>
      </c>
      <c r="N204">
        <v>0.70699999999999996</v>
      </c>
      <c r="O204">
        <v>9.7000000000000003E-2</v>
      </c>
      <c r="P204">
        <v>4.843</v>
      </c>
      <c r="R204" s="88" t="e">
        <f t="shared" si="24"/>
        <v>#DIV/0!</v>
      </c>
      <c r="S204" s="91" t="e">
        <f t="shared" si="25"/>
        <v>#DIV/0!</v>
      </c>
      <c r="T204" s="1" t="e">
        <f t="shared" si="26"/>
        <v>#DIV/0!</v>
      </c>
      <c r="U204" s="1" t="e">
        <f t="shared" si="27"/>
        <v>#DIV/0!</v>
      </c>
      <c r="V204" s="227" t="e">
        <f t="shared" si="28"/>
        <v>#DIV/0!</v>
      </c>
      <c r="W204" s="227" t="e">
        <f t="shared" si="29"/>
        <v>#DIV/0!</v>
      </c>
      <c r="X204" s="203" t="e">
        <f>INDEX(#REF!,MATCH(COUNTA(H204:M204),#REF!,0),2)</f>
        <v>#REF!</v>
      </c>
      <c r="Y204" s="310" t="e">
        <f t="shared" si="30"/>
        <v>#DIV/0!</v>
      </c>
      <c r="Z204" s="91">
        <f t="shared" si="31"/>
        <v>0</v>
      </c>
      <c r="AC204" s="203"/>
      <c r="AD204" s="91" t="str">
        <f>PE_aug!AP204</f>
        <v>KWS</v>
      </c>
    </row>
    <row r="205" spans="1:30">
      <c r="A205" s="214" t="s">
        <v>259</v>
      </c>
      <c r="N205">
        <v>0.70699999999999996</v>
      </c>
      <c r="O205">
        <v>9.7000000000000003E-2</v>
      </c>
      <c r="P205">
        <v>6.6468399999999992</v>
      </c>
      <c r="R205" s="88" t="e">
        <f t="shared" si="24"/>
        <v>#DIV/0!</v>
      </c>
      <c r="S205" s="91" t="e">
        <f t="shared" si="25"/>
        <v>#DIV/0!</v>
      </c>
      <c r="T205" s="1" t="e">
        <f t="shared" si="26"/>
        <v>#DIV/0!</v>
      </c>
      <c r="U205" s="1" t="e">
        <f t="shared" si="27"/>
        <v>#DIV/0!</v>
      </c>
      <c r="V205" s="227" t="e">
        <f t="shared" si="28"/>
        <v>#DIV/0!</v>
      </c>
      <c r="W205" s="227" t="e">
        <f t="shared" si="29"/>
        <v>#DIV/0!</v>
      </c>
      <c r="X205" s="203" t="e">
        <f>INDEX(#REF!,MATCH(COUNTA(H205:M205),#REF!,0),2)</f>
        <v>#REF!</v>
      </c>
      <c r="Y205" s="310" t="e">
        <f t="shared" si="30"/>
        <v>#DIV/0!</v>
      </c>
      <c r="Z205" s="91">
        <f t="shared" si="31"/>
        <v>0</v>
      </c>
      <c r="AC205" s="203"/>
      <c r="AD205" s="91" t="str">
        <f>PE_aug!AP205</f>
        <v>KWS</v>
      </c>
    </row>
    <row r="206" spans="1:30">
      <c r="A206" s="287" t="s">
        <v>260</v>
      </c>
      <c r="P206">
        <v>-84.199200000000005</v>
      </c>
      <c r="R206" s="88" t="e">
        <f t="shared" si="24"/>
        <v>#DIV/0!</v>
      </c>
      <c r="S206" s="91" t="e">
        <f t="shared" si="25"/>
        <v>#DIV/0!</v>
      </c>
      <c r="T206" s="1" t="e">
        <f t="shared" si="26"/>
        <v>#DIV/0!</v>
      </c>
      <c r="U206" s="1" t="e">
        <f t="shared" si="27"/>
        <v>#DIV/0!</v>
      </c>
      <c r="V206" s="227" t="e">
        <f t="shared" si="28"/>
        <v>#DIV/0!</v>
      </c>
      <c r="W206" s="227" t="e">
        <f t="shared" si="29"/>
        <v>#DIV/0!</v>
      </c>
      <c r="X206" s="203" t="e">
        <f>INDEX(#REF!,MATCH(COUNTA(H206:M206),#REF!,0),2)</f>
        <v>#REF!</v>
      </c>
      <c r="Y206" s="310" t="e">
        <f t="shared" si="30"/>
        <v>#DIV/0!</v>
      </c>
      <c r="Z206" s="91">
        <f t="shared" si="31"/>
        <v>0</v>
      </c>
      <c r="AC206" s="203"/>
      <c r="AD206" s="91" t="str">
        <f>PE_aug!AP206</f>
        <v>Methode</v>
      </c>
    </row>
    <row r="207" spans="1:30" s="51" customFormat="1">
      <c r="A207" s="214" t="s">
        <v>261</v>
      </c>
      <c r="H207" s="63"/>
      <c r="M207" s="78"/>
      <c r="P207" s="51">
        <v>5.4117899999999999</v>
      </c>
      <c r="R207" s="92" t="e">
        <f t="shared" si="24"/>
        <v>#DIV/0!</v>
      </c>
      <c r="S207" s="93" t="e">
        <f t="shared" si="25"/>
        <v>#DIV/0!</v>
      </c>
      <c r="T207" s="79" t="e">
        <f t="shared" si="26"/>
        <v>#DIV/0!</v>
      </c>
      <c r="U207" s="79" t="e">
        <f t="shared" si="27"/>
        <v>#DIV/0!</v>
      </c>
      <c r="V207" s="80" t="e">
        <f t="shared" si="28"/>
        <v>#DIV/0!</v>
      </c>
      <c r="W207" s="80" t="e">
        <f t="shared" si="29"/>
        <v>#DIV/0!</v>
      </c>
      <c r="X207" s="68" t="e">
        <f>INDEX(#REF!,MATCH(COUNTA(H207:M207),#REF!,0),2)</f>
        <v>#REF!</v>
      </c>
      <c r="Y207" s="90" t="e">
        <f t="shared" si="30"/>
        <v>#DIV/0!</v>
      </c>
      <c r="Z207" s="93">
        <f t="shared" si="31"/>
        <v>0</v>
      </c>
      <c r="AC207" s="68"/>
      <c r="AD207" s="93" t="str">
        <f>PE_aug!AP207</f>
        <v>KWS, Methode</v>
      </c>
    </row>
    <row r="208" spans="1:30">
      <c r="A208" s="214" t="s">
        <v>262</v>
      </c>
      <c r="B208">
        <v>218.96</v>
      </c>
      <c r="C208">
        <v>252.25</v>
      </c>
      <c r="D208">
        <v>292.83</v>
      </c>
      <c r="E208">
        <v>400.75</v>
      </c>
      <c r="F208">
        <v>337.2</v>
      </c>
      <c r="G208">
        <v>373.08</v>
      </c>
      <c r="H208" s="306">
        <v>218.96</v>
      </c>
      <c r="I208">
        <v>252.25</v>
      </c>
      <c r="J208">
        <v>292.83</v>
      </c>
      <c r="K208">
        <v>400.75</v>
      </c>
      <c r="L208">
        <v>337.2</v>
      </c>
      <c r="M208" s="307">
        <v>373.08</v>
      </c>
      <c r="P208">
        <v>5.4577400000000003</v>
      </c>
      <c r="Q208">
        <v>0.62</v>
      </c>
      <c r="R208" s="88">
        <f t="shared" si="24"/>
        <v>1</v>
      </c>
      <c r="S208" s="91">
        <f t="shared" si="25"/>
        <v>0.81</v>
      </c>
      <c r="T208" s="1">
        <f t="shared" si="26"/>
        <v>20.586778661983359</v>
      </c>
      <c r="U208" s="1">
        <f t="shared" si="27"/>
        <v>20.586778661983359</v>
      </c>
      <c r="V208" s="227">
        <f t="shared" si="28"/>
        <v>1.4541087868088463</v>
      </c>
      <c r="W208" s="227">
        <f t="shared" si="29"/>
        <v>1.3715216457932475</v>
      </c>
      <c r="X208" s="203" t="e">
        <f>INDEX(#REF!,MATCH(COUNTA(H208:M208),#REF!,0),2)</f>
        <v>#REF!</v>
      </c>
      <c r="Y208" s="310">
        <f t="shared" si="30"/>
        <v>312.51166666666666</v>
      </c>
      <c r="Z208" s="91">
        <f t="shared" si="31"/>
        <v>57.260270124019584</v>
      </c>
      <c r="AB208" s="126">
        <v>0.2009</v>
      </c>
      <c r="AC208" s="203">
        <f>100*(Y208/(AB208*1000))</f>
        <v>155.55583208893313</v>
      </c>
      <c r="AD208" s="91" t="str">
        <f>PE_aug!AP208</f>
        <v>KWS, Methode</v>
      </c>
    </row>
    <row r="209" spans="1:30">
      <c r="A209" s="214" t="s">
        <v>263</v>
      </c>
      <c r="Q209">
        <v>0.89</v>
      </c>
      <c r="R209" s="88" t="e">
        <f t="shared" si="24"/>
        <v>#DIV/0!</v>
      </c>
      <c r="S209" s="91" t="e">
        <f t="shared" si="25"/>
        <v>#DIV/0!</v>
      </c>
      <c r="T209" s="1" t="e">
        <f t="shared" si="26"/>
        <v>#DIV/0!</v>
      </c>
      <c r="U209" s="1" t="e">
        <f t="shared" si="27"/>
        <v>#DIV/0!</v>
      </c>
      <c r="V209" s="227" t="e">
        <f t="shared" si="28"/>
        <v>#DIV/0!</v>
      </c>
      <c r="W209" s="227" t="e">
        <f t="shared" si="29"/>
        <v>#DIV/0!</v>
      </c>
      <c r="X209" s="203" t="e">
        <f>INDEX(#REF!,MATCH(COUNTA(H209:M209),#REF!,0),2)</f>
        <v>#REF!</v>
      </c>
      <c r="Y209" s="310" t="e">
        <f t="shared" si="30"/>
        <v>#DIV/0!</v>
      </c>
      <c r="Z209" s="91">
        <f t="shared" si="31"/>
        <v>0</v>
      </c>
      <c r="AC209" s="203"/>
      <c r="AD209" s="91" t="str">
        <f>PE_aug!AP209</f>
        <v>KWS, Methode</v>
      </c>
    </row>
    <row r="210" spans="1:30">
      <c r="A210" s="214" t="s">
        <v>264</v>
      </c>
      <c r="N210">
        <v>0.70699999999999996</v>
      </c>
      <c r="O210">
        <v>0.10199999999999999</v>
      </c>
      <c r="P210">
        <v>10.235150000000001</v>
      </c>
      <c r="R210" s="88" t="e">
        <f t="shared" si="24"/>
        <v>#DIV/0!</v>
      </c>
      <c r="S210" s="91" t="e">
        <f t="shared" si="25"/>
        <v>#DIV/0!</v>
      </c>
      <c r="T210" s="1" t="e">
        <f t="shared" si="26"/>
        <v>#DIV/0!</v>
      </c>
      <c r="U210" s="1" t="e">
        <f t="shared" si="27"/>
        <v>#DIV/0!</v>
      </c>
      <c r="V210" s="227" t="e">
        <f t="shared" si="28"/>
        <v>#DIV/0!</v>
      </c>
      <c r="W210" s="227" t="e">
        <f t="shared" si="29"/>
        <v>#DIV/0!</v>
      </c>
      <c r="X210" s="203" t="e">
        <f>INDEX(#REF!,MATCH(COUNTA(H210:M210),#REF!,0),2)</f>
        <v>#REF!</v>
      </c>
      <c r="Y210" s="310" t="e">
        <f t="shared" si="30"/>
        <v>#DIV/0!</v>
      </c>
      <c r="Z210" s="91">
        <f t="shared" si="31"/>
        <v>0</v>
      </c>
      <c r="AC210" s="203"/>
      <c r="AD210" s="91" t="str">
        <f>PE_aug!AP210</f>
        <v>Kläranlagen</v>
      </c>
    </row>
    <row r="211" spans="1:30">
      <c r="A211" s="214" t="s">
        <v>265</v>
      </c>
      <c r="N211">
        <v>0.70699999999999996</v>
      </c>
      <c r="O211">
        <v>0.10199999999999999</v>
      </c>
      <c r="P211">
        <v>8.9477550000000008</v>
      </c>
      <c r="R211" s="88" t="e">
        <f t="shared" si="24"/>
        <v>#DIV/0!</v>
      </c>
      <c r="S211" s="91" t="e">
        <f t="shared" si="25"/>
        <v>#DIV/0!</v>
      </c>
      <c r="T211" s="1" t="e">
        <f t="shared" si="26"/>
        <v>#DIV/0!</v>
      </c>
      <c r="U211" s="1" t="e">
        <f t="shared" si="27"/>
        <v>#DIV/0!</v>
      </c>
      <c r="V211" s="227" t="e">
        <f t="shared" si="28"/>
        <v>#DIV/0!</v>
      </c>
      <c r="W211" s="227" t="e">
        <f t="shared" si="29"/>
        <v>#DIV/0!</v>
      </c>
      <c r="X211" s="203" t="e">
        <f>INDEX(#REF!,MATCH(COUNTA(H211:M211),#REF!,0),2)</f>
        <v>#REF!</v>
      </c>
      <c r="Y211" s="310" t="e">
        <f t="shared" si="30"/>
        <v>#DIV/0!</v>
      </c>
      <c r="Z211" s="91">
        <f t="shared" si="31"/>
        <v>0</v>
      </c>
      <c r="AC211" s="203"/>
      <c r="AD211" s="91" t="str">
        <f>PE_aug!AP211</f>
        <v>Kläranlagen</v>
      </c>
    </row>
    <row r="212" spans="1:30">
      <c r="A212" s="214" t="s">
        <v>266</v>
      </c>
      <c r="N212">
        <v>0.70699999999999996</v>
      </c>
      <c r="O212">
        <v>0.96399999999999997</v>
      </c>
      <c r="P212">
        <v>10.384600000000001</v>
      </c>
      <c r="R212" s="88" t="e">
        <f t="shared" si="24"/>
        <v>#DIV/0!</v>
      </c>
      <c r="S212" s="91" t="e">
        <f t="shared" si="25"/>
        <v>#DIV/0!</v>
      </c>
      <c r="T212" s="1" t="e">
        <f t="shared" si="26"/>
        <v>#DIV/0!</v>
      </c>
      <c r="U212" s="1" t="e">
        <f t="shared" si="27"/>
        <v>#DIV/0!</v>
      </c>
      <c r="V212" s="227" t="e">
        <f t="shared" si="28"/>
        <v>#DIV/0!</v>
      </c>
      <c r="W212" s="227" t="e">
        <f t="shared" si="29"/>
        <v>#DIV/0!</v>
      </c>
      <c r="X212" s="203" t="e">
        <f>INDEX(#REF!,MATCH(COUNTA(H212:M212),#REF!,0),2)</f>
        <v>#REF!</v>
      </c>
      <c r="Y212" s="310" t="e">
        <f t="shared" si="30"/>
        <v>#DIV/0!</v>
      </c>
      <c r="Z212" s="91">
        <f t="shared" si="31"/>
        <v>0</v>
      </c>
      <c r="AC212" s="203"/>
      <c r="AD212" s="91" t="str">
        <f>PE_aug!AP212</f>
        <v>Kläranlagen</v>
      </c>
    </row>
    <row r="213" spans="1:30">
      <c r="A213" s="214" t="s">
        <v>267</v>
      </c>
      <c r="N213">
        <v>0.70699999999999996</v>
      </c>
      <c r="O213">
        <v>0.96399999999999997</v>
      </c>
      <c r="P213">
        <v>9.8753700000000002</v>
      </c>
      <c r="Q213">
        <v>0.5</v>
      </c>
      <c r="R213" s="88" t="e">
        <f t="shared" si="24"/>
        <v>#DIV/0!</v>
      </c>
      <c r="S213" s="91" t="e">
        <f t="shared" si="25"/>
        <v>#DIV/0!</v>
      </c>
      <c r="T213" s="1" t="e">
        <f t="shared" si="26"/>
        <v>#DIV/0!</v>
      </c>
      <c r="U213" s="1" t="e">
        <f t="shared" si="27"/>
        <v>#DIV/0!</v>
      </c>
      <c r="V213" s="227" t="e">
        <f t="shared" si="28"/>
        <v>#DIV/0!</v>
      </c>
      <c r="W213" s="227" t="e">
        <f t="shared" si="29"/>
        <v>#DIV/0!</v>
      </c>
      <c r="X213" s="203" t="e">
        <f>INDEX(#REF!,MATCH(COUNTA(H213:M213),#REF!,0),2)</f>
        <v>#REF!</v>
      </c>
      <c r="Y213" s="310" t="e">
        <f t="shared" si="30"/>
        <v>#DIV/0!</v>
      </c>
      <c r="Z213" s="91">
        <f t="shared" si="31"/>
        <v>0</v>
      </c>
      <c r="AC213" s="203"/>
      <c r="AD213" s="91" t="str">
        <f>PE_aug!AP213</f>
        <v>Kläranlagen</v>
      </c>
    </row>
    <row r="214" spans="1:30">
      <c r="A214" s="214" t="s">
        <v>268</v>
      </c>
      <c r="B214">
        <v>10.65</v>
      </c>
      <c r="C214">
        <v>37.299999999999997</v>
      </c>
      <c r="D214">
        <v>31.52</v>
      </c>
      <c r="E214">
        <v>37.08</v>
      </c>
      <c r="F214">
        <v>43.95</v>
      </c>
      <c r="G214">
        <v>25.89</v>
      </c>
      <c r="H214" s="306">
        <v>10.65</v>
      </c>
      <c r="I214">
        <v>37.299999999999997</v>
      </c>
      <c r="J214">
        <v>31.52</v>
      </c>
      <c r="K214">
        <v>37.08</v>
      </c>
      <c r="L214">
        <v>43.95</v>
      </c>
      <c r="M214" s="307">
        <v>25.89</v>
      </c>
      <c r="P214">
        <v>6.4336500000000001</v>
      </c>
      <c r="Q214">
        <v>0.76</v>
      </c>
      <c r="R214" s="88">
        <f t="shared" si="24"/>
        <v>1</v>
      </c>
      <c r="S214" s="91">
        <f t="shared" si="25"/>
        <v>0.88</v>
      </c>
      <c r="T214" s="1">
        <f t="shared" si="26"/>
        <v>34.39118310306651</v>
      </c>
      <c r="U214" s="1">
        <f t="shared" si="27"/>
        <v>34.39118310306651</v>
      </c>
      <c r="V214" s="227">
        <f t="shared" si="28"/>
        <v>1.9108689779265808</v>
      </c>
      <c r="W214" s="227">
        <f t="shared" si="29"/>
        <v>1.2060517649073723</v>
      </c>
      <c r="X214" s="203" t="e">
        <f>INDEX(#REF!,MATCH(COUNTA(H214:M214),#REF!,0),2)</f>
        <v>#REF!</v>
      </c>
      <c r="Y214" s="310">
        <f t="shared" si="30"/>
        <v>31.064999999999998</v>
      </c>
      <c r="Z214" s="91">
        <f t="shared" si="31"/>
        <v>4.8285188034785849</v>
      </c>
      <c r="AB214" s="126">
        <v>1.90887E-2</v>
      </c>
      <c r="AC214" s="203">
        <f>100*(Y214/(AB214*1000))</f>
        <v>162.74025994436499</v>
      </c>
      <c r="AD214" s="91" t="str">
        <f>PE_aug!AP214</f>
        <v>Kläranlagen, Methode</v>
      </c>
    </row>
    <row r="215" spans="1:30">
      <c r="A215" s="214" t="s">
        <v>270</v>
      </c>
      <c r="P215">
        <v>0.232761</v>
      </c>
      <c r="R215" s="88" t="e">
        <f t="shared" si="24"/>
        <v>#DIV/0!</v>
      </c>
      <c r="S215" s="91" t="e">
        <f t="shared" si="25"/>
        <v>#DIV/0!</v>
      </c>
      <c r="T215" s="1" t="e">
        <f t="shared" si="26"/>
        <v>#DIV/0!</v>
      </c>
      <c r="U215" s="1" t="e">
        <f t="shared" si="27"/>
        <v>#DIV/0!</v>
      </c>
      <c r="V215" s="227" t="e">
        <f t="shared" si="28"/>
        <v>#DIV/0!</v>
      </c>
      <c r="W215" s="227" t="e">
        <f t="shared" si="29"/>
        <v>#DIV/0!</v>
      </c>
      <c r="X215" s="203" t="e">
        <f>INDEX(#REF!,MATCH(COUNTA(H215:M215),#REF!,0),2)</f>
        <v>#REF!</v>
      </c>
      <c r="Y215" s="310" t="e">
        <f t="shared" si="30"/>
        <v>#DIV/0!</v>
      </c>
      <c r="Z215" s="91">
        <f t="shared" si="31"/>
        <v>0</v>
      </c>
      <c r="AC215" s="203"/>
      <c r="AD215" s="91" t="str">
        <f>PE_aug!AP215</f>
        <v>Methode</v>
      </c>
    </row>
    <row r="216" spans="1:30">
      <c r="A216" s="214" t="s">
        <v>271</v>
      </c>
      <c r="R216" s="88" t="e">
        <f t="shared" si="24"/>
        <v>#DIV/0!</v>
      </c>
      <c r="S216" s="91" t="e">
        <f t="shared" si="25"/>
        <v>#DIV/0!</v>
      </c>
      <c r="T216" s="1" t="e">
        <f t="shared" si="26"/>
        <v>#DIV/0!</v>
      </c>
      <c r="U216" s="1" t="e">
        <f t="shared" si="27"/>
        <v>#DIV/0!</v>
      </c>
      <c r="V216" s="227" t="e">
        <f t="shared" si="28"/>
        <v>#DIV/0!</v>
      </c>
      <c r="W216" s="227" t="e">
        <f t="shared" si="29"/>
        <v>#DIV/0!</v>
      </c>
      <c r="X216" s="203" t="e">
        <f>INDEX(#REF!,MATCH(COUNTA(H216:M216),#REF!,0),2)</f>
        <v>#REF!</v>
      </c>
      <c r="Y216" s="310" t="e">
        <f t="shared" si="30"/>
        <v>#DIV/0!</v>
      </c>
      <c r="Z216" s="91">
        <f t="shared" si="31"/>
        <v>0</v>
      </c>
      <c r="AC216" s="203"/>
      <c r="AD216" s="91" t="str">
        <f>PE_aug!AP216</f>
        <v>Methode</v>
      </c>
    </row>
    <row r="217" spans="1:30">
      <c r="A217" s="214" t="s">
        <v>272</v>
      </c>
      <c r="B217">
        <v>25.84</v>
      </c>
      <c r="C217">
        <v>20.89</v>
      </c>
      <c r="D217">
        <v>20.52</v>
      </c>
      <c r="E217">
        <v>26.73</v>
      </c>
      <c r="F217">
        <v>39.840000000000003</v>
      </c>
      <c r="G217">
        <v>29.16</v>
      </c>
      <c r="H217" s="306">
        <v>25.84</v>
      </c>
      <c r="I217">
        <v>20.89</v>
      </c>
      <c r="J217">
        <v>20.52</v>
      </c>
      <c r="K217">
        <v>26.73</v>
      </c>
      <c r="L217">
        <v>39.840000000000003</v>
      </c>
      <c r="M217" s="307">
        <v>29.16</v>
      </c>
      <c r="P217">
        <v>0.18177399999999999</v>
      </c>
      <c r="Q217">
        <v>0.76</v>
      </c>
      <c r="R217" s="88">
        <f t="shared" si="24"/>
        <v>1</v>
      </c>
      <c r="S217" s="91">
        <f t="shared" si="25"/>
        <v>0.88</v>
      </c>
      <c r="T217" s="1">
        <f t="shared" si="26"/>
        <v>23.768878573429124</v>
      </c>
      <c r="U217" s="1">
        <f t="shared" si="27"/>
        <v>23.768878573429124</v>
      </c>
      <c r="V217" s="227">
        <f t="shared" si="28"/>
        <v>1.0289500412062709</v>
      </c>
      <c r="W217" s="227">
        <f t="shared" si="29"/>
        <v>1.9634204750162829</v>
      </c>
      <c r="X217" s="203" t="e">
        <f>INDEX(#REF!,MATCH(COUNTA(H217:M217),#REF!,0),2)</f>
        <v>#REF!</v>
      </c>
      <c r="Y217" s="310">
        <f t="shared" si="30"/>
        <v>27.16333333333333</v>
      </c>
      <c r="Z217" s="91">
        <f t="shared" si="31"/>
        <v>149.43464595229975</v>
      </c>
      <c r="AB217">
        <v>4.4405E-2</v>
      </c>
      <c r="AC217" s="203">
        <f>100*(Y217/(AB217*1000))</f>
        <v>61.17178996359268</v>
      </c>
      <c r="AD217" s="91" t="str">
        <f>PE_aug!AP217</f>
        <v>Methode</v>
      </c>
    </row>
    <row r="218" spans="1:30">
      <c r="A218" s="217" t="s">
        <v>534</v>
      </c>
      <c r="E218">
        <v>5.27</v>
      </c>
      <c r="F218">
        <v>8.24</v>
      </c>
      <c r="K218">
        <v>5.27</v>
      </c>
      <c r="L218">
        <v>8.24</v>
      </c>
      <c r="N218">
        <v>1.133</v>
      </c>
      <c r="O218">
        <v>0.12</v>
      </c>
      <c r="P218">
        <v>11.5961</v>
      </c>
      <c r="Q218">
        <v>0.69</v>
      </c>
      <c r="R218" s="88">
        <f t="shared" si="24"/>
        <v>0.66666666666666663</v>
      </c>
      <c r="S218" s="91">
        <f t="shared" si="25"/>
        <v>0.67833333333333323</v>
      </c>
      <c r="T218" s="1">
        <f t="shared" si="26"/>
        <v>21.983715766099181</v>
      </c>
      <c r="U218" s="1">
        <f t="shared" si="27"/>
        <v>21.983715766099181</v>
      </c>
      <c r="V218" s="227">
        <f t="shared" si="28"/>
        <v>1.0000000000000004</v>
      </c>
      <c r="W218" s="227">
        <f t="shared" si="29"/>
        <v>1.0000000000000004</v>
      </c>
      <c r="X218" s="203" t="e">
        <f>INDEX(#REF!,MATCH(COUNTA(H218:M218),#REF!,0),2)</f>
        <v>#REF!</v>
      </c>
      <c r="Y218" s="310">
        <f t="shared" si="30"/>
        <v>6.7549999999999999</v>
      </c>
      <c r="Z218" s="91">
        <f t="shared" si="31"/>
        <v>0.58252343460301304</v>
      </c>
      <c r="AD218" s="91" t="str">
        <f>PE_may!AH218</f>
        <v>Methodenvergleich</v>
      </c>
    </row>
    <row r="219" spans="1:30">
      <c r="A219" s="217" t="s">
        <v>535</v>
      </c>
      <c r="F219">
        <v>6.36</v>
      </c>
      <c r="L219">
        <v>6.36</v>
      </c>
      <c r="N219">
        <v>0.622</v>
      </c>
      <c r="O219">
        <v>0.12</v>
      </c>
      <c r="P219">
        <v>7.643110000000001</v>
      </c>
      <c r="Q219">
        <v>0.83</v>
      </c>
      <c r="R219" s="88">
        <f t="shared" si="24"/>
        <v>0.16</v>
      </c>
      <c r="S219" s="91">
        <f t="shared" si="25"/>
        <v>0.495</v>
      </c>
      <c r="T219" s="1">
        <f t="shared" si="26"/>
        <v>0</v>
      </c>
      <c r="U219" s="1">
        <f t="shared" si="27"/>
        <v>0</v>
      </c>
      <c r="V219" s="227" t="e">
        <f t="shared" si="28"/>
        <v>#DIV/0!</v>
      </c>
      <c r="W219" s="227" t="e">
        <f t="shared" si="29"/>
        <v>#DIV/0!</v>
      </c>
      <c r="X219" s="203" t="e">
        <f>INDEX(#REF!,MATCH(COUNTA(H219:M219),#REF!,0),2)</f>
        <v>#REF!</v>
      </c>
      <c r="Y219" s="310">
        <f t="shared" si="30"/>
        <v>6.36</v>
      </c>
      <c r="Z219" s="91">
        <f t="shared" si="31"/>
        <v>0.83212200269262115</v>
      </c>
      <c r="AD219" s="91" t="str">
        <f>PE_may!AH219</f>
        <v>Methodenvergleich</v>
      </c>
    </row>
    <row r="220" spans="1:30">
      <c r="A220" s="217" t="s">
        <v>536</v>
      </c>
      <c r="F220">
        <v>8.1199999999999992</v>
      </c>
      <c r="L220">
        <v>8.1199999999999992</v>
      </c>
      <c r="N220">
        <v>0.52700000000000002</v>
      </c>
      <c r="O220">
        <v>0.12</v>
      </c>
      <c r="P220">
        <v>7.9017200000000001</v>
      </c>
      <c r="Q220">
        <v>0.5</v>
      </c>
      <c r="R220" s="88">
        <f t="shared" si="24"/>
        <v>0.16</v>
      </c>
      <c r="S220" s="91">
        <f t="shared" si="25"/>
        <v>0.33</v>
      </c>
      <c r="T220" s="1">
        <f t="shared" si="26"/>
        <v>0</v>
      </c>
      <c r="U220" s="1">
        <f t="shared" si="27"/>
        <v>0</v>
      </c>
      <c r="V220" s="227" t="e">
        <f t="shared" si="28"/>
        <v>#DIV/0!</v>
      </c>
      <c r="W220" s="227" t="e">
        <f t="shared" si="29"/>
        <v>#DIV/0!</v>
      </c>
      <c r="X220" s="203" t="e">
        <f>INDEX(#REF!,MATCH(COUNTA(H220:M220),#REF!,0),2)</f>
        <v>#REF!</v>
      </c>
      <c r="Y220" s="310">
        <f t="shared" si="30"/>
        <v>8.1199999999999992</v>
      </c>
      <c r="Z220" s="91">
        <f t="shared" si="31"/>
        <v>1.027624365328055</v>
      </c>
      <c r="AD220" s="91" t="str">
        <f>PE_may!AH220</f>
        <v>Methodenvergleich</v>
      </c>
    </row>
    <row r="221" spans="1:30">
      <c r="A221" s="217" t="s">
        <v>537</v>
      </c>
      <c r="E221">
        <v>6.51</v>
      </c>
      <c r="F221">
        <v>8.59</v>
      </c>
      <c r="K221">
        <v>6.51</v>
      </c>
      <c r="L221">
        <v>8.59</v>
      </c>
      <c r="Q221">
        <v>0.83</v>
      </c>
      <c r="R221" s="88">
        <f t="shared" si="24"/>
        <v>0.66666666666666663</v>
      </c>
      <c r="S221" s="91">
        <f t="shared" si="25"/>
        <v>0.74833333333333329</v>
      </c>
      <c r="T221" s="1">
        <f t="shared" si="26"/>
        <v>13.774834437086103</v>
      </c>
      <c r="U221" s="1">
        <f t="shared" si="27"/>
        <v>13.774834437086103</v>
      </c>
      <c r="V221" s="227">
        <f t="shared" si="28"/>
        <v>0.99999999999999933</v>
      </c>
      <c r="W221" s="227">
        <f t="shared" si="29"/>
        <v>0.99999999999999933</v>
      </c>
      <c r="X221" s="203" t="e">
        <f>INDEX(#REF!,MATCH(COUNTA(H221:M221),#REF!,0),2)</f>
        <v>#REF!</v>
      </c>
      <c r="Y221" s="310">
        <f t="shared" si="30"/>
        <v>7.55</v>
      </c>
      <c r="Z221" s="91">
        <f t="shared" si="31"/>
        <v>0</v>
      </c>
      <c r="AD221" s="91" t="str">
        <f>PE_may!AH221</f>
        <v>Methode</v>
      </c>
    </row>
    <row r="222" spans="1:30">
      <c r="A222" s="217" t="s">
        <v>538</v>
      </c>
      <c r="N222">
        <v>0.878</v>
      </c>
      <c r="O222">
        <v>9.5000000000000001E-2</v>
      </c>
      <c r="P222">
        <v>11.2964</v>
      </c>
      <c r="R222" s="88" t="e">
        <f t="shared" si="24"/>
        <v>#DIV/0!</v>
      </c>
      <c r="S222" s="91" t="e">
        <f t="shared" si="25"/>
        <v>#DIV/0!</v>
      </c>
      <c r="T222" s="1" t="e">
        <f t="shared" si="26"/>
        <v>#DIV/0!</v>
      </c>
      <c r="U222" s="1" t="e">
        <f t="shared" si="27"/>
        <v>#DIV/0!</v>
      </c>
      <c r="V222" s="227" t="e">
        <f t="shared" si="28"/>
        <v>#DIV/0!</v>
      </c>
      <c r="W222" s="227" t="e">
        <f t="shared" si="29"/>
        <v>#DIV/0!</v>
      </c>
      <c r="X222" s="203" t="e">
        <f>INDEX(#REF!,MATCH(COUNTA(H222:M222),#REF!,0),2)</f>
        <v>#REF!</v>
      </c>
      <c r="Y222" s="310" t="e">
        <f t="shared" si="30"/>
        <v>#DIV/0!</v>
      </c>
      <c r="Z222" s="91">
        <f t="shared" si="31"/>
        <v>0</v>
      </c>
      <c r="AD222" s="91" t="str">
        <f>PE_may!AH222</f>
        <v>Kläranlagen</v>
      </c>
    </row>
    <row r="223" spans="1:30">
      <c r="A223" s="217" t="s">
        <v>539</v>
      </c>
      <c r="E223">
        <v>10.34</v>
      </c>
      <c r="F223">
        <v>21.07</v>
      </c>
      <c r="G223">
        <v>7.28</v>
      </c>
      <c r="K223">
        <v>10.34</v>
      </c>
      <c r="L223">
        <v>21.07</v>
      </c>
      <c r="M223" s="307">
        <v>7.28</v>
      </c>
      <c r="N223">
        <v>1.008</v>
      </c>
      <c r="O223">
        <v>9.5000000000000001E-2</v>
      </c>
      <c r="P223">
        <v>14.131</v>
      </c>
      <c r="Q223">
        <v>0.83</v>
      </c>
      <c r="R223" s="88">
        <f t="shared" si="24"/>
        <v>0.5</v>
      </c>
      <c r="S223" s="91">
        <f t="shared" si="25"/>
        <v>0.66500000000000004</v>
      </c>
      <c r="T223" s="1">
        <f t="shared" si="26"/>
        <v>45.848217266919555</v>
      </c>
      <c r="U223" s="1">
        <f t="shared" si="27"/>
        <v>45.848217266919555</v>
      </c>
      <c r="V223" s="227">
        <f t="shared" si="28"/>
        <v>0.94990182482530194</v>
      </c>
      <c r="W223" s="227">
        <f t="shared" si="29"/>
        <v>1.382290370606315</v>
      </c>
      <c r="X223" s="203" t="e">
        <f>INDEX(#REF!,MATCH(COUNTA(H223:M223),#REF!,0),2)</f>
        <v>#REF!</v>
      </c>
      <c r="Y223" s="310">
        <f t="shared" si="30"/>
        <v>12.896666666666667</v>
      </c>
      <c r="Z223" s="91">
        <f t="shared" si="31"/>
        <v>0.91265067346024109</v>
      </c>
      <c r="AD223" s="91" t="str">
        <f>PE_may!AH223</f>
        <v>Kläranlagen</v>
      </c>
    </row>
    <row r="224" spans="1:30">
      <c r="A224" s="217" t="s">
        <v>540</v>
      </c>
      <c r="N224">
        <v>0.317</v>
      </c>
      <c r="O224">
        <v>9.5000000000000001E-2</v>
      </c>
      <c r="P224">
        <v>11.628</v>
      </c>
      <c r="Q224">
        <v>0.5</v>
      </c>
      <c r="R224" s="88" t="e">
        <f t="shared" si="24"/>
        <v>#DIV/0!</v>
      </c>
      <c r="S224" s="91" t="e">
        <f t="shared" si="25"/>
        <v>#DIV/0!</v>
      </c>
      <c r="T224" s="1" t="e">
        <f t="shared" si="26"/>
        <v>#DIV/0!</v>
      </c>
      <c r="U224" s="1" t="e">
        <f t="shared" si="27"/>
        <v>#DIV/0!</v>
      </c>
      <c r="V224" s="227" t="e">
        <f t="shared" si="28"/>
        <v>#DIV/0!</v>
      </c>
      <c r="W224" s="227" t="e">
        <f t="shared" si="29"/>
        <v>#DIV/0!</v>
      </c>
      <c r="X224" s="203" t="e">
        <f>INDEX(#REF!,MATCH(COUNTA(H224:M224),#REF!,0),2)</f>
        <v>#REF!</v>
      </c>
      <c r="Y224" s="310" t="e">
        <f t="shared" si="30"/>
        <v>#DIV/0!</v>
      </c>
      <c r="Z224" s="91">
        <f t="shared" si="31"/>
        <v>0</v>
      </c>
      <c r="AD224" s="91" t="str">
        <f>PE_may!AH224</f>
        <v>Kläranlagen</v>
      </c>
    </row>
    <row r="225" spans="1:30">
      <c r="A225" s="217" t="s">
        <v>541</v>
      </c>
      <c r="B225">
        <v>13.87</v>
      </c>
      <c r="C225">
        <v>31.29</v>
      </c>
      <c r="D225">
        <v>14.22</v>
      </c>
      <c r="E225">
        <v>41.12</v>
      </c>
      <c r="F225">
        <v>45.71</v>
      </c>
      <c r="G225">
        <v>30.13</v>
      </c>
      <c r="H225" s="306">
        <v>13.87</v>
      </c>
      <c r="I225">
        <v>31.29</v>
      </c>
      <c r="J225">
        <v>14.22</v>
      </c>
      <c r="K225">
        <v>41.12</v>
      </c>
      <c r="L225">
        <v>45.71</v>
      </c>
      <c r="M225" s="307">
        <v>30.13</v>
      </c>
      <c r="N225">
        <v>1.0489999999999999</v>
      </c>
      <c r="O225">
        <v>6.2E-2</v>
      </c>
      <c r="P225">
        <v>7.5634450000000006</v>
      </c>
      <c r="Q225">
        <v>0.81</v>
      </c>
      <c r="R225" s="88">
        <f t="shared" si="24"/>
        <v>0.75</v>
      </c>
      <c r="S225" s="91">
        <f t="shared" si="25"/>
        <v>0.78</v>
      </c>
      <c r="T225" s="1">
        <f t="shared" si="26"/>
        <v>41.185278024545511</v>
      </c>
      <c r="U225" s="1">
        <f t="shared" si="27"/>
        <v>41.185278024545511</v>
      </c>
      <c r="V225" s="227">
        <f t="shared" si="28"/>
        <v>1.2821833375917397</v>
      </c>
      <c r="W225" s="227">
        <f t="shared" si="29"/>
        <v>1.3482752622098706</v>
      </c>
      <c r="X225" s="203" t="e">
        <f>INDEX(#REF!,MATCH(COUNTA(H225:M225),#REF!,0),2)</f>
        <v>#REF!</v>
      </c>
      <c r="Y225" s="310">
        <f t="shared" si="30"/>
        <v>29.39</v>
      </c>
      <c r="Z225" s="91">
        <f t="shared" si="31"/>
        <v>3.8857954278771114</v>
      </c>
      <c r="AD225" s="91" t="str">
        <f>PE_may!AH225</f>
        <v>Kläranlagen</v>
      </c>
    </row>
    <row r="226" spans="1:30">
      <c r="A226" s="217" t="s">
        <v>542</v>
      </c>
      <c r="B226">
        <v>20.92</v>
      </c>
      <c r="C226">
        <v>33.36</v>
      </c>
      <c r="D226">
        <v>17.3</v>
      </c>
      <c r="E226">
        <v>58.48</v>
      </c>
      <c r="F226">
        <v>73.48</v>
      </c>
      <c r="G226">
        <v>44.57</v>
      </c>
      <c r="H226" s="306">
        <v>20.92</v>
      </c>
      <c r="I226">
        <v>33.36</v>
      </c>
      <c r="J226">
        <v>17.3</v>
      </c>
      <c r="K226">
        <v>58.48</v>
      </c>
      <c r="L226">
        <v>73.48</v>
      </c>
      <c r="M226" s="307">
        <v>44.57</v>
      </c>
      <c r="N226">
        <v>0.53800000000000003</v>
      </c>
      <c r="O226">
        <v>6.2E-2</v>
      </c>
      <c r="P226">
        <v>9.8938349999999993</v>
      </c>
      <c r="Q226">
        <v>0.69</v>
      </c>
      <c r="R226" s="88">
        <f t="shared" si="24"/>
        <v>0.75</v>
      </c>
      <c r="S226" s="91">
        <f t="shared" si="25"/>
        <v>0.72</v>
      </c>
      <c r="T226" s="1">
        <f t="shared" si="26"/>
        <v>48.323000056082137</v>
      </c>
      <c r="U226" s="1">
        <f t="shared" si="27"/>
        <v>48.323000056082137</v>
      </c>
      <c r="V226" s="227">
        <f t="shared" si="28"/>
        <v>1.2036445923960288</v>
      </c>
      <c r="W226" s="227">
        <f t="shared" si="29"/>
        <v>1.60783430168514</v>
      </c>
      <c r="X226" s="203" t="e">
        <f>INDEX(#REF!,MATCH(COUNTA(H226:M226),#REF!,0),2)</f>
        <v>#REF!</v>
      </c>
      <c r="Y226" s="310">
        <f t="shared" si="30"/>
        <v>41.351666666666667</v>
      </c>
      <c r="Z226" s="91">
        <f t="shared" si="31"/>
        <v>4.1795387396966568</v>
      </c>
      <c r="AD226" s="91" t="str">
        <f>PE_may!AH226</f>
        <v>Kläranlagen</v>
      </c>
    </row>
    <row r="227" spans="1:30">
      <c r="A227" s="217" t="s">
        <v>543</v>
      </c>
      <c r="B227">
        <v>24.02</v>
      </c>
      <c r="C227">
        <v>43.54</v>
      </c>
      <c r="D227">
        <v>16.37</v>
      </c>
      <c r="E227">
        <v>69.33</v>
      </c>
      <c r="F227">
        <v>64.86</v>
      </c>
      <c r="G227">
        <v>47.77</v>
      </c>
      <c r="H227" s="306">
        <v>24.02</v>
      </c>
      <c r="I227">
        <v>43.54</v>
      </c>
      <c r="J227">
        <v>16.37</v>
      </c>
      <c r="K227">
        <v>69.33</v>
      </c>
      <c r="L227">
        <v>64.86</v>
      </c>
      <c r="M227" s="307">
        <v>47.77</v>
      </c>
      <c r="N227">
        <v>0.65200000000000002</v>
      </c>
      <c r="O227">
        <v>6.2E-2</v>
      </c>
      <c r="P227">
        <v>10.473699999999999</v>
      </c>
      <c r="Q227">
        <v>0.74</v>
      </c>
      <c r="R227" s="88">
        <f t="shared" si="24"/>
        <v>0.75</v>
      </c>
      <c r="S227" s="91">
        <f t="shared" si="25"/>
        <v>0.745</v>
      </c>
      <c r="T227" s="1">
        <f t="shared" si="26"/>
        <v>43.729348368358615</v>
      </c>
      <c r="U227" s="1">
        <f t="shared" si="27"/>
        <v>43.729348368358615</v>
      </c>
      <c r="V227" s="227">
        <f t="shared" si="28"/>
        <v>1.4420501184351071</v>
      </c>
      <c r="W227" s="227">
        <f t="shared" si="29"/>
        <v>1.2908528793220329</v>
      </c>
      <c r="X227" s="203" t="e">
        <f>INDEX(#REF!,MATCH(COUNTA(H227:M227),#REF!,0),2)</f>
        <v>#REF!</v>
      </c>
      <c r="Y227" s="310">
        <f t="shared" si="30"/>
        <v>44.314999999999998</v>
      </c>
      <c r="Z227" s="91">
        <f t="shared" si="31"/>
        <v>4.2310740235064976</v>
      </c>
      <c r="AD227" s="91" t="str">
        <f>PE_may!AH227</f>
        <v>Kläranlagen</v>
      </c>
    </row>
    <row r="228" spans="1:30">
      <c r="A228" s="217" t="s">
        <v>544</v>
      </c>
      <c r="P228">
        <v>2.2444700000000002</v>
      </c>
      <c r="R228" s="88" t="e">
        <f t="shared" si="24"/>
        <v>#DIV/0!</v>
      </c>
      <c r="S228" s="91" t="e">
        <f t="shared" si="25"/>
        <v>#DIV/0!</v>
      </c>
      <c r="T228" s="1" t="e">
        <f t="shared" si="26"/>
        <v>#DIV/0!</v>
      </c>
      <c r="U228" s="1" t="e">
        <f t="shared" si="27"/>
        <v>#DIV/0!</v>
      </c>
      <c r="V228" s="227" t="e">
        <f t="shared" si="28"/>
        <v>#DIV/0!</v>
      </c>
      <c r="W228" s="227" t="e">
        <f t="shared" si="29"/>
        <v>#DIV/0!</v>
      </c>
      <c r="X228" s="203" t="e">
        <f>INDEX(#REF!,MATCH(COUNTA(H228:M228),#REF!,0),2)</f>
        <v>#REF!</v>
      </c>
      <c r="Y228" s="310" t="e">
        <f t="shared" si="30"/>
        <v>#DIV/0!</v>
      </c>
      <c r="Z228" s="91">
        <f t="shared" si="31"/>
        <v>0</v>
      </c>
      <c r="AD228" s="91" t="str">
        <f>PE_may!AH228</f>
        <v>Kläranlagen</v>
      </c>
    </row>
    <row r="229" spans="1:30">
      <c r="A229" s="215" t="s">
        <v>273</v>
      </c>
      <c r="B229">
        <v>4.9000000000000004</v>
      </c>
      <c r="D229">
        <v>5.72</v>
      </c>
      <c r="E229">
        <v>5.89</v>
      </c>
      <c r="F229">
        <v>7.72</v>
      </c>
      <c r="G229">
        <v>3.5</v>
      </c>
      <c r="H229" s="306">
        <v>4.9000000000000004</v>
      </c>
      <c r="J229">
        <v>5.72</v>
      </c>
      <c r="K229">
        <v>5.89</v>
      </c>
      <c r="L229">
        <v>7.72</v>
      </c>
      <c r="M229" s="307">
        <v>3.5</v>
      </c>
      <c r="Q229">
        <v>0.84</v>
      </c>
      <c r="R229" s="88">
        <f t="shared" si="24"/>
        <v>0.91666666666666663</v>
      </c>
      <c r="S229" s="91">
        <f t="shared" si="25"/>
        <v>0.8783333333333333</v>
      </c>
      <c r="T229" s="1">
        <f t="shared" si="26"/>
        <v>24.825660734422453</v>
      </c>
      <c r="U229" s="1">
        <f t="shared" si="27"/>
        <v>24.825660734422453</v>
      </c>
      <c r="V229" s="227">
        <f t="shared" si="28"/>
        <v>1.4860210044086746</v>
      </c>
      <c r="W229" s="227">
        <f t="shared" si="29"/>
        <v>1.5789881053687476</v>
      </c>
      <c r="X229" s="203" t="e">
        <f>INDEX(#REF!,MATCH(COUNTA(H229:M229),#REF!,0),2)</f>
        <v>#REF!</v>
      </c>
      <c r="Y229" s="310">
        <f t="shared" si="30"/>
        <v>5.5460000000000003</v>
      </c>
      <c r="Z229" s="91">
        <f t="shared" si="31"/>
        <v>0</v>
      </c>
      <c r="AD229" s="91">
        <f>PE_aug!AP218</f>
        <v>0</v>
      </c>
    </row>
    <row r="230" spans="1:30">
      <c r="A230" s="215" t="s">
        <v>274</v>
      </c>
      <c r="B230">
        <v>65.86</v>
      </c>
      <c r="C230">
        <v>61.21</v>
      </c>
      <c r="D230">
        <v>41.47</v>
      </c>
      <c r="E230">
        <v>68.48</v>
      </c>
      <c r="F230">
        <v>72.12</v>
      </c>
      <c r="G230">
        <v>66.92</v>
      </c>
      <c r="H230" s="306">
        <v>65.86</v>
      </c>
      <c r="I230">
        <v>61.21</v>
      </c>
      <c r="J230">
        <v>41.47</v>
      </c>
      <c r="K230">
        <v>68.48</v>
      </c>
      <c r="L230">
        <v>72.12</v>
      </c>
      <c r="M230" s="307">
        <v>66.92</v>
      </c>
      <c r="Q230">
        <v>0.98</v>
      </c>
      <c r="R230" s="88">
        <f t="shared" si="24"/>
        <v>1</v>
      </c>
      <c r="S230" s="91">
        <f t="shared" si="25"/>
        <v>0.99</v>
      </c>
      <c r="T230" s="1">
        <f t="shared" si="26"/>
        <v>15.992994641411753</v>
      </c>
      <c r="U230" s="1">
        <f t="shared" si="27"/>
        <v>15.992994641411753</v>
      </c>
      <c r="V230" s="227">
        <f t="shared" si="28"/>
        <v>2.1156154356467427</v>
      </c>
      <c r="W230" s="227">
        <f t="shared" si="29"/>
        <v>0.9420840190486045</v>
      </c>
      <c r="X230" s="203" t="e">
        <f>INDEX(#REF!,MATCH(COUNTA(H230:M230),#REF!,0),2)</f>
        <v>#REF!</v>
      </c>
      <c r="Y230" s="310">
        <f t="shared" si="30"/>
        <v>62.676666666666669</v>
      </c>
      <c r="Z230" s="91">
        <f t="shared" si="31"/>
        <v>0</v>
      </c>
      <c r="AD230" s="91">
        <f>PE_aug!AP219</f>
        <v>0</v>
      </c>
    </row>
    <row r="231" spans="1:30">
      <c r="A231" s="215" t="s">
        <v>275</v>
      </c>
      <c r="N231">
        <v>0.747</v>
      </c>
      <c r="O231">
        <v>0.02</v>
      </c>
      <c r="P231">
        <v>9.4741699999999991</v>
      </c>
      <c r="Q231">
        <v>0.5</v>
      </c>
      <c r="R231" s="88" t="e">
        <f t="shared" si="24"/>
        <v>#DIV/0!</v>
      </c>
      <c r="S231" s="91" t="e">
        <f t="shared" si="25"/>
        <v>#DIV/0!</v>
      </c>
      <c r="T231" s="1" t="e">
        <f t="shared" si="26"/>
        <v>#DIV/0!</v>
      </c>
      <c r="U231" s="1" t="e">
        <f t="shared" si="27"/>
        <v>#DIV/0!</v>
      </c>
      <c r="V231" s="227" t="e">
        <f t="shared" si="28"/>
        <v>#DIV/0!</v>
      </c>
      <c r="W231" s="227" t="e">
        <f t="shared" si="29"/>
        <v>#DIV/0!</v>
      </c>
      <c r="X231" s="203" t="e">
        <f>INDEX(#REF!,MATCH(COUNTA(H231:M231),#REF!,0),2)</f>
        <v>#REF!</v>
      </c>
      <c r="Y231" s="310" t="e">
        <f t="shared" si="30"/>
        <v>#DIV/0!</v>
      </c>
      <c r="Z231" s="91">
        <f t="shared" si="31"/>
        <v>0</v>
      </c>
      <c r="AD231" s="91" t="str">
        <f>PE_aug!AP220</f>
        <v>Kläranlagen</v>
      </c>
    </row>
    <row r="232" spans="1:30">
      <c r="A232" s="215" t="s">
        <v>276</v>
      </c>
      <c r="N232">
        <v>0.64</v>
      </c>
      <c r="O232">
        <v>0.02</v>
      </c>
      <c r="P232">
        <v>8.9339700000000004</v>
      </c>
      <c r="Q232">
        <v>0.61</v>
      </c>
      <c r="R232" s="88" t="e">
        <f t="shared" si="24"/>
        <v>#DIV/0!</v>
      </c>
      <c r="S232" s="91" t="e">
        <f t="shared" si="25"/>
        <v>#DIV/0!</v>
      </c>
      <c r="T232" s="1" t="e">
        <f t="shared" si="26"/>
        <v>#DIV/0!</v>
      </c>
      <c r="U232" s="1" t="e">
        <f t="shared" si="27"/>
        <v>#DIV/0!</v>
      </c>
      <c r="V232" s="227" t="e">
        <f t="shared" si="28"/>
        <v>#DIV/0!</v>
      </c>
      <c r="W232" s="227" t="e">
        <f t="shared" si="29"/>
        <v>#DIV/0!</v>
      </c>
      <c r="X232" s="203" t="e">
        <f>INDEX(#REF!,MATCH(COUNTA(H232:M232),#REF!,0),2)</f>
        <v>#REF!</v>
      </c>
      <c r="Y232" s="310" t="e">
        <f t="shared" si="30"/>
        <v>#DIV/0!</v>
      </c>
      <c r="Z232" s="91">
        <f t="shared" si="31"/>
        <v>0</v>
      </c>
      <c r="AD232" s="91" t="str">
        <f>PE_aug!AP221</f>
        <v>Kläranlagen</v>
      </c>
    </row>
    <row r="233" spans="1:30">
      <c r="A233" s="215" t="s">
        <v>277</v>
      </c>
      <c r="N233">
        <v>0.82199999999999995</v>
      </c>
      <c r="O233">
        <v>0.02</v>
      </c>
      <c r="P233">
        <v>10.4704</v>
      </c>
      <c r="Q233">
        <v>0.5</v>
      </c>
      <c r="R233" s="88" t="e">
        <f t="shared" si="24"/>
        <v>#DIV/0!</v>
      </c>
      <c r="S233" s="91" t="e">
        <f t="shared" si="25"/>
        <v>#DIV/0!</v>
      </c>
      <c r="T233" s="1" t="e">
        <f t="shared" si="26"/>
        <v>#DIV/0!</v>
      </c>
      <c r="U233" s="1" t="e">
        <f t="shared" si="27"/>
        <v>#DIV/0!</v>
      </c>
      <c r="V233" s="227" t="e">
        <f t="shared" si="28"/>
        <v>#DIV/0!</v>
      </c>
      <c r="W233" s="227" t="e">
        <f t="shared" si="29"/>
        <v>#DIV/0!</v>
      </c>
      <c r="X233" s="203" t="e">
        <f>INDEX(#REF!,MATCH(COUNTA(H233:M233),#REF!,0),2)</f>
        <v>#REF!</v>
      </c>
      <c r="Y233" s="310" t="e">
        <f t="shared" si="30"/>
        <v>#DIV/0!</v>
      </c>
      <c r="Z233" s="91">
        <f t="shared" si="31"/>
        <v>0</v>
      </c>
      <c r="AD233" s="91" t="str">
        <f>PE_aug!AP222</f>
        <v>Kläranlagen</v>
      </c>
    </row>
    <row r="234" spans="1:30">
      <c r="A234" s="215" t="s">
        <v>278</v>
      </c>
      <c r="N234">
        <v>0.83099999999999996</v>
      </c>
      <c r="O234">
        <v>0.13600000000000001</v>
      </c>
      <c r="P234">
        <v>8.854280000000001</v>
      </c>
      <c r="R234" s="88" t="e">
        <f t="shared" si="24"/>
        <v>#DIV/0!</v>
      </c>
      <c r="S234" s="91" t="e">
        <f t="shared" si="25"/>
        <v>#DIV/0!</v>
      </c>
      <c r="T234" s="1" t="e">
        <f t="shared" si="26"/>
        <v>#DIV/0!</v>
      </c>
      <c r="U234" s="1" t="e">
        <f t="shared" si="27"/>
        <v>#DIV/0!</v>
      </c>
      <c r="V234" s="227" t="e">
        <f t="shared" si="28"/>
        <v>#DIV/0!</v>
      </c>
      <c r="W234" s="227" t="e">
        <f t="shared" si="29"/>
        <v>#DIV/0!</v>
      </c>
      <c r="X234" s="203" t="e">
        <f>INDEX(#REF!,MATCH(COUNTA(H234:M234),#REF!,0),2)</f>
        <v>#REF!</v>
      </c>
      <c r="Y234" s="310" t="e">
        <f t="shared" si="30"/>
        <v>#DIV/0!</v>
      </c>
      <c r="Z234" s="91">
        <f t="shared" si="31"/>
        <v>0</v>
      </c>
      <c r="AD234" s="91" t="str">
        <f>PE_aug!AP223</f>
        <v>Kläranlagen</v>
      </c>
    </row>
    <row r="235" spans="1:30">
      <c r="A235" s="215" t="s">
        <v>279</v>
      </c>
      <c r="N235">
        <v>0.29799999999999999</v>
      </c>
      <c r="O235">
        <v>0.13600000000000001</v>
      </c>
      <c r="P235">
        <v>8.9194449999999996</v>
      </c>
      <c r="R235" s="88" t="e">
        <f t="shared" si="24"/>
        <v>#DIV/0!</v>
      </c>
      <c r="S235" s="91" t="e">
        <f t="shared" si="25"/>
        <v>#DIV/0!</v>
      </c>
      <c r="T235" s="1" t="e">
        <f t="shared" si="26"/>
        <v>#DIV/0!</v>
      </c>
      <c r="U235" s="1" t="e">
        <f t="shared" si="27"/>
        <v>#DIV/0!</v>
      </c>
      <c r="V235" s="227" t="e">
        <f t="shared" si="28"/>
        <v>#DIV/0!</v>
      </c>
      <c r="W235" s="227" t="e">
        <f t="shared" si="29"/>
        <v>#DIV/0!</v>
      </c>
      <c r="X235" s="203" t="e">
        <f>INDEX(#REF!,MATCH(COUNTA(H235:M235),#REF!,0),2)</f>
        <v>#REF!</v>
      </c>
      <c r="Y235" s="310" t="e">
        <f t="shared" si="30"/>
        <v>#DIV/0!</v>
      </c>
      <c r="Z235" s="91">
        <f t="shared" si="31"/>
        <v>0</v>
      </c>
      <c r="AD235" s="91" t="str">
        <f>PE_aug!AP224</f>
        <v>Kläranlagen</v>
      </c>
    </row>
    <row r="236" spans="1:30">
      <c r="A236" s="215" t="s">
        <v>280</v>
      </c>
      <c r="N236">
        <v>1.038</v>
      </c>
      <c r="O236">
        <v>0.13600000000000001</v>
      </c>
      <c r="P236">
        <v>9.8315149999999996</v>
      </c>
      <c r="R236" s="88" t="e">
        <f t="shared" si="24"/>
        <v>#DIV/0!</v>
      </c>
      <c r="S236" s="91" t="e">
        <f t="shared" si="25"/>
        <v>#DIV/0!</v>
      </c>
      <c r="T236" s="1" t="e">
        <f t="shared" si="26"/>
        <v>#DIV/0!</v>
      </c>
      <c r="U236" s="1" t="e">
        <f t="shared" si="27"/>
        <v>#DIV/0!</v>
      </c>
      <c r="V236" s="227" t="e">
        <f t="shared" si="28"/>
        <v>#DIV/0!</v>
      </c>
      <c r="W236" s="227" t="e">
        <f t="shared" si="29"/>
        <v>#DIV/0!</v>
      </c>
      <c r="X236" s="203" t="e">
        <f>INDEX(#REF!,MATCH(COUNTA(H236:M236),#REF!,0),2)</f>
        <v>#REF!</v>
      </c>
      <c r="Y236" s="310" t="e">
        <f t="shared" si="30"/>
        <v>#DIV/0!</v>
      </c>
      <c r="Z236" s="91">
        <f t="shared" si="31"/>
        <v>0</v>
      </c>
      <c r="AD236" s="91" t="str">
        <f>PE_aug!AP225</f>
        <v>Kläranlagen</v>
      </c>
    </row>
    <row r="237" spans="1:30">
      <c r="A237" s="215" t="s">
        <v>281</v>
      </c>
      <c r="B237">
        <v>11.89</v>
      </c>
      <c r="E237">
        <v>18.68</v>
      </c>
      <c r="F237">
        <v>37.92</v>
      </c>
      <c r="G237">
        <v>10.46</v>
      </c>
      <c r="H237" s="306">
        <v>11.89</v>
      </c>
      <c r="K237">
        <v>18.68</v>
      </c>
      <c r="L237">
        <v>37.92</v>
      </c>
      <c r="M237" s="307">
        <v>10.46</v>
      </c>
      <c r="N237">
        <v>0.92</v>
      </c>
      <c r="O237">
        <v>0.113</v>
      </c>
      <c r="P237">
        <v>8.5098400000000005</v>
      </c>
      <c r="Q237">
        <v>0.81</v>
      </c>
      <c r="R237" s="88">
        <f t="shared" si="24"/>
        <v>0.58333333333333326</v>
      </c>
      <c r="S237" s="91">
        <f t="shared" si="25"/>
        <v>0.69666666666666666</v>
      </c>
      <c r="T237" s="1">
        <f t="shared" si="26"/>
        <v>55.464665901152834</v>
      </c>
      <c r="U237" s="1">
        <f t="shared" si="27"/>
        <v>55.464665901152834</v>
      </c>
      <c r="V237" s="227">
        <f t="shared" si="28"/>
        <v>0.84746626382515544</v>
      </c>
      <c r="W237" s="227">
        <f t="shared" si="29"/>
        <v>1.6609059921315958</v>
      </c>
      <c r="X237" s="203" t="e">
        <f>INDEX(#REF!,MATCH(COUNTA(H237:M237),#REF!,0),2)</f>
        <v>#REF!</v>
      </c>
      <c r="Y237" s="310">
        <f t="shared" si="30"/>
        <v>19.737500000000004</v>
      </c>
      <c r="Z237" s="91">
        <f t="shared" si="31"/>
        <v>2.3193738072631218</v>
      </c>
      <c r="AD237" s="91" t="str">
        <f>PE_aug!AP226</f>
        <v>Kläranlagen</v>
      </c>
    </row>
    <row r="238" spans="1:30">
      <c r="A238" s="215" t="s">
        <v>282</v>
      </c>
      <c r="B238">
        <v>85.37</v>
      </c>
      <c r="C238">
        <v>87.62</v>
      </c>
      <c r="D238">
        <v>63.11</v>
      </c>
      <c r="E238">
        <v>101.11</v>
      </c>
      <c r="F238">
        <v>119.86</v>
      </c>
      <c r="G238">
        <v>85.34</v>
      </c>
      <c r="H238" s="306">
        <v>85.37</v>
      </c>
      <c r="I238">
        <v>87.62</v>
      </c>
      <c r="J238">
        <v>63.11</v>
      </c>
      <c r="K238">
        <v>101.11</v>
      </c>
      <c r="L238">
        <v>119.86</v>
      </c>
      <c r="M238" s="307">
        <v>85.34</v>
      </c>
      <c r="N238">
        <v>0.78100000000000003</v>
      </c>
      <c r="O238">
        <v>0.113</v>
      </c>
      <c r="P238">
        <v>8.9350749999999994</v>
      </c>
      <c r="Q238">
        <v>0.84</v>
      </c>
      <c r="R238" s="88">
        <f t="shared" si="24"/>
        <v>1</v>
      </c>
      <c r="S238" s="91">
        <f t="shared" si="25"/>
        <v>0.91999999999999993</v>
      </c>
      <c r="T238" s="1">
        <f t="shared" si="26"/>
        <v>19.084700264550087</v>
      </c>
      <c r="U238" s="1">
        <f t="shared" si="27"/>
        <v>19.084700264550087</v>
      </c>
      <c r="V238" s="227">
        <f t="shared" si="28"/>
        <v>1.5818608491907606</v>
      </c>
      <c r="W238" s="227">
        <f t="shared" si="29"/>
        <v>1.7074436952333836</v>
      </c>
      <c r="X238" s="203" t="e">
        <f>INDEX(#REF!,MATCH(COUNTA(H238:M238),#REF!,0),2)</f>
        <v>#REF!</v>
      </c>
      <c r="Y238" s="310">
        <f t="shared" si="30"/>
        <v>90.401666666666685</v>
      </c>
      <c r="Z238" s="91">
        <f t="shared" si="31"/>
        <v>10.117616994447914</v>
      </c>
      <c r="AD238" s="91" t="str">
        <f>PE_aug!AP227</f>
        <v>Kläranlagen</v>
      </c>
    </row>
    <row r="239" spans="1:30">
      <c r="A239" s="215" t="s">
        <v>283</v>
      </c>
      <c r="F239">
        <v>10.1</v>
      </c>
      <c r="L239">
        <v>10.1</v>
      </c>
      <c r="N239">
        <v>0.502</v>
      </c>
      <c r="O239">
        <v>0.113</v>
      </c>
      <c r="P239">
        <v>8.0010499999999993</v>
      </c>
      <c r="Q239">
        <v>0.79</v>
      </c>
      <c r="R239" s="88">
        <f t="shared" si="24"/>
        <v>0.16</v>
      </c>
      <c r="S239" s="91">
        <f t="shared" si="25"/>
        <v>0.47500000000000003</v>
      </c>
      <c r="T239" s="1">
        <f t="shared" si="26"/>
        <v>0</v>
      </c>
      <c r="U239" s="1">
        <f t="shared" si="27"/>
        <v>0</v>
      </c>
      <c r="V239" s="227" t="e">
        <f t="shared" si="28"/>
        <v>#DIV/0!</v>
      </c>
      <c r="W239" s="227" t="e">
        <f t="shared" si="29"/>
        <v>#DIV/0!</v>
      </c>
      <c r="X239" s="203" t="e">
        <f>INDEX(#REF!,MATCH(COUNTA(H239:M239),#REF!,0),2)</f>
        <v>#REF!</v>
      </c>
      <c r="Y239" s="310">
        <f t="shared" si="30"/>
        <v>10.1</v>
      </c>
      <c r="Z239" s="91">
        <f t="shared" si="31"/>
        <v>1.262334318620681</v>
      </c>
      <c r="AD239" s="91" t="str">
        <f>PE_aug!AP228</f>
        <v>Kläranlagen</v>
      </c>
    </row>
    <row r="240" spans="1:30">
      <c r="A240" s="215" t="s">
        <v>284</v>
      </c>
      <c r="N240">
        <v>0.70699999999999996</v>
      </c>
      <c r="O240">
        <v>3.2000000000000001E-2</v>
      </c>
      <c r="P240">
        <v>9.4548300000000012</v>
      </c>
      <c r="R240" s="88" t="e">
        <f t="shared" si="24"/>
        <v>#DIV/0!</v>
      </c>
      <c r="S240" s="91" t="e">
        <f t="shared" si="25"/>
        <v>#DIV/0!</v>
      </c>
      <c r="T240" s="1" t="e">
        <f t="shared" si="26"/>
        <v>#DIV/0!</v>
      </c>
      <c r="U240" s="1" t="e">
        <f t="shared" si="27"/>
        <v>#DIV/0!</v>
      </c>
      <c r="V240" s="227" t="e">
        <f t="shared" si="28"/>
        <v>#DIV/0!</v>
      </c>
      <c r="W240" s="227" t="e">
        <f t="shared" si="29"/>
        <v>#DIV/0!</v>
      </c>
      <c r="X240" s="203" t="e">
        <f>INDEX(#REF!,MATCH(COUNTA(H240:M240),#REF!,0),2)</f>
        <v>#REF!</v>
      </c>
      <c r="Y240" s="310" t="e">
        <f t="shared" si="30"/>
        <v>#DIV/0!</v>
      </c>
      <c r="Z240" s="91">
        <f t="shared" si="31"/>
        <v>0</v>
      </c>
      <c r="AD240" s="91" t="str">
        <f>PE_aug!AP229</f>
        <v>Kläranlagen</v>
      </c>
    </row>
    <row r="241" spans="1:30">
      <c r="A241" s="215" t="s">
        <v>285</v>
      </c>
      <c r="N241">
        <v>0.70699999999999996</v>
      </c>
      <c r="O241">
        <v>3.2000000000000001E-2</v>
      </c>
      <c r="P241">
        <v>9.7220899999999997</v>
      </c>
      <c r="R241" s="88" t="e">
        <f t="shared" si="24"/>
        <v>#DIV/0!</v>
      </c>
      <c r="S241" s="91" t="e">
        <f t="shared" si="25"/>
        <v>#DIV/0!</v>
      </c>
      <c r="T241" s="1" t="e">
        <f t="shared" si="26"/>
        <v>#DIV/0!</v>
      </c>
      <c r="U241" s="1" t="e">
        <f t="shared" si="27"/>
        <v>#DIV/0!</v>
      </c>
      <c r="V241" s="227" t="e">
        <f t="shared" si="28"/>
        <v>#DIV/0!</v>
      </c>
      <c r="W241" s="227" t="e">
        <f t="shared" si="29"/>
        <v>#DIV/0!</v>
      </c>
      <c r="X241" s="203" t="e">
        <f>INDEX(#REF!,MATCH(COUNTA(H241:M241),#REF!,0),2)</f>
        <v>#REF!</v>
      </c>
      <c r="Y241" s="310" t="e">
        <f t="shared" si="30"/>
        <v>#DIV/0!</v>
      </c>
      <c r="Z241" s="91">
        <f t="shared" si="31"/>
        <v>0</v>
      </c>
      <c r="AD241" s="91" t="str">
        <f>PE_aug!AP230</f>
        <v>Kläranlagen</v>
      </c>
    </row>
    <row r="242" spans="1:30">
      <c r="A242" s="215" t="s">
        <v>286</v>
      </c>
      <c r="B242">
        <v>5.57</v>
      </c>
      <c r="H242" s="306">
        <v>5.57</v>
      </c>
      <c r="N242">
        <v>1.1419999999999999</v>
      </c>
      <c r="O242">
        <v>5.5E-2</v>
      </c>
      <c r="P242">
        <v>6.5427799999999996</v>
      </c>
      <c r="Q242">
        <v>0.64</v>
      </c>
      <c r="R242" s="88">
        <f t="shared" si="24"/>
        <v>0.16</v>
      </c>
      <c r="S242" s="91">
        <f t="shared" si="25"/>
        <v>0.4</v>
      </c>
      <c r="T242" s="1">
        <f t="shared" si="26"/>
        <v>0</v>
      </c>
      <c r="U242" s="1">
        <f t="shared" si="27"/>
        <v>0</v>
      </c>
      <c r="V242" s="227" t="e">
        <f t="shared" si="28"/>
        <v>#DIV/0!</v>
      </c>
      <c r="W242" s="227" t="e">
        <f t="shared" si="29"/>
        <v>#DIV/0!</v>
      </c>
      <c r="X242" s="203" t="e">
        <f>INDEX(#REF!,MATCH(COUNTA(H242:M242),#REF!,0),2)</f>
        <v>#REF!</v>
      </c>
      <c r="Y242" s="310">
        <f t="shared" si="30"/>
        <v>5.57</v>
      </c>
      <c r="Z242" s="91">
        <f t="shared" si="31"/>
        <v>0.85132008106645807</v>
      </c>
      <c r="AD242" s="91" t="str">
        <f>PE_aug!AP231</f>
        <v>Kläranlagen</v>
      </c>
    </row>
    <row r="243" spans="1:30">
      <c r="A243" s="215" t="s">
        <v>287</v>
      </c>
      <c r="B243">
        <v>5.88</v>
      </c>
      <c r="E243">
        <v>11.5</v>
      </c>
      <c r="F243">
        <v>9.14</v>
      </c>
      <c r="G243">
        <v>12.51</v>
      </c>
      <c r="H243" s="306">
        <v>5.88</v>
      </c>
      <c r="K243">
        <v>11.5</v>
      </c>
      <c r="L243">
        <v>9.14</v>
      </c>
      <c r="M243" s="307">
        <v>12.51</v>
      </c>
      <c r="N243">
        <v>0.49399999999999999</v>
      </c>
      <c r="O243">
        <v>5.5E-2</v>
      </c>
      <c r="P243">
        <v>9.3765300000000007</v>
      </c>
      <c r="Q243">
        <v>0.76</v>
      </c>
      <c r="R243" s="88">
        <f t="shared" si="24"/>
        <v>0.83333333333333326</v>
      </c>
      <c r="S243" s="91">
        <f t="shared" si="25"/>
        <v>0.79666666666666663</v>
      </c>
      <c r="T243" s="1">
        <f t="shared" si="26"/>
        <v>26.143223953885613</v>
      </c>
      <c r="U243" s="1">
        <f t="shared" si="27"/>
        <v>26.143223953885613</v>
      </c>
      <c r="V243" s="227">
        <f t="shared" si="28"/>
        <v>1.5200368033166654</v>
      </c>
      <c r="W243" s="227">
        <f t="shared" si="29"/>
        <v>1.0790203226638608</v>
      </c>
      <c r="X243" s="203" t="e">
        <f>INDEX(#REF!,MATCH(COUNTA(H243:M243),#REF!,0),2)</f>
        <v>#REF!</v>
      </c>
      <c r="Y243" s="310">
        <f t="shared" si="30"/>
        <v>9.7575000000000003</v>
      </c>
      <c r="Z243" s="91">
        <f t="shared" si="31"/>
        <v>1.0406301691563937</v>
      </c>
      <c r="AD243" s="91" t="str">
        <f>PE_aug!AP232</f>
        <v>Kläranlagen</v>
      </c>
    </row>
    <row r="244" spans="1:30">
      <c r="A244" s="215" t="s">
        <v>288</v>
      </c>
      <c r="B244">
        <v>6.15</v>
      </c>
      <c r="G244">
        <v>3.68</v>
      </c>
      <c r="H244" s="306">
        <v>6.15</v>
      </c>
      <c r="M244" s="307">
        <v>3.68</v>
      </c>
      <c r="N244">
        <v>0.65</v>
      </c>
      <c r="O244">
        <v>5.5E-2</v>
      </c>
      <c r="P244">
        <v>9.4145599999999998</v>
      </c>
      <c r="Q244">
        <v>0.76</v>
      </c>
      <c r="R244" s="88">
        <f t="shared" si="24"/>
        <v>0.66666666666666663</v>
      </c>
      <c r="S244" s="91">
        <f t="shared" si="25"/>
        <v>0.71333333333333337</v>
      </c>
      <c r="T244" s="1">
        <f t="shared" si="26"/>
        <v>25.127161749745696</v>
      </c>
      <c r="U244" s="1">
        <f t="shared" si="27"/>
        <v>25.127161749745696</v>
      </c>
      <c r="V244" s="227">
        <f t="shared" si="28"/>
        <v>0.99999999999999911</v>
      </c>
      <c r="W244" s="227">
        <f t="shared" si="29"/>
        <v>0.99999999999999944</v>
      </c>
      <c r="X244" s="203" t="e">
        <f>INDEX(#REF!,MATCH(COUNTA(H244:M244),#REF!,0),2)</f>
        <v>#REF!</v>
      </c>
      <c r="Y244" s="310">
        <f t="shared" si="30"/>
        <v>4.915</v>
      </c>
      <c r="Z244" s="91">
        <f t="shared" si="31"/>
        <v>0.52206369708196665</v>
      </c>
      <c r="AD244" s="91" t="str">
        <f>PE_aug!AP233</f>
        <v>Kläranlagen</v>
      </c>
    </row>
    <row r="245" spans="1:30">
      <c r="A245" s="215" t="s">
        <v>289</v>
      </c>
      <c r="N245">
        <v>0.54800000000000004</v>
      </c>
      <c r="O245">
        <v>0.16400000000000001</v>
      </c>
      <c r="P245">
        <v>4.9484750000000002</v>
      </c>
      <c r="R245" s="88" t="e">
        <f t="shared" si="24"/>
        <v>#DIV/0!</v>
      </c>
      <c r="S245" s="91" t="e">
        <f t="shared" si="25"/>
        <v>#DIV/0!</v>
      </c>
      <c r="T245" s="1" t="e">
        <f t="shared" si="26"/>
        <v>#DIV/0!</v>
      </c>
      <c r="U245" s="1" t="e">
        <f t="shared" si="27"/>
        <v>#DIV/0!</v>
      </c>
      <c r="V245" s="227" t="e">
        <f t="shared" si="28"/>
        <v>#DIV/0!</v>
      </c>
      <c r="W245" s="227" t="e">
        <f t="shared" si="29"/>
        <v>#DIV/0!</v>
      </c>
      <c r="X245" s="203" t="e">
        <f>INDEX(#REF!,MATCH(COUNTA(H245:M245),#REF!,0),2)</f>
        <v>#REF!</v>
      </c>
      <c r="Y245" s="310" t="e">
        <f t="shared" si="30"/>
        <v>#DIV/0!</v>
      </c>
      <c r="Z245" s="91">
        <f t="shared" si="31"/>
        <v>0</v>
      </c>
      <c r="AD245" s="91" t="str">
        <f>PE_aug!AP234</f>
        <v>Kläranlagen</v>
      </c>
    </row>
    <row r="246" spans="1:30">
      <c r="A246" s="215" t="s">
        <v>290</v>
      </c>
      <c r="N246">
        <v>0.82099999999999995</v>
      </c>
      <c r="O246">
        <v>0.16400000000000001</v>
      </c>
      <c r="P246">
        <v>5.7705900000000003</v>
      </c>
      <c r="R246" s="88" t="e">
        <f t="shared" si="24"/>
        <v>#DIV/0!</v>
      </c>
      <c r="S246" s="91" t="e">
        <f t="shared" si="25"/>
        <v>#DIV/0!</v>
      </c>
      <c r="T246" s="1" t="e">
        <f t="shared" si="26"/>
        <v>#DIV/0!</v>
      </c>
      <c r="U246" s="1" t="e">
        <f t="shared" si="27"/>
        <v>#DIV/0!</v>
      </c>
      <c r="V246" s="227" t="e">
        <f t="shared" si="28"/>
        <v>#DIV/0!</v>
      </c>
      <c r="W246" s="227" t="e">
        <f t="shared" si="29"/>
        <v>#DIV/0!</v>
      </c>
      <c r="X246" s="203" t="e">
        <f>INDEX(#REF!,MATCH(COUNTA(H246:M246),#REF!,0),2)</f>
        <v>#REF!</v>
      </c>
      <c r="Y246" s="310" t="e">
        <f t="shared" si="30"/>
        <v>#DIV/0!</v>
      </c>
      <c r="Z246" s="91">
        <f t="shared" si="31"/>
        <v>0</v>
      </c>
      <c r="AD246" s="91" t="str">
        <f>PE_aug!AP235</f>
        <v>Kläranlagen</v>
      </c>
    </row>
    <row r="247" spans="1:30">
      <c r="A247" s="215" t="s">
        <v>291</v>
      </c>
      <c r="N247">
        <v>0.79400000000000004</v>
      </c>
      <c r="O247">
        <v>0.16400000000000001</v>
      </c>
      <c r="P247">
        <v>7.5740399999999992</v>
      </c>
      <c r="Q247">
        <v>0.5</v>
      </c>
      <c r="R247" s="88" t="e">
        <f t="shared" si="24"/>
        <v>#DIV/0!</v>
      </c>
      <c r="S247" s="91" t="e">
        <f t="shared" si="25"/>
        <v>#DIV/0!</v>
      </c>
      <c r="T247" s="1" t="e">
        <f t="shared" si="26"/>
        <v>#DIV/0!</v>
      </c>
      <c r="U247" s="1" t="e">
        <f t="shared" si="27"/>
        <v>#DIV/0!</v>
      </c>
      <c r="V247" s="227" t="e">
        <f t="shared" si="28"/>
        <v>#DIV/0!</v>
      </c>
      <c r="W247" s="227" t="e">
        <f t="shared" si="29"/>
        <v>#DIV/0!</v>
      </c>
      <c r="X247" s="203" t="e">
        <f>INDEX(#REF!,MATCH(COUNTA(H247:M247),#REF!,0),2)</f>
        <v>#REF!</v>
      </c>
      <c r="Y247" s="310" t="e">
        <f t="shared" si="30"/>
        <v>#DIV/0!</v>
      </c>
      <c r="Z247" s="91">
        <f t="shared" si="31"/>
        <v>0</v>
      </c>
      <c r="AD247" s="91" t="str">
        <f>PE_aug!AP236</f>
        <v>Kläranlagen</v>
      </c>
    </row>
    <row r="248" spans="1:30">
      <c r="A248" s="215" t="s">
        <v>292</v>
      </c>
      <c r="N248">
        <v>0.90600000000000003</v>
      </c>
      <c r="O248">
        <v>0.13900000000000001</v>
      </c>
      <c r="P248">
        <v>8.5894499999999994</v>
      </c>
      <c r="Q248">
        <v>0.5</v>
      </c>
      <c r="R248" s="88" t="e">
        <f t="shared" si="24"/>
        <v>#DIV/0!</v>
      </c>
      <c r="S248" s="91" t="e">
        <f t="shared" si="25"/>
        <v>#DIV/0!</v>
      </c>
      <c r="T248" s="1" t="e">
        <f t="shared" si="26"/>
        <v>#DIV/0!</v>
      </c>
      <c r="U248" s="1" t="e">
        <f t="shared" si="27"/>
        <v>#DIV/0!</v>
      </c>
      <c r="V248" s="227" t="e">
        <f t="shared" si="28"/>
        <v>#DIV/0!</v>
      </c>
      <c r="W248" s="227" t="e">
        <f t="shared" si="29"/>
        <v>#DIV/0!</v>
      </c>
      <c r="X248" s="203" t="e">
        <f>INDEX(#REF!,MATCH(COUNTA(H248:M248),#REF!,0),2)</f>
        <v>#REF!</v>
      </c>
      <c r="Y248" s="310" t="e">
        <f t="shared" si="30"/>
        <v>#DIV/0!</v>
      </c>
      <c r="Z248" s="91">
        <f t="shared" si="31"/>
        <v>0</v>
      </c>
      <c r="AD248" s="91" t="str">
        <f>PE_aug!AP237</f>
        <v>Kläranlagen</v>
      </c>
    </row>
    <row r="249" spans="1:30">
      <c r="A249" s="215" t="s">
        <v>293</v>
      </c>
      <c r="N249">
        <v>0.64600000000000002</v>
      </c>
      <c r="O249">
        <v>0.13900000000000001</v>
      </c>
      <c r="P249">
        <v>8.6637399999999989</v>
      </c>
      <c r="R249" s="88" t="e">
        <f t="shared" si="24"/>
        <v>#DIV/0!</v>
      </c>
      <c r="S249" s="91" t="e">
        <f t="shared" si="25"/>
        <v>#DIV/0!</v>
      </c>
      <c r="T249" s="1" t="e">
        <f t="shared" si="26"/>
        <v>#DIV/0!</v>
      </c>
      <c r="U249" s="1" t="e">
        <f t="shared" si="27"/>
        <v>#DIV/0!</v>
      </c>
      <c r="V249" s="227" t="e">
        <f t="shared" si="28"/>
        <v>#DIV/0!</v>
      </c>
      <c r="W249" s="227" t="e">
        <f t="shared" si="29"/>
        <v>#DIV/0!</v>
      </c>
      <c r="X249" s="203" t="e">
        <f>INDEX(#REF!,MATCH(COUNTA(H249:M249),#REF!,0),2)</f>
        <v>#REF!</v>
      </c>
      <c r="Y249" s="310" t="e">
        <f t="shared" si="30"/>
        <v>#DIV/0!</v>
      </c>
      <c r="Z249" s="91">
        <f t="shared" si="31"/>
        <v>0</v>
      </c>
      <c r="AD249" s="91" t="str">
        <f>PE_aug!AP238</f>
        <v>Kläranlagen</v>
      </c>
    </row>
    <row r="250" spans="1:30">
      <c r="A250" s="215" t="s">
        <v>294</v>
      </c>
      <c r="N250">
        <v>0.68</v>
      </c>
      <c r="O250">
        <v>0.13900000000000001</v>
      </c>
      <c r="P250">
        <v>9.0110200000000003</v>
      </c>
      <c r="R250" s="88" t="e">
        <f t="shared" si="24"/>
        <v>#DIV/0!</v>
      </c>
      <c r="S250" s="91" t="e">
        <f t="shared" si="25"/>
        <v>#DIV/0!</v>
      </c>
      <c r="T250" s="1" t="e">
        <f t="shared" si="26"/>
        <v>#DIV/0!</v>
      </c>
      <c r="U250" s="1" t="e">
        <f t="shared" si="27"/>
        <v>#DIV/0!</v>
      </c>
      <c r="V250" s="227" t="e">
        <f t="shared" si="28"/>
        <v>#DIV/0!</v>
      </c>
      <c r="W250" s="227" t="e">
        <f t="shared" si="29"/>
        <v>#DIV/0!</v>
      </c>
      <c r="X250" s="203" t="e">
        <f>INDEX(#REF!,MATCH(COUNTA(H250:M250),#REF!,0),2)</f>
        <v>#REF!</v>
      </c>
      <c r="Y250" s="310" t="e">
        <f t="shared" si="30"/>
        <v>#DIV/0!</v>
      </c>
      <c r="Z250" s="91">
        <f t="shared" si="31"/>
        <v>0</v>
      </c>
      <c r="AD250" s="91" t="str">
        <f>PE_aug!AP239</f>
        <v>Kläranlagen</v>
      </c>
    </row>
    <row r="251" spans="1:30">
      <c r="A251" s="215" t="s">
        <v>295</v>
      </c>
      <c r="R251" s="88" t="e">
        <f t="shared" si="24"/>
        <v>#DIV/0!</v>
      </c>
      <c r="S251" s="91" t="e">
        <f t="shared" si="25"/>
        <v>#DIV/0!</v>
      </c>
      <c r="T251" s="1" t="e">
        <f t="shared" si="26"/>
        <v>#DIV/0!</v>
      </c>
      <c r="U251" s="1" t="e">
        <f t="shared" si="27"/>
        <v>#DIV/0!</v>
      </c>
      <c r="V251" s="227" t="e">
        <f t="shared" si="28"/>
        <v>#DIV/0!</v>
      </c>
      <c r="W251" s="227" t="e">
        <f t="shared" si="29"/>
        <v>#DIV/0!</v>
      </c>
      <c r="X251" s="203" t="e">
        <f>INDEX(#REF!,MATCH(COUNTA(H251:M251),#REF!,0),2)</f>
        <v>#REF!</v>
      </c>
      <c r="Y251" s="310" t="e">
        <f t="shared" si="30"/>
        <v>#DIV/0!</v>
      </c>
      <c r="Z251" s="91">
        <f t="shared" si="31"/>
        <v>0</v>
      </c>
      <c r="AD251" s="91" t="str">
        <f>PE_aug!AP240</f>
        <v>Methode</v>
      </c>
    </row>
    <row r="252" spans="1:30">
      <c r="A252" s="215" t="s">
        <v>296</v>
      </c>
      <c r="B252">
        <v>57.23</v>
      </c>
      <c r="C252">
        <v>43.02</v>
      </c>
      <c r="D252">
        <v>36.54</v>
      </c>
      <c r="E252">
        <v>51.08</v>
      </c>
      <c r="F252">
        <v>78.260000000000005</v>
      </c>
      <c r="G252">
        <v>54.28</v>
      </c>
      <c r="H252" s="306">
        <v>57.23</v>
      </c>
      <c r="I252">
        <v>43.02</v>
      </c>
      <c r="J252">
        <v>36.54</v>
      </c>
      <c r="K252">
        <v>51.08</v>
      </c>
      <c r="L252">
        <v>78.260000000000005</v>
      </c>
      <c r="M252" s="307">
        <v>54.28</v>
      </c>
      <c r="Q252">
        <v>0.81</v>
      </c>
      <c r="R252" s="88">
        <f t="shared" si="24"/>
        <v>1</v>
      </c>
      <c r="S252" s="91">
        <f t="shared" si="25"/>
        <v>0.90500000000000003</v>
      </c>
      <c r="T252" s="1">
        <f t="shared" si="26"/>
        <v>24.54523248145615</v>
      </c>
      <c r="U252" s="1">
        <f t="shared" si="27"/>
        <v>24.54523248145615</v>
      </c>
      <c r="V252" s="227">
        <f t="shared" si="28"/>
        <v>1.2864074250741351</v>
      </c>
      <c r="W252" s="227">
        <f t="shared" si="29"/>
        <v>1.8964877676169549</v>
      </c>
      <c r="X252" s="203" t="e">
        <f>INDEX(#REF!,MATCH(COUNTA(H252:M252),#REF!,0),2)</f>
        <v>#REF!</v>
      </c>
      <c r="Y252" s="310">
        <f t="shared" si="30"/>
        <v>53.401666666666664</v>
      </c>
      <c r="Z252" s="91">
        <f t="shared" si="31"/>
        <v>0</v>
      </c>
      <c r="AD252" s="91" t="str">
        <f>PE_aug!AP241</f>
        <v>Methode</v>
      </c>
    </row>
    <row r="253" spans="1:30">
      <c r="A253" s="215" t="s">
        <v>297</v>
      </c>
      <c r="Q253">
        <v>0.5</v>
      </c>
      <c r="R253" s="88" t="e">
        <f t="shared" si="24"/>
        <v>#DIV/0!</v>
      </c>
      <c r="S253" s="91" t="e">
        <f t="shared" si="25"/>
        <v>#DIV/0!</v>
      </c>
      <c r="T253" s="1" t="e">
        <f t="shared" si="26"/>
        <v>#DIV/0!</v>
      </c>
      <c r="U253" s="1" t="e">
        <f t="shared" si="27"/>
        <v>#DIV/0!</v>
      </c>
      <c r="V253" s="227" t="e">
        <f t="shared" si="28"/>
        <v>#DIV/0!</v>
      </c>
      <c r="W253" s="227" t="e">
        <f t="shared" si="29"/>
        <v>#DIV/0!</v>
      </c>
      <c r="X253" s="203" t="e">
        <f>INDEX(#REF!,MATCH(COUNTA(H253:M253),#REF!,0),2)</f>
        <v>#REF!</v>
      </c>
      <c r="Y253" s="310" t="e">
        <f t="shared" si="30"/>
        <v>#DIV/0!</v>
      </c>
      <c r="Z253" s="91">
        <f t="shared" si="31"/>
        <v>0</v>
      </c>
      <c r="AD253" s="91" t="str">
        <f>PE_aug!AP242</f>
        <v>Kläranlagen</v>
      </c>
    </row>
    <row r="254" spans="1:30">
      <c r="A254" s="215" t="s">
        <v>298</v>
      </c>
      <c r="Q254">
        <v>0.5</v>
      </c>
      <c r="R254" s="88" t="e">
        <f t="shared" si="24"/>
        <v>#DIV/0!</v>
      </c>
      <c r="S254" s="91" t="e">
        <f t="shared" si="25"/>
        <v>#DIV/0!</v>
      </c>
      <c r="T254" s="1" t="e">
        <f t="shared" si="26"/>
        <v>#DIV/0!</v>
      </c>
      <c r="U254" s="1" t="e">
        <f t="shared" si="27"/>
        <v>#DIV/0!</v>
      </c>
      <c r="V254" s="227" t="e">
        <f t="shared" si="28"/>
        <v>#DIV/0!</v>
      </c>
      <c r="W254" s="227" t="e">
        <f t="shared" si="29"/>
        <v>#DIV/0!</v>
      </c>
      <c r="X254" s="203" t="e">
        <f>INDEX(#REF!,MATCH(COUNTA(H254:M254),#REF!,0),2)</f>
        <v>#REF!</v>
      </c>
      <c r="Y254" s="310" t="e">
        <f t="shared" si="30"/>
        <v>#DIV/0!</v>
      </c>
      <c r="Z254" s="91">
        <f t="shared" si="31"/>
        <v>0</v>
      </c>
      <c r="AD254" s="91" t="str">
        <f>PE_aug!AP243</f>
        <v>Kläranlagen</v>
      </c>
    </row>
    <row r="255" spans="1:30">
      <c r="A255" s="215" t="s">
        <v>299</v>
      </c>
      <c r="Q255">
        <v>0.5</v>
      </c>
      <c r="R255" s="88" t="e">
        <f t="shared" si="24"/>
        <v>#DIV/0!</v>
      </c>
      <c r="S255" s="91" t="e">
        <f t="shared" si="25"/>
        <v>#DIV/0!</v>
      </c>
      <c r="T255" s="1" t="e">
        <f t="shared" si="26"/>
        <v>#DIV/0!</v>
      </c>
      <c r="U255" s="1" t="e">
        <f t="shared" si="27"/>
        <v>#DIV/0!</v>
      </c>
      <c r="V255" s="227" t="e">
        <f t="shared" si="28"/>
        <v>#DIV/0!</v>
      </c>
      <c r="W255" s="227" t="e">
        <f t="shared" si="29"/>
        <v>#DIV/0!</v>
      </c>
      <c r="X255" s="203" t="e">
        <f>INDEX(#REF!,MATCH(COUNTA(H255:M255),#REF!,0),2)</f>
        <v>#REF!</v>
      </c>
      <c r="Y255" s="310" t="e">
        <f t="shared" si="30"/>
        <v>#DIV/0!</v>
      </c>
      <c r="Z255" s="91">
        <f t="shared" si="31"/>
        <v>0</v>
      </c>
      <c r="AD255" s="91" t="str">
        <f>PE_aug!AP244</f>
        <v>Kläranlagen</v>
      </c>
    </row>
    <row r="256" spans="1:30">
      <c r="A256" s="215" t="s">
        <v>300</v>
      </c>
      <c r="P256">
        <v>6.02935</v>
      </c>
      <c r="Q256">
        <v>0.5</v>
      </c>
      <c r="R256" s="88" t="e">
        <f t="shared" si="24"/>
        <v>#DIV/0!</v>
      </c>
      <c r="S256" s="91" t="e">
        <f t="shared" si="25"/>
        <v>#DIV/0!</v>
      </c>
      <c r="T256" s="1" t="e">
        <f t="shared" si="26"/>
        <v>#DIV/0!</v>
      </c>
      <c r="U256" s="1" t="e">
        <f t="shared" si="27"/>
        <v>#DIV/0!</v>
      </c>
      <c r="V256" s="227" t="e">
        <f t="shared" si="28"/>
        <v>#DIV/0!</v>
      </c>
      <c r="W256" s="227" t="e">
        <f t="shared" si="29"/>
        <v>#DIV/0!</v>
      </c>
      <c r="X256" s="203" t="e">
        <f>INDEX(#REF!,MATCH(COUNTA(H256:M256),#REF!,0),2)</f>
        <v>#REF!</v>
      </c>
      <c r="Y256" s="310" t="e">
        <f t="shared" si="30"/>
        <v>#DIV/0!</v>
      </c>
      <c r="Z256" s="91">
        <f t="shared" si="31"/>
        <v>0</v>
      </c>
      <c r="AD256" s="91" t="str">
        <f>PE_aug!AP245</f>
        <v>Kläranlage, Methode</v>
      </c>
    </row>
    <row r="257" spans="1:30">
      <c r="A257" s="215" t="s">
        <v>301</v>
      </c>
      <c r="N257">
        <v>0.82799999999999996</v>
      </c>
      <c r="O257">
        <v>0.191</v>
      </c>
      <c r="P257">
        <v>8.4088700000000003</v>
      </c>
      <c r="R257" s="88" t="e">
        <f t="shared" si="24"/>
        <v>#DIV/0!</v>
      </c>
      <c r="S257" s="91" t="e">
        <f t="shared" si="25"/>
        <v>#DIV/0!</v>
      </c>
      <c r="T257" s="1" t="e">
        <f t="shared" si="26"/>
        <v>#DIV/0!</v>
      </c>
      <c r="U257" s="1" t="e">
        <f t="shared" si="27"/>
        <v>#DIV/0!</v>
      </c>
      <c r="V257" s="227" t="e">
        <f t="shared" si="28"/>
        <v>#DIV/0!</v>
      </c>
      <c r="W257" s="227" t="e">
        <f t="shared" si="29"/>
        <v>#DIV/0!</v>
      </c>
      <c r="X257" s="203" t="e">
        <f>INDEX(#REF!,MATCH(COUNTA(H257:M257),#REF!,0),2)</f>
        <v>#REF!</v>
      </c>
      <c r="Y257" s="310" t="e">
        <f t="shared" si="30"/>
        <v>#DIV/0!</v>
      </c>
      <c r="Z257" s="91">
        <f t="shared" si="31"/>
        <v>0</v>
      </c>
      <c r="AD257" s="91" t="str">
        <f>PE_aug!AP246</f>
        <v>Kläranlagen</v>
      </c>
    </row>
    <row r="258" spans="1:30">
      <c r="A258" s="215" t="s">
        <v>302</v>
      </c>
      <c r="N258">
        <v>0.79200000000000004</v>
      </c>
      <c r="O258">
        <v>0.191</v>
      </c>
      <c r="P258">
        <v>6.7405999999999997</v>
      </c>
      <c r="R258" s="88" t="e">
        <f t="shared" ref="R258:R321" si="32">IF(COUNT(H258:M258)=1,0.16,(COUNT(H258:M258)*(1/(COUNT(H258:M258)+COUNTBLANK(H258:M258)))+(IF(T258&lt;35,1,IF(T258&lt;70,0.5,IF(T258&gt;70,0)))))/2)</f>
        <v>#DIV/0!</v>
      </c>
      <c r="S258" s="91" t="e">
        <f t="shared" ref="S258:S321" si="33">AVERAGE(Q258:R258)</f>
        <v>#DIV/0!</v>
      </c>
      <c r="T258" s="1" t="e">
        <f t="shared" ref="T258:T321" si="34">((_xlfn.STDEV.P(H258:M258))/(AVERAGE(H258:M258)))*100</f>
        <v>#DIV/0!</v>
      </c>
      <c r="U258" s="1" t="e">
        <f t="shared" ref="U258:U321" si="35">((_xlfn.STDEV.P(B258:G258))/(AVERAGE(B258:G258)))*100</f>
        <v>#DIV/0!</v>
      </c>
      <c r="V258" s="227" t="e">
        <f t="shared" ref="V258:V321" si="36">(ABS(MIN(H258:M258)-AVERAGE(H258:M258))/_xlfn.STDEV.P(H258:M258))</f>
        <v>#DIV/0!</v>
      </c>
      <c r="W258" s="227" t="e">
        <f t="shared" ref="W258:W321" si="37">(ABS(MAX(H258:M258)-AVERAGE(H258:M258))/_xlfn.STDEV.P(H258:M258))</f>
        <v>#DIV/0!</v>
      </c>
      <c r="X258" s="203" t="e">
        <f>INDEX(#REF!,MATCH(COUNTA(H258:M258),#REF!,0),2)</f>
        <v>#REF!</v>
      </c>
      <c r="Y258" s="310" t="e">
        <f t="shared" ref="Y258:Y321" si="38">AVERAGE(H258:M258)</f>
        <v>#DIV/0!</v>
      </c>
      <c r="Z258" s="91">
        <f t="shared" ref="Z258:Z321" si="39">IFERROR(Y258/P258,0)</f>
        <v>0</v>
      </c>
      <c r="AD258" s="91" t="str">
        <f>PE_aug!AP247</f>
        <v>Kläranlagen</v>
      </c>
    </row>
    <row r="259" spans="1:30">
      <c r="A259" s="215" t="s">
        <v>303</v>
      </c>
      <c r="N259">
        <v>0.629</v>
      </c>
      <c r="O259">
        <v>0.191</v>
      </c>
      <c r="P259">
        <v>7.8805199999999997</v>
      </c>
      <c r="R259" s="88" t="e">
        <f t="shared" si="32"/>
        <v>#DIV/0!</v>
      </c>
      <c r="S259" s="91" t="e">
        <f t="shared" si="33"/>
        <v>#DIV/0!</v>
      </c>
      <c r="T259" s="1" t="e">
        <f t="shared" si="34"/>
        <v>#DIV/0!</v>
      </c>
      <c r="U259" s="1" t="e">
        <f t="shared" si="35"/>
        <v>#DIV/0!</v>
      </c>
      <c r="V259" s="227" t="e">
        <f t="shared" si="36"/>
        <v>#DIV/0!</v>
      </c>
      <c r="W259" s="227" t="e">
        <f t="shared" si="37"/>
        <v>#DIV/0!</v>
      </c>
      <c r="X259" s="203" t="e">
        <f>INDEX(#REF!,MATCH(COUNTA(H259:M259),#REF!,0),2)</f>
        <v>#REF!</v>
      </c>
      <c r="Y259" s="310" t="e">
        <f t="shared" si="38"/>
        <v>#DIV/0!</v>
      </c>
      <c r="Z259" s="91">
        <f t="shared" si="39"/>
        <v>0</v>
      </c>
      <c r="AD259" s="91" t="str">
        <f>PE_aug!AP248</f>
        <v>Kläranlagen</v>
      </c>
    </row>
    <row r="260" spans="1:30">
      <c r="A260" s="215" t="s">
        <v>304</v>
      </c>
      <c r="N260">
        <v>0.83699999999999997</v>
      </c>
      <c r="O260">
        <v>7.9000000000000001E-2</v>
      </c>
      <c r="P260">
        <v>7.9408200000000004</v>
      </c>
      <c r="R260" s="88" t="e">
        <f t="shared" si="32"/>
        <v>#DIV/0!</v>
      </c>
      <c r="S260" s="91" t="e">
        <f t="shared" si="33"/>
        <v>#DIV/0!</v>
      </c>
      <c r="T260" s="1" t="e">
        <f t="shared" si="34"/>
        <v>#DIV/0!</v>
      </c>
      <c r="U260" s="1" t="e">
        <f t="shared" si="35"/>
        <v>#DIV/0!</v>
      </c>
      <c r="V260" s="227" t="e">
        <f t="shared" si="36"/>
        <v>#DIV/0!</v>
      </c>
      <c r="W260" s="227" t="e">
        <f t="shared" si="37"/>
        <v>#DIV/0!</v>
      </c>
      <c r="X260" s="203" t="e">
        <f>INDEX(#REF!,MATCH(COUNTA(H260:M260),#REF!,0),2)</f>
        <v>#REF!</v>
      </c>
      <c r="Y260" s="310" t="e">
        <f t="shared" si="38"/>
        <v>#DIV/0!</v>
      </c>
      <c r="Z260" s="91">
        <f t="shared" si="39"/>
        <v>0</v>
      </c>
      <c r="AD260" s="91" t="str">
        <f>PE_aug!AP249</f>
        <v>Kläranlagen</v>
      </c>
    </row>
    <row r="261" spans="1:30">
      <c r="A261" s="215" t="s">
        <v>305</v>
      </c>
      <c r="N261">
        <v>0.56399999999999995</v>
      </c>
      <c r="O261">
        <v>7.9000000000000001E-2</v>
      </c>
      <c r="P261">
        <v>8.8329500000000003</v>
      </c>
      <c r="R261" s="88" t="e">
        <f t="shared" si="32"/>
        <v>#DIV/0!</v>
      </c>
      <c r="S261" s="91" t="e">
        <f t="shared" si="33"/>
        <v>#DIV/0!</v>
      </c>
      <c r="T261" s="1" t="e">
        <f t="shared" si="34"/>
        <v>#DIV/0!</v>
      </c>
      <c r="U261" s="1" t="e">
        <f t="shared" si="35"/>
        <v>#DIV/0!</v>
      </c>
      <c r="V261" s="227" t="e">
        <f t="shared" si="36"/>
        <v>#DIV/0!</v>
      </c>
      <c r="W261" s="227" t="e">
        <f t="shared" si="37"/>
        <v>#DIV/0!</v>
      </c>
      <c r="X261" s="203" t="e">
        <f>INDEX(#REF!,MATCH(COUNTA(H261:M261),#REF!,0),2)</f>
        <v>#REF!</v>
      </c>
      <c r="Y261" s="310" t="e">
        <f t="shared" si="38"/>
        <v>#DIV/0!</v>
      </c>
      <c r="Z261" s="91">
        <f t="shared" si="39"/>
        <v>0</v>
      </c>
      <c r="AD261" s="91" t="str">
        <f>PE_aug!AP250</f>
        <v>Kläranlagen</v>
      </c>
    </row>
    <row r="262" spans="1:30">
      <c r="A262" s="215" t="s">
        <v>306</v>
      </c>
      <c r="N262">
        <v>0.82899999999999996</v>
      </c>
      <c r="O262">
        <v>7.9000000000000001E-2</v>
      </c>
      <c r="P262">
        <v>5.0712599999999997</v>
      </c>
      <c r="R262" s="88" t="e">
        <f t="shared" si="32"/>
        <v>#DIV/0!</v>
      </c>
      <c r="S262" s="91" t="e">
        <f t="shared" si="33"/>
        <v>#DIV/0!</v>
      </c>
      <c r="T262" s="1" t="e">
        <f t="shared" si="34"/>
        <v>#DIV/0!</v>
      </c>
      <c r="U262" s="1" t="e">
        <f t="shared" si="35"/>
        <v>#DIV/0!</v>
      </c>
      <c r="V262" s="227" t="e">
        <f t="shared" si="36"/>
        <v>#DIV/0!</v>
      </c>
      <c r="W262" s="227" t="e">
        <f t="shared" si="37"/>
        <v>#DIV/0!</v>
      </c>
      <c r="X262" s="203" t="e">
        <f>INDEX(#REF!,MATCH(COUNTA(H262:M262),#REF!,0),2)</f>
        <v>#REF!</v>
      </c>
      <c r="Y262" s="310" t="e">
        <f t="shared" si="38"/>
        <v>#DIV/0!</v>
      </c>
      <c r="Z262" s="91">
        <f t="shared" si="39"/>
        <v>0</v>
      </c>
      <c r="AD262" s="91" t="str">
        <f>PE_aug!AP251</f>
        <v>Kläranlagen</v>
      </c>
    </row>
    <row r="263" spans="1:30">
      <c r="A263" s="215" t="s">
        <v>307</v>
      </c>
      <c r="N263">
        <v>0.28599999999999998</v>
      </c>
      <c r="O263">
        <v>2.7E-2</v>
      </c>
      <c r="P263">
        <v>8.5876000000000001</v>
      </c>
      <c r="R263" s="88" t="e">
        <f t="shared" si="32"/>
        <v>#DIV/0!</v>
      </c>
      <c r="S263" s="91" t="e">
        <f t="shared" si="33"/>
        <v>#DIV/0!</v>
      </c>
      <c r="T263" s="1" t="e">
        <f t="shared" si="34"/>
        <v>#DIV/0!</v>
      </c>
      <c r="U263" s="1" t="e">
        <f t="shared" si="35"/>
        <v>#DIV/0!</v>
      </c>
      <c r="V263" s="227" t="e">
        <f t="shared" si="36"/>
        <v>#DIV/0!</v>
      </c>
      <c r="W263" s="227" t="e">
        <f t="shared" si="37"/>
        <v>#DIV/0!</v>
      </c>
      <c r="X263" s="203" t="e">
        <f>INDEX(#REF!,MATCH(COUNTA(H263:M263),#REF!,0),2)</f>
        <v>#REF!</v>
      </c>
      <c r="Y263" s="310" t="e">
        <f t="shared" si="38"/>
        <v>#DIV/0!</v>
      </c>
      <c r="Z263" s="91">
        <f t="shared" si="39"/>
        <v>0</v>
      </c>
      <c r="AD263" s="91" t="str">
        <f>PE_aug!AP252</f>
        <v>Kläranlagen</v>
      </c>
    </row>
    <row r="264" spans="1:30">
      <c r="A264" s="215" t="s">
        <v>308</v>
      </c>
      <c r="N264">
        <v>1</v>
      </c>
      <c r="O264">
        <v>2.7E-2</v>
      </c>
      <c r="P264">
        <v>11.023999999999999</v>
      </c>
      <c r="R264" s="88" t="e">
        <f t="shared" si="32"/>
        <v>#DIV/0!</v>
      </c>
      <c r="S264" s="91" t="e">
        <f t="shared" si="33"/>
        <v>#DIV/0!</v>
      </c>
      <c r="T264" s="1" t="e">
        <f t="shared" si="34"/>
        <v>#DIV/0!</v>
      </c>
      <c r="U264" s="1" t="e">
        <f t="shared" si="35"/>
        <v>#DIV/0!</v>
      </c>
      <c r="V264" s="227" t="e">
        <f t="shared" si="36"/>
        <v>#DIV/0!</v>
      </c>
      <c r="W264" s="227" t="e">
        <f t="shared" si="37"/>
        <v>#DIV/0!</v>
      </c>
      <c r="X264" s="203" t="e">
        <f>INDEX(#REF!,MATCH(COUNTA(H264:M264),#REF!,0),2)</f>
        <v>#REF!</v>
      </c>
      <c r="Y264" s="310" t="e">
        <f t="shared" si="38"/>
        <v>#DIV/0!</v>
      </c>
      <c r="Z264" s="91">
        <f t="shared" si="39"/>
        <v>0</v>
      </c>
      <c r="AD264" s="91" t="str">
        <f>PE_aug!AP253</f>
        <v>Kläranlagen</v>
      </c>
    </row>
    <row r="265" spans="1:30">
      <c r="A265" s="321" t="s">
        <v>309</v>
      </c>
      <c r="N265">
        <v>0.86599999999999999</v>
      </c>
      <c r="O265">
        <v>2.7E-2</v>
      </c>
      <c r="P265">
        <v>7.3292199999999994</v>
      </c>
      <c r="R265" s="88" t="e">
        <f t="shared" si="32"/>
        <v>#DIV/0!</v>
      </c>
      <c r="S265" s="91" t="e">
        <f t="shared" si="33"/>
        <v>#DIV/0!</v>
      </c>
      <c r="T265" s="1" t="e">
        <f t="shared" si="34"/>
        <v>#DIV/0!</v>
      </c>
      <c r="U265" s="1" t="e">
        <f t="shared" si="35"/>
        <v>#DIV/0!</v>
      </c>
      <c r="V265" s="227" t="e">
        <f t="shared" si="36"/>
        <v>#DIV/0!</v>
      </c>
      <c r="W265" s="227" t="e">
        <f t="shared" si="37"/>
        <v>#DIV/0!</v>
      </c>
      <c r="X265" s="203" t="e">
        <f>INDEX(#REF!,MATCH(COUNTA(H265:M265),#REF!,0),2)</f>
        <v>#REF!</v>
      </c>
      <c r="Y265" s="310" t="e">
        <f t="shared" si="38"/>
        <v>#DIV/0!</v>
      </c>
      <c r="Z265" s="91">
        <f t="shared" si="39"/>
        <v>0</v>
      </c>
      <c r="AD265" s="91" t="str">
        <f>PE_aug!AP254</f>
        <v>Kläranlagen</v>
      </c>
    </row>
    <row r="266" spans="1:30">
      <c r="A266" s="215" t="s">
        <v>310</v>
      </c>
      <c r="B266">
        <v>211.86</v>
      </c>
      <c r="C266">
        <v>312.88</v>
      </c>
      <c r="D266">
        <v>257.62</v>
      </c>
      <c r="E266">
        <v>386.74</v>
      </c>
      <c r="F266">
        <v>765.47</v>
      </c>
      <c r="G266">
        <v>393</v>
      </c>
      <c r="H266" s="306">
        <v>211.86</v>
      </c>
      <c r="I266">
        <v>312.88</v>
      </c>
      <c r="J266">
        <v>257.62</v>
      </c>
      <c r="K266">
        <v>386.74</v>
      </c>
      <c r="L266">
        <v>765.47</v>
      </c>
      <c r="M266" s="307">
        <v>393</v>
      </c>
      <c r="Q266">
        <v>0.66</v>
      </c>
      <c r="R266" s="88">
        <f t="shared" si="32"/>
        <v>0.75</v>
      </c>
      <c r="S266" s="91">
        <f t="shared" si="33"/>
        <v>0.70500000000000007</v>
      </c>
      <c r="T266" s="1">
        <f t="shared" si="34"/>
        <v>46.611961519188981</v>
      </c>
      <c r="U266" s="1">
        <f t="shared" si="35"/>
        <v>46.611961519188981</v>
      </c>
      <c r="V266" s="227">
        <f t="shared" si="36"/>
        <v>0.97371615034402403</v>
      </c>
      <c r="W266" s="227">
        <f t="shared" si="37"/>
        <v>2.0879303580681756</v>
      </c>
      <c r="X266" s="203" t="e">
        <f>INDEX(#REF!,MATCH(COUNTA(H266:M266),#REF!,0),2)</f>
        <v>#REF!</v>
      </c>
      <c r="Y266" s="310">
        <f t="shared" si="38"/>
        <v>387.92833333333328</v>
      </c>
      <c r="Z266" s="91">
        <f t="shared" si="39"/>
        <v>0</v>
      </c>
      <c r="AD266" s="91" t="str">
        <f>PE_aug!AP255</f>
        <v>Sickerwasser</v>
      </c>
    </row>
    <row r="267" spans="1:30">
      <c r="A267" s="215" t="s">
        <v>311</v>
      </c>
      <c r="B267">
        <v>49.3</v>
      </c>
      <c r="C267">
        <v>68.63</v>
      </c>
      <c r="D267">
        <v>53.03</v>
      </c>
      <c r="E267">
        <v>78.13</v>
      </c>
      <c r="F267">
        <v>151.80000000000001</v>
      </c>
      <c r="G267">
        <v>77.75</v>
      </c>
      <c r="H267" s="306">
        <v>49.3</v>
      </c>
      <c r="I267">
        <v>68.63</v>
      </c>
      <c r="J267">
        <v>53.03</v>
      </c>
      <c r="K267">
        <v>78.13</v>
      </c>
      <c r="L267">
        <v>151.80000000000001</v>
      </c>
      <c r="M267" s="307">
        <v>77.75</v>
      </c>
      <c r="Q267">
        <v>0.81</v>
      </c>
      <c r="R267" s="88">
        <f t="shared" si="32"/>
        <v>0.75</v>
      </c>
      <c r="S267" s="91">
        <f t="shared" si="33"/>
        <v>0.78</v>
      </c>
      <c r="T267" s="1">
        <f t="shared" si="34"/>
        <v>42.702526657796177</v>
      </c>
      <c r="U267" s="1">
        <f t="shared" si="35"/>
        <v>42.702526657796177</v>
      </c>
      <c r="V267" s="227">
        <f t="shared" si="36"/>
        <v>0.89455830147904081</v>
      </c>
      <c r="W267" s="227">
        <f t="shared" si="37"/>
        <v>2.1143749484094423</v>
      </c>
      <c r="X267" s="203" t="e">
        <f>INDEX(#REF!,MATCH(COUNTA(H267:M267),#REF!,0),2)</f>
        <v>#REF!</v>
      </c>
      <c r="Y267" s="310">
        <f t="shared" si="38"/>
        <v>79.773333333333326</v>
      </c>
      <c r="Z267" s="91">
        <f t="shared" si="39"/>
        <v>0</v>
      </c>
      <c r="AD267" s="91" t="str">
        <f>PE_aug!AP256</f>
        <v>Sickerwasser</v>
      </c>
    </row>
    <row r="268" spans="1:30">
      <c r="A268" s="215" t="s">
        <v>312</v>
      </c>
      <c r="Q268">
        <v>0.5</v>
      </c>
      <c r="R268" s="88" t="e">
        <f t="shared" si="32"/>
        <v>#DIV/0!</v>
      </c>
      <c r="S268" s="91" t="e">
        <f t="shared" si="33"/>
        <v>#DIV/0!</v>
      </c>
      <c r="T268" s="1" t="e">
        <f t="shared" si="34"/>
        <v>#DIV/0!</v>
      </c>
      <c r="U268" s="1" t="e">
        <f t="shared" si="35"/>
        <v>#DIV/0!</v>
      </c>
      <c r="V268" s="227" t="e">
        <f t="shared" si="36"/>
        <v>#DIV/0!</v>
      </c>
      <c r="W268" s="227" t="e">
        <f t="shared" si="37"/>
        <v>#DIV/0!</v>
      </c>
      <c r="X268" s="203" t="e">
        <f>INDEX(#REF!,MATCH(COUNTA(H268:M268),#REF!,0),2)</f>
        <v>#REF!</v>
      </c>
      <c r="Y268" s="310" t="e">
        <f t="shared" si="38"/>
        <v>#DIV/0!</v>
      </c>
      <c r="Z268" s="91">
        <f t="shared" si="39"/>
        <v>0</v>
      </c>
      <c r="AD268" s="91" t="str">
        <f>PE_aug!AP257</f>
        <v>Sickerwasser</v>
      </c>
    </row>
    <row r="269" spans="1:30">
      <c r="A269" s="215" t="s">
        <v>313</v>
      </c>
      <c r="R269" s="88" t="e">
        <f t="shared" si="32"/>
        <v>#DIV/0!</v>
      </c>
      <c r="S269" s="91" t="e">
        <f t="shared" si="33"/>
        <v>#DIV/0!</v>
      </c>
      <c r="T269" s="1" t="e">
        <f t="shared" si="34"/>
        <v>#DIV/0!</v>
      </c>
      <c r="U269" s="1" t="e">
        <f t="shared" si="35"/>
        <v>#DIV/0!</v>
      </c>
      <c r="V269" s="227" t="e">
        <f t="shared" si="36"/>
        <v>#DIV/0!</v>
      </c>
      <c r="W269" s="227" t="e">
        <f t="shared" si="37"/>
        <v>#DIV/0!</v>
      </c>
      <c r="X269" s="203" t="e">
        <f>INDEX(#REF!,MATCH(COUNTA(H269:M269),#REF!,0),2)</f>
        <v>#REF!</v>
      </c>
      <c r="Y269" s="310" t="e">
        <f t="shared" si="38"/>
        <v>#DIV/0!</v>
      </c>
      <c r="Z269" s="91">
        <f t="shared" si="39"/>
        <v>0</v>
      </c>
      <c r="AD269" s="91" t="str">
        <f>PE_aug!AP258</f>
        <v>Sickerwasser</v>
      </c>
    </row>
    <row r="270" spans="1:30">
      <c r="A270" s="216" t="s">
        <v>314</v>
      </c>
      <c r="B270">
        <v>7.35</v>
      </c>
      <c r="G270">
        <v>3</v>
      </c>
      <c r="H270" s="306">
        <v>7.35</v>
      </c>
      <c r="M270" s="307">
        <v>3</v>
      </c>
      <c r="N270">
        <v>1.0760000000000001</v>
      </c>
      <c r="O270">
        <v>1.7000000000000001E-2</v>
      </c>
      <c r="P270">
        <v>10.911899999999999</v>
      </c>
      <c r="Q270">
        <v>0.89</v>
      </c>
      <c r="R270" s="88">
        <f t="shared" si="32"/>
        <v>0.41666666666666663</v>
      </c>
      <c r="S270" s="91">
        <f t="shared" si="33"/>
        <v>0.65333333333333332</v>
      </c>
      <c r="T270" s="1">
        <f t="shared" si="34"/>
        <v>42.028985507246375</v>
      </c>
      <c r="U270" s="1">
        <f t="shared" si="35"/>
        <v>42.028985507246375</v>
      </c>
      <c r="V270" s="227">
        <f t="shared" si="36"/>
        <v>1</v>
      </c>
      <c r="W270" s="227">
        <f t="shared" si="37"/>
        <v>1</v>
      </c>
      <c r="X270" s="203" t="e">
        <f>INDEX(#REF!,MATCH(COUNTA(H270:M270),#REF!,0),2)</f>
        <v>#REF!</v>
      </c>
      <c r="Y270" s="310">
        <f t="shared" si="38"/>
        <v>5.1749999999999998</v>
      </c>
      <c r="Z270" s="91">
        <f t="shared" si="39"/>
        <v>0.47425287988343001</v>
      </c>
      <c r="AD270" s="91" t="str">
        <f>PE_aug!AP259</f>
        <v>Kläranlagen</v>
      </c>
    </row>
    <row r="271" spans="1:30">
      <c r="A271" s="216" t="s">
        <v>315</v>
      </c>
      <c r="B271">
        <v>10.220000000000001</v>
      </c>
      <c r="E271">
        <v>4.17</v>
      </c>
      <c r="G271">
        <v>6.03</v>
      </c>
      <c r="H271" s="306">
        <v>10.220000000000001</v>
      </c>
      <c r="K271">
        <v>4.17</v>
      </c>
      <c r="M271" s="307">
        <v>6.03</v>
      </c>
      <c r="N271">
        <v>0.76800000000000002</v>
      </c>
      <c r="O271">
        <v>1.7000000000000001E-2</v>
      </c>
      <c r="P271">
        <v>13.8399</v>
      </c>
      <c r="Q271">
        <v>0.89</v>
      </c>
      <c r="R271" s="88">
        <f t="shared" si="32"/>
        <v>0.5</v>
      </c>
      <c r="S271" s="91">
        <f t="shared" si="33"/>
        <v>0.69500000000000006</v>
      </c>
      <c r="T271" s="1">
        <f t="shared" si="34"/>
        <v>37.172699901975896</v>
      </c>
      <c r="U271" s="1">
        <f t="shared" si="35"/>
        <v>37.172699901975896</v>
      </c>
      <c r="V271" s="227">
        <f t="shared" si="36"/>
        <v>1.0420693926757423</v>
      </c>
      <c r="W271" s="227">
        <f t="shared" si="37"/>
        <v>1.3490253579013396</v>
      </c>
      <c r="X271" s="203" t="e">
        <f>INDEX(#REF!,MATCH(COUNTA(H271:M271),#REF!,0),2)</f>
        <v>#REF!</v>
      </c>
      <c r="Y271" s="310">
        <f t="shared" si="38"/>
        <v>6.8066666666666675</v>
      </c>
      <c r="Z271" s="91">
        <f t="shared" si="39"/>
        <v>0.49181472891181782</v>
      </c>
      <c r="AD271" s="91" t="str">
        <f>PE_aug!AP260</f>
        <v>Kläranlagen</v>
      </c>
    </row>
    <row r="272" spans="1:30">
      <c r="A272" s="216" t="s">
        <v>316</v>
      </c>
      <c r="B272">
        <v>10.14</v>
      </c>
      <c r="E272">
        <v>3.38</v>
      </c>
      <c r="G272">
        <v>5.24</v>
      </c>
      <c r="H272" s="306">
        <v>10.14</v>
      </c>
      <c r="K272">
        <v>3.38</v>
      </c>
      <c r="M272" s="307">
        <v>5.24</v>
      </c>
      <c r="N272">
        <v>0.39500000000000002</v>
      </c>
      <c r="O272">
        <v>1.7000000000000001E-2</v>
      </c>
      <c r="P272">
        <v>13.1463</v>
      </c>
      <c r="Q272">
        <v>0.89</v>
      </c>
      <c r="R272" s="88">
        <f t="shared" si="32"/>
        <v>0.5</v>
      </c>
      <c r="S272" s="91">
        <f t="shared" si="33"/>
        <v>0.69500000000000006</v>
      </c>
      <c r="T272" s="1">
        <f t="shared" si="34"/>
        <v>45.595857083787877</v>
      </c>
      <c r="U272" s="1">
        <f t="shared" si="35"/>
        <v>45.595857083787877</v>
      </c>
      <c r="V272" s="227">
        <f t="shared" si="36"/>
        <v>1.007741278065557</v>
      </c>
      <c r="W272" s="227">
        <f t="shared" si="37"/>
        <v>1.3631395942278883</v>
      </c>
      <c r="X272" s="203" t="e">
        <f>INDEX(#REF!,MATCH(COUNTA(H272:M272),#REF!,0),2)</f>
        <v>#REF!</v>
      </c>
      <c r="Y272" s="310">
        <f t="shared" si="38"/>
        <v>6.253333333333333</v>
      </c>
      <c r="Z272" s="91">
        <f t="shared" si="39"/>
        <v>0.47567249593675276</v>
      </c>
      <c r="AD272" s="91" t="str">
        <f>PE_aug!AP261</f>
        <v>Kläranlagen</v>
      </c>
    </row>
    <row r="273" spans="1:30">
      <c r="A273" s="216" t="s">
        <v>317</v>
      </c>
      <c r="N273">
        <v>0.996</v>
      </c>
      <c r="O273">
        <v>8.1000000000000003E-2</v>
      </c>
      <c r="P273">
        <v>4.4084400000000006</v>
      </c>
      <c r="Q273">
        <v>0.5</v>
      </c>
      <c r="R273" s="88" t="e">
        <f t="shared" si="32"/>
        <v>#DIV/0!</v>
      </c>
      <c r="S273" s="91" t="e">
        <f t="shared" si="33"/>
        <v>#DIV/0!</v>
      </c>
      <c r="T273" s="1" t="e">
        <f t="shared" si="34"/>
        <v>#DIV/0!</v>
      </c>
      <c r="U273" s="1" t="e">
        <f t="shared" si="35"/>
        <v>#DIV/0!</v>
      </c>
      <c r="V273" s="227" t="e">
        <f t="shared" si="36"/>
        <v>#DIV/0!</v>
      </c>
      <c r="W273" s="227" t="e">
        <f t="shared" si="37"/>
        <v>#DIV/0!</v>
      </c>
      <c r="X273" s="203" t="e">
        <f>INDEX(#REF!,MATCH(COUNTA(H273:M273),#REF!,0),2)</f>
        <v>#REF!</v>
      </c>
      <c r="Y273" s="310" t="e">
        <f t="shared" si="38"/>
        <v>#DIV/0!</v>
      </c>
      <c r="Z273" s="91">
        <f t="shared" si="39"/>
        <v>0</v>
      </c>
      <c r="AD273" s="91" t="str">
        <f>PE_aug!AP262</f>
        <v>Kläranlagen</v>
      </c>
    </row>
    <row r="274" spans="1:30">
      <c r="A274" s="216" t="s">
        <v>318</v>
      </c>
      <c r="N274">
        <v>0.155</v>
      </c>
      <c r="O274">
        <v>8.1000000000000003E-2</v>
      </c>
      <c r="P274">
        <v>5.8289400000000002</v>
      </c>
      <c r="Q274">
        <v>0.5</v>
      </c>
      <c r="R274" s="88" t="e">
        <f t="shared" si="32"/>
        <v>#DIV/0!</v>
      </c>
      <c r="S274" s="91" t="e">
        <f t="shared" si="33"/>
        <v>#DIV/0!</v>
      </c>
      <c r="T274" s="1" t="e">
        <f t="shared" si="34"/>
        <v>#DIV/0!</v>
      </c>
      <c r="U274" s="1" t="e">
        <f t="shared" si="35"/>
        <v>#DIV/0!</v>
      </c>
      <c r="V274" s="227" t="e">
        <f t="shared" si="36"/>
        <v>#DIV/0!</v>
      </c>
      <c r="W274" s="227" t="e">
        <f t="shared" si="37"/>
        <v>#DIV/0!</v>
      </c>
      <c r="X274" s="203" t="e">
        <f>INDEX(#REF!,MATCH(COUNTA(H274:M274),#REF!,0),2)</f>
        <v>#REF!</v>
      </c>
      <c r="Y274" s="310" t="e">
        <f t="shared" si="38"/>
        <v>#DIV/0!</v>
      </c>
      <c r="Z274" s="91">
        <f t="shared" si="39"/>
        <v>0</v>
      </c>
      <c r="AD274" s="91" t="str">
        <f>PE_aug!AP263</f>
        <v>Kläranlagen</v>
      </c>
    </row>
    <row r="275" spans="1:30">
      <c r="A275" s="216" t="s">
        <v>319</v>
      </c>
      <c r="N275">
        <v>0.97299999999999998</v>
      </c>
      <c r="O275">
        <v>8.1000000000000003E-2</v>
      </c>
      <c r="P275">
        <v>7.2398100000000003</v>
      </c>
      <c r="Q275">
        <v>0.5</v>
      </c>
      <c r="R275" s="88" t="e">
        <f t="shared" si="32"/>
        <v>#DIV/0!</v>
      </c>
      <c r="S275" s="91" t="e">
        <f t="shared" si="33"/>
        <v>#DIV/0!</v>
      </c>
      <c r="T275" s="1" t="e">
        <f t="shared" si="34"/>
        <v>#DIV/0!</v>
      </c>
      <c r="U275" s="1" t="e">
        <f t="shared" si="35"/>
        <v>#DIV/0!</v>
      </c>
      <c r="V275" s="227" t="e">
        <f t="shared" si="36"/>
        <v>#DIV/0!</v>
      </c>
      <c r="W275" s="227" t="e">
        <f t="shared" si="37"/>
        <v>#DIV/0!</v>
      </c>
      <c r="X275" s="203" t="e">
        <f>INDEX(#REF!,MATCH(COUNTA(H275:M275),#REF!,0),2)</f>
        <v>#REF!</v>
      </c>
      <c r="Y275" s="310" t="e">
        <f t="shared" si="38"/>
        <v>#DIV/0!</v>
      </c>
      <c r="Z275" s="91">
        <f t="shared" si="39"/>
        <v>0</v>
      </c>
      <c r="AD275" s="91" t="str">
        <f>PE_aug!AP264</f>
        <v>Kläranlagen</v>
      </c>
    </row>
    <row r="276" spans="1:30">
      <c r="A276" s="216" t="s">
        <v>320</v>
      </c>
      <c r="G276">
        <v>2.92</v>
      </c>
      <c r="M276" s="307">
        <v>2.92</v>
      </c>
      <c r="N276">
        <v>0.70699999999999996</v>
      </c>
      <c r="O276">
        <v>7.1999999999999995E-2</v>
      </c>
      <c r="P276">
        <v>8.7419449999999994</v>
      </c>
      <c r="Q276">
        <v>0.83</v>
      </c>
      <c r="R276" s="88">
        <f t="shared" si="32"/>
        <v>0.16</v>
      </c>
      <c r="S276" s="91">
        <f t="shared" si="33"/>
        <v>0.495</v>
      </c>
      <c r="T276" s="1">
        <f t="shared" si="34"/>
        <v>0</v>
      </c>
      <c r="U276" s="1">
        <f t="shared" si="35"/>
        <v>0</v>
      </c>
      <c r="V276" s="227" t="e">
        <f t="shared" si="36"/>
        <v>#DIV/0!</v>
      </c>
      <c r="W276" s="227" t="e">
        <f t="shared" si="37"/>
        <v>#DIV/0!</v>
      </c>
      <c r="X276" s="203" t="e">
        <f>INDEX(#REF!,MATCH(COUNTA(H276:M276),#REF!,0),2)</f>
        <v>#REF!</v>
      </c>
      <c r="Y276" s="310">
        <f t="shared" si="38"/>
        <v>2.92</v>
      </c>
      <c r="Z276" s="91">
        <f t="shared" si="39"/>
        <v>0.33402177661836124</v>
      </c>
      <c r="AD276" s="91" t="str">
        <f>PE_aug!AP265</f>
        <v>Kläranlagen</v>
      </c>
    </row>
    <row r="277" spans="1:30">
      <c r="A277" s="216" t="s">
        <v>321</v>
      </c>
      <c r="G277">
        <v>3.43</v>
      </c>
      <c r="M277" s="307">
        <v>3.43</v>
      </c>
      <c r="N277">
        <v>0.70699999999999996</v>
      </c>
      <c r="O277">
        <v>7.1999999999999995E-2</v>
      </c>
      <c r="P277">
        <v>9.5270100000000006</v>
      </c>
      <c r="Q277">
        <v>0.73</v>
      </c>
      <c r="R277" s="88">
        <f t="shared" si="32"/>
        <v>0.16</v>
      </c>
      <c r="S277" s="91">
        <f t="shared" si="33"/>
        <v>0.44500000000000001</v>
      </c>
      <c r="T277" s="1">
        <f t="shared" si="34"/>
        <v>0</v>
      </c>
      <c r="U277" s="1">
        <f t="shared" si="35"/>
        <v>0</v>
      </c>
      <c r="V277" s="227" t="e">
        <f t="shared" si="36"/>
        <v>#DIV/0!</v>
      </c>
      <c r="W277" s="227" t="e">
        <f t="shared" si="37"/>
        <v>#DIV/0!</v>
      </c>
      <c r="X277" s="203" t="e">
        <f>INDEX(#REF!,MATCH(COUNTA(H277:M277),#REF!,0),2)</f>
        <v>#REF!</v>
      </c>
      <c r="Y277" s="310">
        <f t="shared" si="38"/>
        <v>3.43</v>
      </c>
      <c r="Z277" s="91">
        <f t="shared" si="39"/>
        <v>0.36002901225043321</v>
      </c>
      <c r="AD277" s="91" t="str">
        <f>PE_aug!AP266</f>
        <v>Kläranlagen</v>
      </c>
    </row>
    <row r="278" spans="1:30">
      <c r="A278" s="229" t="s">
        <v>322</v>
      </c>
      <c r="N278">
        <v>0.70699999999999996</v>
      </c>
      <c r="O278">
        <v>0.124</v>
      </c>
      <c r="P278">
        <v>8.6800599999999992</v>
      </c>
      <c r="Q278">
        <v>0.67</v>
      </c>
      <c r="R278" s="88" t="e">
        <f t="shared" si="32"/>
        <v>#DIV/0!</v>
      </c>
      <c r="S278" s="91" t="e">
        <f t="shared" si="33"/>
        <v>#DIV/0!</v>
      </c>
      <c r="T278" s="1" t="e">
        <f t="shared" si="34"/>
        <v>#DIV/0!</v>
      </c>
      <c r="U278" s="1" t="e">
        <f t="shared" si="35"/>
        <v>#DIV/0!</v>
      </c>
      <c r="V278" s="227" t="e">
        <f t="shared" si="36"/>
        <v>#DIV/0!</v>
      </c>
      <c r="W278" s="227" t="e">
        <f t="shared" si="37"/>
        <v>#DIV/0!</v>
      </c>
      <c r="X278" s="203" t="e">
        <f>INDEX(#REF!,MATCH(COUNTA(H278:M278),#REF!,0),2)</f>
        <v>#REF!</v>
      </c>
      <c r="Y278" s="310" t="e">
        <f t="shared" si="38"/>
        <v>#DIV/0!</v>
      </c>
      <c r="Z278" s="91">
        <f t="shared" si="39"/>
        <v>0</v>
      </c>
      <c r="AD278" s="91" t="str">
        <f>PE_aug!AP267</f>
        <v>KWB</v>
      </c>
    </row>
    <row r="279" spans="1:30">
      <c r="A279" s="229" t="s">
        <v>324</v>
      </c>
      <c r="N279">
        <v>0.70699999999999996</v>
      </c>
      <c r="O279">
        <v>0.124</v>
      </c>
      <c r="P279">
        <v>7.4999899999999986</v>
      </c>
      <c r="Q279">
        <v>0.83</v>
      </c>
      <c r="R279" s="88" t="e">
        <f t="shared" si="32"/>
        <v>#DIV/0!</v>
      </c>
      <c r="S279" s="91" t="e">
        <f t="shared" si="33"/>
        <v>#DIV/0!</v>
      </c>
      <c r="T279" s="1" t="e">
        <f t="shared" si="34"/>
        <v>#DIV/0!</v>
      </c>
      <c r="U279" s="1" t="e">
        <f t="shared" si="35"/>
        <v>#DIV/0!</v>
      </c>
      <c r="V279" s="227" t="e">
        <f t="shared" si="36"/>
        <v>#DIV/0!</v>
      </c>
      <c r="W279" s="227" t="e">
        <f t="shared" si="37"/>
        <v>#DIV/0!</v>
      </c>
      <c r="X279" s="203" t="e">
        <f>INDEX(#REF!,MATCH(COUNTA(H279:M279),#REF!,0),2)</f>
        <v>#REF!</v>
      </c>
      <c r="Y279" s="310" t="e">
        <f t="shared" si="38"/>
        <v>#DIV/0!</v>
      </c>
      <c r="Z279" s="91">
        <f t="shared" si="39"/>
        <v>0</v>
      </c>
      <c r="AD279" s="91" t="str">
        <f>PE_aug!AP268</f>
        <v>KWB</v>
      </c>
    </row>
    <row r="280" spans="1:30">
      <c r="A280" s="229" t="s">
        <v>325</v>
      </c>
      <c r="N280">
        <v>0.70699999999999996</v>
      </c>
      <c r="O280">
        <v>0.14499999999999999</v>
      </c>
      <c r="P280">
        <v>5.2230249999999998</v>
      </c>
      <c r="R280" s="88" t="e">
        <f t="shared" si="32"/>
        <v>#DIV/0!</v>
      </c>
      <c r="S280" s="91" t="e">
        <f t="shared" si="33"/>
        <v>#DIV/0!</v>
      </c>
      <c r="T280" s="1" t="e">
        <f t="shared" si="34"/>
        <v>#DIV/0!</v>
      </c>
      <c r="U280" s="1" t="e">
        <f t="shared" si="35"/>
        <v>#DIV/0!</v>
      </c>
      <c r="V280" s="227" t="e">
        <f t="shared" si="36"/>
        <v>#DIV/0!</v>
      </c>
      <c r="W280" s="227" t="e">
        <f t="shared" si="37"/>
        <v>#DIV/0!</v>
      </c>
      <c r="X280" s="203" t="e">
        <f>INDEX(#REF!,MATCH(COUNTA(H280:M280),#REF!,0),2)</f>
        <v>#REF!</v>
      </c>
      <c r="Y280" s="310" t="e">
        <f t="shared" si="38"/>
        <v>#DIV/0!</v>
      </c>
      <c r="Z280" s="91">
        <f t="shared" si="39"/>
        <v>0</v>
      </c>
      <c r="AD280" s="91" t="str">
        <f>PE_aug!AP269</f>
        <v>KWB</v>
      </c>
    </row>
    <row r="281" spans="1:30">
      <c r="A281" s="229" t="s">
        <v>326</v>
      </c>
      <c r="N281">
        <v>0.70699999999999996</v>
      </c>
      <c r="O281">
        <v>0.45</v>
      </c>
      <c r="P281">
        <v>6.5487399999999996</v>
      </c>
      <c r="R281" s="88" t="e">
        <f t="shared" si="32"/>
        <v>#DIV/0!</v>
      </c>
      <c r="S281" s="91" t="e">
        <f t="shared" si="33"/>
        <v>#DIV/0!</v>
      </c>
      <c r="T281" s="1" t="e">
        <f t="shared" si="34"/>
        <v>#DIV/0!</v>
      </c>
      <c r="U281" s="1" t="e">
        <f t="shared" si="35"/>
        <v>#DIV/0!</v>
      </c>
      <c r="V281" s="227" t="e">
        <f t="shared" si="36"/>
        <v>#DIV/0!</v>
      </c>
      <c r="W281" s="227" t="e">
        <f t="shared" si="37"/>
        <v>#DIV/0!</v>
      </c>
      <c r="X281" s="203" t="e">
        <f>INDEX(#REF!,MATCH(COUNTA(H281:M281),#REF!,0),2)</f>
        <v>#REF!</v>
      </c>
      <c r="Y281" s="310" t="e">
        <f t="shared" si="38"/>
        <v>#DIV/0!</v>
      </c>
      <c r="Z281" s="91">
        <f t="shared" si="39"/>
        <v>0</v>
      </c>
      <c r="AD281" s="91" t="str">
        <f>PE_aug!AP270</f>
        <v>KWB</v>
      </c>
    </row>
    <row r="282" spans="1:30">
      <c r="A282" s="229" t="s">
        <v>327</v>
      </c>
      <c r="N282">
        <v>0.70699999999999996</v>
      </c>
      <c r="O282">
        <v>0.45</v>
      </c>
      <c r="P282">
        <v>6.3243900000000002</v>
      </c>
      <c r="R282" s="88" t="e">
        <f t="shared" si="32"/>
        <v>#DIV/0!</v>
      </c>
      <c r="S282" s="91" t="e">
        <f t="shared" si="33"/>
        <v>#DIV/0!</v>
      </c>
      <c r="T282" s="1" t="e">
        <f t="shared" si="34"/>
        <v>#DIV/0!</v>
      </c>
      <c r="U282" s="1" t="e">
        <f t="shared" si="35"/>
        <v>#DIV/0!</v>
      </c>
      <c r="V282" s="227" t="e">
        <f t="shared" si="36"/>
        <v>#DIV/0!</v>
      </c>
      <c r="W282" s="227" t="e">
        <f t="shared" si="37"/>
        <v>#DIV/0!</v>
      </c>
      <c r="X282" s="203" t="e">
        <f>INDEX(#REF!,MATCH(COUNTA(H282:M282),#REF!,0),2)</f>
        <v>#REF!</v>
      </c>
      <c r="Y282" s="310" t="e">
        <f t="shared" si="38"/>
        <v>#DIV/0!</v>
      </c>
      <c r="Z282" s="91">
        <f t="shared" si="39"/>
        <v>0</v>
      </c>
      <c r="AD282" s="91" t="str">
        <f>PE_aug!AP271</f>
        <v>KWB</v>
      </c>
    </row>
    <row r="283" spans="1:30">
      <c r="A283" s="229" t="s">
        <v>328</v>
      </c>
      <c r="B283">
        <v>6.03</v>
      </c>
      <c r="E283">
        <v>5.42</v>
      </c>
      <c r="F283">
        <v>3.31</v>
      </c>
      <c r="G283">
        <v>4.5</v>
      </c>
      <c r="H283" s="306">
        <v>6.03</v>
      </c>
      <c r="K283">
        <v>5.42</v>
      </c>
      <c r="L283">
        <v>3.31</v>
      </c>
      <c r="M283" s="307">
        <v>4.5</v>
      </c>
      <c r="N283">
        <v>0.70699999999999996</v>
      </c>
      <c r="O283">
        <v>0.14699999999999999</v>
      </c>
      <c r="P283">
        <v>8.8096600000000009</v>
      </c>
      <c r="Q283">
        <v>0.64</v>
      </c>
      <c r="R283" s="88">
        <f t="shared" si="32"/>
        <v>0.83333333333333326</v>
      </c>
      <c r="S283" s="91">
        <f t="shared" si="33"/>
        <v>0.73666666666666658</v>
      </c>
      <c r="T283" s="1">
        <f t="shared" si="34"/>
        <v>21.297771315853264</v>
      </c>
      <c r="U283" s="1">
        <f t="shared" si="35"/>
        <v>21.297771315853264</v>
      </c>
      <c r="V283" s="227">
        <f t="shared" si="36"/>
        <v>1.4675944103000409</v>
      </c>
      <c r="W283" s="227">
        <f t="shared" si="37"/>
        <v>1.1848021319033564</v>
      </c>
      <c r="X283" s="203" t="e">
        <f>INDEX(#REF!,MATCH(COUNTA(H283:M283),#REF!,0),2)</f>
        <v>#REF!</v>
      </c>
      <c r="Y283" s="310">
        <f t="shared" si="38"/>
        <v>4.8149999999999995</v>
      </c>
      <c r="Z283" s="91">
        <f t="shared" si="39"/>
        <v>0.54655911805903967</v>
      </c>
      <c r="AD283" s="91" t="str">
        <f>PE_aug!AP272</f>
        <v>Kläranlagen</v>
      </c>
    </row>
    <row r="284" spans="1:30">
      <c r="A284" s="229" t="s">
        <v>329</v>
      </c>
      <c r="N284">
        <v>0.70699999999999996</v>
      </c>
      <c r="O284">
        <v>0.14699999999999999</v>
      </c>
      <c r="P284">
        <v>4.2674799999999999</v>
      </c>
      <c r="Q284">
        <v>0.5</v>
      </c>
      <c r="R284" s="88" t="e">
        <f t="shared" si="32"/>
        <v>#DIV/0!</v>
      </c>
      <c r="S284" s="91" t="e">
        <f t="shared" si="33"/>
        <v>#DIV/0!</v>
      </c>
      <c r="T284" s="1" t="e">
        <f t="shared" si="34"/>
        <v>#DIV/0!</v>
      </c>
      <c r="U284" s="1" t="e">
        <f t="shared" si="35"/>
        <v>#DIV/0!</v>
      </c>
      <c r="V284" s="227" t="e">
        <f t="shared" si="36"/>
        <v>#DIV/0!</v>
      </c>
      <c r="W284" s="227" t="e">
        <f t="shared" si="37"/>
        <v>#DIV/0!</v>
      </c>
      <c r="X284" s="203" t="e">
        <f>INDEX(#REF!,MATCH(COUNTA(H284:M284),#REF!,0),2)</f>
        <v>#REF!</v>
      </c>
      <c r="Y284" s="310" t="e">
        <f t="shared" si="38"/>
        <v>#DIV/0!</v>
      </c>
      <c r="Z284" s="91">
        <f t="shared" si="39"/>
        <v>0</v>
      </c>
      <c r="AD284" s="91" t="str">
        <f>PE_aug!AP273</f>
        <v>Kläranlagen</v>
      </c>
    </row>
    <row r="285" spans="1:30">
      <c r="A285" s="229" t="s">
        <v>330</v>
      </c>
      <c r="B285">
        <v>12.37</v>
      </c>
      <c r="E285">
        <v>19.47</v>
      </c>
      <c r="F285">
        <v>25.52</v>
      </c>
      <c r="G285">
        <v>12.59</v>
      </c>
      <c r="H285" s="306">
        <v>12.37</v>
      </c>
      <c r="K285">
        <v>19.47</v>
      </c>
      <c r="L285">
        <v>25.52</v>
      </c>
      <c r="M285" s="307">
        <v>12.59</v>
      </c>
      <c r="N285">
        <v>1.016</v>
      </c>
      <c r="O285">
        <v>0.124</v>
      </c>
      <c r="P285">
        <v>16.704599999999999</v>
      </c>
      <c r="Q285">
        <v>0.91</v>
      </c>
      <c r="R285" s="88">
        <f t="shared" si="32"/>
        <v>0.83333333333333326</v>
      </c>
      <c r="S285" s="91">
        <f t="shared" si="33"/>
        <v>0.87166666666666659</v>
      </c>
      <c r="T285" s="1">
        <f t="shared" si="34"/>
        <v>31.140933360370077</v>
      </c>
      <c r="U285" s="1">
        <f t="shared" si="35"/>
        <v>31.140933360370077</v>
      </c>
      <c r="V285" s="227">
        <f t="shared" si="36"/>
        <v>0.93972006200976399</v>
      </c>
      <c r="W285" s="227">
        <f t="shared" si="37"/>
        <v>1.4749978305995948</v>
      </c>
      <c r="X285" s="203" t="e">
        <f>INDEX(#REF!,MATCH(COUNTA(H285:M285),#REF!,0),2)</f>
        <v>#REF!</v>
      </c>
      <c r="Y285" s="310">
        <f t="shared" si="38"/>
        <v>17.487500000000001</v>
      </c>
      <c r="Z285" s="91">
        <f t="shared" si="39"/>
        <v>1.0468673299570179</v>
      </c>
      <c r="AD285" s="91" t="str">
        <f>PE_aug!AP274</f>
        <v>Kläranlagen</v>
      </c>
    </row>
    <row r="286" spans="1:30">
      <c r="A286" s="229" t="s">
        <v>331</v>
      </c>
      <c r="B286">
        <v>6.77</v>
      </c>
      <c r="E286">
        <v>8.51</v>
      </c>
      <c r="F286">
        <v>15.52</v>
      </c>
      <c r="G286">
        <v>6.41</v>
      </c>
      <c r="H286" s="306">
        <v>6.77</v>
      </c>
      <c r="K286">
        <v>8.51</v>
      </c>
      <c r="L286">
        <v>15.52</v>
      </c>
      <c r="M286" s="307">
        <v>6.41</v>
      </c>
      <c r="N286">
        <v>0.22500000000000001</v>
      </c>
      <c r="O286">
        <v>0.124</v>
      </c>
      <c r="P286">
        <v>10.55025</v>
      </c>
      <c r="Q286">
        <v>0.89</v>
      </c>
      <c r="R286" s="88">
        <f t="shared" si="32"/>
        <v>0.58333333333333326</v>
      </c>
      <c r="S286" s="91">
        <f t="shared" si="33"/>
        <v>0.73666666666666658</v>
      </c>
      <c r="T286" s="1">
        <f t="shared" si="34"/>
        <v>39.521219501276839</v>
      </c>
      <c r="U286" s="1">
        <f t="shared" si="35"/>
        <v>39.521219501276839</v>
      </c>
      <c r="V286" s="227">
        <f t="shared" si="36"/>
        <v>0.78676195683677175</v>
      </c>
      <c r="W286" s="227">
        <f t="shared" si="37"/>
        <v>1.6911642062688441</v>
      </c>
      <c r="X286" s="203" t="e">
        <f>INDEX(#REF!,MATCH(COUNTA(H286:M286),#REF!,0),2)</f>
        <v>#REF!</v>
      </c>
      <c r="Y286" s="310">
        <f t="shared" si="38"/>
        <v>9.3024999999999984</v>
      </c>
      <c r="Z286" s="91">
        <f t="shared" si="39"/>
        <v>0.88173266036349829</v>
      </c>
      <c r="AD286" s="91" t="str">
        <f>PE_aug!AP275</f>
        <v>Kläranlagen</v>
      </c>
    </row>
    <row r="287" spans="1:30">
      <c r="A287" s="229" t="s">
        <v>332</v>
      </c>
      <c r="B287">
        <v>5.07</v>
      </c>
      <c r="E287">
        <v>4.92</v>
      </c>
      <c r="F287">
        <v>15.34</v>
      </c>
      <c r="G287">
        <v>3.82</v>
      </c>
      <c r="H287" s="306">
        <v>5.07</v>
      </c>
      <c r="K287">
        <v>4.92</v>
      </c>
      <c r="L287">
        <v>15.34</v>
      </c>
      <c r="M287" s="307">
        <v>3.82</v>
      </c>
      <c r="N287">
        <v>0.90200000000000002</v>
      </c>
      <c r="O287">
        <v>0.124</v>
      </c>
      <c r="P287">
        <v>8.4931399999999986</v>
      </c>
      <c r="Q287">
        <v>0.86</v>
      </c>
      <c r="R287" s="88">
        <f t="shared" si="32"/>
        <v>0.58333333333333326</v>
      </c>
      <c r="S287" s="91">
        <f t="shared" si="33"/>
        <v>0.72166666666666668</v>
      </c>
      <c r="T287" s="1">
        <f t="shared" si="34"/>
        <v>64.138531742517259</v>
      </c>
      <c r="U287" s="1">
        <f t="shared" si="35"/>
        <v>64.138531742517259</v>
      </c>
      <c r="V287" s="227">
        <f t="shared" si="36"/>
        <v>0.74185476087384949</v>
      </c>
      <c r="W287" s="227">
        <f t="shared" si="37"/>
        <v>1.7227932118058178</v>
      </c>
      <c r="X287" s="203" t="e">
        <f>INDEX(#REF!,MATCH(COUNTA(H287:M287),#REF!,0),2)</f>
        <v>#REF!</v>
      </c>
      <c r="Y287" s="310">
        <f t="shared" si="38"/>
        <v>7.2874999999999996</v>
      </c>
      <c r="Z287" s="91">
        <f t="shared" si="39"/>
        <v>0.85804543431522395</v>
      </c>
      <c r="AD287" s="91" t="str">
        <f>PE_aug!AP276</f>
        <v>Kläranlagen</v>
      </c>
    </row>
    <row r="288" spans="1:30">
      <c r="A288" s="229" t="s">
        <v>333</v>
      </c>
      <c r="N288">
        <v>0.97099999999999997</v>
      </c>
      <c r="O288">
        <v>9.8000000000000004E-2</v>
      </c>
      <c r="P288">
        <v>8.8784799999999997</v>
      </c>
      <c r="Q288">
        <v>0.5</v>
      </c>
      <c r="R288" s="88" t="e">
        <f t="shared" si="32"/>
        <v>#DIV/0!</v>
      </c>
      <c r="S288" s="91" t="e">
        <f t="shared" si="33"/>
        <v>#DIV/0!</v>
      </c>
      <c r="T288" s="1" t="e">
        <f t="shared" si="34"/>
        <v>#DIV/0!</v>
      </c>
      <c r="U288" s="1" t="e">
        <f t="shared" si="35"/>
        <v>#DIV/0!</v>
      </c>
      <c r="V288" s="227" t="e">
        <f t="shared" si="36"/>
        <v>#DIV/0!</v>
      </c>
      <c r="W288" s="227" t="e">
        <f t="shared" si="37"/>
        <v>#DIV/0!</v>
      </c>
      <c r="X288" s="203" t="e">
        <f>INDEX(#REF!,MATCH(COUNTA(H288:M288),#REF!,0),2)</f>
        <v>#REF!</v>
      </c>
      <c r="Y288" s="310" t="e">
        <f t="shared" si="38"/>
        <v>#DIV/0!</v>
      </c>
      <c r="Z288" s="91">
        <f t="shared" si="39"/>
        <v>0</v>
      </c>
      <c r="AD288" s="91" t="str">
        <f>PE_aug!AP277</f>
        <v>KWS, Schlamm</v>
      </c>
    </row>
    <row r="289" spans="1:30">
      <c r="A289" s="229" t="s">
        <v>334</v>
      </c>
      <c r="N289">
        <v>0.54800000000000004</v>
      </c>
      <c r="O289">
        <v>9.8000000000000004E-2</v>
      </c>
      <c r="P289">
        <v>13.416</v>
      </c>
      <c r="Q289">
        <v>0.83</v>
      </c>
      <c r="R289" s="88" t="e">
        <f t="shared" si="32"/>
        <v>#DIV/0!</v>
      </c>
      <c r="S289" s="91" t="e">
        <f t="shared" si="33"/>
        <v>#DIV/0!</v>
      </c>
      <c r="T289" s="1" t="e">
        <f t="shared" si="34"/>
        <v>#DIV/0!</v>
      </c>
      <c r="U289" s="1" t="e">
        <f t="shared" si="35"/>
        <v>#DIV/0!</v>
      </c>
      <c r="V289" s="227" t="e">
        <f t="shared" si="36"/>
        <v>#DIV/0!</v>
      </c>
      <c r="W289" s="227" t="e">
        <f t="shared" si="37"/>
        <v>#DIV/0!</v>
      </c>
      <c r="X289" s="203" t="e">
        <f>INDEX(#REF!,MATCH(COUNTA(H289:M289),#REF!,0),2)</f>
        <v>#REF!</v>
      </c>
      <c r="Y289" s="310" t="e">
        <f t="shared" si="38"/>
        <v>#DIV/0!</v>
      </c>
      <c r="Z289" s="91">
        <f t="shared" si="39"/>
        <v>0</v>
      </c>
      <c r="AD289" s="91" t="str">
        <f>PE_aug!AP278</f>
        <v>KWS, Schlamm</v>
      </c>
    </row>
    <row r="290" spans="1:30">
      <c r="A290" s="229" t="s">
        <v>335</v>
      </c>
      <c r="N290">
        <v>0.66600000000000004</v>
      </c>
      <c r="O290">
        <v>9.8000000000000004E-2</v>
      </c>
      <c r="P290">
        <v>12.52145</v>
      </c>
      <c r="Q290">
        <v>0.83</v>
      </c>
      <c r="R290" s="88" t="e">
        <f t="shared" si="32"/>
        <v>#DIV/0!</v>
      </c>
      <c r="S290" s="91" t="e">
        <f t="shared" si="33"/>
        <v>#DIV/0!</v>
      </c>
      <c r="T290" s="1" t="e">
        <f t="shared" si="34"/>
        <v>#DIV/0!</v>
      </c>
      <c r="U290" s="1" t="e">
        <f t="shared" si="35"/>
        <v>#DIV/0!</v>
      </c>
      <c r="V290" s="227" t="e">
        <f t="shared" si="36"/>
        <v>#DIV/0!</v>
      </c>
      <c r="W290" s="227" t="e">
        <f t="shared" si="37"/>
        <v>#DIV/0!</v>
      </c>
      <c r="X290" s="203" t="e">
        <f>INDEX(#REF!,MATCH(COUNTA(H290:M290),#REF!,0),2)</f>
        <v>#REF!</v>
      </c>
      <c r="Y290" s="310" t="e">
        <f t="shared" si="38"/>
        <v>#DIV/0!</v>
      </c>
      <c r="Z290" s="91">
        <f t="shared" si="39"/>
        <v>0</v>
      </c>
      <c r="AD290" s="91" t="str">
        <f>PE_aug!AP279</f>
        <v>KWS, Schlamm</v>
      </c>
    </row>
    <row r="291" spans="1:30">
      <c r="A291" s="229" t="s">
        <v>336</v>
      </c>
      <c r="N291">
        <v>0.71199999999999997</v>
      </c>
      <c r="O291">
        <v>0.10199999999999999</v>
      </c>
      <c r="P291">
        <v>6.3610100000000003</v>
      </c>
      <c r="Q291">
        <v>0.5</v>
      </c>
      <c r="R291" s="88" t="e">
        <f t="shared" si="32"/>
        <v>#DIV/0!</v>
      </c>
      <c r="S291" s="91" t="e">
        <f t="shared" si="33"/>
        <v>#DIV/0!</v>
      </c>
      <c r="T291" s="1" t="e">
        <f t="shared" si="34"/>
        <v>#DIV/0!</v>
      </c>
      <c r="U291" s="1" t="e">
        <f t="shared" si="35"/>
        <v>#DIV/0!</v>
      </c>
      <c r="V291" s="227" t="e">
        <f t="shared" si="36"/>
        <v>#DIV/0!</v>
      </c>
      <c r="W291" s="227" t="e">
        <f t="shared" si="37"/>
        <v>#DIV/0!</v>
      </c>
      <c r="X291" s="203" t="e">
        <f>INDEX(#REF!,MATCH(COUNTA(H291:M291),#REF!,0),2)</f>
        <v>#REF!</v>
      </c>
      <c r="Y291" s="310" t="e">
        <f t="shared" si="38"/>
        <v>#DIV/0!</v>
      </c>
      <c r="Z291" s="91">
        <f t="shared" si="39"/>
        <v>0</v>
      </c>
      <c r="AD291" s="91" t="str">
        <f>PE_aug!AP280</f>
        <v>Kläranlagen</v>
      </c>
    </row>
    <row r="292" spans="1:30">
      <c r="A292" s="229" t="s">
        <v>337</v>
      </c>
      <c r="B292">
        <v>8.6199999999999992</v>
      </c>
      <c r="E292">
        <v>8.0299999999999994</v>
      </c>
      <c r="F292">
        <v>3.84</v>
      </c>
      <c r="G292">
        <v>6.74</v>
      </c>
      <c r="H292" s="306">
        <v>8.6199999999999992</v>
      </c>
      <c r="K292">
        <v>8.0299999999999994</v>
      </c>
      <c r="L292">
        <v>3.84</v>
      </c>
      <c r="M292" s="307">
        <v>6.74</v>
      </c>
      <c r="N292">
        <v>0.52700000000000002</v>
      </c>
      <c r="O292">
        <v>0.10199999999999999</v>
      </c>
      <c r="P292">
        <v>6.8360700000000003</v>
      </c>
      <c r="Q292">
        <v>0.94</v>
      </c>
      <c r="R292" s="88">
        <f t="shared" si="32"/>
        <v>0.83333333333333326</v>
      </c>
      <c r="S292" s="91">
        <f t="shared" si="33"/>
        <v>0.8866666666666666</v>
      </c>
      <c r="T292" s="1">
        <f t="shared" si="34"/>
        <v>27.07674635829866</v>
      </c>
      <c r="U292" s="1">
        <f t="shared" si="35"/>
        <v>27.07674635829866</v>
      </c>
      <c r="V292" s="227">
        <f t="shared" si="36"/>
        <v>1.6099285455231613</v>
      </c>
      <c r="W292" s="227">
        <f t="shared" si="37"/>
        <v>0.98331777211819049</v>
      </c>
      <c r="X292" s="203" t="e">
        <f>INDEX(#REF!,MATCH(COUNTA(H292:M292),#REF!,0),2)</f>
        <v>#REF!</v>
      </c>
      <c r="Y292" s="310">
        <f t="shared" si="38"/>
        <v>6.8074999999999992</v>
      </c>
      <c r="Z292" s="91">
        <f t="shared" si="39"/>
        <v>0.99582069814966767</v>
      </c>
      <c r="AD292" s="91" t="str">
        <f>PE_aug!AP281</f>
        <v>Kläranlagen</v>
      </c>
    </row>
    <row r="293" spans="1:30">
      <c r="A293" s="229" t="s">
        <v>338</v>
      </c>
      <c r="N293">
        <v>0.98899999999999999</v>
      </c>
      <c r="O293">
        <v>0.10199999999999999</v>
      </c>
      <c r="P293">
        <v>9.666640000000001</v>
      </c>
      <c r="Q293">
        <v>0.5</v>
      </c>
      <c r="R293" s="88" t="e">
        <f t="shared" si="32"/>
        <v>#DIV/0!</v>
      </c>
      <c r="S293" s="91" t="e">
        <f t="shared" si="33"/>
        <v>#DIV/0!</v>
      </c>
      <c r="T293" s="1" t="e">
        <f t="shared" si="34"/>
        <v>#DIV/0!</v>
      </c>
      <c r="U293" s="1" t="e">
        <f t="shared" si="35"/>
        <v>#DIV/0!</v>
      </c>
      <c r="V293" s="227" t="e">
        <f t="shared" si="36"/>
        <v>#DIV/0!</v>
      </c>
      <c r="W293" s="227" t="e">
        <f t="shared" si="37"/>
        <v>#DIV/0!</v>
      </c>
      <c r="X293" s="203" t="e">
        <f>INDEX(#REF!,MATCH(COUNTA(H293:M293),#REF!,0),2)</f>
        <v>#REF!</v>
      </c>
      <c r="Y293" s="310" t="e">
        <f t="shared" si="38"/>
        <v>#DIV/0!</v>
      </c>
      <c r="Z293" s="91">
        <f t="shared" si="39"/>
        <v>0</v>
      </c>
      <c r="AD293" s="91" t="str">
        <f>PE_aug!AP282</f>
        <v>Kläranlagen</v>
      </c>
    </row>
    <row r="294" spans="1:30">
      <c r="A294" s="229" t="s">
        <v>339</v>
      </c>
      <c r="N294">
        <v>0.70699999999999996</v>
      </c>
      <c r="O294">
        <v>3.9E-2</v>
      </c>
      <c r="P294">
        <v>7.4099700000000004</v>
      </c>
      <c r="Q294">
        <v>0.5</v>
      </c>
      <c r="R294" s="88" t="e">
        <f t="shared" si="32"/>
        <v>#DIV/0!</v>
      </c>
      <c r="S294" s="91" t="e">
        <f t="shared" si="33"/>
        <v>#DIV/0!</v>
      </c>
      <c r="T294" s="1" t="e">
        <f t="shared" si="34"/>
        <v>#DIV/0!</v>
      </c>
      <c r="U294" s="1" t="e">
        <f t="shared" si="35"/>
        <v>#DIV/0!</v>
      </c>
      <c r="V294" s="227" t="e">
        <f t="shared" si="36"/>
        <v>#DIV/0!</v>
      </c>
      <c r="W294" s="227" t="e">
        <f t="shared" si="37"/>
        <v>#DIV/0!</v>
      </c>
      <c r="X294" s="203" t="e">
        <f>INDEX(#REF!,MATCH(COUNTA(H294:M294),#REF!,0),2)</f>
        <v>#REF!</v>
      </c>
      <c r="Y294" s="310" t="e">
        <f t="shared" si="38"/>
        <v>#DIV/0!</v>
      </c>
      <c r="Z294" s="91">
        <f t="shared" si="39"/>
        <v>0</v>
      </c>
      <c r="AD294" s="91" t="str">
        <f>PE_aug!AP283</f>
        <v>Kläranlagen</v>
      </c>
    </row>
    <row r="295" spans="1:30">
      <c r="A295" s="229" t="s">
        <v>340</v>
      </c>
      <c r="N295">
        <v>0.70699999999999996</v>
      </c>
      <c r="O295">
        <v>3.9E-2</v>
      </c>
      <c r="P295">
        <v>8.2233499999999999</v>
      </c>
      <c r="Q295">
        <v>0.5</v>
      </c>
      <c r="R295" s="88" t="e">
        <f t="shared" si="32"/>
        <v>#DIV/0!</v>
      </c>
      <c r="S295" s="91" t="e">
        <f t="shared" si="33"/>
        <v>#DIV/0!</v>
      </c>
      <c r="T295" s="1" t="e">
        <f t="shared" si="34"/>
        <v>#DIV/0!</v>
      </c>
      <c r="U295" s="1" t="e">
        <f t="shared" si="35"/>
        <v>#DIV/0!</v>
      </c>
      <c r="V295" s="227" t="e">
        <f t="shared" si="36"/>
        <v>#DIV/0!</v>
      </c>
      <c r="W295" s="227" t="e">
        <f t="shared" si="37"/>
        <v>#DIV/0!</v>
      </c>
      <c r="X295" s="203" t="e">
        <f>INDEX(#REF!,MATCH(COUNTA(H295:M295),#REF!,0),2)</f>
        <v>#REF!</v>
      </c>
      <c r="Y295" s="310" t="e">
        <f t="shared" si="38"/>
        <v>#DIV/0!</v>
      </c>
      <c r="Z295" s="91">
        <f t="shared" si="39"/>
        <v>0</v>
      </c>
      <c r="AD295" s="91" t="str">
        <f>PE_aug!AP284</f>
        <v>Kläranlagen</v>
      </c>
    </row>
    <row r="296" spans="1:30">
      <c r="A296" s="230" t="s">
        <v>560</v>
      </c>
      <c r="N296">
        <v>0.65800000000000003</v>
      </c>
      <c r="O296">
        <v>5.3999999999999999E-2</v>
      </c>
      <c r="P296">
        <v>12.948399999999999</v>
      </c>
      <c r="R296" s="88" t="e">
        <f t="shared" si="32"/>
        <v>#DIV/0!</v>
      </c>
      <c r="S296" s="91" t="e">
        <f t="shared" si="33"/>
        <v>#DIV/0!</v>
      </c>
      <c r="T296" s="1" t="e">
        <f t="shared" si="34"/>
        <v>#DIV/0!</v>
      </c>
      <c r="U296" s="1" t="e">
        <f t="shared" si="35"/>
        <v>#DIV/0!</v>
      </c>
      <c r="V296" s="227" t="e">
        <f t="shared" si="36"/>
        <v>#DIV/0!</v>
      </c>
      <c r="W296" s="227" t="e">
        <f t="shared" si="37"/>
        <v>#DIV/0!</v>
      </c>
      <c r="X296" s="203" t="e">
        <f>INDEX(#REF!,MATCH(COUNTA(H296:M296),#REF!,0),2)</f>
        <v>#REF!</v>
      </c>
      <c r="Y296" s="310" t="e">
        <f t="shared" si="38"/>
        <v>#DIV/0!</v>
      </c>
      <c r="Z296" s="91">
        <f t="shared" si="39"/>
        <v>0</v>
      </c>
      <c r="AD296" s="91" t="str">
        <f>PE_aug!AP285</f>
        <v>Ringversuch</v>
      </c>
    </row>
    <row r="297" spans="1:30">
      <c r="A297" s="230" t="s">
        <v>561</v>
      </c>
      <c r="N297">
        <v>0.54</v>
      </c>
      <c r="O297">
        <v>5.3999999999999999E-2</v>
      </c>
      <c r="P297">
        <v>12.1568</v>
      </c>
      <c r="R297" s="88" t="e">
        <f t="shared" si="32"/>
        <v>#DIV/0!</v>
      </c>
      <c r="S297" s="91" t="e">
        <f t="shared" si="33"/>
        <v>#DIV/0!</v>
      </c>
      <c r="T297" s="1" t="e">
        <f t="shared" si="34"/>
        <v>#DIV/0!</v>
      </c>
      <c r="U297" s="1" t="e">
        <f t="shared" si="35"/>
        <v>#DIV/0!</v>
      </c>
      <c r="V297" s="227" t="e">
        <f t="shared" si="36"/>
        <v>#DIV/0!</v>
      </c>
      <c r="W297" s="227" t="e">
        <f t="shared" si="37"/>
        <v>#DIV/0!</v>
      </c>
      <c r="X297" s="203" t="e">
        <f>INDEX(#REF!,MATCH(COUNTA(H297:M297),#REF!,0),2)</f>
        <v>#REF!</v>
      </c>
      <c r="Y297" s="310" t="e">
        <f t="shared" si="38"/>
        <v>#DIV/0!</v>
      </c>
      <c r="Z297" s="91">
        <f t="shared" si="39"/>
        <v>0</v>
      </c>
      <c r="AD297" s="91" t="str">
        <f>PE_aug!AP286</f>
        <v>Ringversuch</v>
      </c>
    </row>
    <row r="298" spans="1:30">
      <c r="A298" s="230" t="s">
        <v>562</v>
      </c>
      <c r="N298">
        <v>1.002</v>
      </c>
      <c r="O298">
        <v>5.3999999999999999E-2</v>
      </c>
      <c r="P298">
        <v>10.7057</v>
      </c>
      <c r="R298" s="88" t="e">
        <f t="shared" si="32"/>
        <v>#DIV/0!</v>
      </c>
      <c r="S298" s="91" t="e">
        <f t="shared" si="33"/>
        <v>#DIV/0!</v>
      </c>
      <c r="T298" s="1" t="e">
        <f t="shared" si="34"/>
        <v>#DIV/0!</v>
      </c>
      <c r="U298" s="1" t="e">
        <f t="shared" si="35"/>
        <v>#DIV/0!</v>
      </c>
      <c r="V298" s="227" t="e">
        <f t="shared" si="36"/>
        <v>#DIV/0!</v>
      </c>
      <c r="W298" s="227" t="e">
        <f t="shared" si="37"/>
        <v>#DIV/0!</v>
      </c>
      <c r="X298" s="203" t="e">
        <f>INDEX(#REF!,MATCH(COUNTA(H298:M298),#REF!,0),2)</f>
        <v>#REF!</v>
      </c>
      <c r="Y298" s="310" t="e">
        <f t="shared" si="38"/>
        <v>#DIV/0!</v>
      </c>
      <c r="Z298" s="91">
        <f t="shared" si="39"/>
        <v>0</v>
      </c>
      <c r="AD298" s="91" t="str">
        <f>PE_aug!AP287</f>
        <v>Ringversuch</v>
      </c>
    </row>
    <row r="299" spans="1:30">
      <c r="A299" s="230" t="s">
        <v>563</v>
      </c>
      <c r="P299">
        <v>3.8606199999999991</v>
      </c>
      <c r="R299" s="88" t="e">
        <f t="shared" si="32"/>
        <v>#DIV/0!</v>
      </c>
      <c r="S299" s="91" t="e">
        <f t="shared" si="33"/>
        <v>#DIV/0!</v>
      </c>
      <c r="T299" s="1" t="e">
        <f t="shared" si="34"/>
        <v>#DIV/0!</v>
      </c>
      <c r="U299" s="1" t="e">
        <f t="shared" si="35"/>
        <v>#DIV/0!</v>
      </c>
      <c r="V299" s="227" t="e">
        <f t="shared" si="36"/>
        <v>#DIV/0!</v>
      </c>
      <c r="W299" s="227" t="e">
        <f t="shared" si="37"/>
        <v>#DIV/0!</v>
      </c>
      <c r="X299" s="203" t="e">
        <f>INDEX(#REF!,MATCH(COUNTA(H299:M299),#REF!,0),2)</f>
        <v>#REF!</v>
      </c>
      <c r="Y299" s="310" t="e">
        <f t="shared" si="38"/>
        <v>#DIV/0!</v>
      </c>
      <c r="Z299" s="91">
        <f t="shared" si="39"/>
        <v>0</v>
      </c>
      <c r="AD299" s="91" t="str">
        <f>PE_aug!AP288</f>
        <v>Ringversuch</v>
      </c>
    </row>
    <row r="300" spans="1:30">
      <c r="A300" s="230" t="s">
        <v>564</v>
      </c>
      <c r="P300">
        <v>4.9999699999999994</v>
      </c>
      <c r="R300" s="88" t="e">
        <f t="shared" si="32"/>
        <v>#DIV/0!</v>
      </c>
      <c r="S300" s="91" t="e">
        <f t="shared" si="33"/>
        <v>#DIV/0!</v>
      </c>
      <c r="T300" s="1" t="e">
        <f t="shared" si="34"/>
        <v>#DIV/0!</v>
      </c>
      <c r="U300" s="1" t="e">
        <f t="shared" si="35"/>
        <v>#DIV/0!</v>
      </c>
      <c r="V300" s="227" t="e">
        <f t="shared" si="36"/>
        <v>#DIV/0!</v>
      </c>
      <c r="W300" s="227" t="e">
        <f t="shared" si="37"/>
        <v>#DIV/0!</v>
      </c>
      <c r="X300" s="203" t="e">
        <f>INDEX(#REF!,MATCH(COUNTA(H300:M300),#REF!,0),2)</f>
        <v>#REF!</v>
      </c>
      <c r="Y300" s="310" t="e">
        <f t="shared" si="38"/>
        <v>#DIV/0!</v>
      </c>
      <c r="Z300" s="91">
        <f t="shared" si="39"/>
        <v>0</v>
      </c>
      <c r="AD300" s="91" t="str">
        <f>PE_aug!AP289</f>
        <v>Ringversuch</v>
      </c>
    </row>
    <row r="301" spans="1:30">
      <c r="A301" s="230" t="s">
        <v>565</v>
      </c>
      <c r="B301">
        <v>38.74</v>
      </c>
      <c r="C301">
        <v>46.19</v>
      </c>
      <c r="D301">
        <v>11.78</v>
      </c>
      <c r="E301">
        <v>38.1</v>
      </c>
      <c r="F301">
        <v>46.61</v>
      </c>
      <c r="G301">
        <v>32.69</v>
      </c>
      <c r="H301" s="306">
        <v>38.74</v>
      </c>
      <c r="I301">
        <v>46.19</v>
      </c>
      <c r="J301">
        <v>11.78</v>
      </c>
      <c r="K301">
        <v>38.1</v>
      </c>
      <c r="L301">
        <v>46.61</v>
      </c>
      <c r="M301" s="307">
        <v>32.69</v>
      </c>
      <c r="P301">
        <v>2.4472399999999999</v>
      </c>
      <c r="Q301">
        <v>0.86</v>
      </c>
      <c r="R301" s="88">
        <f t="shared" si="32"/>
        <v>1</v>
      </c>
      <c r="S301" s="91">
        <f t="shared" si="33"/>
        <v>0.92999999999999994</v>
      </c>
      <c r="T301" s="1">
        <f t="shared" si="34"/>
        <v>32.865728823370681</v>
      </c>
      <c r="U301" s="1">
        <f t="shared" si="35"/>
        <v>32.865728823370681</v>
      </c>
      <c r="V301" s="227">
        <f t="shared" si="36"/>
        <v>2.0382609277698904</v>
      </c>
      <c r="W301" s="227">
        <f t="shared" si="37"/>
        <v>0.93152062898498411</v>
      </c>
      <c r="X301" s="203" t="e">
        <f>INDEX(#REF!,MATCH(COUNTA(H301:M301),#REF!,0),2)</f>
        <v>#REF!</v>
      </c>
      <c r="Y301" s="310">
        <f t="shared" si="38"/>
        <v>35.685000000000002</v>
      </c>
      <c r="Z301" s="91">
        <f t="shared" si="39"/>
        <v>14.581732890930192</v>
      </c>
      <c r="AB301">
        <v>3.7414599999999999E-2</v>
      </c>
      <c r="AC301" s="309">
        <f>100*(Y301/(AB301*1000))</f>
        <v>95.377205689757488</v>
      </c>
      <c r="AD301" s="91" t="str">
        <f>PE_aug!AP290</f>
        <v>Ringversuch</v>
      </c>
    </row>
    <row r="302" spans="1:30">
      <c r="A302" s="230" t="s">
        <v>566</v>
      </c>
      <c r="P302">
        <v>5.4399699999999998</v>
      </c>
      <c r="R302" s="88" t="e">
        <f t="shared" si="32"/>
        <v>#DIV/0!</v>
      </c>
      <c r="S302" s="91" t="e">
        <f t="shared" si="33"/>
        <v>#DIV/0!</v>
      </c>
      <c r="T302" s="1" t="e">
        <f t="shared" si="34"/>
        <v>#DIV/0!</v>
      </c>
      <c r="U302" s="1" t="e">
        <f t="shared" si="35"/>
        <v>#DIV/0!</v>
      </c>
      <c r="V302" s="227" t="e">
        <f t="shared" si="36"/>
        <v>#DIV/0!</v>
      </c>
      <c r="W302" s="227" t="e">
        <f t="shared" si="37"/>
        <v>#DIV/0!</v>
      </c>
      <c r="X302" s="203" t="e">
        <f>INDEX(#REF!,MATCH(COUNTA(H302:M302),#REF!,0),2)</f>
        <v>#REF!</v>
      </c>
      <c r="Y302" s="310" t="e">
        <f t="shared" si="38"/>
        <v>#DIV/0!</v>
      </c>
      <c r="Z302" s="91">
        <f t="shared" si="39"/>
        <v>0</v>
      </c>
      <c r="AD302" s="91" t="str">
        <f>PE_aug!AP291</f>
        <v>Ringversuch</v>
      </c>
    </row>
    <row r="303" spans="1:30">
      <c r="A303" s="230" t="s">
        <v>567</v>
      </c>
      <c r="P303">
        <v>3.875</v>
      </c>
      <c r="R303" s="88" t="e">
        <f t="shared" si="32"/>
        <v>#DIV/0!</v>
      </c>
      <c r="S303" s="91" t="e">
        <f t="shared" si="33"/>
        <v>#DIV/0!</v>
      </c>
      <c r="T303" s="1" t="e">
        <f t="shared" si="34"/>
        <v>#DIV/0!</v>
      </c>
      <c r="U303" s="1" t="e">
        <f t="shared" si="35"/>
        <v>#DIV/0!</v>
      </c>
      <c r="V303" s="227" t="e">
        <f t="shared" si="36"/>
        <v>#DIV/0!</v>
      </c>
      <c r="W303" s="227" t="e">
        <f t="shared" si="37"/>
        <v>#DIV/0!</v>
      </c>
      <c r="X303" s="203" t="e">
        <f>INDEX(#REF!,MATCH(COUNTA(H303:M303),#REF!,0),2)</f>
        <v>#REF!</v>
      </c>
      <c r="Y303" s="310" t="e">
        <f t="shared" si="38"/>
        <v>#DIV/0!</v>
      </c>
      <c r="Z303" s="91">
        <f t="shared" si="39"/>
        <v>0</v>
      </c>
      <c r="AD303" s="91" t="str">
        <f>PE_aug!AP292</f>
        <v>Ringversuch</v>
      </c>
    </row>
    <row r="304" spans="1:30">
      <c r="A304" s="230" t="s">
        <v>350</v>
      </c>
      <c r="P304">
        <v>4.3691700000000004</v>
      </c>
      <c r="R304" s="88" t="e">
        <f t="shared" si="32"/>
        <v>#DIV/0!</v>
      </c>
      <c r="S304" s="91" t="e">
        <f t="shared" si="33"/>
        <v>#DIV/0!</v>
      </c>
      <c r="T304" s="1" t="e">
        <f t="shared" si="34"/>
        <v>#DIV/0!</v>
      </c>
      <c r="U304" s="1" t="e">
        <f t="shared" si="35"/>
        <v>#DIV/0!</v>
      </c>
      <c r="V304" s="227" t="e">
        <f t="shared" si="36"/>
        <v>#DIV/0!</v>
      </c>
      <c r="W304" s="227" t="e">
        <f t="shared" si="37"/>
        <v>#DIV/0!</v>
      </c>
      <c r="X304" s="203" t="e">
        <f>INDEX(#REF!,MATCH(COUNTA(H304:M304),#REF!,0),2)</f>
        <v>#REF!</v>
      </c>
      <c r="Y304" s="310" t="e">
        <f t="shared" si="38"/>
        <v>#DIV/0!</v>
      </c>
      <c r="Z304" s="91">
        <f t="shared" si="39"/>
        <v>0</v>
      </c>
      <c r="AD304" s="91" t="str">
        <f>PE_aug!AP293</f>
        <v>Kläranlagen, Methode</v>
      </c>
    </row>
    <row r="305" spans="1:30">
      <c r="A305" s="230" t="s">
        <v>351</v>
      </c>
      <c r="N305">
        <v>0.70699999999999996</v>
      </c>
      <c r="O305">
        <v>3.9E-2</v>
      </c>
      <c r="P305">
        <v>3.71591</v>
      </c>
      <c r="R305" s="88" t="e">
        <f t="shared" si="32"/>
        <v>#DIV/0!</v>
      </c>
      <c r="S305" s="91" t="e">
        <f t="shared" si="33"/>
        <v>#DIV/0!</v>
      </c>
      <c r="T305" s="1" t="e">
        <f t="shared" si="34"/>
        <v>#DIV/0!</v>
      </c>
      <c r="U305" s="1" t="e">
        <f t="shared" si="35"/>
        <v>#DIV/0!</v>
      </c>
      <c r="V305" s="227" t="e">
        <f t="shared" si="36"/>
        <v>#DIV/0!</v>
      </c>
      <c r="W305" s="227" t="e">
        <f t="shared" si="37"/>
        <v>#DIV/0!</v>
      </c>
      <c r="X305" s="203" t="e">
        <f>INDEX(#REF!,MATCH(COUNTA(H305:M305),#REF!,0),2)</f>
        <v>#REF!</v>
      </c>
      <c r="Y305" s="310" t="e">
        <f t="shared" si="38"/>
        <v>#DIV/0!</v>
      </c>
      <c r="Z305" s="91">
        <f t="shared" si="39"/>
        <v>0</v>
      </c>
      <c r="AD305" s="91" t="str">
        <f>PE_aug!AP294</f>
        <v>KWB</v>
      </c>
    </row>
    <row r="306" spans="1:30">
      <c r="A306" s="230" t="s">
        <v>352</v>
      </c>
      <c r="N306">
        <v>0.70699999999999996</v>
      </c>
      <c r="O306">
        <v>3.9E-2</v>
      </c>
      <c r="P306">
        <v>3.9680499999999999</v>
      </c>
      <c r="R306" s="88" t="e">
        <f t="shared" si="32"/>
        <v>#DIV/0!</v>
      </c>
      <c r="S306" s="91" t="e">
        <f t="shared" si="33"/>
        <v>#DIV/0!</v>
      </c>
      <c r="T306" s="1" t="e">
        <f t="shared" si="34"/>
        <v>#DIV/0!</v>
      </c>
      <c r="U306" s="1" t="e">
        <f t="shared" si="35"/>
        <v>#DIV/0!</v>
      </c>
      <c r="V306" s="227" t="e">
        <f t="shared" si="36"/>
        <v>#DIV/0!</v>
      </c>
      <c r="W306" s="227" t="e">
        <f t="shared" si="37"/>
        <v>#DIV/0!</v>
      </c>
      <c r="X306" s="203" t="e">
        <f>INDEX(#REF!,MATCH(COUNTA(H306:M306),#REF!,0),2)</f>
        <v>#REF!</v>
      </c>
      <c r="Y306" s="310" t="e">
        <f t="shared" si="38"/>
        <v>#DIV/0!</v>
      </c>
      <c r="Z306" s="91">
        <f t="shared" si="39"/>
        <v>0</v>
      </c>
      <c r="AD306" s="91" t="str">
        <f>PE_aug!AP295</f>
        <v>KWB</v>
      </c>
    </row>
    <row r="307" spans="1:30">
      <c r="A307" s="230" t="s">
        <v>353</v>
      </c>
      <c r="N307">
        <v>0.70699999999999996</v>
      </c>
      <c r="O307">
        <v>2.492</v>
      </c>
      <c r="P307">
        <v>1.542055</v>
      </c>
      <c r="R307" s="88" t="e">
        <f t="shared" si="32"/>
        <v>#DIV/0!</v>
      </c>
      <c r="S307" s="91" t="e">
        <f t="shared" si="33"/>
        <v>#DIV/0!</v>
      </c>
      <c r="T307" s="1" t="e">
        <f t="shared" si="34"/>
        <v>#DIV/0!</v>
      </c>
      <c r="U307" s="1" t="e">
        <f t="shared" si="35"/>
        <v>#DIV/0!</v>
      </c>
      <c r="V307" s="227" t="e">
        <f t="shared" si="36"/>
        <v>#DIV/0!</v>
      </c>
      <c r="W307" s="227" t="e">
        <f t="shared" si="37"/>
        <v>#DIV/0!</v>
      </c>
      <c r="X307" s="203" t="e">
        <f>INDEX(#REF!,MATCH(COUNTA(H307:M307),#REF!,0),2)</f>
        <v>#REF!</v>
      </c>
      <c r="Y307" s="310" t="e">
        <f t="shared" si="38"/>
        <v>#DIV/0!</v>
      </c>
      <c r="Z307" s="91">
        <f t="shared" si="39"/>
        <v>0</v>
      </c>
      <c r="AD307" s="91" t="str">
        <f>PE_aug!AP296</f>
        <v>Bodenproben</v>
      </c>
    </row>
    <row r="308" spans="1:30">
      <c r="A308" s="230" t="s">
        <v>355</v>
      </c>
      <c r="N308">
        <v>0.70699999999999996</v>
      </c>
      <c r="O308">
        <v>2.492</v>
      </c>
      <c r="P308">
        <v>0.66962800000000011</v>
      </c>
      <c r="R308" s="88" t="e">
        <f t="shared" si="32"/>
        <v>#DIV/0!</v>
      </c>
      <c r="S308" s="91" t="e">
        <f t="shared" si="33"/>
        <v>#DIV/0!</v>
      </c>
      <c r="T308" s="1" t="e">
        <f t="shared" si="34"/>
        <v>#DIV/0!</v>
      </c>
      <c r="U308" s="1" t="e">
        <f t="shared" si="35"/>
        <v>#DIV/0!</v>
      </c>
      <c r="V308" s="227" t="e">
        <f t="shared" si="36"/>
        <v>#DIV/0!</v>
      </c>
      <c r="W308" s="227" t="e">
        <f t="shared" si="37"/>
        <v>#DIV/0!</v>
      </c>
      <c r="X308" s="203" t="e">
        <f>INDEX(#REF!,MATCH(COUNTA(H308:M308),#REF!,0),2)</f>
        <v>#REF!</v>
      </c>
      <c r="Y308" s="310" t="e">
        <f t="shared" si="38"/>
        <v>#DIV/0!</v>
      </c>
      <c r="Z308" s="91">
        <f t="shared" si="39"/>
        <v>0</v>
      </c>
      <c r="AD308" s="91" t="str">
        <f>PE_aug!AP297</f>
        <v>Bodenproben</v>
      </c>
    </row>
    <row r="309" spans="1:30">
      <c r="A309" s="230" t="s">
        <v>356</v>
      </c>
      <c r="N309">
        <v>0.749</v>
      </c>
      <c r="O309">
        <v>2.9000000000000001E-2</v>
      </c>
      <c r="P309">
        <v>6.9847100000000006</v>
      </c>
      <c r="R309" s="88" t="e">
        <f t="shared" si="32"/>
        <v>#DIV/0!</v>
      </c>
      <c r="S309" s="91" t="e">
        <f t="shared" si="33"/>
        <v>#DIV/0!</v>
      </c>
      <c r="T309" s="1" t="e">
        <f t="shared" si="34"/>
        <v>#DIV/0!</v>
      </c>
      <c r="U309" s="1" t="e">
        <f t="shared" si="35"/>
        <v>#DIV/0!</v>
      </c>
      <c r="V309" s="227" t="e">
        <f t="shared" si="36"/>
        <v>#DIV/0!</v>
      </c>
      <c r="W309" s="227" t="e">
        <f t="shared" si="37"/>
        <v>#DIV/0!</v>
      </c>
      <c r="X309" s="203" t="e">
        <f>INDEX(#REF!,MATCH(COUNTA(H309:M309),#REF!,0),2)</f>
        <v>#REF!</v>
      </c>
      <c r="Y309" s="310" t="e">
        <f t="shared" si="38"/>
        <v>#DIV/0!</v>
      </c>
      <c r="Z309" s="91">
        <f t="shared" si="39"/>
        <v>0</v>
      </c>
      <c r="AD309" s="91" t="str">
        <f>PE_aug!AP298</f>
        <v>Kläranlagen</v>
      </c>
    </row>
    <row r="310" spans="1:30">
      <c r="A310" s="230" t="s">
        <v>357</v>
      </c>
      <c r="N310">
        <v>0.59899999999999998</v>
      </c>
      <c r="O310">
        <v>2.9000000000000001E-2</v>
      </c>
      <c r="P310">
        <v>7.3604950000000002</v>
      </c>
      <c r="R310" s="88" t="e">
        <f t="shared" si="32"/>
        <v>#DIV/0!</v>
      </c>
      <c r="S310" s="91" t="e">
        <f t="shared" si="33"/>
        <v>#DIV/0!</v>
      </c>
      <c r="T310" s="1" t="e">
        <f t="shared" si="34"/>
        <v>#DIV/0!</v>
      </c>
      <c r="U310" s="1" t="e">
        <f t="shared" si="35"/>
        <v>#DIV/0!</v>
      </c>
      <c r="V310" s="227" t="e">
        <f t="shared" si="36"/>
        <v>#DIV/0!</v>
      </c>
      <c r="W310" s="227" t="e">
        <f t="shared" si="37"/>
        <v>#DIV/0!</v>
      </c>
      <c r="X310" s="203" t="e">
        <f>INDEX(#REF!,MATCH(COUNTA(H310:M310),#REF!,0),2)</f>
        <v>#REF!</v>
      </c>
      <c r="Y310" s="310" t="e">
        <f t="shared" si="38"/>
        <v>#DIV/0!</v>
      </c>
      <c r="Z310" s="91">
        <f t="shared" si="39"/>
        <v>0</v>
      </c>
      <c r="AD310" s="91" t="str">
        <f>PE_aug!AP299</f>
        <v>Kläranlagen</v>
      </c>
    </row>
    <row r="311" spans="1:30">
      <c r="A311" s="230" t="s">
        <v>358</v>
      </c>
      <c r="N311">
        <v>0.88700000000000001</v>
      </c>
      <c r="O311">
        <v>2.9000000000000001E-2</v>
      </c>
      <c r="P311">
        <v>7.2579799999999999</v>
      </c>
      <c r="R311" s="88" t="e">
        <f t="shared" si="32"/>
        <v>#DIV/0!</v>
      </c>
      <c r="S311" s="91" t="e">
        <f t="shared" si="33"/>
        <v>#DIV/0!</v>
      </c>
      <c r="T311" s="1" t="e">
        <f t="shared" si="34"/>
        <v>#DIV/0!</v>
      </c>
      <c r="U311" s="1" t="e">
        <f t="shared" si="35"/>
        <v>#DIV/0!</v>
      </c>
      <c r="V311" s="227" t="e">
        <f t="shared" si="36"/>
        <v>#DIV/0!</v>
      </c>
      <c r="W311" s="227" t="e">
        <f t="shared" si="37"/>
        <v>#DIV/0!</v>
      </c>
      <c r="X311" s="203" t="e">
        <f>INDEX(#REF!,MATCH(COUNTA(H311:M311),#REF!,0),2)</f>
        <v>#REF!</v>
      </c>
      <c r="Y311" s="310" t="e">
        <f t="shared" si="38"/>
        <v>#DIV/0!</v>
      </c>
      <c r="Z311" s="91">
        <f t="shared" si="39"/>
        <v>0</v>
      </c>
      <c r="AD311" s="91" t="str">
        <f>PE_aug!AP300</f>
        <v>Kläranlagen</v>
      </c>
    </row>
    <row r="312" spans="1:30">
      <c r="A312" s="230" t="s">
        <v>359</v>
      </c>
      <c r="P312">
        <v>7.8634899999999996</v>
      </c>
      <c r="Q312">
        <v>0.5</v>
      </c>
      <c r="R312" s="88" t="e">
        <f t="shared" si="32"/>
        <v>#DIV/0!</v>
      </c>
      <c r="S312" s="91" t="e">
        <f t="shared" si="33"/>
        <v>#DIV/0!</v>
      </c>
      <c r="T312" s="1" t="e">
        <f t="shared" si="34"/>
        <v>#DIV/0!</v>
      </c>
      <c r="U312" s="1" t="e">
        <f t="shared" si="35"/>
        <v>#DIV/0!</v>
      </c>
      <c r="V312" s="227" t="e">
        <f t="shared" si="36"/>
        <v>#DIV/0!</v>
      </c>
      <c r="W312" s="227" t="e">
        <f t="shared" si="37"/>
        <v>#DIV/0!</v>
      </c>
      <c r="X312" s="203" t="e">
        <f>INDEX(#REF!,MATCH(COUNTA(H312:M312),#REF!,0),2)</f>
        <v>#REF!</v>
      </c>
      <c r="Y312" s="310" t="e">
        <f t="shared" si="38"/>
        <v>#DIV/0!</v>
      </c>
      <c r="Z312" s="91">
        <f t="shared" si="39"/>
        <v>0</v>
      </c>
      <c r="AD312" s="91" t="str">
        <f>PE_aug!AP301</f>
        <v>Kläranlagen, Methode</v>
      </c>
    </row>
    <row r="313" spans="1:30">
      <c r="A313" s="232" t="s">
        <v>360</v>
      </c>
      <c r="N313">
        <v>0.54</v>
      </c>
      <c r="O313">
        <v>5.3999999999999999E-2</v>
      </c>
      <c r="P313">
        <v>12.1568</v>
      </c>
      <c r="R313" s="88" t="e">
        <f t="shared" si="32"/>
        <v>#DIV/0!</v>
      </c>
      <c r="S313" s="91" t="e">
        <f t="shared" si="33"/>
        <v>#DIV/0!</v>
      </c>
      <c r="T313" s="1" t="e">
        <f t="shared" si="34"/>
        <v>#DIV/0!</v>
      </c>
      <c r="U313" s="1" t="e">
        <f t="shared" si="35"/>
        <v>#DIV/0!</v>
      </c>
      <c r="V313" s="227" t="e">
        <f t="shared" si="36"/>
        <v>#DIV/0!</v>
      </c>
      <c r="W313" s="227" t="e">
        <f t="shared" si="37"/>
        <v>#DIV/0!</v>
      </c>
      <c r="X313" s="203" t="e">
        <f>INDEX(#REF!,MATCH(COUNTA(H313:M313),#REF!,0),2)</f>
        <v>#REF!</v>
      </c>
      <c r="Y313" s="310" t="e">
        <f t="shared" si="38"/>
        <v>#DIV/0!</v>
      </c>
      <c r="Z313" s="91">
        <f t="shared" si="39"/>
        <v>0</v>
      </c>
      <c r="AD313" s="91" t="str">
        <f>PE_aug!AP302</f>
        <v>Ringversuch</v>
      </c>
    </row>
    <row r="314" spans="1:30">
      <c r="A314" s="232" t="s">
        <v>361</v>
      </c>
      <c r="N314">
        <v>1.002</v>
      </c>
      <c r="O314">
        <v>5.3999999999999999E-2</v>
      </c>
      <c r="P314">
        <v>10.7057</v>
      </c>
      <c r="R314" s="88" t="e">
        <f t="shared" si="32"/>
        <v>#DIV/0!</v>
      </c>
      <c r="S314" s="91" t="e">
        <f t="shared" si="33"/>
        <v>#DIV/0!</v>
      </c>
      <c r="T314" s="1" t="e">
        <f t="shared" si="34"/>
        <v>#DIV/0!</v>
      </c>
      <c r="U314" s="1" t="e">
        <f t="shared" si="35"/>
        <v>#DIV/0!</v>
      </c>
      <c r="V314" s="227" t="e">
        <f t="shared" si="36"/>
        <v>#DIV/0!</v>
      </c>
      <c r="W314" s="227" t="e">
        <f t="shared" si="37"/>
        <v>#DIV/0!</v>
      </c>
      <c r="X314" s="203" t="e">
        <f>INDEX(#REF!,MATCH(COUNTA(H314:M314),#REF!,0),2)</f>
        <v>#REF!</v>
      </c>
      <c r="Y314" s="310" t="e">
        <f t="shared" si="38"/>
        <v>#DIV/0!</v>
      </c>
      <c r="Z314" s="91">
        <f t="shared" si="39"/>
        <v>0</v>
      </c>
      <c r="AD314" s="91" t="str">
        <f>PE_aug!AP303</f>
        <v>Ringversuch</v>
      </c>
    </row>
    <row r="315" spans="1:30">
      <c r="A315" s="232" t="s">
        <v>362</v>
      </c>
      <c r="O315" s="307"/>
      <c r="P315">
        <v>3.8606199999999991</v>
      </c>
      <c r="R315" s="88" t="e">
        <f t="shared" si="32"/>
        <v>#DIV/0!</v>
      </c>
      <c r="S315" s="91" t="e">
        <f t="shared" si="33"/>
        <v>#DIV/0!</v>
      </c>
      <c r="T315" s="1" t="e">
        <f t="shared" si="34"/>
        <v>#DIV/0!</v>
      </c>
      <c r="U315" s="1" t="e">
        <f t="shared" si="35"/>
        <v>#DIV/0!</v>
      </c>
      <c r="V315" s="227" t="e">
        <f t="shared" si="36"/>
        <v>#DIV/0!</v>
      </c>
      <c r="W315" s="227" t="e">
        <f t="shared" si="37"/>
        <v>#DIV/0!</v>
      </c>
      <c r="X315" s="203" t="e">
        <f>INDEX(#REF!,MATCH(COUNTA(H315:M315),#REF!,0),2)</f>
        <v>#REF!</v>
      </c>
      <c r="Y315" s="310" t="e">
        <f t="shared" si="38"/>
        <v>#DIV/0!</v>
      </c>
      <c r="Z315" s="91">
        <f t="shared" si="39"/>
        <v>0</v>
      </c>
      <c r="AD315" s="91" t="str">
        <f>PE_aug!AP304</f>
        <v>Ringversuch</v>
      </c>
    </row>
    <row r="316" spans="1:30">
      <c r="A316" s="232" t="s">
        <v>363</v>
      </c>
      <c r="O316" s="307"/>
      <c r="P316">
        <v>4.9999699999999994</v>
      </c>
      <c r="R316" s="88" t="e">
        <f t="shared" si="32"/>
        <v>#DIV/0!</v>
      </c>
      <c r="S316" s="91" t="e">
        <f t="shared" si="33"/>
        <v>#DIV/0!</v>
      </c>
      <c r="T316" s="1" t="e">
        <f t="shared" si="34"/>
        <v>#DIV/0!</v>
      </c>
      <c r="U316" s="1" t="e">
        <f t="shared" si="35"/>
        <v>#DIV/0!</v>
      </c>
      <c r="V316" s="227" t="e">
        <f t="shared" si="36"/>
        <v>#DIV/0!</v>
      </c>
      <c r="W316" s="227" t="e">
        <f t="shared" si="37"/>
        <v>#DIV/0!</v>
      </c>
      <c r="X316" s="203" t="e">
        <f>INDEX(#REF!,MATCH(COUNTA(H316:M316),#REF!,0),2)</f>
        <v>#REF!</v>
      </c>
      <c r="Y316" s="310" t="e">
        <f t="shared" si="38"/>
        <v>#DIV/0!</v>
      </c>
      <c r="Z316" s="91">
        <f t="shared" si="39"/>
        <v>0</v>
      </c>
      <c r="AD316" s="91" t="str">
        <f>PE_aug!AP305</f>
        <v>Ringversuch</v>
      </c>
    </row>
    <row r="317" spans="1:30">
      <c r="A317" s="232" t="s">
        <v>364</v>
      </c>
      <c r="B317">
        <v>43.56</v>
      </c>
      <c r="C317">
        <v>31.75</v>
      </c>
      <c r="D317">
        <v>14.91</v>
      </c>
      <c r="E317">
        <v>43.32</v>
      </c>
      <c r="F317">
        <v>51.72</v>
      </c>
      <c r="G317">
        <v>37.06</v>
      </c>
      <c r="H317" s="306">
        <v>43.56</v>
      </c>
      <c r="I317">
        <v>31.75</v>
      </c>
      <c r="J317">
        <v>14.91</v>
      </c>
      <c r="K317">
        <v>43.32</v>
      </c>
      <c r="L317">
        <v>51.72</v>
      </c>
      <c r="M317" s="307">
        <v>37.06</v>
      </c>
      <c r="O317" s="307"/>
      <c r="P317">
        <v>2.4472399999999999</v>
      </c>
      <c r="Q317">
        <v>0.64</v>
      </c>
      <c r="R317" s="88">
        <f t="shared" si="32"/>
        <v>1</v>
      </c>
      <c r="S317" s="91">
        <f t="shared" si="33"/>
        <v>0.82000000000000006</v>
      </c>
      <c r="T317" s="1">
        <f t="shared" si="34"/>
        <v>31.457310859369365</v>
      </c>
      <c r="U317" s="1">
        <f t="shared" si="35"/>
        <v>31.457310859369365</v>
      </c>
      <c r="V317" s="227">
        <f t="shared" si="36"/>
        <v>1.8997397952048145</v>
      </c>
      <c r="W317" s="227">
        <f t="shared" si="37"/>
        <v>1.2582952128407621</v>
      </c>
      <c r="X317" s="203" t="e">
        <f>INDEX(#REF!,MATCH(COUNTA(H317:M317),#REF!,0),2)</f>
        <v>#REF!</v>
      </c>
      <c r="Y317" s="310">
        <f t="shared" si="38"/>
        <v>37.053333333333335</v>
      </c>
      <c r="Z317" s="91">
        <f t="shared" si="39"/>
        <v>15.140866173049369</v>
      </c>
      <c r="AB317">
        <v>3.7414599999999999E-2</v>
      </c>
      <c r="AC317" s="309">
        <f>100*(Y317/(AB317*1000))</f>
        <v>99.034423282176832</v>
      </c>
      <c r="AD317" s="91" t="str">
        <f>PE_aug!AP306</f>
        <v>Ringversuch</v>
      </c>
    </row>
    <row r="318" spans="1:30">
      <c r="A318" s="232" t="s">
        <v>365</v>
      </c>
      <c r="O318" s="307"/>
      <c r="P318">
        <v>5.4399699999999998</v>
      </c>
      <c r="R318" s="88" t="e">
        <f t="shared" si="32"/>
        <v>#DIV/0!</v>
      </c>
      <c r="S318" s="91" t="e">
        <f t="shared" si="33"/>
        <v>#DIV/0!</v>
      </c>
      <c r="T318" s="1" t="e">
        <f t="shared" si="34"/>
        <v>#DIV/0!</v>
      </c>
      <c r="U318" s="1" t="e">
        <f t="shared" si="35"/>
        <v>#DIV/0!</v>
      </c>
      <c r="V318" s="227" t="e">
        <f t="shared" si="36"/>
        <v>#DIV/0!</v>
      </c>
      <c r="W318" s="227" t="e">
        <f t="shared" si="37"/>
        <v>#DIV/0!</v>
      </c>
      <c r="X318" s="203" t="e">
        <f>INDEX(#REF!,MATCH(COUNTA(H318:M318),#REF!,0),2)</f>
        <v>#REF!</v>
      </c>
      <c r="Y318" s="310" t="e">
        <f t="shared" si="38"/>
        <v>#DIV/0!</v>
      </c>
      <c r="Z318" s="91">
        <f t="shared" si="39"/>
        <v>0</v>
      </c>
      <c r="AC318" s="309"/>
      <c r="AD318" s="91" t="str">
        <f>PE_aug!AP307</f>
        <v>Ringversuch</v>
      </c>
    </row>
    <row r="319" spans="1:30">
      <c r="A319" s="288" t="s">
        <v>366</v>
      </c>
      <c r="O319" s="307"/>
      <c r="P319">
        <v>3.875</v>
      </c>
      <c r="R319" s="88" t="e">
        <f t="shared" si="32"/>
        <v>#DIV/0!</v>
      </c>
      <c r="S319" s="91" t="e">
        <f t="shared" si="33"/>
        <v>#DIV/0!</v>
      </c>
      <c r="T319" s="1" t="e">
        <f t="shared" si="34"/>
        <v>#DIV/0!</v>
      </c>
      <c r="U319" s="1" t="e">
        <f t="shared" si="35"/>
        <v>#DIV/0!</v>
      </c>
      <c r="V319" s="227" t="e">
        <f t="shared" si="36"/>
        <v>#DIV/0!</v>
      </c>
      <c r="W319" s="227" t="e">
        <f t="shared" si="37"/>
        <v>#DIV/0!</v>
      </c>
      <c r="X319" s="203" t="e">
        <f>INDEX(#REF!,MATCH(COUNTA(H319:M319),#REF!,0),2)</f>
        <v>#REF!</v>
      </c>
      <c r="Y319" s="310" t="e">
        <f t="shared" si="38"/>
        <v>#DIV/0!</v>
      </c>
      <c r="Z319" s="91">
        <f t="shared" si="39"/>
        <v>0</v>
      </c>
      <c r="AC319" s="309"/>
      <c r="AD319" s="91" t="str">
        <f>PE_aug!AP308</f>
        <v>Ringversuch</v>
      </c>
    </row>
    <row r="320" spans="1:30" s="51" customFormat="1">
      <c r="A320" s="253" t="s">
        <v>367</v>
      </c>
      <c r="H320" s="63"/>
      <c r="M320" s="78"/>
      <c r="N320" s="51">
        <v>1.091</v>
      </c>
      <c r="O320" s="51">
        <v>6.7000000000000004E-2</v>
      </c>
      <c r="P320" s="51">
        <v>9.286525000000001</v>
      </c>
      <c r="Q320" s="51">
        <v>0.73</v>
      </c>
      <c r="R320" s="92" t="e">
        <f t="shared" si="32"/>
        <v>#DIV/0!</v>
      </c>
      <c r="S320" s="93" t="e">
        <f t="shared" si="33"/>
        <v>#DIV/0!</v>
      </c>
      <c r="T320" s="79" t="e">
        <f t="shared" si="34"/>
        <v>#DIV/0!</v>
      </c>
      <c r="U320" s="79" t="e">
        <f t="shared" si="35"/>
        <v>#DIV/0!</v>
      </c>
      <c r="V320" s="80" t="e">
        <f t="shared" si="36"/>
        <v>#DIV/0!</v>
      </c>
      <c r="W320" s="80" t="e">
        <f t="shared" si="37"/>
        <v>#DIV/0!</v>
      </c>
      <c r="X320" s="68" t="e">
        <f>INDEX(#REF!,MATCH(COUNTA(H320:M320),#REF!,0),2)</f>
        <v>#REF!</v>
      </c>
      <c r="Y320" s="90" t="e">
        <f t="shared" si="38"/>
        <v>#DIV/0!</v>
      </c>
      <c r="Z320" s="93">
        <f t="shared" si="39"/>
        <v>0</v>
      </c>
      <c r="AC320" s="94"/>
      <c r="AD320" s="93" t="str">
        <f>PE_aug!AP309</f>
        <v>Flussproben</v>
      </c>
    </row>
    <row r="321" spans="1:30">
      <c r="A321" s="253" t="s">
        <v>368</v>
      </c>
      <c r="B321">
        <v>4.8099999999999996</v>
      </c>
      <c r="E321">
        <v>3.45</v>
      </c>
      <c r="G321">
        <v>2.84</v>
      </c>
      <c r="H321" s="306">
        <v>4.8099999999999996</v>
      </c>
      <c r="K321">
        <v>3.45</v>
      </c>
      <c r="M321" s="307">
        <v>2.84</v>
      </c>
      <c r="N321">
        <v>0.60099999999999998</v>
      </c>
      <c r="O321">
        <v>6.7000000000000004E-2</v>
      </c>
      <c r="P321">
        <v>12.251099999999999</v>
      </c>
      <c r="Q321">
        <v>0.86</v>
      </c>
      <c r="R321" s="88">
        <f t="shared" si="32"/>
        <v>0.75</v>
      </c>
      <c r="S321" s="91">
        <f t="shared" si="33"/>
        <v>0.80499999999999994</v>
      </c>
      <c r="T321" s="1">
        <f t="shared" si="34"/>
        <v>22.255352302570174</v>
      </c>
      <c r="U321" s="1">
        <f t="shared" si="35"/>
        <v>22.255352302570174</v>
      </c>
      <c r="V321" s="227">
        <f t="shared" si="36"/>
        <v>1.0443889149559309</v>
      </c>
      <c r="W321" s="227">
        <f t="shared" si="37"/>
        <v>1.3479903437221898</v>
      </c>
      <c r="X321" s="203" t="e">
        <f>INDEX(#REF!,MATCH(COUNTA(H321:M321),#REF!,0),2)</f>
        <v>#REF!</v>
      </c>
      <c r="Y321" s="310">
        <f t="shared" si="38"/>
        <v>3.6999999999999997</v>
      </c>
      <c r="Z321" s="91">
        <f t="shared" si="39"/>
        <v>0.30201369672927331</v>
      </c>
      <c r="AC321" s="309"/>
      <c r="AD321" s="91" t="str">
        <f>PE_aug!AP310</f>
        <v>Flussproben</v>
      </c>
    </row>
    <row r="322" spans="1:30">
      <c r="A322" s="253" t="s">
        <v>369</v>
      </c>
      <c r="B322">
        <v>6.11</v>
      </c>
      <c r="E322">
        <v>5.45</v>
      </c>
      <c r="F322">
        <v>4.1100000000000003</v>
      </c>
      <c r="G322">
        <v>4.62</v>
      </c>
      <c r="H322" s="306">
        <v>6.11</v>
      </c>
      <c r="K322">
        <v>5.45</v>
      </c>
      <c r="L322">
        <v>4.1100000000000003</v>
      </c>
      <c r="M322" s="307">
        <v>4.62</v>
      </c>
      <c r="N322">
        <v>0.51500000000000001</v>
      </c>
      <c r="O322">
        <v>6.7000000000000004E-2</v>
      </c>
      <c r="P322">
        <v>12.615600000000001</v>
      </c>
      <c r="Q322">
        <v>0.76</v>
      </c>
      <c r="R322" s="88">
        <f t="shared" ref="R322:R385" si="40">IF(COUNT(H322:M322)=1,0.16,(COUNT(H322:M322)*(1/(COUNT(H322:M322)+COUNTBLANK(H322:M322)))+(IF(T322&lt;35,1,IF(T322&lt;70,0.5,IF(T322&gt;70,0)))))/2)</f>
        <v>0.83333333333333326</v>
      </c>
      <c r="S322" s="91">
        <f t="shared" ref="S322:S385" si="41">AVERAGE(Q322:R322)</f>
        <v>0.79666666666666663</v>
      </c>
      <c r="T322" s="1">
        <f t="shared" ref="T322:T385" si="42">((_xlfn.STDEV.P(H322:M322))/(AVERAGE(H322:M322)))*100</f>
        <v>15.110847055526369</v>
      </c>
      <c r="U322" s="1">
        <f t="shared" ref="U322:U385" si="43">((_xlfn.STDEV.P(B322:G322))/(AVERAGE(B322:G322)))*100</f>
        <v>15.110847055526369</v>
      </c>
      <c r="V322" s="227">
        <f t="shared" ref="V322:V385" si="44">(ABS(MIN(H322:M322)-AVERAGE(H322:M322))/_xlfn.STDEV.P(H322:M322))</f>
        <v>1.2557115028382408</v>
      </c>
      <c r="W322" s="227">
        <f t="shared" ref="W322:W385" si="45">(ABS(MAX(H322:M322)-AVERAGE(H322:M322))/_xlfn.STDEV.P(H322:M322))</f>
        <v>1.3535591524100508</v>
      </c>
      <c r="X322" s="203" t="e">
        <f>INDEX(#REF!,MATCH(COUNTA(H322:M322),#REF!,0),2)</f>
        <v>#REF!</v>
      </c>
      <c r="Y322" s="310">
        <f t="shared" ref="Y322:Y385" si="46">AVERAGE(H322:M322)</f>
        <v>5.0725000000000007</v>
      </c>
      <c r="Z322" s="91">
        <f t="shared" ref="Z322:Z385" si="47">IFERROR(Y322/P322,0)</f>
        <v>0.40208154982719813</v>
      </c>
      <c r="AC322" s="309"/>
      <c r="AD322" s="91" t="str">
        <f>PE_aug!AP311</f>
        <v>Flussproben</v>
      </c>
    </row>
    <row r="323" spans="1:30">
      <c r="A323" s="253" t="s">
        <v>370</v>
      </c>
      <c r="N323">
        <v>0.97199999999999998</v>
      </c>
      <c r="O323">
        <v>0.105</v>
      </c>
      <c r="P323">
        <v>7.857660000000001</v>
      </c>
      <c r="Q323">
        <v>0.5</v>
      </c>
      <c r="R323" s="88" t="e">
        <f t="shared" si="40"/>
        <v>#DIV/0!</v>
      </c>
      <c r="S323" s="91" t="e">
        <f t="shared" si="41"/>
        <v>#DIV/0!</v>
      </c>
      <c r="T323" s="1" t="e">
        <f t="shared" si="42"/>
        <v>#DIV/0!</v>
      </c>
      <c r="U323" s="1" t="e">
        <f t="shared" si="43"/>
        <v>#DIV/0!</v>
      </c>
      <c r="V323" s="227" t="e">
        <f t="shared" si="44"/>
        <v>#DIV/0!</v>
      </c>
      <c r="W323" s="227" t="e">
        <f t="shared" si="45"/>
        <v>#DIV/0!</v>
      </c>
      <c r="X323" s="203" t="e">
        <f>INDEX(#REF!,MATCH(COUNTA(H323:M323),#REF!,0),2)</f>
        <v>#REF!</v>
      </c>
      <c r="Y323" s="310" t="e">
        <f t="shared" si="46"/>
        <v>#DIV/0!</v>
      </c>
      <c r="Z323" s="91">
        <f t="shared" si="47"/>
        <v>0</v>
      </c>
      <c r="AC323" s="309"/>
      <c r="AD323" s="91" t="str">
        <f>PE_aug!AP312</f>
        <v>Flussproben</v>
      </c>
    </row>
    <row r="324" spans="1:30">
      <c r="A324" s="253" t="s">
        <v>371</v>
      </c>
      <c r="N324">
        <v>0.99399999999999999</v>
      </c>
      <c r="O324">
        <v>0.105</v>
      </c>
      <c r="P324">
        <v>14.188499999999999</v>
      </c>
      <c r="Q324">
        <v>0.77</v>
      </c>
      <c r="R324" s="88" t="e">
        <f t="shared" si="40"/>
        <v>#DIV/0!</v>
      </c>
      <c r="S324" s="91" t="e">
        <f t="shared" si="41"/>
        <v>#DIV/0!</v>
      </c>
      <c r="T324" s="1" t="e">
        <f t="shared" si="42"/>
        <v>#DIV/0!</v>
      </c>
      <c r="U324" s="1" t="e">
        <f t="shared" si="43"/>
        <v>#DIV/0!</v>
      </c>
      <c r="V324" s="227" t="e">
        <f t="shared" si="44"/>
        <v>#DIV/0!</v>
      </c>
      <c r="W324" s="227" t="e">
        <f t="shared" si="45"/>
        <v>#DIV/0!</v>
      </c>
      <c r="X324" s="203" t="e">
        <f>INDEX(#REF!,MATCH(COUNTA(H324:M324),#REF!,0),2)</f>
        <v>#REF!</v>
      </c>
      <c r="Y324" s="310" t="e">
        <f t="shared" si="46"/>
        <v>#DIV/0!</v>
      </c>
      <c r="Z324" s="91">
        <f t="shared" si="47"/>
        <v>0</v>
      </c>
      <c r="AC324" s="309"/>
      <c r="AD324" s="91" t="str">
        <f>PE_aug!AP313</f>
        <v>Flussproben</v>
      </c>
    </row>
    <row r="325" spans="1:30">
      <c r="A325" s="253" t="s">
        <v>372</v>
      </c>
      <c r="N325">
        <v>0.1</v>
      </c>
      <c r="O325">
        <v>0.105</v>
      </c>
      <c r="P325">
        <v>11.1106</v>
      </c>
      <c r="Q325">
        <v>0.5</v>
      </c>
      <c r="R325" s="88" t="e">
        <f t="shared" si="40"/>
        <v>#DIV/0!</v>
      </c>
      <c r="S325" s="91" t="e">
        <f t="shared" si="41"/>
        <v>#DIV/0!</v>
      </c>
      <c r="T325" s="1" t="e">
        <f t="shared" si="42"/>
        <v>#DIV/0!</v>
      </c>
      <c r="U325" s="1" t="e">
        <f t="shared" si="43"/>
        <v>#DIV/0!</v>
      </c>
      <c r="V325" s="227" t="e">
        <f t="shared" si="44"/>
        <v>#DIV/0!</v>
      </c>
      <c r="W325" s="227" t="e">
        <f t="shared" si="45"/>
        <v>#DIV/0!</v>
      </c>
      <c r="X325" s="203" t="e">
        <f>INDEX(#REF!,MATCH(COUNTA(H325:M325),#REF!,0),2)</f>
        <v>#REF!</v>
      </c>
      <c r="Y325" s="310" t="e">
        <f t="shared" si="46"/>
        <v>#DIV/0!</v>
      </c>
      <c r="Z325" s="91">
        <f t="shared" si="47"/>
        <v>0</v>
      </c>
      <c r="AC325" s="309"/>
      <c r="AD325" s="91" t="str">
        <f>PE_aug!AP314</f>
        <v>Flussproben</v>
      </c>
    </row>
    <row r="326" spans="1:30">
      <c r="A326" s="253" t="s">
        <v>373</v>
      </c>
      <c r="N326">
        <v>0.41</v>
      </c>
      <c r="O326">
        <v>2.1000000000000001E-2</v>
      </c>
      <c r="P326">
        <v>7.3926399999999992</v>
      </c>
      <c r="Q326">
        <v>0.67</v>
      </c>
      <c r="R326" s="88" t="e">
        <f t="shared" si="40"/>
        <v>#DIV/0!</v>
      </c>
      <c r="S326" s="91" t="e">
        <f t="shared" si="41"/>
        <v>#DIV/0!</v>
      </c>
      <c r="T326" s="1" t="e">
        <f t="shared" si="42"/>
        <v>#DIV/0!</v>
      </c>
      <c r="U326" s="1" t="e">
        <f t="shared" si="43"/>
        <v>#DIV/0!</v>
      </c>
      <c r="V326" s="227" t="e">
        <f t="shared" si="44"/>
        <v>#DIV/0!</v>
      </c>
      <c r="W326" s="227" t="e">
        <f t="shared" si="45"/>
        <v>#DIV/0!</v>
      </c>
      <c r="X326" s="203" t="e">
        <f>INDEX(#REF!,MATCH(COUNTA(H326:M326),#REF!,0),2)</f>
        <v>#REF!</v>
      </c>
      <c r="Y326" s="310" t="e">
        <f t="shared" si="46"/>
        <v>#DIV/0!</v>
      </c>
      <c r="Z326" s="91">
        <f t="shared" si="47"/>
        <v>0</v>
      </c>
      <c r="AC326" s="309"/>
      <c r="AD326" s="91" t="str">
        <f>PE_aug!AP315</f>
        <v>Flussproben</v>
      </c>
    </row>
    <row r="327" spans="1:30">
      <c r="A327" s="253" t="s">
        <v>374</v>
      </c>
      <c r="N327">
        <v>0.96</v>
      </c>
      <c r="O327">
        <v>2.1000000000000001E-2</v>
      </c>
      <c r="P327">
        <v>6.2162100000000002</v>
      </c>
      <c r="Q327">
        <v>0.5</v>
      </c>
      <c r="R327" s="88" t="e">
        <f t="shared" si="40"/>
        <v>#DIV/0!</v>
      </c>
      <c r="S327" s="91" t="e">
        <f t="shared" si="41"/>
        <v>#DIV/0!</v>
      </c>
      <c r="T327" s="1" t="e">
        <f t="shared" si="42"/>
        <v>#DIV/0!</v>
      </c>
      <c r="U327" s="1" t="e">
        <f t="shared" si="43"/>
        <v>#DIV/0!</v>
      </c>
      <c r="V327" s="227" t="e">
        <f t="shared" si="44"/>
        <v>#DIV/0!</v>
      </c>
      <c r="W327" s="227" t="e">
        <f t="shared" si="45"/>
        <v>#DIV/0!</v>
      </c>
      <c r="X327" s="203" t="e">
        <f>INDEX(#REF!,MATCH(COUNTA(H327:M327),#REF!,0),2)</f>
        <v>#REF!</v>
      </c>
      <c r="Y327" s="310" t="e">
        <f t="shared" si="46"/>
        <v>#DIV/0!</v>
      </c>
      <c r="Z327" s="91">
        <f t="shared" si="47"/>
        <v>0</v>
      </c>
      <c r="AC327" s="309"/>
      <c r="AD327" s="91" t="str">
        <f>PE_aug!AP316</f>
        <v>Flussproben</v>
      </c>
    </row>
    <row r="328" spans="1:30">
      <c r="A328" s="253" t="s">
        <v>375</v>
      </c>
      <c r="N328">
        <v>0.84199999999999997</v>
      </c>
      <c r="O328">
        <v>2.1000000000000001E-2</v>
      </c>
      <c r="P328">
        <v>7.15618</v>
      </c>
      <c r="Q328">
        <v>0.67</v>
      </c>
      <c r="R328" s="88" t="e">
        <f t="shared" si="40"/>
        <v>#DIV/0!</v>
      </c>
      <c r="S328" s="91" t="e">
        <f t="shared" si="41"/>
        <v>#DIV/0!</v>
      </c>
      <c r="T328" s="1" t="e">
        <f t="shared" si="42"/>
        <v>#DIV/0!</v>
      </c>
      <c r="U328" s="1" t="e">
        <f t="shared" si="43"/>
        <v>#DIV/0!</v>
      </c>
      <c r="V328" s="227" t="e">
        <f t="shared" si="44"/>
        <v>#DIV/0!</v>
      </c>
      <c r="W328" s="227" t="e">
        <f t="shared" si="45"/>
        <v>#DIV/0!</v>
      </c>
      <c r="X328" s="203" t="e">
        <f>INDEX(#REF!,MATCH(COUNTA(H328:M328),#REF!,0),2)</f>
        <v>#REF!</v>
      </c>
      <c r="Y328" s="310" t="e">
        <f t="shared" si="46"/>
        <v>#DIV/0!</v>
      </c>
      <c r="Z328" s="91">
        <f t="shared" si="47"/>
        <v>0</v>
      </c>
      <c r="AC328" s="309"/>
      <c r="AD328" s="91" t="str">
        <f>PE_aug!AP317</f>
        <v>Flussproben</v>
      </c>
    </row>
    <row r="329" spans="1:30">
      <c r="A329" s="253" t="s">
        <v>376</v>
      </c>
      <c r="N329">
        <v>0.374</v>
      </c>
      <c r="O329">
        <v>4.5999999999999999E-2</v>
      </c>
      <c r="P329">
        <v>8.03186</v>
      </c>
      <c r="Q329">
        <v>0.5</v>
      </c>
      <c r="R329" s="88" t="e">
        <f t="shared" si="40"/>
        <v>#DIV/0!</v>
      </c>
      <c r="S329" s="91" t="e">
        <f t="shared" si="41"/>
        <v>#DIV/0!</v>
      </c>
      <c r="T329" s="1" t="e">
        <f t="shared" si="42"/>
        <v>#DIV/0!</v>
      </c>
      <c r="U329" s="1" t="e">
        <f t="shared" si="43"/>
        <v>#DIV/0!</v>
      </c>
      <c r="V329" s="227" t="e">
        <f t="shared" si="44"/>
        <v>#DIV/0!</v>
      </c>
      <c r="W329" s="227" t="e">
        <f t="shared" si="45"/>
        <v>#DIV/0!</v>
      </c>
      <c r="X329" s="203" t="e">
        <f>INDEX(#REF!,MATCH(COUNTA(H329:M329),#REF!,0),2)</f>
        <v>#REF!</v>
      </c>
      <c r="Y329" s="310" t="e">
        <f t="shared" si="46"/>
        <v>#DIV/0!</v>
      </c>
      <c r="Z329" s="91">
        <f t="shared" si="47"/>
        <v>0</v>
      </c>
      <c r="AC329" s="309"/>
      <c r="AD329" s="91" t="str">
        <f>PE_aug!AP318</f>
        <v>Flussproben</v>
      </c>
    </row>
    <row r="330" spans="1:30">
      <c r="A330" s="253" t="s">
        <v>377</v>
      </c>
      <c r="N330">
        <v>0.74099999999999999</v>
      </c>
      <c r="O330">
        <v>4.5999999999999999E-2</v>
      </c>
      <c r="P330">
        <v>8.0254700000000003</v>
      </c>
      <c r="Q330">
        <v>0.5</v>
      </c>
      <c r="R330" s="88" t="e">
        <f t="shared" si="40"/>
        <v>#DIV/0!</v>
      </c>
      <c r="S330" s="91" t="e">
        <f t="shared" si="41"/>
        <v>#DIV/0!</v>
      </c>
      <c r="T330" s="1" t="e">
        <f t="shared" si="42"/>
        <v>#DIV/0!</v>
      </c>
      <c r="U330" s="1" t="e">
        <f t="shared" si="43"/>
        <v>#DIV/0!</v>
      </c>
      <c r="V330" s="227" t="e">
        <f t="shared" si="44"/>
        <v>#DIV/0!</v>
      </c>
      <c r="W330" s="227" t="e">
        <f t="shared" si="45"/>
        <v>#DIV/0!</v>
      </c>
      <c r="X330" s="203" t="e">
        <f>INDEX(#REF!,MATCH(COUNTA(H330:M330),#REF!,0),2)</f>
        <v>#REF!</v>
      </c>
      <c r="Y330" s="310" t="e">
        <f t="shared" si="46"/>
        <v>#DIV/0!</v>
      </c>
      <c r="Z330" s="91">
        <f t="shared" si="47"/>
        <v>0</v>
      </c>
      <c r="AC330" s="309"/>
      <c r="AD330" s="91" t="str">
        <f>PE_aug!AP319</f>
        <v>Flussproben</v>
      </c>
    </row>
    <row r="331" spans="1:30">
      <c r="A331" s="253" t="s">
        <v>378</v>
      </c>
      <c r="N331">
        <v>1.087</v>
      </c>
      <c r="O331">
        <v>4.5999999999999999E-2</v>
      </c>
      <c r="P331">
        <v>6.2082499999999996</v>
      </c>
      <c r="Q331">
        <v>0.5</v>
      </c>
      <c r="R331" s="88" t="e">
        <f t="shared" si="40"/>
        <v>#DIV/0!</v>
      </c>
      <c r="S331" s="91" t="e">
        <f t="shared" si="41"/>
        <v>#DIV/0!</v>
      </c>
      <c r="T331" s="1" t="e">
        <f t="shared" si="42"/>
        <v>#DIV/0!</v>
      </c>
      <c r="U331" s="1" t="e">
        <f t="shared" si="43"/>
        <v>#DIV/0!</v>
      </c>
      <c r="V331" s="227" t="e">
        <f t="shared" si="44"/>
        <v>#DIV/0!</v>
      </c>
      <c r="W331" s="227" t="e">
        <f t="shared" si="45"/>
        <v>#DIV/0!</v>
      </c>
      <c r="X331" s="203" t="e">
        <f>INDEX(#REF!,MATCH(COUNTA(H331:M331),#REF!,0),2)</f>
        <v>#REF!</v>
      </c>
      <c r="Y331" s="310" t="e">
        <f t="shared" si="46"/>
        <v>#DIV/0!</v>
      </c>
      <c r="Z331" s="91">
        <f t="shared" si="47"/>
        <v>0</v>
      </c>
      <c r="AC331" s="309"/>
      <c r="AD331" s="91" t="str">
        <f>PE_aug!AP320</f>
        <v>Flussproben</v>
      </c>
    </row>
    <row r="332" spans="1:30">
      <c r="A332" s="253" t="s">
        <v>379</v>
      </c>
      <c r="B332">
        <v>26.68</v>
      </c>
      <c r="C332">
        <v>13</v>
      </c>
      <c r="D332">
        <v>8.75</v>
      </c>
      <c r="E332">
        <v>17.72</v>
      </c>
      <c r="F332">
        <v>24.02</v>
      </c>
      <c r="G332">
        <v>20</v>
      </c>
      <c r="H332" s="306">
        <v>26.68</v>
      </c>
      <c r="K332">
        <v>17.72</v>
      </c>
      <c r="L332">
        <v>24.02</v>
      </c>
      <c r="M332" s="307">
        <v>20</v>
      </c>
      <c r="P332">
        <v>3.4387300000000003E-2</v>
      </c>
      <c r="Q332">
        <v>0.81</v>
      </c>
      <c r="R332" s="88">
        <f t="shared" si="40"/>
        <v>0.83333333333333326</v>
      </c>
      <c r="S332" s="91">
        <f t="shared" si="41"/>
        <v>0.82166666666666666</v>
      </c>
      <c r="T332" s="1">
        <f t="shared" si="42"/>
        <v>15.71303561435945</v>
      </c>
      <c r="U332" s="1">
        <f t="shared" si="43"/>
        <v>33.383101895404145</v>
      </c>
      <c r="V332" s="227">
        <f t="shared" si="44"/>
        <v>1.2624639442817776</v>
      </c>
      <c r="W332" s="227">
        <f t="shared" si="45"/>
        <v>1.3171659167820133</v>
      </c>
      <c r="X332" s="203" t="e">
        <f>INDEX(#REF!,MATCH(COUNTA(H332:M332),#REF!,0),2)</f>
        <v>#REF!</v>
      </c>
      <c r="Y332" s="310">
        <f t="shared" si="46"/>
        <v>22.105</v>
      </c>
      <c r="Z332" s="91">
        <f>IFERROR(Y332/(P332*1000),0)</f>
        <v>0.64282453114958138</v>
      </c>
      <c r="AC332" s="309">
        <f>100*(Y332/(P332*1000))</f>
        <v>64.282453114958145</v>
      </c>
      <c r="AD332" s="91" t="str">
        <f>PE_aug!AP321</f>
        <v>Methode</v>
      </c>
    </row>
    <row r="333" spans="1:30">
      <c r="A333" s="253" t="s">
        <v>380</v>
      </c>
      <c r="N333">
        <v>0.70699999999999996</v>
      </c>
      <c r="O333">
        <v>1.1599999999999999</v>
      </c>
      <c r="P333">
        <v>42.268900000000002</v>
      </c>
      <c r="R333" s="88" t="e">
        <f t="shared" si="40"/>
        <v>#DIV/0!</v>
      </c>
      <c r="S333" s="91" t="e">
        <f t="shared" si="41"/>
        <v>#DIV/0!</v>
      </c>
      <c r="T333" s="1" t="e">
        <f t="shared" si="42"/>
        <v>#DIV/0!</v>
      </c>
      <c r="U333" s="1" t="e">
        <f t="shared" si="43"/>
        <v>#DIV/0!</v>
      </c>
      <c r="V333" s="227" t="e">
        <f t="shared" si="44"/>
        <v>#DIV/0!</v>
      </c>
      <c r="W333" s="227" t="e">
        <f t="shared" si="45"/>
        <v>#DIV/0!</v>
      </c>
      <c r="X333" s="203" t="e">
        <f>INDEX(#REF!,MATCH(COUNTA(H333:M333),#REF!,0),2)</f>
        <v>#REF!</v>
      </c>
      <c r="Y333" s="310" t="e">
        <f t="shared" si="46"/>
        <v>#DIV/0!</v>
      </c>
      <c r="Z333" s="91">
        <f t="shared" ref="Z333:Z364" si="48">IFERROR(Y333/P333,0)</f>
        <v>0</v>
      </c>
      <c r="AC333" s="309"/>
      <c r="AD333" s="91" t="str">
        <f>PE_aug!AP322</f>
        <v>Straßenabfluss</v>
      </c>
    </row>
    <row r="334" spans="1:30">
      <c r="A334" s="253" t="s">
        <v>382</v>
      </c>
      <c r="N334">
        <v>0.70699999999999996</v>
      </c>
      <c r="O334">
        <v>1.1599999999999999</v>
      </c>
      <c r="P334">
        <v>8.3740100000000002</v>
      </c>
      <c r="R334" s="88" t="e">
        <f t="shared" si="40"/>
        <v>#DIV/0!</v>
      </c>
      <c r="S334" s="91" t="e">
        <f t="shared" si="41"/>
        <v>#DIV/0!</v>
      </c>
      <c r="T334" s="1" t="e">
        <f t="shared" si="42"/>
        <v>#DIV/0!</v>
      </c>
      <c r="U334" s="1" t="e">
        <f t="shared" si="43"/>
        <v>#DIV/0!</v>
      </c>
      <c r="V334" s="227" t="e">
        <f t="shared" si="44"/>
        <v>#DIV/0!</v>
      </c>
      <c r="W334" s="227" t="e">
        <f t="shared" si="45"/>
        <v>#DIV/0!</v>
      </c>
      <c r="X334" s="203" t="e">
        <f>INDEX(#REF!,MATCH(COUNTA(H334:M334),#REF!,0),2)</f>
        <v>#REF!</v>
      </c>
      <c r="Y334" s="310" t="e">
        <f t="shared" si="46"/>
        <v>#DIV/0!</v>
      </c>
      <c r="Z334" s="91">
        <f t="shared" si="48"/>
        <v>0</v>
      </c>
      <c r="AC334" s="309"/>
      <c r="AD334" s="91" t="str">
        <f>PE_aug!AP323</f>
        <v>Straßenabfluss</v>
      </c>
    </row>
    <row r="335" spans="1:30">
      <c r="A335" s="253" t="s">
        <v>383</v>
      </c>
      <c r="N335">
        <v>0.878</v>
      </c>
      <c r="O335">
        <v>5.1999999999999998E-2</v>
      </c>
      <c r="P335">
        <v>10.1844</v>
      </c>
      <c r="R335" s="88" t="e">
        <f t="shared" si="40"/>
        <v>#DIV/0!</v>
      </c>
      <c r="S335" s="91" t="e">
        <f t="shared" si="41"/>
        <v>#DIV/0!</v>
      </c>
      <c r="T335" s="1" t="e">
        <f t="shared" si="42"/>
        <v>#DIV/0!</v>
      </c>
      <c r="U335" s="1" t="e">
        <f t="shared" si="43"/>
        <v>#DIV/0!</v>
      </c>
      <c r="V335" s="227" t="e">
        <f t="shared" si="44"/>
        <v>#DIV/0!</v>
      </c>
      <c r="W335" s="227" t="e">
        <f t="shared" si="45"/>
        <v>#DIV/0!</v>
      </c>
      <c r="X335" s="203" t="e">
        <f>INDEX(#REF!,MATCH(COUNTA(H335:M335),#REF!,0),2)</f>
        <v>#REF!</v>
      </c>
      <c r="Y335" s="310" t="e">
        <f t="shared" si="46"/>
        <v>#DIV/0!</v>
      </c>
      <c r="Z335" s="91">
        <f t="shared" si="48"/>
        <v>0</v>
      </c>
      <c r="AC335" s="309"/>
      <c r="AD335" s="91" t="str">
        <f>PE_aug!AP324</f>
        <v>Kläranlagen</v>
      </c>
    </row>
    <row r="336" spans="1:30">
      <c r="A336" s="253" t="s">
        <v>384</v>
      </c>
      <c r="N336">
        <v>0.90200000000000002</v>
      </c>
      <c r="O336">
        <v>5.1999999999999998E-2</v>
      </c>
      <c r="P336">
        <v>6.6312749999999996</v>
      </c>
      <c r="R336" s="88" t="e">
        <f t="shared" si="40"/>
        <v>#DIV/0!</v>
      </c>
      <c r="S336" s="91" t="e">
        <f t="shared" si="41"/>
        <v>#DIV/0!</v>
      </c>
      <c r="T336" s="1" t="e">
        <f t="shared" si="42"/>
        <v>#DIV/0!</v>
      </c>
      <c r="U336" s="1" t="e">
        <f t="shared" si="43"/>
        <v>#DIV/0!</v>
      </c>
      <c r="V336" s="227" t="e">
        <f t="shared" si="44"/>
        <v>#DIV/0!</v>
      </c>
      <c r="W336" s="227" t="e">
        <f t="shared" si="45"/>
        <v>#DIV/0!</v>
      </c>
      <c r="X336" s="203" t="e">
        <f>INDEX(#REF!,MATCH(COUNTA(H336:M336),#REF!,0),2)</f>
        <v>#REF!</v>
      </c>
      <c r="Y336" s="310" t="e">
        <f t="shared" si="46"/>
        <v>#DIV/0!</v>
      </c>
      <c r="Z336" s="91">
        <f t="shared" si="48"/>
        <v>0</v>
      </c>
      <c r="AC336" s="309"/>
      <c r="AD336" s="91" t="str">
        <f>PE_aug!AP325</f>
        <v>Kläranlagen</v>
      </c>
    </row>
    <row r="337" spans="1:30">
      <c r="A337" s="253" t="s">
        <v>385</v>
      </c>
      <c r="N337">
        <v>0.44700000000000001</v>
      </c>
      <c r="O337">
        <v>5.1999999999999998E-2</v>
      </c>
      <c r="P337">
        <v>7.7322649999999999</v>
      </c>
      <c r="R337" s="88" t="e">
        <f t="shared" si="40"/>
        <v>#DIV/0!</v>
      </c>
      <c r="S337" s="91" t="e">
        <f t="shared" si="41"/>
        <v>#DIV/0!</v>
      </c>
      <c r="T337" s="1" t="e">
        <f t="shared" si="42"/>
        <v>#DIV/0!</v>
      </c>
      <c r="U337" s="1" t="e">
        <f t="shared" si="43"/>
        <v>#DIV/0!</v>
      </c>
      <c r="V337" s="227" t="e">
        <f t="shared" si="44"/>
        <v>#DIV/0!</v>
      </c>
      <c r="W337" s="227" t="e">
        <f t="shared" si="45"/>
        <v>#DIV/0!</v>
      </c>
      <c r="X337" s="203" t="e">
        <f>INDEX(#REF!,MATCH(COUNTA(H337:M337),#REF!,0),2)</f>
        <v>#REF!</v>
      </c>
      <c r="Y337" s="310" t="e">
        <f t="shared" si="46"/>
        <v>#DIV/0!</v>
      </c>
      <c r="Z337" s="91">
        <f t="shared" si="48"/>
        <v>0</v>
      </c>
      <c r="AC337" s="309"/>
      <c r="AD337" s="91" t="str">
        <f>PE_aug!AP326</f>
        <v>Kläranlagen</v>
      </c>
    </row>
    <row r="338" spans="1:30" s="275" customFormat="1">
      <c r="A338" s="266" t="s">
        <v>386</v>
      </c>
      <c r="H338" s="257"/>
      <c r="M338" s="258"/>
      <c r="P338" s="275">
        <v>6.8653399999999998</v>
      </c>
      <c r="Q338" s="275">
        <v>0.5</v>
      </c>
      <c r="R338" s="259" t="e">
        <f t="shared" si="40"/>
        <v>#DIV/0!</v>
      </c>
      <c r="S338" s="260" t="e">
        <f t="shared" si="41"/>
        <v>#DIV/0!</v>
      </c>
      <c r="T338" s="261" t="e">
        <f t="shared" si="42"/>
        <v>#DIV/0!</v>
      </c>
      <c r="U338" s="261" t="e">
        <f t="shared" si="43"/>
        <v>#DIV/0!</v>
      </c>
      <c r="V338" s="262" t="e">
        <f t="shared" si="44"/>
        <v>#DIV/0!</v>
      </c>
      <c r="W338" s="262" t="e">
        <f t="shared" si="45"/>
        <v>#DIV/0!</v>
      </c>
      <c r="X338" s="263" t="e">
        <f>INDEX(#REF!,MATCH(COUNTA(H338:M338),#REF!,0),2)</f>
        <v>#REF!</v>
      </c>
      <c r="Y338" s="264" t="e">
        <f t="shared" si="46"/>
        <v>#DIV/0!</v>
      </c>
      <c r="Z338" s="260">
        <f t="shared" si="48"/>
        <v>0</v>
      </c>
      <c r="AD338" s="91" t="str">
        <f>PE_aug!AP327</f>
        <v>Ringversuch</v>
      </c>
    </row>
    <row r="339" spans="1:30" s="275" customFormat="1">
      <c r="A339" s="266" t="s">
        <v>387</v>
      </c>
      <c r="H339" s="257"/>
      <c r="M339" s="258"/>
      <c r="P339" s="275">
        <v>5.2691300000000014</v>
      </c>
      <c r="Q339" s="275">
        <v>0.5</v>
      </c>
      <c r="R339" s="259" t="e">
        <f t="shared" si="40"/>
        <v>#DIV/0!</v>
      </c>
      <c r="S339" s="260" t="e">
        <f t="shared" si="41"/>
        <v>#DIV/0!</v>
      </c>
      <c r="T339" s="261" t="e">
        <f t="shared" si="42"/>
        <v>#DIV/0!</v>
      </c>
      <c r="U339" s="261" t="e">
        <f t="shared" si="43"/>
        <v>#DIV/0!</v>
      </c>
      <c r="V339" s="262" t="e">
        <f t="shared" si="44"/>
        <v>#DIV/0!</v>
      </c>
      <c r="W339" s="262" t="e">
        <f t="shared" si="45"/>
        <v>#DIV/0!</v>
      </c>
      <c r="X339" s="263" t="e">
        <f>INDEX(#REF!,MATCH(COUNTA(H339:M339),#REF!,0),2)</f>
        <v>#REF!</v>
      </c>
      <c r="Y339" s="264" t="e">
        <f t="shared" si="46"/>
        <v>#DIV/0!</v>
      </c>
      <c r="Z339" s="260">
        <f t="shared" si="48"/>
        <v>0</v>
      </c>
      <c r="AD339" s="91" t="str">
        <f>PE_aug!AP328</f>
        <v>Kläranlagen, Methode</v>
      </c>
    </row>
    <row r="340" spans="1:30" s="275" customFormat="1">
      <c r="A340" s="266" t="s">
        <v>388</v>
      </c>
      <c r="H340" s="257"/>
      <c r="M340" s="258"/>
      <c r="N340" s="275">
        <v>0.70699999999999996</v>
      </c>
      <c r="O340" s="275">
        <v>0.09</v>
      </c>
      <c r="P340" s="275">
        <v>7.6058300000000001</v>
      </c>
      <c r="Q340" s="275">
        <v>0.5</v>
      </c>
      <c r="R340" s="259" t="e">
        <f t="shared" si="40"/>
        <v>#DIV/0!</v>
      </c>
      <c r="S340" s="260" t="e">
        <f t="shared" si="41"/>
        <v>#DIV/0!</v>
      </c>
      <c r="T340" s="261" t="e">
        <f t="shared" si="42"/>
        <v>#DIV/0!</v>
      </c>
      <c r="U340" s="261" t="e">
        <f t="shared" si="43"/>
        <v>#DIV/0!</v>
      </c>
      <c r="V340" s="262" t="e">
        <f t="shared" si="44"/>
        <v>#DIV/0!</v>
      </c>
      <c r="W340" s="262" t="e">
        <f t="shared" si="45"/>
        <v>#DIV/0!</v>
      </c>
      <c r="X340" s="263" t="e">
        <f>INDEX(#REF!,MATCH(COUNTA(H340:M340),#REF!,0),2)</f>
        <v>#REF!</v>
      </c>
      <c r="Y340" s="264" t="e">
        <f t="shared" si="46"/>
        <v>#DIV/0!</v>
      </c>
      <c r="Z340" s="260">
        <f t="shared" si="48"/>
        <v>0</v>
      </c>
      <c r="AD340" s="91" t="str">
        <f>PE_aug!AP329</f>
        <v>Kläranlagen</v>
      </c>
    </row>
    <row r="341" spans="1:30" s="275" customFormat="1">
      <c r="A341" s="266" t="s">
        <v>389</v>
      </c>
      <c r="H341" s="257"/>
      <c r="M341" s="258"/>
      <c r="N341" s="275">
        <v>0.70699999999999996</v>
      </c>
      <c r="O341" s="275">
        <v>0.09</v>
      </c>
      <c r="P341" s="275">
        <v>7.6572449999999996</v>
      </c>
      <c r="Q341" s="275">
        <v>0.5</v>
      </c>
      <c r="R341" s="259" t="e">
        <f t="shared" si="40"/>
        <v>#DIV/0!</v>
      </c>
      <c r="S341" s="260" t="e">
        <f t="shared" si="41"/>
        <v>#DIV/0!</v>
      </c>
      <c r="T341" s="261" t="e">
        <f t="shared" si="42"/>
        <v>#DIV/0!</v>
      </c>
      <c r="U341" s="261" t="e">
        <f t="shared" si="43"/>
        <v>#DIV/0!</v>
      </c>
      <c r="V341" s="262" t="e">
        <f t="shared" si="44"/>
        <v>#DIV/0!</v>
      </c>
      <c r="W341" s="262" t="e">
        <f t="shared" si="45"/>
        <v>#DIV/0!</v>
      </c>
      <c r="X341" s="263" t="e">
        <f>INDEX(#REF!,MATCH(COUNTA(H341:M341),#REF!,0),2)</f>
        <v>#REF!</v>
      </c>
      <c r="Y341" s="264" t="e">
        <f t="shared" si="46"/>
        <v>#DIV/0!</v>
      </c>
      <c r="Z341" s="260">
        <f t="shared" si="48"/>
        <v>0</v>
      </c>
      <c r="AD341" s="91" t="str">
        <f>PE_aug!AP330</f>
        <v>Kläranlagen</v>
      </c>
    </row>
    <row r="342" spans="1:30" s="275" customFormat="1">
      <c r="A342" s="267" t="s">
        <v>390</v>
      </c>
      <c r="H342" s="257"/>
      <c r="M342" s="258"/>
      <c r="N342" s="275">
        <v>0.67300000000000004</v>
      </c>
      <c r="O342" s="275">
        <v>3.9E-2</v>
      </c>
      <c r="P342" s="275">
        <v>8.7565600000000003</v>
      </c>
      <c r="R342" s="259" t="e">
        <f t="shared" si="40"/>
        <v>#DIV/0!</v>
      </c>
      <c r="S342" s="260" t="e">
        <f t="shared" si="41"/>
        <v>#DIV/0!</v>
      </c>
      <c r="T342" s="261" t="e">
        <f t="shared" si="42"/>
        <v>#DIV/0!</v>
      </c>
      <c r="U342" s="261" t="e">
        <f t="shared" si="43"/>
        <v>#DIV/0!</v>
      </c>
      <c r="V342" s="262" t="e">
        <f t="shared" si="44"/>
        <v>#DIV/0!</v>
      </c>
      <c r="W342" s="262" t="e">
        <f t="shared" si="45"/>
        <v>#DIV/0!</v>
      </c>
      <c r="X342" s="263" t="e">
        <f>INDEX(#REF!,MATCH(COUNTA(H342:M342),#REF!,0),2)</f>
        <v>#REF!</v>
      </c>
      <c r="Y342" s="264" t="e">
        <f t="shared" si="46"/>
        <v>#DIV/0!</v>
      </c>
      <c r="Z342" s="260">
        <f t="shared" si="48"/>
        <v>0</v>
      </c>
      <c r="AD342" s="91" t="str">
        <f>PE_aug!AP331</f>
        <v>KWS, Schlamm</v>
      </c>
    </row>
    <row r="343" spans="1:30" s="275" customFormat="1">
      <c r="A343" s="267" t="s">
        <v>391</v>
      </c>
      <c r="H343" s="257"/>
      <c r="M343" s="258"/>
      <c r="N343" s="275">
        <v>0.89800000000000002</v>
      </c>
      <c r="O343" s="275">
        <v>3.9E-2</v>
      </c>
      <c r="P343" s="275">
        <v>9.4032400000000003</v>
      </c>
      <c r="R343" s="259" t="e">
        <f t="shared" si="40"/>
        <v>#DIV/0!</v>
      </c>
      <c r="S343" s="260" t="e">
        <f t="shared" si="41"/>
        <v>#DIV/0!</v>
      </c>
      <c r="T343" s="261" t="e">
        <f t="shared" si="42"/>
        <v>#DIV/0!</v>
      </c>
      <c r="U343" s="261" t="e">
        <f t="shared" si="43"/>
        <v>#DIV/0!</v>
      </c>
      <c r="V343" s="262" t="e">
        <f t="shared" si="44"/>
        <v>#DIV/0!</v>
      </c>
      <c r="W343" s="262" t="e">
        <f t="shared" si="45"/>
        <v>#DIV/0!</v>
      </c>
      <c r="X343" s="263" t="e">
        <f>INDEX(#REF!,MATCH(COUNTA(H343:M343),#REF!,0),2)</f>
        <v>#REF!</v>
      </c>
      <c r="Y343" s="264" t="e">
        <f t="shared" si="46"/>
        <v>#DIV/0!</v>
      </c>
      <c r="Z343" s="260">
        <f t="shared" si="48"/>
        <v>0</v>
      </c>
      <c r="AD343" s="91" t="str">
        <f>PE_aug!AP332</f>
        <v>KWS, Schlamm</v>
      </c>
    </row>
    <row r="344" spans="1:30" s="275" customFormat="1">
      <c r="A344" s="267" t="s">
        <v>392</v>
      </c>
      <c r="H344" s="257"/>
      <c r="M344" s="258"/>
      <c r="N344" s="275">
        <v>0.65100000000000002</v>
      </c>
      <c r="O344" s="275">
        <v>3.9E-2</v>
      </c>
      <c r="P344" s="275">
        <v>8.4645399999999995</v>
      </c>
      <c r="R344" s="259" t="e">
        <f t="shared" si="40"/>
        <v>#DIV/0!</v>
      </c>
      <c r="S344" s="260" t="e">
        <f t="shared" si="41"/>
        <v>#DIV/0!</v>
      </c>
      <c r="T344" s="261" t="e">
        <f t="shared" si="42"/>
        <v>#DIV/0!</v>
      </c>
      <c r="U344" s="261" t="e">
        <f t="shared" si="43"/>
        <v>#DIV/0!</v>
      </c>
      <c r="V344" s="262" t="e">
        <f t="shared" si="44"/>
        <v>#DIV/0!</v>
      </c>
      <c r="W344" s="262" t="e">
        <f t="shared" si="45"/>
        <v>#DIV/0!</v>
      </c>
      <c r="X344" s="263" t="e">
        <f>INDEX(#REF!,MATCH(COUNTA(H344:M344),#REF!,0),2)</f>
        <v>#REF!</v>
      </c>
      <c r="Y344" s="264" t="e">
        <f t="shared" si="46"/>
        <v>#DIV/0!</v>
      </c>
      <c r="Z344" s="260">
        <f t="shared" si="48"/>
        <v>0</v>
      </c>
      <c r="AD344" s="91" t="str">
        <f>PE_aug!AP333</f>
        <v>KWS, Schlamm</v>
      </c>
    </row>
    <row r="345" spans="1:30">
      <c r="A345" s="271" t="s">
        <v>393</v>
      </c>
      <c r="P345">
        <v>0.15474299999999999</v>
      </c>
      <c r="R345" s="259" t="e">
        <f t="shared" si="40"/>
        <v>#DIV/0!</v>
      </c>
      <c r="S345" s="260" t="e">
        <f t="shared" si="41"/>
        <v>#DIV/0!</v>
      </c>
      <c r="T345" s="261" t="e">
        <f t="shared" si="42"/>
        <v>#DIV/0!</v>
      </c>
      <c r="U345" s="261" t="e">
        <f t="shared" si="43"/>
        <v>#DIV/0!</v>
      </c>
      <c r="V345" s="262" t="e">
        <f t="shared" si="44"/>
        <v>#DIV/0!</v>
      </c>
      <c r="W345" s="262" t="e">
        <f t="shared" si="45"/>
        <v>#DIV/0!</v>
      </c>
      <c r="X345" s="263" t="e">
        <f>INDEX(#REF!,MATCH(COUNTA(H345:M345),#REF!,0),2)</f>
        <v>#REF!</v>
      </c>
      <c r="Y345" s="264" t="e">
        <f t="shared" si="46"/>
        <v>#DIV/0!</v>
      </c>
      <c r="Z345" s="260">
        <f t="shared" si="48"/>
        <v>0</v>
      </c>
      <c r="AA345" s="275"/>
      <c r="AB345" s="275"/>
      <c r="AC345" s="275"/>
      <c r="AD345" s="91" t="str">
        <f>PE_aug!AP334</f>
        <v>Sickerwasser</v>
      </c>
    </row>
    <row r="346" spans="1:30">
      <c r="A346" s="271" t="s">
        <v>394</v>
      </c>
      <c r="P346">
        <v>0.34290399999999999</v>
      </c>
      <c r="Q346">
        <v>0.5</v>
      </c>
      <c r="R346" s="259" t="e">
        <f t="shared" si="40"/>
        <v>#DIV/0!</v>
      </c>
      <c r="S346" s="260" t="e">
        <f t="shared" si="41"/>
        <v>#DIV/0!</v>
      </c>
      <c r="T346" s="261" t="e">
        <f t="shared" si="42"/>
        <v>#DIV/0!</v>
      </c>
      <c r="U346" s="261" t="e">
        <f t="shared" si="43"/>
        <v>#DIV/0!</v>
      </c>
      <c r="V346" s="262" t="e">
        <f t="shared" si="44"/>
        <v>#DIV/0!</v>
      </c>
      <c r="W346" s="262" t="e">
        <f t="shared" si="45"/>
        <v>#DIV/0!</v>
      </c>
      <c r="X346" s="263" t="e">
        <f>INDEX(#REF!,MATCH(COUNTA(H346:M346),#REF!,0),2)</f>
        <v>#REF!</v>
      </c>
      <c r="Y346" s="264" t="e">
        <f t="shared" si="46"/>
        <v>#DIV/0!</v>
      </c>
      <c r="Z346" s="260">
        <f t="shared" si="48"/>
        <v>0</v>
      </c>
      <c r="AA346" s="275"/>
      <c r="AB346" s="275"/>
      <c r="AC346" s="275"/>
      <c r="AD346" s="91" t="str">
        <f>PE_aug!AP335</f>
        <v>Sickerwasser</v>
      </c>
    </row>
    <row r="347" spans="1:30">
      <c r="A347" s="271" t="s">
        <v>395</v>
      </c>
      <c r="P347">
        <v>-4.0199999999999818</v>
      </c>
      <c r="R347" s="259" t="e">
        <f t="shared" si="40"/>
        <v>#DIV/0!</v>
      </c>
      <c r="S347" s="260" t="e">
        <f t="shared" si="41"/>
        <v>#DIV/0!</v>
      </c>
      <c r="T347" s="261" t="e">
        <f t="shared" si="42"/>
        <v>#DIV/0!</v>
      </c>
      <c r="U347" s="261" t="e">
        <f t="shared" si="43"/>
        <v>#DIV/0!</v>
      </c>
      <c r="V347" s="262" t="e">
        <f t="shared" si="44"/>
        <v>#DIV/0!</v>
      </c>
      <c r="W347" s="262" t="e">
        <f t="shared" si="45"/>
        <v>#DIV/0!</v>
      </c>
      <c r="X347" s="263" t="e">
        <f>INDEX(#REF!,MATCH(COUNTA(H347:M347),#REF!,0),2)</f>
        <v>#REF!</v>
      </c>
      <c r="Y347" s="264" t="e">
        <f t="shared" si="46"/>
        <v>#DIV/0!</v>
      </c>
      <c r="Z347" s="260">
        <f t="shared" si="48"/>
        <v>0</v>
      </c>
      <c r="AA347" s="275"/>
      <c r="AB347" s="275"/>
      <c r="AC347" s="275"/>
      <c r="AD347" s="91" t="str">
        <f>PE_aug!AP336</f>
        <v>Sickerwasser</v>
      </c>
    </row>
    <row r="348" spans="1:30">
      <c r="A348" s="271" t="s">
        <v>396</v>
      </c>
      <c r="P348">
        <v>0.50999999999999091</v>
      </c>
      <c r="R348" s="259" t="e">
        <f t="shared" si="40"/>
        <v>#DIV/0!</v>
      </c>
      <c r="S348" s="260" t="e">
        <f t="shared" si="41"/>
        <v>#DIV/0!</v>
      </c>
      <c r="T348" s="261" t="e">
        <f t="shared" si="42"/>
        <v>#DIV/0!</v>
      </c>
      <c r="U348" s="261" t="e">
        <f t="shared" si="43"/>
        <v>#DIV/0!</v>
      </c>
      <c r="V348" s="262" t="e">
        <f t="shared" si="44"/>
        <v>#DIV/0!</v>
      </c>
      <c r="W348" s="262" t="e">
        <f t="shared" si="45"/>
        <v>#DIV/0!</v>
      </c>
      <c r="X348" s="263" t="e">
        <f>INDEX(#REF!,MATCH(COUNTA(H348:M348),#REF!,0),2)</f>
        <v>#REF!</v>
      </c>
      <c r="Y348" s="264" t="e">
        <f t="shared" si="46"/>
        <v>#DIV/0!</v>
      </c>
      <c r="Z348" s="260">
        <f t="shared" si="48"/>
        <v>0</v>
      </c>
      <c r="AA348" s="275"/>
      <c r="AB348" s="275"/>
      <c r="AC348" s="275"/>
      <c r="AD348" s="91" t="str">
        <f>PE_aug!AP337</f>
        <v>Sickerwasser</v>
      </c>
    </row>
    <row r="349" spans="1:30">
      <c r="A349" s="271" t="s">
        <v>397</v>
      </c>
      <c r="P349">
        <v>0.98000000000001819</v>
      </c>
      <c r="R349" s="259" t="e">
        <f t="shared" si="40"/>
        <v>#DIV/0!</v>
      </c>
      <c r="S349" s="260" t="e">
        <f t="shared" si="41"/>
        <v>#DIV/0!</v>
      </c>
      <c r="T349" s="261" t="e">
        <f t="shared" si="42"/>
        <v>#DIV/0!</v>
      </c>
      <c r="U349" s="261" t="e">
        <f t="shared" si="43"/>
        <v>#DIV/0!</v>
      </c>
      <c r="V349" s="262" t="e">
        <f t="shared" si="44"/>
        <v>#DIV/0!</v>
      </c>
      <c r="W349" s="262" t="e">
        <f t="shared" si="45"/>
        <v>#DIV/0!</v>
      </c>
      <c r="X349" s="263" t="e">
        <f>INDEX(#REF!,MATCH(COUNTA(H349:M349),#REF!,0),2)</f>
        <v>#REF!</v>
      </c>
      <c r="Y349" s="264" t="e">
        <f t="shared" si="46"/>
        <v>#DIV/0!</v>
      </c>
      <c r="Z349" s="260">
        <f t="shared" si="48"/>
        <v>0</v>
      </c>
      <c r="AA349" s="275"/>
      <c r="AB349" s="275"/>
      <c r="AC349" s="275"/>
      <c r="AD349" s="91" t="str">
        <f>PE_aug!AP338</f>
        <v>Sickerwasser</v>
      </c>
    </row>
    <row r="350" spans="1:30">
      <c r="A350" s="271" t="s">
        <v>398</v>
      </c>
      <c r="P350">
        <v>11.670000000000069</v>
      </c>
      <c r="Q350">
        <v>0.5</v>
      </c>
      <c r="R350" s="259" t="e">
        <f t="shared" si="40"/>
        <v>#DIV/0!</v>
      </c>
      <c r="S350" s="260" t="e">
        <f t="shared" si="41"/>
        <v>#DIV/0!</v>
      </c>
      <c r="T350" s="261" t="e">
        <f t="shared" si="42"/>
        <v>#DIV/0!</v>
      </c>
      <c r="U350" s="261" t="e">
        <f t="shared" si="43"/>
        <v>#DIV/0!</v>
      </c>
      <c r="V350" s="262" t="e">
        <f t="shared" si="44"/>
        <v>#DIV/0!</v>
      </c>
      <c r="W350" s="262" t="e">
        <f t="shared" si="45"/>
        <v>#DIV/0!</v>
      </c>
      <c r="X350" s="263" t="e">
        <f>INDEX(#REF!,MATCH(COUNTA(H350:M350),#REF!,0),2)</f>
        <v>#REF!</v>
      </c>
      <c r="Y350" s="264" t="e">
        <f t="shared" si="46"/>
        <v>#DIV/0!</v>
      </c>
      <c r="Z350" s="260">
        <f t="shared" si="48"/>
        <v>0</v>
      </c>
      <c r="AA350" s="275"/>
      <c r="AB350" s="275"/>
      <c r="AC350" s="275"/>
      <c r="AD350" s="91" t="str">
        <f>PE_aug!AP339</f>
        <v>Sickerwasser</v>
      </c>
    </row>
    <row r="351" spans="1:30">
      <c r="A351" s="271" t="s">
        <v>399</v>
      </c>
      <c r="P351">
        <v>0.98000000000001819</v>
      </c>
      <c r="R351" s="259" t="e">
        <f t="shared" si="40"/>
        <v>#DIV/0!</v>
      </c>
      <c r="S351" s="260" t="e">
        <f t="shared" si="41"/>
        <v>#DIV/0!</v>
      </c>
      <c r="T351" s="261" t="e">
        <f t="shared" si="42"/>
        <v>#DIV/0!</v>
      </c>
      <c r="U351" s="261" t="e">
        <f t="shared" si="43"/>
        <v>#DIV/0!</v>
      </c>
      <c r="V351" s="262" t="e">
        <f t="shared" si="44"/>
        <v>#DIV/0!</v>
      </c>
      <c r="W351" s="262" t="e">
        <f t="shared" si="45"/>
        <v>#DIV/0!</v>
      </c>
      <c r="X351" s="263" t="e">
        <f>INDEX(#REF!,MATCH(COUNTA(H351:M351),#REF!,0),2)</f>
        <v>#REF!</v>
      </c>
      <c r="Y351" s="264" t="e">
        <f t="shared" si="46"/>
        <v>#DIV/0!</v>
      </c>
      <c r="Z351" s="260">
        <f t="shared" si="48"/>
        <v>0</v>
      </c>
      <c r="AA351" s="275"/>
      <c r="AB351" s="275"/>
      <c r="AC351" s="275"/>
      <c r="AD351" s="91" t="str">
        <f>PE_aug!AP340</f>
        <v>Sickerwasser</v>
      </c>
    </row>
    <row r="352" spans="1:30">
      <c r="A352" s="276" t="s">
        <v>400</v>
      </c>
      <c r="N352">
        <v>0.56200000000000006</v>
      </c>
      <c r="O352">
        <v>5.6000000000000001E-2</v>
      </c>
      <c r="P352">
        <v>5.7561650000000002</v>
      </c>
      <c r="Q352">
        <v>0.5</v>
      </c>
      <c r="R352" s="259" t="e">
        <f t="shared" si="40"/>
        <v>#DIV/0!</v>
      </c>
      <c r="S352" s="260" t="e">
        <f t="shared" si="41"/>
        <v>#DIV/0!</v>
      </c>
      <c r="T352" s="261" t="e">
        <f t="shared" si="42"/>
        <v>#DIV/0!</v>
      </c>
      <c r="U352" s="261" t="e">
        <f t="shared" si="43"/>
        <v>#DIV/0!</v>
      </c>
      <c r="V352" s="262" t="e">
        <f t="shared" si="44"/>
        <v>#DIV/0!</v>
      </c>
      <c r="W352" s="262" t="e">
        <f t="shared" si="45"/>
        <v>#DIV/0!</v>
      </c>
      <c r="X352" s="263" t="e">
        <f>INDEX(#REF!,MATCH(COUNTA(H352:M352),#REF!,0),2)</f>
        <v>#REF!</v>
      </c>
      <c r="Y352" s="264" t="e">
        <f t="shared" si="46"/>
        <v>#DIV/0!</v>
      </c>
      <c r="Z352" s="260">
        <f t="shared" si="48"/>
        <v>0</v>
      </c>
      <c r="AD352" s="91" t="str">
        <f>PE_aug!AP341</f>
        <v>KWS, Schlamm</v>
      </c>
    </row>
    <row r="353" spans="1:30">
      <c r="A353" s="276" t="s">
        <v>401</v>
      </c>
      <c r="N353">
        <v>0.85599999999999998</v>
      </c>
      <c r="O353">
        <v>5.6000000000000001E-2</v>
      </c>
      <c r="P353">
        <v>4.7628300000000001</v>
      </c>
      <c r="Q353">
        <v>0.5</v>
      </c>
      <c r="R353" s="259" t="e">
        <f t="shared" si="40"/>
        <v>#DIV/0!</v>
      </c>
      <c r="S353" s="260" t="e">
        <f t="shared" si="41"/>
        <v>#DIV/0!</v>
      </c>
      <c r="T353" s="261" t="e">
        <f t="shared" si="42"/>
        <v>#DIV/0!</v>
      </c>
      <c r="U353" s="261" t="e">
        <f t="shared" si="43"/>
        <v>#DIV/0!</v>
      </c>
      <c r="V353" s="262" t="e">
        <f t="shared" si="44"/>
        <v>#DIV/0!</v>
      </c>
      <c r="W353" s="262" t="e">
        <f t="shared" si="45"/>
        <v>#DIV/0!</v>
      </c>
      <c r="X353" s="263" t="e">
        <f>INDEX(#REF!,MATCH(COUNTA(H353:M353),#REF!,0),2)</f>
        <v>#REF!</v>
      </c>
      <c r="Y353" s="264" t="e">
        <f t="shared" si="46"/>
        <v>#DIV/0!</v>
      </c>
      <c r="Z353" s="260">
        <f t="shared" si="48"/>
        <v>0</v>
      </c>
      <c r="AD353" s="91" t="str">
        <f>PE_aug!AP342</f>
        <v>KWS, Schlamm</v>
      </c>
    </row>
    <row r="354" spans="1:30">
      <c r="A354" s="276" t="s">
        <v>402</v>
      </c>
      <c r="N354">
        <v>0.76500000000000001</v>
      </c>
      <c r="O354">
        <v>5.6000000000000001E-2</v>
      </c>
      <c r="P354">
        <v>6.4529300000000003</v>
      </c>
      <c r="R354" s="259" t="e">
        <f t="shared" si="40"/>
        <v>#DIV/0!</v>
      </c>
      <c r="S354" s="260" t="e">
        <f t="shared" si="41"/>
        <v>#DIV/0!</v>
      </c>
      <c r="T354" s="261" t="e">
        <f t="shared" si="42"/>
        <v>#DIV/0!</v>
      </c>
      <c r="U354" s="261" t="e">
        <f t="shared" si="43"/>
        <v>#DIV/0!</v>
      </c>
      <c r="V354" s="262" t="e">
        <f t="shared" si="44"/>
        <v>#DIV/0!</v>
      </c>
      <c r="W354" s="262" t="e">
        <f t="shared" si="45"/>
        <v>#DIV/0!</v>
      </c>
      <c r="X354" s="263" t="e">
        <f>INDEX(#REF!,MATCH(COUNTA(H354:M354),#REF!,0),2)</f>
        <v>#REF!</v>
      </c>
      <c r="Y354" s="264" t="e">
        <f t="shared" si="46"/>
        <v>#DIV/0!</v>
      </c>
      <c r="Z354" s="260">
        <f t="shared" si="48"/>
        <v>0</v>
      </c>
      <c r="AD354" s="91" t="str">
        <f>PE_aug!AP343</f>
        <v>KWS, Schlamm</v>
      </c>
    </row>
    <row r="355" spans="1:30">
      <c r="A355" s="276" t="s">
        <v>403</v>
      </c>
      <c r="N355">
        <v>1.071</v>
      </c>
      <c r="O355">
        <v>2.4E-2</v>
      </c>
      <c r="P355">
        <v>10.1638</v>
      </c>
      <c r="Q355">
        <v>0.5</v>
      </c>
      <c r="R355" s="259" t="e">
        <f t="shared" si="40"/>
        <v>#DIV/0!</v>
      </c>
      <c r="S355" s="260" t="e">
        <f t="shared" si="41"/>
        <v>#DIV/0!</v>
      </c>
      <c r="T355" s="261" t="e">
        <f t="shared" si="42"/>
        <v>#DIV/0!</v>
      </c>
      <c r="U355" s="261" t="e">
        <f t="shared" si="43"/>
        <v>#DIV/0!</v>
      </c>
      <c r="V355" s="262" t="e">
        <f t="shared" si="44"/>
        <v>#DIV/0!</v>
      </c>
      <c r="W355" s="262" t="e">
        <f t="shared" si="45"/>
        <v>#DIV/0!</v>
      </c>
      <c r="X355" s="263" t="e">
        <f>INDEX(#REF!,MATCH(COUNTA(H355:M355),#REF!,0),2)</f>
        <v>#REF!</v>
      </c>
      <c r="Y355" s="264" t="e">
        <f t="shared" si="46"/>
        <v>#DIV/0!</v>
      </c>
      <c r="Z355" s="260">
        <f t="shared" si="48"/>
        <v>0</v>
      </c>
      <c r="AD355" s="91" t="str">
        <f>PE_aug!AP344</f>
        <v>Flussproben</v>
      </c>
    </row>
    <row r="356" spans="1:30">
      <c r="A356" s="276" t="s">
        <v>404</v>
      </c>
      <c r="N356">
        <v>0.83</v>
      </c>
      <c r="O356">
        <v>2.4E-2</v>
      </c>
      <c r="P356">
        <v>9.1895349999999993</v>
      </c>
      <c r="Q356">
        <v>0.67</v>
      </c>
      <c r="R356" s="259" t="e">
        <f t="shared" si="40"/>
        <v>#DIV/0!</v>
      </c>
      <c r="S356" s="260" t="e">
        <f t="shared" si="41"/>
        <v>#DIV/0!</v>
      </c>
      <c r="T356" s="261" t="e">
        <f t="shared" si="42"/>
        <v>#DIV/0!</v>
      </c>
      <c r="U356" s="261" t="e">
        <f t="shared" si="43"/>
        <v>#DIV/0!</v>
      </c>
      <c r="V356" s="262" t="e">
        <f t="shared" si="44"/>
        <v>#DIV/0!</v>
      </c>
      <c r="W356" s="262" t="e">
        <f t="shared" si="45"/>
        <v>#DIV/0!</v>
      </c>
      <c r="X356" s="263" t="e">
        <f>INDEX(#REF!,MATCH(COUNTA(H356:M356),#REF!,0),2)</f>
        <v>#REF!</v>
      </c>
      <c r="Y356" s="264" t="e">
        <f t="shared" si="46"/>
        <v>#DIV/0!</v>
      </c>
      <c r="Z356" s="260">
        <f t="shared" si="48"/>
        <v>0</v>
      </c>
      <c r="AD356" s="91" t="str">
        <f>PE_aug!AP345</f>
        <v>Flussproben</v>
      </c>
    </row>
    <row r="357" spans="1:30">
      <c r="A357" s="276" t="s">
        <v>405</v>
      </c>
      <c r="N357">
        <v>1.127</v>
      </c>
      <c r="O357">
        <v>0.122</v>
      </c>
      <c r="P357">
        <v>8.6095749999999995</v>
      </c>
      <c r="Q357">
        <v>0.5</v>
      </c>
      <c r="R357" s="259" t="e">
        <f t="shared" si="40"/>
        <v>#DIV/0!</v>
      </c>
      <c r="S357" s="260" t="e">
        <f t="shared" si="41"/>
        <v>#DIV/0!</v>
      </c>
      <c r="T357" s="261" t="e">
        <f t="shared" si="42"/>
        <v>#DIV/0!</v>
      </c>
      <c r="U357" s="261" t="e">
        <f t="shared" si="43"/>
        <v>#DIV/0!</v>
      </c>
      <c r="V357" s="262" t="e">
        <f t="shared" si="44"/>
        <v>#DIV/0!</v>
      </c>
      <c r="W357" s="262" t="e">
        <f t="shared" si="45"/>
        <v>#DIV/0!</v>
      </c>
      <c r="X357" s="263" t="e">
        <f>INDEX(#REF!,MATCH(COUNTA(H357:M357),#REF!,0),2)</f>
        <v>#REF!</v>
      </c>
      <c r="Y357" s="264" t="e">
        <f t="shared" si="46"/>
        <v>#DIV/0!</v>
      </c>
      <c r="Z357" s="260">
        <f t="shared" si="48"/>
        <v>0</v>
      </c>
      <c r="AD357" s="91" t="str">
        <f>PE_aug!AP346</f>
        <v>Flussproben</v>
      </c>
    </row>
    <row r="358" spans="1:30">
      <c r="A358" s="276" t="s">
        <v>406</v>
      </c>
      <c r="N358">
        <v>0.71899999999999997</v>
      </c>
      <c r="O358">
        <v>0.122</v>
      </c>
      <c r="P358">
        <v>5.6536</v>
      </c>
      <c r="Q358">
        <v>0.5</v>
      </c>
      <c r="R358" s="259" t="e">
        <f t="shared" si="40"/>
        <v>#DIV/0!</v>
      </c>
      <c r="S358" s="260" t="e">
        <f t="shared" si="41"/>
        <v>#DIV/0!</v>
      </c>
      <c r="T358" s="261" t="e">
        <f t="shared" si="42"/>
        <v>#DIV/0!</v>
      </c>
      <c r="U358" s="261" t="e">
        <f t="shared" si="43"/>
        <v>#DIV/0!</v>
      </c>
      <c r="V358" s="262" t="e">
        <f t="shared" si="44"/>
        <v>#DIV/0!</v>
      </c>
      <c r="W358" s="262" t="e">
        <f t="shared" si="45"/>
        <v>#DIV/0!</v>
      </c>
      <c r="X358" s="263" t="e">
        <f>INDEX(#REF!,MATCH(COUNTA(H358:M358),#REF!,0),2)</f>
        <v>#REF!</v>
      </c>
      <c r="Y358" s="264" t="e">
        <f t="shared" si="46"/>
        <v>#DIV/0!</v>
      </c>
      <c r="Z358" s="260">
        <f t="shared" si="48"/>
        <v>0</v>
      </c>
      <c r="AD358" s="91" t="str">
        <f>PE_aug!AP347</f>
        <v>Flussproben</v>
      </c>
    </row>
    <row r="359" spans="1:30">
      <c r="A359" s="276" t="s">
        <v>407</v>
      </c>
      <c r="N359">
        <v>0.41699999999999998</v>
      </c>
      <c r="O359">
        <v>0.122</v>
      </c>
      <c r="P359">
        <v>7.3856149999999996</v>
      </c>
      <c r="Q359">
        <v>0.5</v>
      </c>
      <c r="R359" s="259" t="e">
        <f t="shared" si="40"/>
        <v>#DIV/0!</v>
      </c>
      <c r="S359" s="260" t="e">
        <f t="shared" si="41"/>
        <v>#DIV/0!</v>
      </c>
      <c r="T359" s="261" t="e">
        <f t="shared" si="42"/>
        <v>#DIV/0!</v>
      </c>
      <c r="U359" s="261" t="e">
        <f t="shared" si="43"/>
        <v>#DIV/0!</v>
      </c>
      <c r="V359" s="262" t="e">
        <f t="shared" si="44"/>
        <v>#DIV/0!</v>
      </c>
      <c r="W359" s="262" t="e">
        <f t="shared" si="45"/>
        <v>#DIV/0!</v>
      </c>
      <c r="X359" s="263" t="e">
        <f>INDEX(#REF!,MATCH(COUNTA(H359:M359),#REF!,0),2)</f>
        <v>#REF!</v>
      </c>
      <c r="Y359" s="264" t="e">
        <f t="shared" si="46"/>
        <v>#DIV/0!</v>
      </c>
      <c r="Z359" s="260">
        <f t="shared" si="48"/>
        <v>0</v>
      </c>
      <c r="AD359" s="91" t="str">
        <f>PE_aug!AP348</f>
        <v>Flussproben</v>
      </c>
    </row>
    <row r="360" spans="1:30">
      <c r="A360" s="276" t="s">
        <v>408</v>
      </c>
      <c r="N360">
        <v>0.34599999999999997</v>
      </c>
      <c r="O360">
        <v>8.4000000000000005E-2</v>
      </c>
      <c r="P360">
        <v>5.9841899999999999</v>
      </c>
      <c r="R360" s="259" t="e">
        <f t="shared" si="40"/>
        <v>#DIV/0!</v>
      </c>
      <c r="S360" s="260" t="e">
        <f t="shared" si="41"/>
        <v>#DIV/0!</v>
      </c>
      <c r="T360" s="261" t="e">
        <f t="shared" si="42"/>
        <v>#DIV/0!</v>
      </c>
      <c r="U360" s="261" t="e">
        <f t="shared" si="43"/>
        <v>#DIV/0!</v>
      </c>
      <c r="V360" s="262" t="e">
        <f t="shared" si="44"/>
        <v>#DIV/0!</v>
      </c>
      <c r="W360" s="262" t="e">
        <f t="shared" si="45"/>
        <v>#DIV/0!</v>
      </c>
      <c r="X360" s="263" t="e">
        <f>INDEX(#REF!,MATCH(COUNTA(H360:M360),#REF!,0),2)</f>
        <v>#REF!</v>
      </c>
      <c r="Y360" s="264" t="e">
        <f t="shared" si="46"/>
        <v>#DIV/0!</v>
      </c>
      <c r="Z360" s="260">
        <f t="shared" si="48"/>
        <v>0</v>
      </c>
      <c r="AD360" s="91" t="str">
        <f>PE_aug!AP349</f>
        <v>RÜB</v>
      </c>
    </row>
    <row r="361" spans="1:30">
      <c r="A361" s="276" t="s">
        <v>410</v>
      </c>
      <c r="N361">
        <v>0.79300000000000004</v>
      </c>
      <c r="O361">
        <v>8.4000000000000005E-2</v>
      </c>
      <c r="P361">
        <v>5.4765100000000002</v>
      </c>
      <c r="R361" s="259" t="e">
        <f t="shared" si="40"/>
        <v>#DIV/0!</v>
      </c>
      <c r="S361" s="260" t="e">
        <f t="shared" si="41"/>
        <v>#DIV/0!</v>
      </c>
      <c r="T361" s="261" t="e">
        <f t="shared" si="42"/>
        <v>#DIV/0!</v>
      </c>
      <c r="U361" s="261" t="e">
        <f t="shared" si="43"/>
        <v>#DIV/0!</v>
      </c>
      <c r="V361" s="262" t="e">
        <f t="shared" si="44"/>
        <v>#DIV/0!</v>
      </c>
      <c r="W361" s="262" t="e">
        <f t="shared" si="45"/>
        <v>#DIV/0!</v>
      </c>
      <c r="X361" s="263" t="e">
        <f>INDEX(#REF!,MATCH(COUNTA(H361:M361),#REF!,0),2)</f>
        <v>#REF!</v>
      </c>
      <c r="Y361" s="264" t="e">
        <f t="shared" si="46"/>
        <v>#DIV/0!</v>
      </c>
      <c r="Z361" s="260">
        <f t="shared" si="48"/>
        <v>0</v>
      </c>
      <c r="AD361" s="91" t="str">
        <f>PE_aug!AP350</f>
        <v>RÜB</v>
      </c>
    </row>
    <row r="362" spans="1:30">
      <c r="A362" s="276" t="s">
        <v>411</v>
      </c>
      <c r="N362">
        <v>1.1040000000000001</v>
      </c>
      <c r="O362">
        <v>8.4000000000000005E-2</v>
      </c>
      <c r="P362">
        <v>10.23</v>
      </c>
      <c r="R362" s="259" t="e">
        <f t="shared" si="40"/>
        <v>#DIV/0!</v>
      </c>
      <c r="S362" s="260" t="e">
        <f t="shared" si="41"/>
        <v>#DIV/0!</v>
      </c>
      <c r="T362" s="261" t="e">
        <f t="shared" si="42"/>
        <v>#DIV/0!</v>
      </c>
      <c r="U362" s="261" t="e">
        <f t="shared" si="43"/>
        <v>#DIV/0!</v>
      </c>
      <c r="V362" s="262" t="e">
        <f t="shared" si="44"/>
        <v>#DIV/0!</v>
      </c>
      <c r="W362" s="262" t="e">
        <f t="shared" si="45"/>
        <v>#DIV/0!</v>
      </c>
      <c r="X362" s="263" t="e">
        <f>INDEX(#REF!,MATCH(COUNTA(H362:M362),#REF!,0),2)</f>
        <v>#REF!</v>
      </c>
      <c r="Y362" s="264" t="e">
        <f t="shared" si="46"/>
        <v>#DIV/0!</v>
      </c>
      <c r="Z362" s="260">
        <f t="shared" si="48"/>
        <v>0</v>
      </c>
      <c r="AD362" s="91" t="str">
        <f>PE_aug!AP351</f>
        <v>RÜB</v>
      </c>
    </row>
    <row r="363" spans="1:30">
      <c r="A363" s="279" t="s">
        <v>412</v>
      </c>
      <c r="N363">
        <v>0.90100000000000002</v>
      </c>
      <c r="O363">
        <v>7.0999999999999994E-2</v>
      </c>
      <c r="P363">
        <v>6.1057800000000002</v>
      </c>
      <c r="R363" s="259" t="e">
        <f t="shared" si="40"/>
        <v>#DIV/0!</v>
      </c>
      <c r="S363" s="260" t="e">
        <f t="shared" si="41"/>
        <v>#DIV/0!</v>
      </c>
      <c r="T363" s="261" t="e">
        <f t="shared" si="42"/>
        <v>#DIV/0!</v>
      </c>
      <c r="U363" s="261" t="e">
        <f t="shared" si="43"/>
        <v>#DIV/0!</v>
      </c>
      <c r="V363" s="262" t="e">
        <f t="shared" si="44"/>
        <v>#DIV/0!</v>
      </c>
      <c r="W363" s="262" t="e">
        <f t="shared" si="45"/>
        <v>#DIV/0!</v>
      </c>
      <c r="X363" s="263" t="e">
        <f>INDEX(#REF!,MATCH(COUNTA(H363:M363),#REF!,0),2)</f>
        <v>#REF!</v>
      </c>
      <c r="Y363" s="264" t="e">
        <f t="shared" si="46"/>
        <v>#DIV/0!</v>
      </c>
      <c r="Z363" s="260">
        <f t="shared" si="48"/>
        <v>0</v>
      </c>
      <c r="AD363" s="91" t="str">
        <f>PE_aug!AP352</f>
        <v>KWS</v>
      </c>
    </row>
    <row r="364" spans="1:30">
      <c r="A364" s="279" t="s">
        <v>413</v>
      </c>
      <c r="N364">
        <v>0.878</v>
      </c>
      <c r="O364">
        <v>7.0999999999999994E-2</v>
      </c>
      <c r="P364">
        <v>4.3622800000000002</v>
      </c>
      <c r="R364" s="259" t="e">
        <f t="shared" si="40"/>
        <v>#DIV/0!</v>
      </c>
      <c r="S364" s="260" t="e">
        <f t="shared" si="41"/>
        <v>#DIV/0!</v>
      </c>
      <c r="T364" s="261" t="e">
        <f t="shared" si="42"/>
        <v>#DIV/0!</v>
      </c>
      <c r="U364" s="261" t="e">
        <f t="shared" si="43"/>
        <v>#DIV/0!</v>
      </c>
      <c r="V364" s="262" t="e">
        <f t="shared" si="44"/>
        <v>#DIV/0!</v>
      </c>
      <c r="W364" s="262" t="e">
        <f t="shared" si="45"/>
        <v>#DIV/0!</v>
      </c>
      <c r="X364" s="263" t="e">
        <f>INDEX(#REF!,MATCH(COUNTA(H364:M364),#REF!,0),2)</f>
        <v>#REF!</v>
      </c>
      <c r="Y364" s="264" t="e">
        <f t="shared" si="46"/>
        <v>#DIV/0!</v>
      </c>
      <c r="Z364" s="260">
        <f t="shared" si="48"/>
        <v>0</v>
      </c>
      <c r="AD364" s="91" t="str">
        <f>PE_aug!AP353</f>
        <v>KWS</v>
      </c>
    </row>
    <row r="365" spans="1:30">
      <c r="A365" s="279" t="s">
        <v>414</v>
      </c>
      <c r="N365">
        <v>0.44</v>
      </c>
      <c r="O365">
        <v>7.0999999999999994E-2</v>
      </c>
      <c r="P365">
        <v>5.0663900000000002</v>
      </c>
      <c r="R365" s="259" t="e">
        <f t="shared" si="40"/>
        <v>#DIV/0!</v>
      </c>
      <c r="S365" s="260" t="e">
        <f t="shared" si="41"/>
        <v>#DIV/0!</v>
      </c>
      <c r="T365" s="261" t="e">
        <f t="shared" si="42"/>
        <v>#DIV/0!</v>
      </c>
      <c r="U365" s="261" t="e">
        <f t="shared" si="43"/>
        <v>#DIV/0!</v>
      </c>
      <c r="V365" s="262" t="e">
        <f t="shared" si="44"/>
        <v>#DIV/0!</v>
      </c>
      <c r="W365" s="262" t="e">
        <f t="shared" si="45"/>
        <v>#DIV/0!</v>
      </c>
      <c r="X365" s="263" t="e">
        <f>INDEX(#REF!,MATCH(COUNTA(H365:M365),#REF!,0),2)</f>
        <v>#REF!</v>
      </c>
      <c r="Y365" s="264" t="e">
        <f t="shared" si="46"/>
        <v>#DIV/0!</v>
      </c>
      <c r="Z365" s="260">
        <f t="shared" ref="Z365:Z396" si="49">IFERROR(Y365/P365,0)</f>
        <v>0</v>
      </c>
      <c r="AD365" s="91" t="str">
        <f>PE_aug!AP354</f>
        <v>KWS</v>
      </c>
    </row>
    <row r="366" spans="1:30">
      <c r="A366" s="279" t="s">
        <v>415</v>
      </c>
      <c r="P366">
        <v>1.5123</v>
      </c>
      <c r="R366" s="259" t="e">
        <f t="shared" si="40"/>
        <v>#DIV/0!</v>
      </c>
      <c r="S366" s="260" t="e">
        <f t="shared" si="41"/>
        <v>#DIV/0!</v>
      </c>
      <c r="T366" s="261" t="e">
        <f t="shared" si="42"/>
        <v>#DIV/0!</v>
      </c>
      <c r="U366" s="261" t="e">
        <f t="shared" si="43"/>
        <v>#DIV/0!</v>
      </c>
      <c r="V366" s="262" t="e">
        <f t="shared" si="44"/>
        <v>#DIV/0!</v>
      </c>
      <c r="W366" s="262" t="e">
        <f t="shared" si="45"/>
        <v>#DIV/0!</v>
      </c>
      <c r="X366" s="263" t="e">
        <f>INDEX(#REF!,MATCH(COUNTA(H366:M366),#REF!,0),2)</f>
        <v>#REF!</v>
      </c>
      <c r="Y366" s="264" t="e">
        <f t="shared" si="46"/>
        <v>#DIV/0!</v>
      </c>
      <c r="Z366" s="260">
        <f t="shared" si="49"/>
        <v>0</v>
      </c>
      <c r="AD366" s="91" t="str">
        <f>PE_aug!AP355</f>
        <v>KWS, Methode</v>
      </c>
    </row>
    <row r="367" spans="1:30">
      <c r="A367" s="279" t="s">
        <v>416</v>
      </c>
      <c r="N367">
        <v>0.52600000000000002</v>
      </c>
      <c r="O367">
        <v>0.10299999999999999</v>
      </c>
      <c r="P367">
        <v>9.3551099999999998</v>
      </c>
      <c r="Q367">
        <v>0.5</v>
      </c>
      <c r="R367" s="259" t="e">
        <f t="shared" si="40"/>
        <v>#DIV/0!</v>
      </c>
      <c r="S367" s="260" t="e">
        <f t="shared" si="41"/>
        <v>#DIV/0!</v>
      </c>
      <c r="T367" s="261" t="e">
        <f t="shared" si="42"/>
        <v>#DIV/0!</v>
      </c>
      <c r="U367" s="261" t="e">
        <f t="shared" si="43"/>
        <v>#DIV/0!</v>
      </c>
      <c r="V367" s="262" t="e">
        <f t="shared" si="44"/>
        <v>#DIV/0!</v>
      </c>
      <c r="W367" s="262" t="e">
        <f t="shared" si="45"/>
        <v>#DIV/0!</v>
      </c>
      <c r="X367" s="263" t="e">
        <f>INDEX(#REF!,MATCH(COUNTA(H367:M367),#REF!,0),2)</f>
        <v>#REF!</v>
      </c>
      <c r="Y367" s="264" t="e">
        <f t="shared" si="46"/>
        <v>#DIV/0!</v>
      </c>
      <c r="Z367" s="260">
        <f t="shared" si="49"/>
        <v>0</v>
      </c>
      <c r="AD367" s="91" t="str">
        <f>PE_aug!AP356</f>
        <v>Flussproben</v>
      </c>
    </row>
    <row r="368" spans="1:30">
      <c r="A368" s="279" t="s">
        <v>417</v>
      </c>
      <c r="N368">
        <v>1.1419999999999999</v>
      </c>
      <c r="O368">
        <v>0.10299999999999999</v>
      </c>
      <c r="P368">
        <v>4.7532649999999999</v>
      </c>
      <c r="Q368">
        <v>0.5</v>
      </c>
      <c r="R368" s="259" t="e">
        <f t="shared" si="40"/>
        <v>#DIV/0!</v>
      </c>
      <c r="S368" s="260" t="e">
        <f t="shared" si="41"/>
        <v>#DIV/0!</v>
      </c>
      <c r="T368" s="261" t="e">
        <f t="shared" si="42"/>
        <v>#DIV/0!</v>
      </c>
      <c r="U368" s="261" t="e">
        <f t="shared" si="43"/>
        <v>#DIV/0!</v>
      </c>
      <c r="V368" s="262" t="e">
        <f t="shared" si="44"/>
        <v>#DIV/0!</v>
      </c>
      <c r="W368" s="262" t="e">
        <f t="shared" si="45"/>
        <v>#DIV/0!</v>
      </c>
      <c r="X368" s="263" t="e">
        <f>INDEX(#REF!,MATCH(COUNTA(H368:M368),#REF!,0),2)</f>
        <v>#REF!</v>
      </c>
      <c r="Y368" s="264" t="e">
        <f t="shared" si="46"/>
        <v>#DIV/0!</v>
      </c>
      <c r="Z368" s="260">
        <f t="shared" si="49"/>
        <v>0</v>
      </c>
      <c r="AD368" s="91" t="str">
        <f>PE_aug!AP357</f>
        <v>Flussproben</v>
      </c>
    </row>
    <row r="369" spans="1:30">
      <c r="A369" s="279" t="s">
        <v>418</v>
      </c>
      <c r="N369">
        <v>0.622</v>
      </c>
      <c r="O369">
        <v>0.10299999999999999</v>
      </c>
      <c r="P369">
        <v>11.220549999999999</v>
      </c>
      <c r="Q369">
        <v>0.5</v>
      </c>
      <c r="R369" s="259" t="e">
        <f t="shared" si="40"/>
        <v>#DIV/0!</v>
      </c>
      <c r="S369" s="260" t="e">
        <f t="shared" si="41"/>
        <v>#DIV/0!</v>
      </c>
      <c r="T369" s="261" t="e">
        <f t="shared" si="42"/>
        <v>#DIV/0!</v>
      </c>
      <c r="U369" s="261" t="e">
        <f t="shared" si="43"/>
        <v>#DIV/0!</v>
      </c>
      <c r="V369" s="262" t="e">
        <f t="shared" si="44"/>
        <v>#DIV/0!</v>
      </c>
      <c r="W369" s="262" t="e">
        <f t="shared" si="45"/>
        <v>#DIV/0!</v>
      </c>
      <c r="X369" s="263" t="e">
        <f>INDEX(#REF!,MATCH(COUNTA(H369:M369),#REF!,0),2)</f>
        <v>#REF!</v>
      </c>
      <c r="Y369" s="264" t="e">
        <f t="shared" si="46"/>
        <v>#DIV/0!</v>
      </c>
      <c r="Z369" s="260">
        <f t="shared" si="49"/>
        <v>0</v>
      </c>
      <c r="AD369" s="91" t="str">
        <f>PE_aug!AP358</f>
        <v>Flussproben</v>
      </c>
    </row>
    <row r="370" spans="1:30">
      <c r="A370" s="279" t="s">
        <v>419</v>
      </c>
      <c r="N370">
        <v>0.57799999999999996</v>
      </c>
      <c r="O370">
        <v>22.041</v>
      </c>
      <c r="P370">
        <v>9.23292</v>
      </c>
      <c r="Q370">
        <v>0.5</v>
      </c>
      <c r="R370" s="259" t="e">
        <f t="shared" si="40"/>
        <v>#DIV/0!</v>
      </c>
      <c r="S370" s="260" t="e">
        <f t="shared" si="41"/>
        <v>#DIV/0!</v>
      </c>
      <c r="T370" s="261" t="e">
        <f t="shared" si="42"/>
        <v>#DIV/0!</v>
      </c>
      <c r="U370" s="261" t="e">
        <f t="shared" si="43"/>
        <v>#DIV/0!</v>
      </c>
      <c r="V370" s="262" t="e">
        <f t="shared" si="44"/>
        <v>#DIV/0!</v>
      </c>
      <c r="W370" s="262" t="e">
        <f t="shared" si="45"/>
        <v>#DIV/0!</v>
      </c>
      <c r="X370" s="263" t="e">
        <f>INDEX(#REF!,MATCH(COUNTA(H370:M370),#REF!,0),2)</f>
        <v>#REF!</v>
      </c>
      <c r="Y370" s="264" t="e">
        <f t="shared" si="46"/>
        <v>#DIV/0!</v>
      </c>
      <c r="Z370" s="260">
        <f t="shared" si="49"/>
        <v>0</v>
      </c>
      <c r="AD370" s="91" t="str">
        <f>PE_aug!AP359</f>
        <v>Kläranlagen</v>
      </c>
    </row>
    <row r="371" spans="1:30">
      <c r="A371" s="279" t="s">
        <v>420</v>
      </c>
      <c r="N371">
        <v>1.1539999999999999</v>
      </c>
      <c r="O371">
        <v>22.041</v>
      </c>
      <c r="P371">
        <v>-99.239099999999993</v>
      </c>
      <c r="R371" s="259" t="e">
        <f t="shared" si="40"/>
        <v>#DIV/0!</v>
      </c>
      <c r="S371" s="260" t="e">
        <f t="shared" si="41"/>
        <v>#DIV/0!</v>
      </c>
      <c r="T371" s="261" t="e">
        <f t="shared" si="42"/>
        <v>#DIV/0!</v>
      </c>
      <c r="U371" s="261" t="e">
        <f t="shared" si="43"/>
        <v>#DIV/0!</v>
      </c>
      <c r="V371" s="262" t="e">
        <f t="shared" si="44"/>
        <v>#DIV/0!</v>
      </c>
      <c r="W371" s="262" t="e">
        <f t="shared" si="45"/>
        <v>#DIV/0!</v>
      </c>
      <c r="X371" s="263" t="e">
        <f>INDEX(#REF!,MATCH(COUNTA(H371:M371),#REF!,0),2)</f>
        <v>#REF!</v>
      </c>
      <c r="Y371" s="264" t="e">
        <f t="shared" si="46"/>
        <v>#DIV/0!</v>
      </c>
      <c r="Z371" s="260">
        <f t="shared" si="49"/>
        <v>0</v>
      </c>
      <c r="AD371" s="91" t="str">
        <f>PE_aug!AP360</f>
        <v>Kläranlagen</v>
      </c>
    </row>
    <row r="372" spans="1:30">
      <c r="A372" s="279" t="s">
        <v>421</v>
      </c>
      <c r="N372">
        <v>0.57699999999999996</v>
      </c>
      <c r="O372">
        <v>22.041</v>
      </c>
      <c r="P372">
        <v>8.4308049999999994</v>
      </c>
      <c r="R372" s="259" t="e">
        <f t="shared" si="40"/>
        <v>#DIV/0!</v>
      </c>
      <c r="S372" s="260" t="e">
        <f t="shared" si="41"/>
        <v>#DIV/0!</v>
      </c>
      <c r="T372" s="261" t="e">
        <f t="shared" si="42"/>
        <v>#DIV/0!</v>
      </c>
      <c r="U372" s="261" t="e">
        <f t="shared" si="43"/>
        <v>#DIV/0!</v>
      </c>
      <c r="V372" s="262" t="e">
        <f t="shared" si="44"/>
        <v>#DIV/0!</v>
      </c>
      <c r="W372" s="262" t="e">
        <f t="shared" si="45"/>
        <v>#DIV/0!</v>
      </c>
      <c r="X372" s="263" t="e">
        <f>INDEX(#REF!,MATCH(COUNTA(H372:M372),#REF!,0),2)</f>
        <v>#REF!</v>
      </c>
      <c r="Y372" s="264" t="e">
        <f t="shared" si="46"/>
        <v>#DIV/0!</v>
      </c>
      <c r="Z372" s="260">
        <f t="shared" si="49"/>
        <v>0</v>
      </c>
      <c r="AD372" s="91" t="str">
        <f>PE_aug!AP361</f>
        <v>Kläranlagen</v>
      </c>
    </row>
    <row r="373" spans="1:30">
      <c r="A373" s="279" t="s">
        <v>422</v>
      </c>
      <c r="E373">
        <v>7.74</v>
      </c>
      <c r="F373">
        <v>16.98</v>
      </c>
      <c r="K373">
        <v>7.74</v>
      </c>
      <c r="L373">
        <v>16.98</v>
      </c>
      <c r="N373">
        <v>0.67400000000000004</v>
      </c>
      <c r="O373">
        <v>5.5E-2</v>
      </c>
      <c r="P373">
        <v>11.3706</v>
      </c>
      <c r="Q373">
        <v>0.4</v>
      </c>
      <c r="R373" s="259">
        <f t="shared" si="40"/>
        <v>0.41666666666666663</v>
      </c>
      <c r="S373" s="260">
        <f t="shared" si="41"/>
        <v>0.40833333333333333</v>
      </c>
      <c r="T373" s="261">
        <f t="shared" si="42"/>
        <v>37.378640776699044</v>
      </c>
      <c r="U373" s="261">
        <f t="shared" si="43"/>
        <v>37.378640776699044</v>
      </c>
      <c r="V373" s="262">
        <f t="shared" si="44"/>
        <v>0.99999999999999967</v>
      </c>
      <c r="W373" s="262">
        <f t="shared" si="45"/>
        <v>1</v>
      </c>
      <c r="X373" s="263" t="e">
        <f>INDEX(#REF!,MATCH(COUNTA(H373:M373),#REF!,0),2)</f>
        <v>#REF!</v>
      </c>
      <c r="Y373" s="264">
        <f t="shared" si="46"/>
        <v>12.36</v>
      </c>
      <c r="Z373" s="260">
        <f t="shared" si="49"/>
        <v>1.0870138778956255</v>
      </c>
      <c r="AD373" s="91" t="str">
        <f>PE_aug!AP362</f>
        <v>Münchehofe</v>
      </c>
    </row>
    <row r="374" spans="1:30">
      <c r="A374" s="279" t="s">
        <v>423</v>
      </c>
      <c r="B374">
        <v>5.44</v>
      </c>
      <c r="H374">
        <v>5.44</v>
      </c>
      <c r="N374">
        <v>0.98299999999999998</v>
      </c>
      <c r="O374">
        <v>5.5E-2</v>
      </c>
      <c r="P374">
        <v>13.849550000000001</v>
      </c>
      <c r="Q374">
        <v>0.5</v>
      </c>
      <c r="R374" s="259">
        <f t="shared" si="40"/>
        <v>0.16</v>
      </c>
      <c r="S374" s="260">
        <f t="shared" si="41"/>
        <v>0.33</v>
      </c>
      <c r="T374" s="261">
        <f t="shared" si="42"/>
        <v>0</v>
      </c>
      <c r="U374" s="261">
        <f t="shared" si="43"/>
        <v>0</v>
      </c>
      <c r="V374" s="262" t="e">
        <f t="shared" si="44"/>
        <v>#DIV/0!</v>
      </c>
      <c r="W374" s="262" t="e">
        <f t="shared" si="45"/>
        <v>#DIV/0!</v>
      </c>
      <c r="X374" s="263" t="e">
        <f>INDEX(#REF!,MATCH(COUNTA(H374:M374),#REF!,0),2)</f>
        <v>#REF!</v>
      </c>
      <c r="Y374" s="264">
        <f t="shared" si="46"/>
        <v>5.44</v>
      </c>
      <c r="Z374" s="260">
        <f t="shared" si="49"/>
        <v>0.39279254560617494</v>
      </c>
      <c r="AD374" s="91" t="str">
        <f>PE_aug!AP363</f>
        <v>Münchehofe</v>
      </c>
    </row>
    <row r="375" spans="1:30">
      <c r="A375" s="279" t="s">
        <v>424</v>
      </c>
      <c r="B375">
        <v>4.95</v>
      </c>
      <c r="H375">
        <v>4.95</v>
      </c>
      <c r="N375">
        <v>0.56200000000000006</v>
      </c>
      <c r="O375">
        <v>5.5E-2</v>
      </c>
      <c r="P375">
        <v>11.058949999999999</v>
      </c>
      <c r="Q375">
        <v>0.5</v>
      </c>
      <c r="R375" s="259">
        <f t="shared" si="40"/>
        <v>0.16</v>
      </c>
      <c r="S375" s="260">
        <f t="shared" si="41"/>
        <v>0.33</v>
      </c>
      <c r="T375" s="261">
        <f t="shared" si="42"/>
        <v>0</v>
      </c>
      <c r="U375" s="261">
        <f t="shared" si="43"/>
        <v>0</v>
      </c>
      <c r="V375" s="262" t="e">
        <f t="shared" si="44"/>
        <v>#DIV/0!</v>
      </c>
      <c r="W375" s="262" t="e">
        <f t="shared" si="45"/>
        <v>#DIV/0!</v>
      </c>
      <c r="X375" s="263" t="e">
        <f>INDEX(#REF!,MATCH(COUNTA(H375:M375),#REF!,0),2)</f>
        <v>#REF!</v>
      </c>
      <c r="Y375" s="264">
        <f t="shared" si="46"/>
        <v>4.95</v>
      </c>
      <c r="Z375" s="260">
        <f t="shared" si="49"/>
        <v>0.44760126413447937</v>
      </c>
      <c r="AD375" s="91" t="str">
        <f>PE_aug!AP364</f>
        <v>Münchehofe</v>
      </c>
    </row>
    <row r="376" spans="1:30">
      <c r="A376" s="279" t="s">
        <v>425</v>
      </c>
      <c r="B376">
        <v>38.82</v>
      </c>
      <c r="C376">
        <v>24.68</v>
      </c>
      <c r="D376">
        <v>12.96</v>
      </c>
      <c r="E376">
        <v>25.71</v>
      </c>
      <c r="F376">
        <v>26.73</v>
      </c>
      <c r="G376">
        <v>26.99</v>
      </c>
      <c r="H376">
        <v>38.82</v>
      </c>
      <c r="I376">
        <v>24.68</v>
      </c>
      <c r="J376">
        <v>12.96</v>
      </c>
      <c r="K376">
        <v>25.71</v>
      </c>
      <c r="L376">
        <v>26.73</v>
      </c>
      <c r="M376">
        <v>26.99</v>
      </c>
      <c r="N376">
        <v>0.52800000000000002</v>
      </c>
      <c r="O376">
        <v>4.5999999999999999E-2</v>
      </c>
      <c r="P376">
        <v>5.7891599999999999</v>
      </c>
      <c r="Q376">
        <v>0.89</v>
      </c>
      <c r="R376" s="259">
        <f t="shared" si="40"/>
        <v>1</v>
      </c>
      <c r="S376" s="260">
        <f t="shared" si="41"/>
        <v>0.94500000000000006</v>
      </c>
      <c r="T376" s="261">
        <f t="shared" si="42"/>
        <v>28.876406169080393</v>
      </c>
      <c r="U376" s="261">
        <f t="shared" si="43"/>
        <v>28.876406169080393</v>
      </c>
      <c r="V376" s="262">
        <f t="shared" si="44"/>
        <v>1.7356271112861963</v>
      </c>
      <c r="W376" s="262">
        <f t="shared" si="45"/>
        <v>1.7111910454674986</v>
      </c>
      <c r="X376" s="263" t="e">
        <f>INDEX(#REF!,MATCH(COUNTA(H376:M376),#REF!,0),2)</f>
        <v>#REF!</v>
      </c>
      <c r="Y376" s="264">
        <f t="shared" si="46"/>
        <v>25.981666666666669</v>
      </c>
      <c r="Z376" s="260">
        <f t="shared" si="49"/>
        <v>4.4879855914617437</v>
      </c>
      <c r="AD376" s="91" t="str">
        <f>PE_aug!AP365</f>
        <v>Münchehofe</v>
      </c>
    </row>
    <row r="377" spans="1:30">
      <c r="A377" s="279" t="s">
        <v>426</v>
      </c>
      <c r="B377">
        <v>46.15</v>
      </c>
      <c r="C377">
        <v>41.92</v>
      </c>
      <c r="D377">
        <v>25.62</v>
      </c>
      <c r="E377">
        <v>58.66</v>
      </c>
      <c r="F377">
        <v>65.58</v>
      </c>
      <c r="G377">
        <v>58</v>
      </c>
      <c r="H377">
        <v>46.15</v>
      </c>
      <c r="I377">
        <v>41.92</v>
      </c>
      <c r="J377">
        <v>25.62</v>
      </c>
      <c r="K377">
        <v>58.66</v>
      </c>
      <c r="L377">
        <v>65.58</v>
      </c>
      <c r="M377">
        <v>58</v>
      </c>
      <c r="N377">
        <v>0.86</v>
      </c>
      <c r="O377">
        <v>4.5999999999999999E-2</v>
      </c>
      <c r="P377">
        <v>6.0298299999999996</v>
      </c>
      <c r="Q377">
        <v>0.86</v>
      </c>
      <c r="R377" s="259">
        <f t="shared" si="40"/>
        <v>1</v>
      </c>
      <c r="S377" s="260">
        <f t="shared" si="41"/>
        <v>0.92999999999999994</v>
      </c>
      <c r="T377" s="261">
        <f t="shared" si="42"/>
        <v>26.865602222772356</v>
      </c>
      <c r="U377" s="261">
        <f t="shared" si="43"/>
        <v>26.865602222772356</v>
      </c>
      <c r="V377" s="262">
        <f t="shared" si="44"/>
        <v>1.7887290575344141</v>
      </c>
      <c r="W377" s="262">
        <f t="shared" si="45"/>
        <v>1.226991910290993</v>
      </c>
      <c r="X377" s="263" t="e">
        <f>INDEX(#REF!,MATCH(COUNTA(H377:M377),#REF!,0),2)</f>
        <v>#REF!</v>
      </c>
      <c r="Y377" s="264">
        <f t="shared" si="46"/>
        <v>49.321666666666665</v>
      </c>
      <c r="Z377" s="260">
        <f t="shared" si="49"/>
        <v>8.179611476055987</v>
      </c>
      <c r="AD377" s="91" t="str">
        <f>PE_aug!AP366</f>
        <v>Münchehofe</v>
      </c>
    </row>
    <row r="378" spans="1:30">
      <c r="A378" s="279" t="s">
        <v>427</v>
      </c>
      <c r="B378">
        <v>44.44</v>
      </c>
      <c r="C378">
        <v>36.76</v>
      </c>
      <c r="D378">
        <v>27.21</v>
      </c>
      <c r="E378">
        <v>46.46</v>
      </c>
      <c r="F378">
        <v>50.2</v>
      </c>
      <c r="G378">
        <v>46.75</v>
      </c>
      <c r="H378">
        <v>44.44</v>
      </c>
      <c r="I378">
        <v>36.76</v>
      </c>
      <c r="J378">
        <v>27.21</v>
      </c>
      <c r="K378">
        <v>46.46</v>
      </c>
      <c r="L378">
        <v>50.2</v>
      </c>
      <c r="M378">
        <v>46.75</v>
      </c>
      <c r="N378">
        <v>0.80300000000000005</v>
      </c>
      <c r="O378">
        <v>4.5999999999999999E-2</v>
      </c>
      <c r="P378">
        <v>6.4604200000000001</v>
      </c>
      <c r="Q378">
        <v>0.89</v>
      </c>
      <c r="R378" s="259">
        <f t="shared" si="40"/>
        <v>1</v>
      </c>
      <c r="S378" s="260">
        <f t="shared" si="41"/>
        <v>0.94500000000000006</v>
      </c>
      <c r="T378" s="261">
        <f t="shared" si="42"/>
        <v>18.503168059591761</v>
      </c>
      <c r="U378" s="261">
        <f t="shared" si="43"/>
        <v>18.503168059591761</v>
      </c>
      <c r="V378" s="262">
        <f t="shared" si="44"/>
        <v>1.9006462576168623</v>
      </c>
      <c r="W378" s="262">
        <f t="shared" si="45"/>
        <v>1.0597776897145519</v>
      </c>
      <c r="X378" s="263" t="e">
        <f>INDEX(#REF!,MATCH(COUNTA(H378:M378),#REF!,0),2)</f>
        <v>#REF!</v>
      </c>
      <c r="Y378" s="264">
        <f t="shared" si="46"/>
        <v>41.97</v>
      </c>
      <c r="Z378" s="260">
        <f t="shared" si="49"/>
        <v>6.496481652895632</v>
      </c>
      <c r="AD378" s="91" t="str">
        <f>PE_aug!AP367</f>
        <v>Münchehofe</v>
      </c>
    </row>
    <row r="379" spans="1:30">
      <c r="A379" s="279" t="s">
        <v>428</v>
      </c>
      <c r="B379">
        <v>8.51</v>
      </c>
      <c r="E379">
        <v>3.91</v>
      </c>
      <c r="G379">
        <v>4.93</v>
      </c>
      <c r="H379">
        <v>8.51</v>
      </c>
      <c r="K379">
        <v>3.91</v>
      </c>
      <c r="M379">
        <v>4.93</v>
      </c>
      <c r="P379">
        <v>9.5863199999999996E-2</v>
      </c>
      <c r="Q379">
        <v>0.83</v>
      </c>
      <c r="R379" s="259">
        <f t="shared" si="40"/>
        <v>0.75</v>
      </c>
      <c r="S379" s="260">
        <f t="shared" si="41"/>
        <v>0.79</v>
      </c>
      <c r="T379" s="261">
        <f t="shared" si="42"/>
        <v>34.106625198301614</v>
      </c>
      <c r="U379" s="261">
        <f t="shared" si="43"/>
        <v>34.106625198301614</v>
      </c>
      <c r="V379" s="262">
        <f t="shared" si="44"/>
        <v>0.94972547554625475</v>
      </c>
      <c r="W379" s="262">
        <f t="shared" si="45"/>
        <v>1.3823406387844055</v>
      </c>
      <c r="X379" s="263" t="e">
        <f>INDEX(#REF!,MATCH(COUNTA(H379:M379),#REF!,0),2)</f>
        <v>#REF!</v>
      </c>
      <c r="Y379" s="264">
        <f t="shared" si="46"/>
        <v>5.7833333333333341</v>
      </c>
      <c r="Z379" s="260">
        <f t="shared" si="49"/>
        <v>60.329024415347433</v>
      </c>
      <c r="AD379" s="91" t="str">
        <f>PE_aug!AP368</f>
        <v>RBF</v>
      </c>
    </row>
    <row r="380" spans="1:30">
      <c r="A380" s="279" t="s">
        <v>430</v>
      </c>
      <c r="P380">
        <v>3.9970099999999988E-2</v>
      </c>
      <c r="R380" s="259" t="e">
        <f t="shared" si="40"/>
        <v>#DIV/0!</v>
      </c>
      <c r="S380" s="260" t="e">
        <f t="shared" si="41"/>
        <v>#DIV/0!</v>
      </c>
      <c r="T380" s="261" t="e">
        <f t="shared" si="42"/>
        <v>#DIV/0!</v>
      </c>
      <c r="U380" s="261" t="e">
        <f t="shared" si="43"/>
        <v>#DIV/0!</v>
      </c>
      <c r="V380" s="262" t="e">
        <f t="shared" si="44"/>
        <v>#DIV/0!</v>
      </c>
      <c r="W380" s="262" t="e">
        <f t="shared" si="45"/>
        <v>#DIV/0!</v>
      </c>
      <c r="X380" s="263" t="e">
        <f>INDEX(#REF!,MATCH(COUNTA(H380:M380),#REF!,0),2)</f>
        <v>#REF!</v>
      </c>
      <c r="Y380" s="264" t="e">
        <f t="shared" si="46"/>
        <v>#DIV/0!</v>
      </c>
      <c r="Z380" s="260">
        <f t="shared" si="49"/>
        <v>0</v>
      </c>
      <c r="AD380" s="91" t="str">
        <f>PE_aug!AP369</f>
        <v>Methode</v>
      </c>
    </row>
    <row r="381" spans="1:30">
      <c r="A381" s="279" t="s">
        <v>431</v>
      </c>
      <c r="N381">
        <v>0.70699999999999996</v>
      </c>
      <c r="O381">
        <v>4.1000000000000002E-2</v>
      </c>
      <c r="P381">
        <v>12.188499999999999</v>
      </c>
      <c r="R381" s="259" t="e">
        <f t="shared" si="40"/>
        <v>#DIV/0!</v>
      </c>
      <c r="S381" s="260" t="e">
        <f t="shared" si="41"/>
        <v>#DIV/0!</v>
      </c>
      <c r="T381" s="261" t="e">
        <f t="shared" si="42"/>
        <v>#DIV/0!</v>
      </c>
      <c r="U381" s="261" t="e">
        <f t="shared" si="43"/>
        <v>#DIV/0!</v>
      </c>
      <c r="V381" s="262" t="e">
        <f t="shared" si="44"/>
        <v>#DIV/0!</v>
      </c>
      <c r="W381" s="262" t="e">
        <f t="shared" si="45"/>
        <v>#DIV/0!</v>
      </c>
      <c r="X381" s="263" t="e">
        <f>INDEX(#REF!,MATCH(COUNTA(H381:M381),#REF!,0),2)</f>
        <v>#REF!</v>
      </c>
      <c r="Y381" s="264" t="e">
        <f t="shared" si="46"/>
        <v>#DIV/0!</v>
      </c>
      <c r="Z381" s="260">
        <f t="shared" si="49"/>
        <v>0</v>
      </c>
      <c r="AD381" s="91" t="str">
        <f>PE_aug!AP370</f>
        <v>Straßenabfluss</v>
      </c>
    </row>
    <row r="382" spans="1:30">
      <c r="A382" s="279" t="s">
        <v>432</v>
      </c>
      <c r="N382">
        <v>0.70699999999999996</v>
      </c>
      <c r="O382">
        <v>4.1000000000000002E-2</v>
      </c>
      <c r="P382">
        <v>17.268799999999999</v>
      </c>
      <c r="Q382">
        <v>0.5</v>
      </c>
      <c r="R382" s="259" t="e">
        <f t="shared" si="40"/>
        <v>#DIV/0!</v>
      </c>
      <c r="S382" s="260" t="e">
        <f t="shared" si="41"/>
        <v>#DIV/0!</v>
      </c>
      <c r="T382" s="261" t="e">
        <f t="shared" si="42"/>
        <v>#DIV/0!</v>
      </c>
      <c r="U382" s="261" t="e">
        <f t="shared" si="43"/>
        <v>#DIV/0!</v>
      </c>
      <c r="V382" s="262" t="e">
        <f t="shared" si="44"/>
        <v>#DIV/0!</v>
      </c>
      <c r="W382" s="262" t="e">
        <f t="shared" si="45"/>
        <v>#DIV/0!</v>
      </c>
      <c r="X382" s="263" t="e">
        <f>INDEX(#REF!,MATCH(COUNTA(H382:M382),#REF!,0),2)</f>
        <v>#REF!</v>
      </c>
      <c r="Y382" s="264" t="e">
        <f t="shared" si="46"/>
        <v>#DIV/0!</v>
      </c>
      <c r="Z382" s="260">
        <f t="shared" si="49"/>
        <v>0</v>
      </c>
      <c r="AD382" s="91" t="str">
        <f>PE_aug!AP371</f>
        <v>Straßenabfluss</v>
      </c>
    </row>
    <row r="383" spans="1:30">
      <c r="A383" s="279" t="s">
        <v>433</v>
      </c>
      <c r="N383">
        <v>0.70699999999999996</v>
      </c>
      <c r="O383">
        <v>6.3E-2</v>
      </c>
      <c r="P383">
        <v>6.0078950000000004</v>
      </c>
      <c r="Q383">
        <v>0.5</v>
      </c>
      <c r="R383" s="259" t="e">
        <f t="shared" si="40"/>
        <v>#DIV/0!</v>
      </c>
      <c r="S383" s="260" t="e">
        <f t="shared" si="41"/>
        <v>#DIV/0!</v>
      </c>
      <c r="T383" s="261" t="e">
        <f t="shared" si="42"/>
        <v>#DIV/0!</v>
      </c>
      <c r="U383" s="261" t="e">
        <f t="shared" si="43"/>
        <v>#DIV/0!</v>
      </c>
      <c r="V383" s="262" t="e">
        <f t="shared" si="44"/>
        <v>#DIV/0!</v>
      </c>
      <c r="W383" s="262" t="e">
        <f t="shared" si="45"/>
        <v>#DIV/0!</v>
      </c>
      <c r="X383" s="263" t="e">
        <f>INDEX(#REF!,MATCH(COUNTA(H383:M383),#REF!,0),2)</f>
        <v>#REF!</v>
      </c>
      <c r="Y383" s="264" t="e">
        <f t="shared" si="46"/>
        <v>#DIV/0!</v>
      </c>
      <c r="Z383" s="260">
        <f t="shared" si="49"/>
        <v>0</v>
      </c>
      <c r="AD383" s="91" t="str">
        <f>PE_aug!AP372</f>
        <v>Kläranlagen</v>
      </c>
    </row>
    <row r="384" spans="1:30">
      <c r="A384" s="279" t="s">
        <v>434</v>
      </c>
      <c r="N384">
        <v>0.70699999999999996</v>
      </c>
      <c r="O384">
        <v>6.3E-2</v>
      </c>
      <c r="P384">
        <v>5.5313149999999993</v>
      </c>
      <c r="Q384">
        <v>0.5</v>
      </c>
      <c r="R384" s="259" t="e">
        <f t="shared" si="40"/>
        <v>#DIV/0!</v>
      </c>
      <c r="S384" s="260" t="e">
        <f t="shared" si="41"/>
        <v>#DIV/0!</v>
      </c>
      <c r="T384" s="261" t="e">
        <f t="shared" si="42"/>
        <v>#DIV/0!</v>
      </c>
      <c r="U384" s="261" t="e">
        <f t="shared" si="43"/>
        <v>#DIV/0!</v>
      </c>
      <c r="V384" s="262" t="e">
        <f t="shared" si="44"/>
        <v>#DIV/0!</v>
      </c>
      <c r="W384" s="262" t="e">
        <f t="shared" si="45"/>
        <v>#DIV/0!</v>
      </c>
      <c r="X384" s="263" t="e">
        <f>INDEX(#REF!,MATCH(COUNTA(H384:M384),#REF!,0),2)</f>
        <v>#REF!</v>
      </c>
      <c r="Y384" s="264" t="e">
        <f t="shared" si="46"/>
        <v>#DIV/0!</v>
      </c>
      <c r="Z384" s="260">
        <f t="shared" si="49"/>
        <v>0</v>
      </c>
      <c r="AD384" s="91" t="str">
        <f>PE_aug!AP373</f>
        <v>Kläranlagen</v>
      </c>
    </row>
    <row r="385" spans="1:30">
      <c r="A385" s="283" t="s">
        <v>435</v>
      </c>
      <c r="N385">
        <v>0.14699999999999999</v>
      </c>
      <c r="O385">
        <v>0.29299999999999998</v>
      </c>
      <c r="P385">
        <v>26.531649999999999</v>
      </c>
      <c r="Q385">
        <v>0.5</v>
      </c>
      <c r="R385" s="259" t="e">
        <f t="shared" si="40"/>
        <v>#DIV/0!</v>
      </c>
      <c r="S385" s="260" t="e">
        <f t="shared" si="41"/>
        <v>#DIV/0!</v>
      </c>
      <c r="T385" s="261" t="e">
        <f t="shared" si="42"/>
        <v>#DIV/0!</v>
      </c>
      <c r="U385" s="261" t="e">
        <f t="shared" si="43"/>
        <v>#DIV/0!</v>
      </c>
      <c r="V385" s="262" t="e">
        <f t="shared" si="44"/>
        <v>#DIV/0!</v>
      </c>
      <c r="W385" s="262" t="e">
        <f t="shared" si="45"/>
        <v>#DIV/0!</v>
      </c>
      <c r="X385" s="263" t="e">
        <f>INDEX(#REF!,MATCH(COUNTA(H385:M385),#REF!,0),2)</f>
        <v>#REF!</v>
      </c>
      <c r="Y385" s="264" t="e">
        <f t="shared" si="46"/>
        <v>#DIV/0!</v>
      </c>
      <c r="Z385" s="260">
        <f t="shared" si="49"/>
        <v>0</v>
      </c>
      <c r="AD385" s="91" t="str">
        <f>PE_aug!AP374</f>
        <v>KWS</v>
      </c>
    </row>
    <row r="386" spans="1:30">
      <c r="A386" s="283" t="s">
        <v>436</v>
      </c>
      <c r="N386">
        <v>0.92200000000000004</v>
      </c>
      <c r="O386">
        <v>0.29299999999999998</v>
      </c>
      <c r="P386">
        <v>29.1462</v>
      </c>
      <c r="Q386">
        <v>0.67</v>
      </c>
      <c r="R386" s="259" t="e">
        <f t="shared" ref="R386:R449" si="50">IF(COUNT(H386:M386)=1,0.16,(COUNT(H386:M386)*(1/(COUNT(H386:M386)+COUNTBLANK(H386:M386)))+(IF(T386&lt;35,1,IF(T386&lt;70,0.5,IF(T386&gt;70,0)))))/2)</f>
        <v>#DIV/0!</v>
      </c>
      <c r="S386" s="260" t="e">
        <f t="shared" ref="S386:S449" si="51">AVERAGE(Q386:R386)</f>
        <v>#DIV/0!</v>
      </c>
      <c r="T386" s="261" t="e">
        <f t="shared" ref="T386:T449" si="52">((_xlfn.STDEV.P(H386:M386))/(AVERAGE(H386:M386)))*100</f>
        <v>#DIV/0!</v>
      </c>
      <c r="U386" s="261" t="e">
        <f t="shared" ref="U386:U449" si="53">((_xlfn.STDEV.P(B386:G386))/(AVERAGE(B386:G386)))*100</f>
        <v>#DIV/0!</v>
      </c>
      <c r="V386" s="262" t="e">
        <f t="shared" ref="V386:V449" si="54">(ABS(MIN(H386:M386)-AVERAGE(H386:M386))/_xlfn.STDEV.P(H386:M386))</f>
        <v>#DIV/0!</v>
      </c>
      <c r="W386" s="262" t="e">
        <f t="shared" ref="W386:W449" si="55">(ABS(MAX(H386:M386)-AVERAGE(H386:M386))/_xlfn.STDEV.P(H386:M386))</f>
        <v>#DIV/0!</v>
      </c>
      <c r="X386" s="263" t="e">
        <f>INDEX(#REF!,MATCH(COUNTA(H386:M386),#REF!,0),2)</f>
        <v>#REF!</v>
      </c>
      <c r="Y386" s="264" t="e">
        <f t="shared" ref="Y386:Y449" si="56">AVERAGE(H386:M386)</f>
        <v>#DIV/0!</v>
      </c>
      <c r="Z386" s="260">
        <f t="shared" si="49"/>
        <v>0</v>
      </c>
      <c r="AD386" s="91" t="str">
        <f>PE_aug!AP375</f>
        <v>KWS</v>
      </c>
    </row>
    <row r="387" spans="1:30">
      <c r="A387" s="283" t="s">
        <v>437</v>
      </c>
      <c r="N387">
        <v>1.0509999999999999</v>
      </c>
      <c r="O387">
        <v>0.29299999999999998</v>
      </c>
      <c r="P387">
        <v>16.288900000000002</v>
      </c>
      <c r="Q387">
        <v>0.5</v>
      </c>
      <c r="R387" s="259" t="e">
        <f t="shared" si="50"/>
        <v>#DIV/0!</v>
      </c>
      <c r="S387" s="260" t="e">
        <f t="shared" si="51"/>
        <v>#DIV/0!</v>
      </c>
      <c r="T387" s="261" t="e">
        <f t="shared" si="52"/>
        <v>#DIV/0!</v>
      </c>
      <c r="U387" s="261" t="e">
        <f t="shared" si="53"/>
        <v>#DIV/0!</v>
      </c>
      <c r="V387" s="262" t="e">
        <f t="shared" si="54"/>
        <v>#DIV/0!</v>
      </c>
      <c r="W387" s="262" t="e">
        <f t="shared" si="55"/>
        <v>#DIV/0!</v>
      </c>
      <c r="X387" s="263" t="e">
        <f>INDEX(#REF!,MATCH(COUNTA(H387:M387),#REF!,0),2)</f>
        <v>#REF!</v>
      </c>
      <c r="Y387" s="264" t="e">
        <f t="shared" si="56"/>
        <v>#DIV/0!</v>
      </c>
      <c r="Z387" s="260">
        <f t="shared" si="49"/>
        <v>0</v>
      </c>
      <c r="AD387" s="91" t="str">
        <f>PE_aug!AP376</f>
        <v>KWS</v>
      </c>
    </row>
    <row r="388" spans="1:30">
      <c r="A388" s="283" t="s">
        <v>438</v>
      </c>
      <c r="N388">
        <v>0.998</v>
      </c>
      <c r="O388">
        <v>0.246</v>
      </c>
      <c r="P388">
        <v>3.7278199999999999</v>
      </c>
      <c r="R388" s="259" t="e">
        <f t="shared" si="50"/>
        <v>#DIV/0!</v>
      </c>
      <c r="S388" s="260" t="e">
        <f t="shared" si="51"/>
        <v>#DIV/0!</v>
      </c>
      <c r="T388" s="261" t="e">
        <f t="shared" si="52"/>
        <v>#DIV/0!</v>
      </c>
      <c r="U388" s="261" t="e">
        <f t="shared" si="53"/>
        <v>#DIV/0!</v>
      </c>
      <c r="V388" s="262" t="e">
        <f t="shared" si="54"/>
        <v>#DIV/0!</v>
      </c>
      <c r="W388" s="262" t="e">
        <f t="shared" si="55"/>
        <v>#DIV/0!</v>
      </c>
      <c r="X388" s="263" t="e">
        <f>INDEX(#REF!,MATCH(COUNTA(H388:M388),#REF!,0),2)</f>
        <v>#REF!</v>
      </c>
      <c r="Y388" s="264" t="e">
        <f t="shared" si="56"/>
        <v>#DIV/0!</v>
      </c>
      <c r="Z388" s="260">
        <f t="shared" si="49"/>
        <v>0</v>
      </c>
      <c r="AD388" s="91" t="str">
        <f>PE_aug!AP377</f>
        <v>KWS</v>
      </c>
    </row>
    <row r="389" spans="1:30">
      <c r="A389" s="283" t="s">
        <v>439</v>
      </c>
      <c r="N389">
        <v>0.65900000000000003</v>
      </c>
      <c r="O389">
        <v>0.246</v>
      </c>
      <c r="P389">
        <v>6.7965999999999998</v>
      </c>
      <c r="R389" s="259" t="e">
        <f t="shared" si="50"/>
        <v>#DIV/0!</v>
      </c>
      <c r="S389" s="260" t="e">
        <f t="shared" si="51"/>
        <v>#DIV/0!</v>
      </c>
      <c r="T389" s="261" t="e">
        <f t="shared" si="52"/>
        <v>#DIV/0!</v>
      </c>
      <c r="U389" s="261" t="e">
        <f t="shared" si="53"/>
        <v>#DIV/0!</v>
      </c>
      <c r="V389" s="262" t="e">
        <f t="shared" si="54"/>
        <v>#DIV/0!</v>
      </c>
      <c r="W389" s="262" t="e">
        <f t="shared" si="55"/>
        <v>#DIV/0!</v>
      </c>
      <c r="X389" s="263" t="e">
        <f>INDEX(#REF!,MATCH(COUNTA(H389:M389),#REF!,0),2)</f>
        <v>#REF!</v>
      </c>
      <c r="Y389" s="264" t="e">
        <f t="shared" si="56"/>
        <v>#DIV/0!</v>
      </c>
      <c r="Z389" s="260">
        <f t="shared" si="49"/>
        <v>0</v>
      </c>
      <c r="AD389" s="91" t="str">
        <f>PE_aug!AP378</f>
        <v>KWS</v>
      </c>
    </row>
    <row r="390" spans="1:30">
      <c r="A390" s="283" t="s">
        <v>440</v>
      </c>
      <c r="N390">
        <v>0.51400000000000001</v>
      </c>
      <c r="O390">
        <v>0.246</v>
      </c>
      <c r="P390">
        <v>5.0972499999999998</v>
      </c>
      <c r="R390" s="259" t="e">
        <f t="shared" si="50"/>
        <v>#DIV/0!</v>
      </c>
      <c r="S390" s="260" t="e">
        <f t="shared" si="51"/>
        <v>#DIV/0!</v>
      </c>
      <c r="T390" s="261" t="e">
        <f t="shared" si="52"/>
        <v>#DIV/0!</v>
      </c>
      <c r="U390" s="261" t="e">
        <f t="shared" si="53"/>
        <v>#DIV/0!</v>
      </c>
      <c r="V390" s="262" t="e">
        <f t="shared" si="54"/>
        <v>#DIV/0!</v>
      </c>
      <c r="W390" s="262" t="e">
        <f t="shared" si="55"/>
        <v>#DIV/0!</v>
      </c>
      <c r="X390" s="263" t="e">
        <f>INDEX(#REF!,MATCH(COUNTA(H390:M390),#REF!,0),2)</f>
        <v>#REF!</v>
      </c>
      <c r="Y390" s="264" t="e">
        <f t="shared" si="56"/>
        <v>#DIV/0!</v>
      </c>
      <c r="Z390" s="260">
        <f t="shared" si="49"/>
        <v>0</v>
      </c>
      <c r="AD390" s="91" t="str">
        <f>PE_aug!AP379</f>
        <v>KWS</v>
      </c>
    </row>
    <row r="391" spans="1:30">
      <c r="A391" s="283" t="s">
        <v>441</v>
      </c>
      <c r="N391">
        <v>0.51400000000000001</v>
      </c>
      <c r="O391">
        <v>6.4000000000000001E-2</v>
      </c>
      <c r="P391">
        <v>10.3285</v>
      </c>
      <c r="Q391">
        <v>0.5</v>
      </c>
      <c r="R391" s="259" t="e">
        <f t="shared" si="50"/>
        <v>#DIV/0!</v>
      </c>
      <c r="S391" s="260" t="e">
        <f t="shared" si="51"/>
        <v>#DIV/0!</v>
      </c>
      <c r="T391" s="261" t="e">
        <f t="shared" si="52"/>
        <v>#DIV/0!</v>
      </c>
      <c r="U391" s="261" t="e">
        <f t="shared" si="53"/>
        <v>#DIV/0!</v>
      </c>
      <c r="V391" s="262" t="e">
        <f t="shared" si="54"/>
        <v>#DIV/0!</v>
      </c>
      <c r="W391" s="262" t="e">
        <f t="shared" si="55"/>
        <v>#DIV/0!</v>
      </c>
      <c r="X391" s="263" t="e">
        <f>INDEX(#REF!,MATCH(COUNTA(H391:M391),#REF!,0),2)</f>
        <v>#REF!</v>
      </c>
      <c r="Y391" s="264" t="e">
        <f t="shared" si="56"/>
        <v>#DIV/0!</v>
      </c>
      <c r="Z391" s="260">
        <f t="shared" si="49"/>
        <v>0</v>
      </c>
      <c r="AD391" s="91" t="str">
        <f>PE_aug!AP380</f>
        <v>Flussproben</v>
      </c>
    </row>
    <row r="392" spans="1:30">
      <c r="A392" s="283" t="s">
        <v>442</v>
      </c>
      <c r="N392">
        <v>0.63700000000000001</v>
      </c>
      <c r="O392">
        <v>6.4000000000000001E-2</v>
      </c>
      <c r="P392">
        <v>9.8335849999999994</v>
      </c>
      <c r="Q392">
        <v>0.5</v>
      </c>
      <c r="R392" s="259" t="e">
        <f t="shared" si="50"/>
        <v>#DIV/0!</v>
      </c>
      <c r="S392" s="260" t="e">
        <f t="shared" si="51"/>
        <v>#DIV/0!</v>
      </c>
      <c r="T392" s="261" t="e">
        <f t="shared" si="52"/>
        <v>#DIV/0!</v>
      </c>
      <c r="U392" s="261" t="e">
        <f t="shared" si="53"/>
        <v>#DIV/0!</v>
      </c>
      <c r="V392" s="262" t="e">
        <f t="shared" si="54"/>
        <v>#DIV/0!</v>
      </c>
      <c r="W392" s="262" t="e">
        <f t="shared" si="55"/>
        <v>#DIV/0!</v>
      </c>
      <c r="X392" s="263" t="e">
        <f>INDEX(#REF!,MATCH(COUNTA(H392:M392),#REF!,0),2)</f>
        <v>#REF!</v>
      </c>
      <c r="Y392" s="264" t="e">
        <f t="shared" si="56"/>
        <v>#DIV/0!</v>
      </c>
      <c r="Z392" s="260">
        <f t="shared" si="49"/>
        <v>0</v>
      </c>
      <c r="AD392" s="91" t="str">
        <f>PE_aug!AP381</f>
        <v>Flussproben</v>
      </c>
    </row>
    <row r="393" spans="1:30">
      <c r="A393" s="283" t="s">
        <v>443</v>
      </c>
      <c r="N393">
        <v>1.1459999999999999</v>
      </c>
      <c r="O393">
        <v>6.4000000000000001E-2</v>
      </c>
      <c r="P393">
        <v>16.5566</v>
      </c>
      <c r="Q393">
        <v>0.56999999999999995</v>
      </c>
      <c r="R393" s="259" t="e">
        <f t="shared" si="50"/>
        <v>#DIV/0!</v>
      </c>
      <c r="S393" s="260" t="e">
        <f t="shared" si="51"/>
        <v>#DIV/0!</v>
      </c>
      <c r="T393" s="261" t="e">
        <f t="shared" si="52"/>
        <v>#DIV/0!</v>
      </c>
      <c r="U393" s="261" t="e">
        <f t="shared" si="53"/>
        <v>#DIV/0!</v>
      </c>
      <c r="V393" s="262" t="e">
        <f t="shared" si="54"/>
        <v>#DIV/0!</v>
      </c>
      <c r="W393" s="262" t="e">
        <f t="shared" si="55"/>
        <v>#DIV/0!</v>
      </c>
      <c r="X393" s="263" t="e">
        <f>INDEX(#REF!,MATCH(COUNTA(H393:M393),#REF!,0),2)</f>
        <v>#REF!</v>
      </c>
      <c r="Y393" s="264" t="e">
        <f t="shared" si="56"/>
        <v>#DIV/0!</v>
      </c>
      <c r="Z393" s="260">
        <f t="shared" si="49"/>
        <v>0</v>
      </c>
      <c r="AD393" s="91" t="str">
        <f>PE_aug!AP382</f>
        <v>Flussproben</v>
      </c>
    </row>
    <row r="394" spans="1:30">
      <c r="A394" s="283" t="s">
        <v>444</v>
      </c>
      <c r="C394">
        <v>47.03</v>
      </c>
      <c r="D394">
        <v>60.81</v>
      </c>
      <c r="I394">
        <v>47.03</v>
      </c>
      <c r="J394">
        <v>60.81</v>
      </c>
      <c r="P394">
        <v>10.1968</v>
      </c>
      <c r="Q394">
        <v>0.54</v>
      </c>
      <c r="R394" s="259">
        <f t="shared" si="50"/>
        <v>0.66666666666666663</v>
      </c>
      <c r="S394" s="260">
        <f t="shared" si="51"/>
        <v>0.60333333333333328</v>
      </c>
      <c r="T394" s="261">
        <f t="shared" si="52"/>
        <v>12.778189910979224</v>
      </c>
      <c r="U394" s="261">
        <f t="shared" si="53"/>
        <v>12.778189910979224</v>
      </c>
      <c r="V394" s="262">
        <f t="shared" si="54"/>
        <v>1.0000000000000004</v>
      </c>
      <c r="W394" s="262">
        <f t="shared" si="55"/>
        <v>1.0000000000000004</v>
      </c>
      <c r="X394" s="263" t="e">
        <f>INDEX(#REF!,MATCH(COUNTA(H394:M394),#REF!,0),2)</f>
        <v>#REF!</v>
      </c>
      <c r="Y394" s="264">
        <f t="shared" si="56"/>
        <v>53.92</v>
      </c>
      <c r="Z394" s="260">
        <f t="shared" si="49"/>
        <v>5.2879334693237094</v>
      </c>
      <c r="AD394" s="91" t="str">
        <f>PE_aug!AP383</f>
        <v>Flussproben, Methode</v>
      </c>
    </row>
    <row r="395" spans="1:30">
      <c r="A395" s="283" t="s">
        <v>445</v>
      </c>
      <c r="P395">
        <v>0.53195800000000004</v>
      </c>
      <c r="R395" s="259" t="e">
        <f t="shared" si="50"/>
        <v>#DIV/0!</v>
      </c>
      <c r="S395" s="260" t="e">
        <f t="shared" si="51"/>
        <v>#DIV/0!</v>
      </c>
      <c r="T395" s="261" t="e">
        <f t="shared" si="52"/>
        <v>#DIV/0!</v>
      </c>
      <c r="U395" s="261" t="e">
        <f t="shared" si="53"/>
        <v>#DIV/0!</v>
      </c>
      <c r="V395" s="262" t="e">
        <f t="shared" si="54"/>
        <v>#DIV/0!</v>
      </c>
      <c r="W395" s="262" t="e">
        <f t="shared" si="55"/>
        <v>#DIV/0!</v>
      </c>
      <c r="X395" s="263" t="e">
        <f>INDEX(#REF!,MATCH(COUNTA(H395:M395),#REF!,0),2)</f>
        <v>#REF!</v>
      </c>
      <c r="Y395" s="264" t="e">
        <f t="shared" si="56"/>
        <v>#DIV/0!</v>
      </c>
      <c r="Z395" s="260">
        <f t="shared" si="49"/>
        <v>0</v>
      </c>
      <c r="AD395" s="91" t="str">
        <f>PE_aug!AP384</f>
        <v>Methode</v>
      </c>
    </row>
    <row r="396" spans="1:30">
      <c r="A396" s="283" t="s">
        <v>446</v>
      </c>
      <c r="B396">
        <v>101.31</v>
      </c>
      <c r="C396">
        <v>84.88</v>
      </c>
      <c r="D396">
        <v>66.849999999999994</v>
      </c>
      <c r="E396">
        <v>101.67</v>
      </c>
      <c r="F396">
        <v>145.80000000000001</v>
      </c>
      <c r="G396">
        <v>104.41</v>
      </c>
      <c r="H396">
        <v>101.31</v>
      </c>
      <c r="I396">
        <v>84.88</v>
      </c>
      <c r="J396">
        <v>66.849999999999994</v>
      </c>
      <c r="K396">
        <v>101.67</v>
      </c>
      <c r="L396">
        <v>145.80000000000001</v>
      </c>
      <c r="M396">
        <v>104.41</v>
      </c>
      <c r="P396">
        <v>0.137437</v>
      </c>
      <c r="Q396">
        <v>0.96</v>
      </c>
      <c r="R396" s="259">
        <f t="shared" si="50"/>
        <v>1</v>
      </c>
      <c r="S396" s="260">
        <f t="shared" si="51"/>
        <v>0.98</v>
      </c>
      <c r="T396" s="261">
        <f t="shared" si="52"/>
        <v>23.76721641219131</v>
      </c>
      <c r="U396" s="261">
        <f t="shared" si="53"/>
        <v>23.76721641219131</v>
      </c>
      <c r="V396" s="262">
        <f t="shared" si="54"/>
        <v>1.4176549319373628</v>
      </c>
      <c r="W396" s="262">
        <f t="shared" si="55"/>
        <v>1.8771303749938946</v>
      </c>
      <c r="X396" s="263" t="e">
        <f>INDEX(#REF!,MATCH(COUNTA(H396:M396),#REF!,0),2)</f>
        <v>#REF!</v>
      </c>
      <c r="Y396" s="264">
        <f t="shared" si="56"/>
        <v>100.82</v>
      </c>
      <c r="Z396" s="260">
        <f t="shared" si="49"/>
        <v>733.57247320590523</v>
      </c>
      <c r="AB396" s="309">
        <f>100*Y396/(P396*1000)</f>
        <v>73.357247320590517</v>
      </c>
      <c r="AD396" s="91" t="str">
        <f>PE_aug!AP385</f>
        <v>Methode</v>
      </c>
    </row>
    <row r="397" spans="1:30">
      <c r="A397" s="283" t="s">
        <v>447</v>
      </c>
      <c r="N397">
        <v>0.70699999999999996</v>
      </c>
      <c r="O397">
        <v>1.056</v>
      </c>
      <c r="P397">
        <v>35.156500000000001</v>
      </c>
      <c r="R397" s="259" t="e">
        <f t="shared" si="50"/>
        <v>#DIV/0!</v>
      </c>
      <c r="S397" s="260" t="e">
        <f t="shared" si="51"/>
        <v>#DIV/0!</v>
      </c>
      <c r="T397" s="261" t="e">
        <f t="shared" si="52"/>
        <v>#DIV/0!</v>
      </c>
      <c r="U397" s="261" t="e">
        <f t="shared" si="53"/>
        <v>#DIV/0!</v>
      </c>
      <c r="V397" s="262" t="e">
        <f t="shared" si="54"/>
        <v>#DIV/0!</v>
      </c>
      <c r="W397" s="262" t="e">
        <f t="shared" si="55"/>
        <v>#DIV/0!</v>
      </c>
      <c r="X397" s="263" t="e">
        <f>INDEX(#REF!,MATCH(COUNTA(H397:M397),#REF!,0),2)</f>
        <v>#REF!</v>
      </c>
      <c r="Y397" s="264" t="e">
        <f t="shared" si="56"/>
        <v>#DIV/0!</v>
      </c>
      <c r="Z397" s="260">
        <f t="shared" ref="Z397:Z428" si="57">IFERROR(Y397/P397,0)</f>
        <v>0</v>
      </c>
      <c r="AD397" s="91" t="str">
        <f>PE_aug!AP386</f>
        <v>Straßenabfluss</v>
      </c>
    </row>
    <row r="398" spans="1:30">
      <c r="A398" s="283" t="s">
        <v>448</v>
      </c>
      <c r="N398">
        <v>0.70699999999999996</v>
      </c>
      <c r="O398">
        <v>1.056</v>
      </c>
      <c r="P398">
        <v>42.128500000000003</v>
      </c>
      <c r="R398" s="259" t="e">
        <f t="shared" si="50"/>
        <v>#DIV/0!</v>
      </c>
      <c r="S398" s="260" t="e">
        <f t="shared" si="51"/>
        <v>#DIV/0!</v>
      </c>
      <c r="T398" s="261" t="e">
        <f t="shared" si="52"/>
        <v>#DIV/0!</v>
      </c>
      <c r="U398" s="261" t="e">
        <f t="shared" si="53"/>
        <v>#DIV/0!</v>
      </c>
      <c r="V398" s="262" t="e">
        <f t="shared" si="54"/>
        <v>#DIV/0!</v>
      </c>
      <c r="W398" s="262" t="e">
        <f t="shared" si="55"/>
        <v>#DIV/0!</v>
      </c>
      <c r="X398" s="263" t="e">
        <f>INDEX(#REF!,MATCH(COUNTA(H398:M398),#REF!,0),2)</f>
        <v>#REF!</v>
      </c>
      <c r="Y398" s="264" t="e">
        <f t="shared" si="56"/>
        <v>#DIV/0!</v>
      </c>
      <c r="Z398" s="260">
        <f t="shared" si="57"/>
        <v>0</v>
      </c>
      <c r="AD398" s="91" t="str">
        <f>PE_aug!AP387</f>
        <v>Straßenabfluss</v>
      </c>
    </row>
    <row r="399" spans="1:30">
      <c r="A399" s="289" t="s">
        <v>449</v>
      </c>
      <c r="B399">
        <v>97.88</v>
      </c>
      <c r="C399">
        <v>80.959999999999994</v>
      </c>
      <c r="D399">
        <v>48.2</v>
      </c>
      <c r="E399">
        <v>104.72</v>
      </c>
      <c r="F399">
        <v>102.1</v>
      </c>
      <c r="G399">
        <v>99.85</v>
      </c>
      <c r="H399">
        <v>97.88</v>
      </c>
      <c r="I399">
        <v>80.959999999999994</v>
      </c>
      <c r="J399">
        <v>48.2</v>
      </c>
      <c r="K399">
        <v>104.72</v>
      </c>
      <c r="L399">
        <v>102.1</v>
      </c>
      <c r="M399">
        <v>99.85</v>
      </c>
      <c r="N399">
        <v>1.069</v>
      </c>
      <c r="O399">
        <v>0.15</v>
      </c>
      <c r="P399">
        <v>18.248699999999999</v>
      </c>
      <c r="Q399">
        <v>0.96</v>
      </c>
      <c r="R399" s="259">
        <f t="shared" si="50"/>
        <v>1</v>
      </c>
      <c r="S399" s="260">
        <f t="shared" si="51"/>
        <v>0.98</v>
      </c>
      <c r="T399" s="261">
        <f t="shared" si="52"/>
        <v>22.222972759373352</v>
      </c>
      <c r="U399" s="261">
        <f t="shared" si="53"/>
        <v>22.222972759373352</v>
      </c>
      <c r="V399" s="262">
        <f t="shared" si="54"/>
        <v>2.0615274956487544</v>
      </c>
      <c r="W399" s="262">
        <f t="shared" si="55"/>
        <v>0.7976815523427615</v>
      </c>
      <c r="X399" s="263" t="e">
        <f>INDEX(#REF!,MATCH(COUNTA(H399:M399),#REF!,0),2)</f>
        <v>#REF!</v>
      </c>
      <c r="Y399" s="264">
        <f t="shared" si="56"/>
        <v>88.951666666666668</v>
      </c>
      <c r="Z399" s="260">
        <f t="shared" si="57"/>
        <v>4.8744111452687955</v>
      </c>
      <c r="AD399" s="91" t="str">
        <f>PE_aug!AP388</f>
        <v>KWS, Methode</v>
      </c>
    </row>
    <row r="400" spans="1:30">
      <c r="A400" s="289" t="s">
        <v>450</v>
      </c>
      <c r="B400">
        <v>35.979999999999997</v>
      </c>
      <c r="C400">
        <v>24.44</v>
      </c>
      <c r="D400">
        <v>13.69</v>
      </c>
      <c r="E400">
        <v>37.83</v>
      </c>
      <c r="F400">
        <v>34.71</v>
      </c>
      <c r="G400">
        <v>36.04</v>
      </c>
      <c r="H400">
        <v>35.979999999999997</v>
      </c>
      <c r="I400">
        <v>24.44</v>
      </c>
      <c r="J400">
        <v>13.69</v>
      </c>
      <c r="K400">
        <v>37.83</v>
      </c>
      <c r="L400">
        <v>34.71</v>
      </c>
      <c r="M400">
        <v>36.04</v>
      </c>
      <c r="N400">
        <v>0.439</v>
      </c>
      <c r="O400">
        <v>0.15</v>
      </c>
      <c r="P400">
        <v>10.1747</v>
      </c>
      <c r="Q400">
        <v>0.91</v>
      </c>
      <c r="R400" s="259">
        <f t="shared" si="50"/>
        <v>1</v>
      </c>
      <c r="S400" s="260">
        <f t="shared" si="51"/>
        <v>0.95500000000000007</v>
      </c>
      <c r="T400" s="261">
        <f t="shared" si="52"/>
        <v>28.48851782316083</v>
      </c>
      <c r="U400" s="261">
        <f t="shared" si="53"/>
        <v>28.48851782316083</v>
      </c>
      <c r="V400" s="262">
        <f t="shared" si="54"/>
        <v>1.9319569485075359</v>
      </c>
      <c r="W400" s="262">
        <f t="shared" si="55"/>
        <v>0.85098332421082779</v>
      </c>
      <c r="X400" s="263" t="e">
        <f>INDEX(#REF!,MATCH(COUNTA(H400:M400),#REF!,0),2)</f>
        <v>#REF!</v>
      </c>
      <c r="Y400" s="264">
        <f t="shared" si="56"/>
        <v>30.448333333333334</v>
      </c>
      <c r="Z400" s="260">
        <f t="shared" si="57"/>
        <v>2.9925534249986079</v>
      </c>
      <c r="AD400" s="91" t="str">
        <f>PE_aug!AP389</f>
        <v>KWS, Methode</v>
      </c>
    </row>
    <row r="401" spans="1:30">
      <c r="A401" s="289" t="s">
        <v>451</v>
      </c>
      <c r="B401">
        <v>93.83</v>
      </c>
      <c r="C401">
        <v>89.32</v>
      </c>
      <c r="D401">
        <v>57.79</v>
      </c>
      <c r="E401">
        <v>123.69</v>
      </c>
      <c r="F401">
        <v>125.27</v>
      </c>
      <c r="G401">
        <v>116.22</v>
      </c>
      <c r="H401">
        <v>93.83</v>
      </c>
      <c r="I401">
        <v>89.32</v>
      </c>
      <c r="J401">
        <v>57.79</v>
      </c>
      <c r="K401">
        <v>123.69</v>
      </c>
      <c r="L401">
        <v>125.27</v>
      </c>
      <c r="M401">
        <v>116.22</v>
      </c>
      <c r="N401">
        <v>0.30099999999999999</v>
      </c>
      <c r="O401">
        <v>9.7000000000000003E-2</v>
      </c>
      <c r="P401">
        <v>10.7644</v>
      </c>
      <c r="Q401">
        <v>0.94</v>
      </c>
      <c r="R401" s="259">
        <f t="shared" si="50"/>
        <v>1</v>
      </c>
      <c r="S401" s="260">
        <f t="shared" si="51"/>
        <v>0.97</v>
      </c>
      <c r="T401" s="261">
        <f t="shared" si="52"/>
        <v>23.531288492145748</v>
      </c>
      <c r="U401" s="261">
        <f t="shared" si="53"/>
        <v>23.531288492145748</v>
      </c>
      <c r="V401" s="262">
        <f t="shared" si="54"/>
        <v>1.8185789635222231</v>
      </c>
      <c r="W401" s="262">
        <f t="shared" si="55"/>
        <v>1.020137401466896</v>
      </c>
      <c r="X401" s="263" t="e">
        <f>INDEX(#REF!,MATCH(COUNTA(H401:M401),#REF!,0),2)</f>
        <v>#REF!</v>
      </c>
      <c r="Y401" s="264">
        <f t="shared" si="56"/>
        <v>101.02</v>
      </c>
      <c r="Z401" s="260">
        <f t="shared" si="57"/>
        <v>9.384638252015904</v>
      </c>
      <c r="AD401" s="91" t="str">
        <f>PE_aug!AP390</f>
        <v>KWS, Methode</v>
      </c>
    </row>
    <row r="402" spans="1:30">
      <c r="A402" s="289" t="s">
        <v>452</v>
      </c>
      <c r="B402">
        <v>61.6</v>
      </c>
      <c r="C402">
        <v>55.77</v>
      </c>
      <c r="D402">
        <v>35.119999999999997</v>
      </c>
      <c r="E402">
        <v>78.709999999999994</v>
      </c>
      <c r="F402">
        <v>77.14</v>
      </c>
      <c r="G402">
        <v>73.87</v>
      </c>
      <c r="H402">
        <v>61.6</v>
      </c>
      <c r="I402">
        <v>55.77</v>
      </c>
      <c r="J402">
        <v>35.119999999999997</v>
      </c>
      <c r="K402">
        <v>78.709999999999994</v>
      </c>
      <c r="L402">
        <v>77.14</v>
      </c>
      <c r="M402">
        <v>73.87</v>
      </c>
      <c r="N402">
        <v>0.95299999999999996</v>
      </c>
      <c r="O402">
        <v>9.7000000000000003E-2</v>
      </c>
      <c r="P402">
        <v>8.0693900000000003</v>
      </c>
      <c r="Q402">
        <v>0.91</v>
      </c>
      <c r="R402" s="259">
        <f t="shared" si="50"/>
        <v>1</v>
      </c>
      <c r="S402" s="260">
        <f t="shared" si="51"/>
        <v>0.95500000000000007</v>
      </c>
      <c r="T402" s="261">
        <f t="shared" si="52"/>
        <v>23.923405211981855</v>
      </c>
      <c r="U402" s="261">
        <f t="shared" si="53"/>
        <v>23.923405211981855</v>
      </c>
      <c r="V402" s="262">
        <f t="shared" si="54"/>
        <v>1.8754857054242471</v>
      </c>
      <c r="W402" s="262">
        <f t="shared" si="55"/>
        <v>0.98482411670332648</v>
      </c>
      <c r="X402" s="263" t="e">
        <f>INDEX(#REF!,MATCH(COUNTA(H402:M402),#REF!,0),2)</f>
        <v>#REF!</v>
      </c>
      <c r="Y402" s="264">
        <f t="shared" si="56"/>
        <v>63.701666666666661</v>
      </c>
      <c r="Z402" s="260">
        <f t="shared" si="57"/>
        <v>7.8942357063751611</v>
      </c>
      <c r="AD402" s="91" t="str">
        <f>PE_aug!AP391</f>
        <v>KWS, Methode</v>
      </c>
    </row>
    <row r="403" spans="1:30">
      <c r="A403" s="289" t="s">
        <v>453</v>
      </c>
      <c r="B403">
        <v>109.48</v>
      </c>
      <c r="C403">
        <v>111.7</v>
      </c>
      <c r="D403">
        <v>66.260000000000005</v>
      </c>
      <c r="E403">
        <v>148.29</v>
      </c>
      <c r="F403">
        <v>149.47</v>
      </c>
      <c r="G403">
        <v>138.37</v>
      </c>
      <c r="H403">
        <v>109.48</v>
      </c>
      <c r="I403">
        <v>111.7</v>
      </c>
      <c r="J403">
        <v>66.260000000000005</v>
      </c>
      <c r="K403">
        <v>148.29</v>
      </c>
      <c r="L403">
        <v>149.47</v>
      </c>
      <c r="M403">
        <v>138.37</v>
      </c>
      <c r="N403">
        <v>0.93</v>
      </c>
      <c r="O403">
        <v>9.7000000000000003E-2</v>
      </c>
      <c r="P403">
        <v>12.1059</v>
      </c>
      <c r="Q403">
        <v>0.92</v>
      </c>
      <c r="R403" s="259">
        <f t="shared" si="50"/>
        <v>1</v>
      </c>
      <c r="S403" s="260">
        <f t="shared" si="51"/>
        <v>0.96</v>
      </c>
      <c r="T403" s="261">
        <f t="shared" si="52"/>
        <v>24.108558344960475</v>
      </c>
      <c r="U403" s="261">
        <f t="shared" si="53"/>
        <v>24.108558344960475</v>
      </c>
      <c r="V403" s="262">
        <f t="shared" si="54"/>
        <v>1.8688701547270843</v>
      </c>
      <c r="W403" s="262">
        <f t="shared" si="55"/>
        <v>0.99316510017013948</v>
      </c>
      <c r="X403" s="263" t="e">
        <f>INDEX(#REF!,MATCH(COUNTA(H403:M403),#REF!,0),2)</f>
        <v>#REF!</v>
      </c>
      <c r="Y403" s="264">
        <f t="shared" si="56"/>
        <v>120.59500000000001</v>
      </c>
      <c r="Z403" s="260">
        <f t="shared" si="57"/>
        <v>9.9616715816254899</v>
      </c>
      <c r="AD403" s="91" t="str">
        <f>PE_aug!AP392</f>
        <v>KWS, Methode</v>
      </c>
    </row>
    <row r="404" spans="1:30">
      <c r="A404" s="289" t="s">
        <v>454</v>
      </c>
      <c r="B404">
        <v>121.6</v>
      </c>
      <c r="C404">
        <v>117.18</v>
      </c>
      <c r="D404">
        <v>69.92</v>
      </c>
      <c r="E404">
        <v>136.87</v>
      </c>
      <c r="F404">
        <v>132.87</v>
      </c>
      <c r="G404">
        <v>130.47</v>
      </c>
      <c r="H404">
        <v>121.6</v>
      </c>
      <c r="I404">
        <v>117.18</v>
      </c>
      <c r="J404">
        <v>69.92</v>
      </c>
      <c r="K404">
        <v>136.87</v>
      </c>
      <c r="L404">
        <v>132.87</v>
      </c>
      <c r="M404">
        <v>130.47</v>
      </c>
      <c r="N404">
        <v>0.315</v>
      </c>
      <c r="O404">
        <v>0.109</v>
      </c>
      <c r="P404">
        <v>8.1649600000000007</v>
      </c>
      <c r="Q404">
        <v>0.92</v>
      </c>
      <c r="R404" s="259">
        <f t="shared" si="50"/>
        <v>1</v>
      </c>
      <c r="S404" s="260">
        <f t="shared" si="51"/>
        <v>0.96</v>
      </c>
      <c r="T404" s="261">
        <f t="shared" si="52"/>
        <v>19.107084359198392</v>
      </c>
      <c r="U404" s="261">
        <f t="shared" si="53"/>
        <v>19.107084359198392</v>
      </c>
      <c r="V404" s="262">
        <f t="shared" si="54"/>
        <v>2.1364758896725418</v>
      </c>
      <c r="W404" s="262">
        <f t="shared" si="55"/>
        <v>0.82914961529120879</v>
      </c>
      <c r="X404" s="263" t="e">
        <f>INDEX(#REF!,MATCH(COUNTA(H404:M404),#REF!,0),2)</f>
        <v>#REF!</v>
      </c>
      <c r="Y404" s="264">
        <f t="shared" si="56"/>
        <v>118.15166666666669</v>
      </c>
      <c r="Z404" s="260">
        <f t="shared" si="57"/>
        <v>14.47057507528104</v>
      </c>
      <c r="AD404" s="91" t="str">
        <f>PE_aug!AP393</f>
        <v>KWS, Methode</v>
      </c>
    </row>
    <row r="405" spans="1:30">
      <c r="A405" s="289" t="s">
        <v>455</v>
      </c>
      <c r="B405">
        <v>54.32</v>
      </c>
      <c r="C405">
        <v>32.409999999999997</v>
      </c>
      <c r="D405">
        <v>18.16</v>
      </c>
      <c r="E405">
        <v>32.43</v>
      </c>
      <c r="F405">
        <v>28.42</v>
      </c>
      <c r="G405">
        <v>33.11</v>
      </c>
      <c r="H405">
        <v>54.32</v>
      </c>
      <c r="I405">
        <v>32.409999999999997</v>
      </c>
      <c r="J405">
        <v>18.16</v>
      </c>
      <c r="K405">
        <v>32.43</v>
      </c>
      <c r="L405">
        <v>28.42</v>
      </c>
      <c r="M405">
        <v>33.11</v>
      </c>
      <c r="N405">
        <v>0.83199999999999996</v>
      </c>
      <c r="O405">
        <v>0.109</v>
      </c>
      <c r="P405">
        <v>7.0769650000000004</v>
      </c>
      <c r="Q405">
        <v>0.89</v>
      </c>
      <c r="R405" s="259">
        <f t="shared" si="50"/>
        <v>1</v>
      </c>
      <c r="S405" s="260">
        <f t="shared" si="51"/>
        <v>0.94500000000000006</v>
      </c>
      <c r="T405" s="261">
        <f t="shared" si="52"/>
        <v>32.505066596162074</v>
      </c>
      <c r="U405" s="261">
        <f t="shared" si="53"/>
        <v>32.505066596162074</v>
      </c>
      <c r="V405" s="262">
        <f t="shared" si="54"/>
        <v>1.3907040677554126</v>
      </c>
      <c r="W405" s="262">
        <f t="shared" si="55"/>
        <v>1.9659224150592967</v>
      </c>
      <c r="X405" s="263" t="e">
        <f>INDEX(#REF!,MATCH(COUNTA(H405:M405),#REF!,0),2)</f>
        <v>#REF!</v>
      </c>
      <c r="Y405" s="264">
        <f t="shared" si="56"/>
        <v>33.141666666666673</v>
      </c>
      <c r="Z405" s="260">
        <f t="shared" si="57"/>
        <v>4.6830338523175783</v>
      </c>
      <c r="AD405" s="91" t="str">
        <f>PE_aug!AP394</f>
        <v>KWS, Methode</v>
      </c>
    </row>
    <row r="406" spans="1:30">
      <c r="A406" s="289" t="s">
        <v>456</v>
      </c>
      <c r="B406">
        <v>135.76</v>
      </c>
      <c r="C406">
        <v>131.71</v>
      </c>
      <c r="D406">
        <v>83.12</v>
      </c>
      <c r="E406">
        <v>156.55000000000001</v>
      </c>
      <c r="F406">
        <v>153.33000000000001</v>
      </c>
      <c r="G406">
        <v>150.24</v>
      </c>
      <c r="H406">
        <v>135.76</v>
      </c>
      <c r="I406">
        <v>131.71</v>
      </c>
      <c r="J406">
        <v>83.12</v>
      </c>
      <c r="K406">
        <v>156.55000000000001</v>
      </c>
      <c r="L406">
        <v>153.33000000000001</v>
      </c>
      <c r="M406">
        <v>150.24</v>
      </c>
      <c r="N406">
        <v>1.042</v>
      </c>
      <c r="O406">
        <v>0.109</v>
      </c>
      <c r="P406">
        <v>10.223549999999999</v>
      </c>
      <c r="Q406">
        <v>0.92</v>
      </c>
      <c r="R406" s="259">
        <f t="shared" si="50"/>
        <v>1</v>
      </c>
      <c r="S406" s="260">
        <f t="shared" si="51"/>
        <v>0.96</v>
      </c>
      <c r="T406" s="261">
        <f t="shared" si="52"/>
        <v>18.466497370459408</v>
      </c>
      <c r="U406" s="261">
        <f t="shared" si="53"/>
        <v>18.466497370459408</v>
      </c>
      <c r="V406" s="262">
        <f t="shared" si="54"/>
        <v>2.0839659347884321</v>
      </c>
      <c r="W406" s="262">
        <f t="shared" si="55"/>
        <v>0.85892874628816474</v>
      </c>
      <c r="X406" s="263" t="e">
        <f>INDEX(#REF!,MATCH(COUNTA(H406:M406),#REF!,0),2)</f>
        <v>#REF!</v>
      </c>
      <c r="Y406" s="264">
        <f t="shared" si="56"/>
        <v>135.11833333333334</v>
      </c>
      <c r="Z406" s="260">
        <f t="shared" si="57"/>
        <v>13.216381133102821</v>
      </c>
      <c r="AD406" s="91" t="str">
        <f>PE_aug!AP395</f>
        <v>KWS, Methode</v>
      </c>
    </row>
    <row r="407" spans="1:30">
      <c r="A407" s="289" t="s">
        <v>457</v>
      </c>
      <c r="N407">
        <v>0.38100000000000001</v>
      </c>
      <c r="O407">
        <v>0.55100000000000005</v>
      </c>
      <c r="P407">
        <v>10.453200000000001</v>
      </c>
      <c r="R407" s="259" t="e">
        <f t="shared" si="50"/>
        <v>#DIV/0!</v>
      </c>
      <c r="S407" s="260" t="e">
        <f t="shared" si="51"/>
        <v>#DIV/0!</v>
      </c>
      <c r="T407" s="261" t="e">
        <f t="shared" si="52"/>
        <v>#DIV/0!</v>
      </c>
      <c r="U407" s="261" t="e">
        <f t="shared" si="53"/>
        <v>#DIV/0!</v>
      </c>
      <c r="V407" s="262" t="e">
        <f t="shared" si="54"/>
        <v>#DIV/0!</v>
      </c>
      <c r="W407" s="262" t="e">
        <f t="shared" si="55"/>
        <v>#DIV/0!</v>
      </c>
      <c r="X407" s="263" t="e">
        <f>INDEX(#REF!,MATCH(COUNTA(H407:M407),#REF!,0),2)</f>
        <v>#REF!</v>
      </c>
      <c r="Y407" s="264" t="e">
        <f t="shared" si="56"/>
        <v>#DIV/0!</v>
      </c>
      <c r="Z407" s="260">
        <f t="shared" si="57"/>
        <v>0</v>
      </c>
      <c r="AD407" s="91" t="str">
        <f>PE_aug!AP396</f>
        <v>Kläranlagen</v>
      </c>
    </row>
    <row r="408" spans="1:30">
      <c r="A408" s="289" t="s">
        <v>458</v>
      </c>
      <c r="N408">
        <v>0.95099999999999996</v>
      </c>
      <c r="O408">
        <v>0.55100000000000005</v>
      </c>
      <c r="P408">
        <v>8.8926250000000007</v>
      </c>
      <c r="Q408">
        <v>0.6</v>
      </c>
      <c r="R408" s="259" t="e">
        <f t="shared" si="50"/>
        <v>#DIV/0!</v>
      </c>
      <c r="S408" s="260" t="e">
        <f t="shared" si="51"/>
        <v>#DIV/0!</v>
      </c>
      <c r="T408" s="261" t="e">
        <f t="shared" si="52"/>
        <v>#DIV/0!</v>
      </c>
      <c r="U408" s="261" t="e">
        <f t="shared" si="53"/>
        <v>#DIV/0!</v>
      </c>
      <c r="V408" s="262" t="e">
        <f t="shared" si="54"/>
        <v>#DIV/0!</v>
      </c>
      <c r="W408" s="262" t="e">
        <f t="shared" si="55"/>
        <v>#DIV/0!</v>
      </c>
      <c r="X408" s="263" t="e">
        <f>INDEX(#REF!,MATCH(COUNTA(H408:M408),#REF!,0),2)</f>
        <v>#REF!</v>
      </c>
      <c r="Y408" s="264" t="e">
        <f t="shared" si="56"/>
        <v>#DIV/0!</v>
      </c>
      <c r="Z408" s="260">
        <f t="shared" si="57"/>
        <v>0</v>
      </c>
      <c r="AD408" s="91" t="str">
        <f>PE_aug!AP397</f>
        <v>Kläranlagen</v>
      </c>
    </row>
    <row r="409" spans="1:30">
      <c r="A409" s="289" t="s">
        <v>459</v>
      </c>
      <c r="N409">
        <v>0.79900000000000004</v>
      </c>
      <c r="O409">
        <v>0.55100000000000005</v>
      </c>
      <c r="P409">
        <v>10.5664</v>
      </c>
      <c r="R409" s="259" t="e">
        <f t="shared" si="50"/>
        <v>#DIV/0!</v>
      </c>
      <c r="S409" s="260" t="e">
        <f t="shared" si="51"/>
        <v>#DIV/0!</v>
      </c>
      <c r="T409" s="261" t="e">
        <f t="shared" si="52"/>
        <v>#DIV/0!</v>
      </c>
      <c r="U409" s="261" t="e">
        <f t="shared" si="53"/>
        <v>#DIV/0!</v>
      </c>
      <c r="V409" s="262" t="e">
        <f t="shared" si="54"/>
        <v>#DIV/0!</v>
      </c>
      <c r="W409" s="262" t="e">
        <f t="shared" si="55"/>
        <v>#DIV/0!</v>
      </c>
      <c r="X409" s="263" t="e">
        <f>INDEX(#REF!,MATCH(COUNTA(H409:M409),#REF!,0),2)</f>
        <v>#REF!</v>
      </c>
      <c r="Y409" s="264" t="e">
        <f t="shared" si="56"/>
        <v>#DIV/0!</v>
      </c>
      <c r="Z409" s="260">
        <f t="shared" si="57"/>
        <v>0</v>
      </c>
      <c r="AD409" s="91" t="str">
        <f>PE_aug!AP398</f>
        <v>Kläranlagen</v>
      </c>
    </row>
    <row r="410" spans="1:30">
      <c r="A410" s="289" t="s">
        <v>460</v>
      </c>
      <c r="N410">
        <v>0.41199999999999998</v>
      </c>
      <c r="O410">
        <v>7.2999999999999995E-2</v>
      </c>
      <c r="P410">
        <v>12.769600000000001</v>
      </c>
      <c r="R410" s="259" t="e">
        <f t="shared" si="50"/>
        <v>#DIV/0!</v>
      </c>
      <c r="S410" s="260" t="e">
        <f t="shared" si="51"/>
        <v>#DIV/0!</v>
      </c>
      <c r="T410" s="261" t="e">
        <f t="shared" si="52"/>
        <v>#DIV/0!</v>
      </c>
      <c r="U410" s="261" t="e">
        <f t="shared" si="53"/>
        <v>#DIV/0!</v>
      </c>
      <c r="V410" s="262" t="e">
        <f t="shared" si="54"/>
        <v>#DIV/0!</v>
      </c>
      <c r="W410" s="262" t="e">
        <f t="shared" si="55"/>
        <v>#DIV/0!</v>
      </c>
      <c r="X410" s="263" t="e">
        <f>INDEX(#REF!,MATCH(COUNTA(H410:M410),#REF!,0),2)</f>
        <v>#REF!</v>
      </c>
      <c r="Y410" s="264" t="e">
        <f t="shared" si="56"/>
        <v>#DIV/0!</v>
      </c>
      <c r="Z410" s="260">
        <f t="shared" si="57"/>
        <v>0</v>
      </c>
      <c r="AD410" s="91" t="str">
        <f>PE_aug!AP399</f>
        <v>Straßenabfluss</v>
      </c>
    </row>
    <row r="411" spans="1:30">
      <c r="A411" s="289" t="s">
        <v>461</v>
      </c>
      <c r="N411">
        <v>1.075</v>
      </c>
      <c r="O411">
        <v>7.2999999999999995E-2</v>
      </c>
      <c r="P411">
        <v>9.5862499999999997</v>
      </c>
      <c r="R411" s="259" t="e">
        <f t="shared" si="50"/>
        <v>#DIV/0!</v>
      </c>
      <c r="S411" s="260" t="e">
        <f t="shared" si="51"/>
        <v>#DIV/0!</v>
      </c>
      <c r="T411" s="261" t="e">
        <f t="shared" si="52"/>
        <v>#DIV/0!</v>
      </c>
      <c r="U411" s="261" t="e">
        <f t="shared" si="53"/>
        <v>#DIV/0!</v>
      </c>
      <c r="V411" s="262" t="e">
        <f t="shared" si="54"/>
        <v>#DIV/0!</v>
      </c>
      <c r="W411" s="262" t="e">
        <f t="shared" si="55"/>
        <v>#DIV/0!</v>
      </c>
      <c r="X411" s="263" t="e">
        <f>INDEX(#REF!,MATCH(COUNTA(H411:M411),#REF!,0),2)</f>
        <v>#REF!</v>
      </c>
      <c r="Y411" s="264" t="e">
        <f t="shared" si="56"/>
        <v>#DIV/0!</v>
      </c>
      <c r="Z411" s="260">
        <f t="shared" si="57"/>
        <v>0</v>
      </c>
      <c r="AD411" s="91" t="str">
        <f>PE_aug!AP400</f>
        <v>Straßenabfluss</v>
      </c>
    </row>
    <row r="412" spans="1:30">
      <c r="A412" s="289" t="s">
        <v>462</v>
      </c>
      <c r="N412">
        <v>0.74</v>
      </c>
      <c r="O412">
        <v>7.2999999999999995E-2</v>
      </c>
      <c r="P412">
        <v>13.754300000000001</v>
      </c>
      <c r="R412" s="259" t="e">
        <f t="shared" si="50"/>
        <v>#DIV/0!</v>
      </c>
      <c r="S412" s="260" t="e">
        <f t="shared" si="51"/>
        <v>#DIV/0!</v>
      </c>
      <c r="T412" s="261" t="e">
        <f t="shared" si="52"/>
        <v>#DIV/0!</v>
      </c>
      <c r="U412" s="261" t="e">
        <f t="shared" si="53"/>
        <v>#DIV/0!</v>
      </c>
      <c r="V412" s="262" t="e">
        <f t="shared" si="54"/>
        <v>#DIV/0!</v>
      </c>
      <c r="W412" s="262" t="e">
        <f t="shared" si="55"/>
        <v>#DIV/0!</v>
      </c>
      <c r="X412" s="263" t="e">
        <f>INDEX(#REF!,MATCH(COUNTA(H412:M412),#REF!,0),2)</f>
        <v>#REF!</v>
      </c>
      <c r="Y412" s="264" t="e">
        <f t="shared" si="56"/>
        <v>#DIV/0!</v>
      </c>
      <c r="Z412" s="260">
        <f t="shared" si="57"/>
        <v>0</v>
      </c>
      <c r="AD412" s="91" t="str">
        <f>PE_aug!AP401</f>
        <v>Straßenabfluss</v>
      </c>
    </row>
    <row r="413" spans="1:30">
      <c r="A413" s="295" t="s">
        <v>463</v>
      </c>
      <c r="N413">
        <v>0.70699999999999996</v>
      </c>
      <c r="O413">
        <v>0.129</v>
      </c>
      <c r="P413">
        <v>5.9239199999999999</v>
      </c>
      <c r="R413" s="259" t="e">
        <f t="shared" si="50"/>
        <v>#DIV/0!</v>
      </c>
      <c r="S413" s="260" t="e">
        <f t="shared" si="51"/>
        <v>#DIV/0!</v>
      </c>
      <c r="T413" s="261" t="e">
        <f t="shared" si="52"/>
        <v>#DIV/0!</v>
      </c>
      <c r="U413" s="261" t="e">
        <f t="shared" si="53"/>
        <v>#DIV/0!</v>
      </c>
      <c r="V413" s="262" t="e">
        <f t="shared" si="54"/>
        <v>#DIV/0!</v>
      </c>
      <c r="W413" s="262" t="e">
        <f t="shared" si="55"/>
        <v>#DIV/0!</v>
      </c>
      <c r="X413" s="263" t="e">
        <f>INDEX(#REF!,MATCH(COUNTA(H413:M413),#REF!,0),2)</f>
        <v>#REF!</v>
      </c>
      <c r="Y413" s="264" t="e">
        <f t="shared" si="56"/>
        <v>#DIV/0!</v>
      </c>
      <c r="Z413" s="260">
        <f t="shared" si="57"/>
        <v>0</v>
      </c>
      <c r="AD413" s="91" t="str">
        <f>PE_aug!AP402</f>
        <v>Bodenproben</v>
      </c>
    </row>
    <row r="414" spans="1:30">
      <c r="A414" s="295" t="s">
        <v>464</v>
      </c>
      <c r="N414">
        <v>0.70699999999999996</v>
      </c>
      <c r="O414">
        <v>0.129</v>
      </c>
      <c r="P414">
        <v>11.6953</v>
      </c>
      <c r="R414" s="259" t="e">
        <f t="shared" si="50"/>
        <v>#DIV/0!</v>
      </c>
      <c r="S414" s="260" t="e">
        <f t="shared" si="51"/>
        <v>#DIV/0!</v>
      </c>
      <c r="T414" s="261" t="e">
        <f t="shared" si="52"/>
        <v>#DIV/0!</v>
      </c>
      <c r="U414" s="261" t="e">
        <f t="shared" si="53"/>
        <v>#DIV/0!</v>
      </c>
      <c r="V414" s="262" t="e">
        <f t="shared" si="54"/>
        <v>#DIV/0!</v>
      </c>
      <c r="W414" s="262" t="e">
        <f t="shared" si="55"/>
        <v>#DIV/0!</v>
      </c>
      <c r="X414" s="263" t="e">
        <f>INDEX(#REF!,MATCH(COUNTA(H414:M414),#REF!,0),2)</f>
        <v>#REF!</v>
      </c>
      <c r="Y414" s="264" t="e">
        <f t="shared" si="56"/>
        <v>#DIV/0!</v>
      </c>
      <c r="Z414" s="260">
        <f t="shared" si="57"/>
        <v>0</v>
      </c>
      <c r="AD414" s="91" t="str">
        <f>PE_aug!AP403</f>
        <v>Bodenproben</v>
      </c>
    </row>
    <row r="415" spans="1:30">
      <c r="A415" s="295" t="s">
        <v>465</v>
      </c>
      <c r="N415">
        <v>0.70699999999999996</v>
      </c>
      <c r="O415">
        <v>8.4000000000000005E-2</v>
      </c>
      <c r="P415">
        <v>5.3761700000000001</v>
      </c>
      <c r="R415" s="259" t="e">
        <f t="shared" si="50"/>
        <v>#DIV/0!</v>
      </c>
      <c r="S415" s="260" t="e">
        <f t="shared" si="51"/>
        <v>#DIV/0!</v>
      </c>
      <c r="T415" s="261" t="e">
        <f t="shared" si="52"/>
        <v>#DIV/0!</v>
      </c>
      <c r="U415" s="261" t="e">
        <f t="shared" si="53"/>
        <v>#DIV/0!</v>
      </c>
      <c r="V415" s="262" t="e">
        <f t="shared" si="54"/>
        <v>#DIV/0!</v>
      </c>
      <c r="W415" s="262" t="e">
        <f t="shared" si="55"/>
        <v>#DIV/0!</v>
      </c>
      <c r="X415" s="263" t="e">
        <f>INDEX(#REF!,MATCH(COUNTA(H415:M415),#REF!,0),2)</f>
        <v>#REF!</v>
      </c>
      <c r="Y415" s="264" t="e">
        <f t="shared" si="56"/>
        <v>#DIV/0!</v>
      </c>
      <c r="Z415" s="260">
        <f t="shared" si="57"/>
        <v>0</v>
      </c>
      <c r="AD415" s="91" t="str">
        <f>PE_aug!AP404</f>
        <v>Bodenproben</v>
      </c>
    </row>
    <row r="416" spans="1:30">
      <c r="A416" s="295" t="s">
        <v>466</v>
      </c>
      <c r="N416">
        <v>0.70699999999999996</v>
      </c>
      <c r="O416">
        <v>8.4000000000000005E-2</v>
      </c>
      <c r="P416">
        <v>9.5681949999999993</v>
      </c>
      <c r="R416" s="259" t="e">
        <f t="shared" si="50"/>
        <v>#DIV/0!</v>
      </c>
      <c r="S416" s="260" t="e">
        <f t="shared" si="51"/>
        <v>#DIV/0!</v>
      </c>
      <c r="T416" s="261" t="e">
        <f t="shared" si="52"/>
        <v>#DIV/0!</v>
      </c>
      <c r="U416" s="261" t="e">
        <f t="shared" si="53"/>
        <v>#DIV/0!</v>
      </c>
      <c r="V416" s="262" t="e">
        <f t="shared" si="54"/>
        <v>#DIV/0!</v>
      </c>
      <c r="W416" s="262" t="e">
        <f t="shared" si="55"/>
        <v>#DIV/0!</v>
      </c>
      <c r="X416" s="263" t="e">
        <f>INDEX(#REF!,MATCH(COUNTA(H416:M416),#REF!,0),2)</f>
        <v>#REF!</v>
      </c>
      <c r="Y416" s="264" t="e">
        <f t="shared" si="56"/>
        <v>#DIV/0!</v>
      </c>
      <c r="Z416" s="260">
        <f t="shared" si="57"/>
        <v>0</v>
      </c>
      <c r="AD416" s="91" t="str">
        <f>PE_aug!AP405</f>
        <v>Bodenproben</v>
      </c>
    </row>
    <row r="417" spans="1:30">
      <c r="A417" s="295" t="s">
        <v>467</v>
      </c>
      <c r="N417">
        <v>0.70699999999999996</v>
      </c>
      <c r="O417">
        <v>2.7E-2</v>
      </c>
      <c r="P417">
        <v>7.2167450000000004</v>
      </c>
      <c r="R417" s="259" t="e">
        <f t="shared" si="50"/>
        <v>#DIV/0!</v>
      </c>
      <c r="S417" s="260" t="e">
        <f t="shared" si="51"/>
        <v>#DIV/0!</v>
      </c>
      <c r="T417" s="261" t="e">
        <f t="shared" si="52"/>
        <v>#DIV/0!</v>
      </c>
      <c r="U417" s="261" t="e">
        <f t="shared" si="53"/>
        <v>#DIV/0!</v>
      </c>
      <c r="V417" s="262" t="e">
        <f t="shared" si="54"/>
        <v>#DIV/0!</v>
      </c>
      <c r="W417" s="262" t="e">
        <f t="shared" si="55"/>
        <v>#DIV/0!</v>
      </c>
      <c r="X417" s="263" t="e">
        <f>INDEX(#REF!,MATCH(COUNTA(H417:M417),#REF!,0),2)</f>
        <v>#REF!</v>
      </c>
      <c r="Y417" s="264" t="e">
        <f t="shared" si="56"/>
        <v>#DIV/0!</v>
      </c>
      <c r="Z417" s="260">
        <f t="shared" si="57"/>
        <v>0</v>
      </c>
      <c r="AD417" s="91" t="str">
        <f>PE_aug!AP406</f>
        <v>Bodenproben</v>
      </c>
    </row>
    <row r="418" spans="1:30">
      <c r="A418" s="295" t="s">
        <v>468</v>
      </c>
      <c r="N418">
        <v>0.70699999999999996</v>
      </c>
      <c r="O418">
        <v>2.7E-2</v>
      </c>
      <c r="P418">
        <v>6.6940000000000008</v>
      </c>
      <c r="R418" s="259" t="e">
        <f t="shared" si="50"/>
        <v>#DIV/0!</v>
      </c>
      <c r="S418" s="260" t="e">
        <f t="shared" si="51"/>
        <v>#DIV/0!</v>
      </c>
      <c r="T418" s="261" t="e">
        <f t="shared" si="52"/>
        <v>#DIV/0!</v>
      </c>
      <c r="U418" s="261" t="e">
        <f t="shared" si="53"/>
        <v>#DIV/0!</v>
      </c>
      <c r="V418" s="262" t="e">
        <f t="shared" si="54"/>
        <v>#DIV/0!</v>
      </c>
      <c r="W418" s="262" t="e">
        <f t="shared" si="55"/>
        <v>#DIV/0!</v>
      </c>
      <c r="X418" s="263" t="e">
        <f>INDEX(#REF!,MATCH(COUNTA(H418:M418),#REF!,0),2)</f>
        <v>#REF!</v>
      </c>
      <c r="Y418" s="264" t="e">
        <f t="shared" si="56"/>
        <v>#DIV/0!</v>
      </c>
      <c r="Z418" s="260">
        <f t="shared" si="57"/>
        <v>0</v>
      </c>
      <c r="AD418" s="91" t="str">
        <f>PE_aug!AP407</f>
        <v>Bodenproben</v>
      </c>
    </row>
    <row r="419" spans="1:30">
      <c r="A419" s="295" t="s">
        <v>469</v>
      </c>
      <c r="N419">
        <v>0.70699999999999996</v>
      </c>
      <c r="O419">
        <v>7.4999999999999997E-2</v>
      </c>
      <c r="P419">
        <v>9.5514899999999994</v>
      </c>
      <c r="R419" s="259" t="e">
        <f t="shared" si="50"/>
        <v>#DIV/0!</v>
      </c>
      <c r="S419" s="260" t="e">
        <f t="shared" si="51"/>
        <v>#DIV/0!</v>
      </c>
      <c r="T419" s="261" t="e">
        <f t="shared" si="52"/>
        <v>#DIV/0!</v>
      </c>
      <c r="U419" s="261" t="e">
        <f t="shared" si="53"/>
        <v>#DIV/0!</v>
      </c>
      <c r="V419" s="262" t="e">
        <f t="shared" si="54"/>
        <v>#DIV/0!</v>
      </c>
      <c r="W419" s="262" t="e">
        <f t="shared" si="55"/>
        <v>#DIV/0!</v>
      </c>
      <c r="X419" s="263" t="e">
        <f>INDEX(#REF!,MATCH(COUNTA(H419:M419),#REF!,0),2)</f>
        <v>#REF!</v>
      </c>
      <c r="Y419" s="264" t="e">
        <f t="shared" si="56"/>
        <v>#DIV/0!</v>
      </c>
      <c r="Z419" s="260">
        <f t="shared" si="57"/>
        <v>0</v>
      </c>
      <c r="AD419" s="91" t="str">
        <f>PE_aug!AP408</f>
        <v>Bodenproben</v>
      </c>
    </row>
    <row r="420" spans="1:30">
      <c r="A420" s="295" t="s">
        <v>470</v>
      </c>
      <c r="N420">
        <v>0.70699999999999996</v>
      </c>
      <c r="O420">
        <v>0.13500000000000001</v>
      </c>
      <c r="P420">
        <v>10.0252</v>
      </c>
      <c r="R420" s="259" t="e">
        <f t="shared" si="50"/>
        <v>#DIV/0!</v>
      </c>
      <c r="S420" s="260" t="e">
        <f t="shared" si="51"/>
        <v>#DIV/0!</v>
      </c>
      <c r="T420" s="261" t="e">
        <f t="shared" si="52"/>
        <v>#DIV/0!</v>
      </c>
      <c r="U420" s="261" t="e">
        <f t="shared" si="53"/>
        <v>#DIV/0!</v>
      </c>
      <c r="V420" s="262" t="e">
        <f t="shared" si="54"/>
        <v>#DIV/0!</v>
      </c>
      <c r="W420" s="262" t="e">
        <f t="shared" si="55"/>
        <v>#DIV/0!</v>
      </c>
      <c r="X420" s="263" t="e">
        <f>INDEX(#REF!,MATCH(COUNTA(H420:M420),#REF!,0),2)</f>
        <v>#REF!</v>
      </c>
      <c r="Y420" s="264" t="e">
        <f t="shared" si="56"/>
        <v>#DIV/0!</v>
      </c>
      <c r="Z420" s="260">
        <f t="shared" si="57"/>
        <v>0</v>
      </c>
      <c r="AD420" s="91" t="str">
        <f>PE_aug!AP409</f>
        <v>Bodenproben</v>
      </c>
    </row>
    <row r="421" spans="1:30">
      <c r="A421" s="295" t="s">
        <v>471</v>
      </c>
      <c r="N421">
        <v>0.70699999999999996</v>
      </c>
      <c r="O421">
        <v>0.104</v>
      </c>
      <c r="P421">
        <v>9.7563600000000008</v>
      </c>
      <c r="R421" s="259" t="e">
        <f t="shared" si="50"/>
        <v>#DIV/0!</v>
      </c>
      <c r="S421" s="260" t="e">
        <f t="shared" si="51"/>
        <v>#DIV/0!</v>
      </c>
      <c r="T421" s="261" t="e">
        <f t="shared" si="52"/>
        <v>#DIV/0!</v>
      </c>
      <c r="U421" s="261" t="e">
        <f t="shared" si="53"/>
        <v>#DIV/0!</v>
      </c>
      <c r="V421" s="262" t="e">
        <f t="shared" si="54"/>
        <v>#DIV/0!</v>
      </c>
      <c r="W421" s="262" t="e">
        <f t="shared" si="55"/>
        <v>#DIV/0!</v>
      </c>
      <c r="X421" s="263" t="e">
        <f>INDEX(#REF!,MATCH(COUNTA(H421:M421),#REF!,0),2)</f>
        <v>#REF!</v>
      </c>
      <c r="Y421" s="264" t="e">
        <f t="shared" si="56"/>
        <v>#DIV/0!</v>
      </c>
      <c r="Z421" s="260">
        <f t="shared" si="57"/>
        <v>0</v>
      </c>
      <c r="AD421" s="91" t="str">
        <f>PE_aug!AP410</f>
        <v>Bodenproben</v>
      </c>
    </row>
    <row r="422" spans="1:30">
      <c r="A422" s="295" t="s">
        <v>472</v>
      </c>
      <c r="N422">
        <v>0.70699999999999996</v>
      </c>
      <c r="O422">
        <v>0.104</v>
      </c>
      <c r="P422">
        <v>6.7526899999999994</v>
      </c>
      <c r="R422" s="259" t="e">
        <f t="shared" si="50"/>
        <v>#DIV/0!</v>
      </c>
      <c r="S422" s="260" t="e">
        <f t="shared" si="51"/>
        <v>#DIV/0!</v>
      </c>
      <c r="T422" s="261" t="e">
        <f t="shared" si="52"/>
        <v>#DIV/0!</v>
      </c>
      <c r="U422" s="261" t="e">
        <f t="shared" si="53"/>
        <v>#DIV/0!</v>
      </c>
      <c r="V422" s="262" t="e">
        <f t="shared" si="54"/>
        <v>#DIV/0!</v>
      </c>
      <c r="W422" s="262" t="e">
        <f t="shared" si="55"/>
        <v>#DIV/0!</v>
      </c>
      <c r="X422" s="263" t="e">
        <f>INDEX(#REF!,MATCH(COUNTA(H422:M422),#REF!,0),2)</f>
        <v>#REF!</v>
      </c>
      <c r="Y422" s="264" t="e">
        <f t="shared" si="56"/>
        <v>#DIV/0!</v>
      </c>
      <c r="Z422" s="260">
        <f t="shared" si="57"/>
        <v>0</v>
      </c>
      <c r="AD422" s="91" t="str">
        <f>PE_aug!AP411</f>
        <v>Bodenproben</v>
      </c>
    </row>
    <row r="423" spans="1:30">
      <c r="A423" s="295" t="s">
        <v>473</v>
      </c>
      <c r="N423">
        <v>0.70699999999999996</v>
      </c>
      <c r="O423">
        <v>7.4999999999999997E-2</v>
      </c>
      <c r="P423">
        <v>6.7782600000000004</v>
      </c>
      <c r="R423" s="259" t="e">
        <f t="shared" si="50"/>
        <v>#DIV/0!</v>
      </c>
      <c r="S423" s="260" t="e">
        <f t="shared" si="51"/>
        <v>#DIV/0!</v>
      </c>
      <c r="T423" s="261" t="e">
        <f t="shared" si="52"/>
        <v>#DIV/0!</v>
      </c>
      <c r="U423" s="261" t="e">
        <f t="shared" si="53"/>
        <v>#DIV/0!</v>
      </c>
      <c r="V423" s="262" t="e">
        <f t="shared" si="54"/>
        <v>#DIV/0!</v>
      </c>
      <c r="W423" s="262" t="e">
        <f t="shared" si="55"/>
        <v>#DIV/0!</v>
      </c>
      <c r="X423" s="263" t="e">
        <f>INDEX(#REF!,MATCH(COUNTA(H423:M423),#REF!,0),2)</f>
        <v>#REF!</v>
      </c>
      <c r="Y423" s="264" t="e">
        <f t="shared" si="56"/>
        <v>#DIV/0!</v>
      </c>
      <c r="Z423" s="260">
        <f t="shared" si="57"/>
        <v>0</v>
      </c>
      <c r="AD423" s="91" t="str">
        <f>PE_aug!AP412</f>
        <v>Bodenproben</v>
      </c>
    </row>
    <row r="424" spans="1:30">
      <c r="A424" s="298" t="s">
        <v>474</v>
      </c>
      <c r="N424">
        <v>0.70699999999999996</v>
      </c>
      <c r="O424">
        <v>0.13500000000000001</v>
      </c>
      <c r="P424">
        <v>4.1185499999999999</v>
      </c>
      <c r="R424" s="259" t="e">
        <f t="shared" si="50"/>
        <v>#DIV/0!</v>
      </c>
      <c r="S424" s="260" t="e">
        <f t="shared" si="51"/>
        <v>#DIV/0!</v>
      </c>
      <c r="T424" s="261" t="e">
        <f t="shared" si="52"/>
        <v>#DIV/0!</v>
      </c>
      <c r="U424" s="261" t="e">
        <f t="shared" si="53"/>
        <v>#DIV/0!</v>
      </c>
      <c r="V424" s="262" t="e">
        <f t="shared" si="54"/>
        <v>#DIV/0!</v>
      </c>
      <c r="W424" s="262" t="e">
        <f t="shared" si="55"/>
        <v>#DIV/0!</v>
      </c>
      <c r="X424" s="263" t="e">
        <f>INDEX(#REF!,MATCH(COUNTA(H424:M424),#REF!,0),2)</f>
        <v>#REF!</v>
      </c>
      <c r="Y424" s="264" t="e">
        <f t="shared" si="56"/>
        <v>#DIV/0!</v>
      </c>
      <c r="Z424" s="260">
        <f t="shared" si="57"/>
        <v>0</v>
      </c>
      <c r="AD424" s="91" t="str">
        <f>PE_aug!AP413</f>
        <v>Bodenproben</v>
      </c>
    </row>
    <row r="425" spans="1:30" s="51" customFormat="1">
      <c r="A425" s="314" t="s">
        <v>475</v>
      </c>
      <c r="H425" s="63"/>
      <c r="M425" s="78"/>
      <c r="P425" s="51">
        <v>18.433900000000001</v>
      </c>
      <c r="R425" s="299" t="e">
        <f t="shared" si="50"/>
        <v>#DIV/0!</v>
      </c>
      <c r="S425" s="300" t="e">
        <f t="shared" si="51"/>
        <v>#DIV/0!</v>
      </c>
      <c r="T425" s="301" t="e">
        <f t="shared" si="52"/>
        <v>#DIV/0!</v>
      </c>
      <c r="U425" s="301" t="e">
        <f t="shared" si="53"/>
        <v>#DIV/0!</v>
      </c>
      <c r="V425" s="302" t="e">
        <f t="shared" si="54"/>
        <v>#DIV/0!</v>
      </c>
      <c r="W425" s="302" t="e">
        <f t="shared" si="55"/>
        <v>#DIV/0!</v>
      </c>
      <c r="X425" s="303" t="e">
        <f>INDEX(#REF!,MATCH(COUNTA(H425:M425),#REF!,0),2)</f>
        <v>#REF!</v>
      </c>
      <c r="Y425" s="304" t="e">
        <f t="shared" si="56"/>
        <v>#DIV/0!</v>
      </c>
      <c r="Z425" s="300">
        <f t="shared" si="57"/>
        <v>0</v>
      </c>
      <c r="AD425" s="93" t="str">
        <f>PE_aug!AP414</f>
        <v>Bodenproben</v>
      </c>
    </row>
    <row r="426" spans="1:30">
      <c r="A426" s="314" t="s">
        <v>476</v>
      </c>
      <c r="P426">
        <v>16.974799999999998</v>
      </c>
      <c r="R426" s="259" t="e">
        <f t="shared" si="50"/>
        <v>#DIV/0!</v>
      </c>
      <c r="S426" s="260" t="e">
        <f t="shared" si="51"/>
        <v>#DIV/0!</v>
      </c>
      <c r="T426" s="261" t="e">
        <f t="shared" si="52"/>
        <v>#DIV/0!</v>
      </c>
      <c r="U426" s="261" t="e">
        <f t="shared" si="53"/>
        <v>#DIV/0!</v>
      </c>
      <c r="V426" s="262" t="e">
        <f t="shared" si="54"/>
        <v>#DIV/0!</v>
      </c>
      <c r="W426" s="262" t="e">
        <f t="shared" si="55"/>
        <v>#DIV/0!</v>
      </c>
      <c r="X426" s="263" t="e">
        <f>INDEX(#REF!,MATCH(COUNTA(H426:M426),#REF!,0),2)</f>
        <v>#REF!</v>
      </c>
      <c r="Y426" s="264" t="e">
        <f t="shared" si="56"/>
        <v>#DIV/0!</v>
      </c>
      <c r="Z426" s="260">
        <f t="shared" si="57"/>
        <v>0</v>
      </c>
      <c r="AD426" s="91" t="str">
        <f>PE_aug!AP415</f>
        <v>Bodenproben</v>
      </c>
    </row>
    <row r="427" spans="1:30">
      <c r="A427" s="314" t="s">
        <v>477</v>
      </c>
      <c r="P427">
        <v>2.40835</v>
      </c>
      <c r="R427" s="259" t="e">
        <f t="shared" si="50"/>
        <v>#DIV/0!</v>
      </c>
      <c r="S427" s="260" t="e">
        <f t="shared" si="51"/>
        <v>#DIV/0!</v>
      </c>
      <c r="T427" s="261" t="e">
        <f t="shared" si="52"/>
        <v>#DIV/0!</v>
      </c>
      <c r="U427" s="261" t="e">
        <f t="shared" si="53"/>
        <v>#DIV/0!</v>
      </c>
      <c r="V427" s="262" t="e">
        <f t="shared" si="54"/>
        <v>#DIV/0!</v>
      </c>
      <c r="W427" s="262" t="e">
        <f t="shared" si="55"/>
        <v>#DIV/0!</v>
      </c>
      <c r="X427" s="263" t="e">
        <f>INDEX(#REF!,MATCH(COUNTA(H427:M427),#REF!,0),2)</f>
        <v>#REF!</v>
      </c>
      <c r="Y427" s="264" t="e">
        <f t="shared" si="56"/>
        <v>#DIV/0!</v>
      </c>
      <c r="Z427" s="260">
        <f t="shared" si="57"/>
        <v>0</v>
      </c>
      <c r="AD427" s="91" t="str">
        <f>PE_aug!AP416</f>
        <v>KWS, Methode</v>
      </c>
    </row>
    <row r="428" spans="1:30">
      <c r="A428" s="314" t="s">
        <v>478</v>
      </c>
      <c r="B428">
        <v>32.54</v>
      </c>
      <c r="C428">
        <v>22.21</v>
      </c>
      <c r="D428">
        <v>14.99</v>
      </c>
      <c r="E428">
        <v>18.829999999999998</v>
      </c>
      <c r="F428">
        <v>16.53</v>
      </c>
      <c r="G428">
        <v>16.48</v>
      </c>
      <c r="H428" s="306">
        <v>32.54</v>
      </c>
      <c r="I428">
        <v>22.21</v>
      </c>
      <c r="J428">
        <v>14.99</v>
      </c>
      <c r="K428">
        <v>18.829999999999998</v>
      </c>
      <c r="L428">
        <v>16.53</v>
      </c>
      <c r="M428" s="307">
        <v>16.48</v>
      </c>
      <c r="N428">
        <v>0.81699999999999995</v>
      </c>
      <c r="O428">
        <v>9.4E-2</v>
      </c>
      <c r="P428">
        <v>7.2383749999999996</v>
      </c>
      <c r="Q428">
        <v>0.94</v>
      </c>
      <c r="R428" s="259">
        <f t="shared" si="50"/>
        <v>1</v>
      </c>
      <c r="S428" s="260">
        <f t="shared" si="51"/>
        <v>0.97</v>
      </c>
      <c r="T428" s="261">
        <f t="shared" si="52"/>
        <v>29.377543293993689</v>
      </c>
      <c r="U428" s="261">
        <f t="shared" si="53"/>
        <v>29.377543293993689</v>
      </c>
      <c r="V428" s="262">
        <f t="shared" si="54"/>
        <v>0.88584728980376148</v>
      </c>
      <c r="W428" s="262">
        <f t="shared" si="55"/>
        <v>2.0623107258832203</v>
      </c>
      <c r="X428" s="263" t="e">
        <f>INDEX(#REF!,MATCH(COUNTA(H428:M428),#REF!,0),2)</f>
        <v>#REF!</v>
      </c>
      <c r="Y428" s="264">
        <f t="shared" si="56"/>
        <v>20.263333333333332</v>
      </c>
      <c r="Z428" s="260">
        <f t="shared" si="57"/>
        <v>2.799431271982086</v>
      </c>
      <c r="AD428" s="91" t="str">
        <f>PE_aug!AP417</f>
        <v>KWS, Methode</v>
      </c>
    </row>
    <row r="429" spans="1:30">
      <c r="A429" s="314" t="s">
        <v>479</v>
      </c>
      <c r="B429">
        <v>31.41</v>
      </c>
      <c r="C429">
        <v>19.32</v>
      </c>
      <c r="D429">
        <v>14.06</v>
      </c>
      <c r="E429">
        <v>17.46</v>
      </c>
      <c r="F429">
        <v>16.21</v>
      </c>
      <c r="G429">
        <v>14.96</v>
      </c>
      <c r="H429" s="306">
        <v>31.41</v>
      </c>
      <c r="I429">
        <v>19.32</v>
      </c>
      <c r="J429">
        <v>14.06</v>
      </c>
      <c r="K429">
        <v>17.46</v>
      </c>
      <c r="L429">
        <v>16.21</v>
      </c>
      <c r="M429" s="307">
        <v>14.96</v>
      </c>
      <c r="N429">
        <v>0.72399999999999998</v>
      </c>
      <c r="O429">
        <v>9.4E-2</v>
      </c>
      <c r="P429">
        <v>10.759</v>
      </c>
      <c r="Q429">
        <v>0.94</v>
      </c>
      <c r="R429" s="259">
        <f t="shared" si="50"/>
        <v>1</v>
      </c>
      <c r="S429" s="260">
        <f t="shared" si="51"/>
        <v>0.97</v>
      </c>
      <c r="T429" s="261">
        <f t="shared" si="52"/>
        <v>30.916790528567002</v>
      </c>
      <c r="U429" s="261">
        <f t="shared" si="53"/>
        <v>30.916790528567002</v>
      </c>
      <c r="V429" s="262">
        <f t="shared" si="54"/>
        <v>0.828727143307459</v>
      </c>
      <c r="W429" s="262">
        <f t="shared" si="55"/>
        <v>2.1399753900134786</v>
      </c>
      <c r="X429" s="263" t="e">
        <f>INDEX(#REF!,MATCH(COUNTA(H429:M429),#REF!,0),2)</f>
        <v>#REF!</v>
      </c>
      <c r="Y429" s="264">
        <f t="shared" si="56"/>
        <v>18.903333333333336</v>
      </c>
      <c r="Z429" s="260">
        <f t="shared" ref="Z429:Z460" si="58">IFERROR(Y429/P429,0)</f>
        <v>1.756978653530378</v>
      </c>
      <c r="AD429" s="91" t="str">
        <f>PE_aug!AP418</f>
        <v>KWS, Methode</v>
      </c>
    </row>
    <row r="430" spans="1:30">
      <c r="A430" s="314" t="s">
        <v>480</v>
      </c>
      <c r="B430">
        <v>38.68</v>
      </c>
      <c r="C430">
        <v>26.04</v>
      </c>
      <c r="D430">
        <v>15.34</v>
      </c>
      <c r="E430">
        <v>21.27</v>
      </c>
      <c r="F430">
        <v>18.86</v>
      </c>
      <c r="G430">
        <v>18.95</v>
      </c>
      <c r="H430" s="306">
        <v>38.68</v>
      </c>
      <c r="I430">
        <v>26.04</v>
      </c>
      <c r="J430">
        <v>15.34</v>
      </c>
      <c r="K430">
        <v>21.27</v>
      </c>
      <c r="L430">
        <v>18.86</v>
      </c>
      <c r="M430" s="307">
        <v>18.95</v>
      </c>
      <c r="P430">
        <v>6.9593999999999996</v>
      </c>
      <c r="Q430">
        <v>0.94</v>
      </c>
      <c r="R430" s="259">
        <f t="shared" si="50"/>
        <v>1</v>
      </c>
      <c r="S430" s="260">
        <f t="shared" si="51"/>
        <v>0.97</v>
      </c>
      <c r="T430" s="261">
        <f t="shared" si="52"/>
        <v>32.939609103422299</v>
      </c>
      <c r="U430" s="261">
        <f t="shared" si="53"/>
        <v>32.939609103422299</v>
      </c>
      <c r="V430" s="262">
        <f t="shared" si="54"/>
        <v>1.0276624003451573</v>
      </c>
      <c r="W430" s="262">
        <f t="shared" si="55"/>
        <v>2.0278331950759867</v>
      </c>
      <c r="X430" s="263" t="e">
        <f>INDEX(#REF!,MATCH(COUNTA(H430:M430),#REF!,0),2)</f>
        <v>#REF!</v>
      </c>
      <c r="Y430" s="264">
        <f t="shared" si="56"/>
        <v>23.189999999999998</v>
      </c>
      <c r="Z430" s="260">
        <f t="shared" si="58"/>
        <v>3.3321838089490474</v>
      </c>
      <c r="AD430" s="91" t="str">
        <f>PE_aug!AP419</f>
        <v>KWS, Methode</v>
      </c>
    </row>
    <row r="431" spans="1:30">
      <c r="A431" s="314" t="s">
        <v>481</v>
      </c>
      <c r="P431">
        <v>6.5583899999999993</v>
      </c>
      <c r="R431" s="259" t="e">
        <f t="shared" si="50"/>
        <v>#DIV/0!</v>
      </c>
      <c r="S431" s="260" t="e">
        <f t="shared" si="51"/>
        <v>#DIV/0!</v>
      </c>
      <c r="T431" s="261" t="e">
        <f t="shared" si="52"/>
        <v>#DIV/0!</v>
      </c>
      <c r="U431" s="261" t="e">
        <f t="shared" si="53"/>
        <v>#DIV/0!</v>
      </c>
      <c r="V431" s="262" t="e">
        <f t="shared" si="54"/>
        <v>#DIV/0!</v>
      </c>
      <c r="W431" s="262" t="e">
        <f t="shared" si="55"/>
        <v>#DIV/0!</v>
      </c>
      <c r="X431" s="263" t="e">
        <f>INDEX(#REF!,MATCH(COUNTA(H431:M431),#REF!,0),2)</f>
        <v>#REF!</v>
      </c>
      <c r="Y431" s="264" t="e">
        <f t="shared" si="56"/>
        <v>#DIV/0!</v>
      </c>
      <c r="Z431" s="260">
        <f t="shared" si="58"/>
        <v>0</v>
      </c>
      <c r="AD431" s="91" t="str">
        <f>PE_aug!AP420</f>
        <v>Flussproben, Methode</v>
      </c>
    </row>
    <row r="432" spans="1:30">
      <c r="A432" s="314" t="s">
        <v>482</v>
      </c>
      <c r="P432" s="313">
        <v>5.7743099999999999E-2</v>
      </c>
      <c r="R432" s="259" t="e">
        <f t="shared" si="50"/>
        <v>#DIV/0!</v>
      </c>
      <c r="S432" s="260" t="e">
        <f t="shared" si="51"/>
        <v>#DIV/0!</v>
      </c>
      <c r="T432" s="261" t="e">
        <f t="shared" si="52"/>
        <v>#DIV/0!</v>
      </c>
      <c r="U432" s="261" t="e">
        <f t="shared" si="53"/>
        <v>#DIV/0!</v>
      </c>
      <c r="V432" s="262" t="e">
        <f t="shared" si="54"/>
        <v>#DIV/0!</v>
      </c>
      <c r="W432" s="262" t="e">
        <f t="shared" si="55"/>
        <v>#DIV/0!</v>
      </c>
      <c r="X432" s="263" t="e">
        <f>INDEX(#REF!,MATCH(COUNTA(H432:M432),#REF!,0),2)</f>
        <v>#REF!</v>
      </c>
      <c r="Y432" s="264" t="e">
        <f t="shared" si="56"/>
        <v>#DIV/0!</v>
      </c>
      <c r="Z432" s="260">
        <f t="shared" si="58"/>
        <v>0</v>
      </c>
      <c r="AD432" s="91" t="str">
        <f>PE_aug!AP421</f>
        <v>Methode</v>
      </c>
    </row>
    <row r="433" spans="1:30">
      <c r="A433" s="314" t="s">
        <v>483</v>
      </c>
      <c r="P433">
        <v>0.1338</v>
      </c>
      <c r="R433" s="259" t="e">
        <f t="shared" si="50"/>
        <v>#DIV/0!</v>
      </c>
      <c r="S433" s="260" t="e">
        <f t="shared" si="51"/>
        <v>#DIV/0!</v>
      </c>
      <c r="T433" s="261" t="e">
        <f t="shared" si="52"/>
        <v>#DIV/0!</v>
      </c>
      <c r="U433" s="261" t="e">
        <f t="shared" si="53"/>
        <v>#DIV/0!</v>
      </c>
      <c r="V433" s="262" t="e">
        <f t="shared" si="54"/>
        <v>#DIV/0!</v>
      </c>
      <c r="W433" s="262" t="e">
        <f t="shared" si="55"/>
        <v>#DIV/0!</v>
      </c>
      <c r="X433" s="263" t="e">
        <f>INDEX(#REF!,MATCH(COUNTA(H433:M433),#REF!,0),2)</f>
        <v>#REF!</v>
      </c>
      <c r="Y433" s="264" t="e">
        <f t="shared" si="56"/>
        <v>#DIV/0!</v>
      </c>
      <c r="Z433" s="260">
        <f t="shared" si="58"/>
        <v>0</v>
      </c>
      <c r="AD433" s="91" t="str">
        <f>PE_aug!AP422</f>
        <v>Methode</v>
      </c>
    </row>
    <row r="434" spans="1:30">
      <c r="A434" s="314" t="s">
        <v>484</v>
      </c>
      <c r="P434">
        <v>4.8291000000000004</v>
      </c>
      <c r="R434" s="259" t="e">
        <f t="shared" si="50"/>
        <v>#DIV/0!</v>
      </c>
      <c r="S434" s="260" t="e">
        <f t="shared" si="51"/>
        <v>#DIV/0!</v>
      </c>
      <c r="T434" s="261" t="e">
        <f t="shared" si="52"/>
        <v>#DIV/0!</v>
      </c>
      <c r="U434" s="261" t="e">
        <f t="shared" si="53"/>
        <v>#DIV/0!</v>
      </c>
      <c r="V434" s="262" t="e">
        <f t="shared" si="54"/>
        <v>#DIV/0!</v>
      </c>
      <c r="W434" s="262" t="e">
        <f t="shared" si="55"/>
        <v>#DIV/0!</v>
      </c>
      <c r="X434" s="263" t="e">
        <f>INDEX(#REF!,MATCH(COUNTA(H434:M434),#REF!,0),2)</f>
        <v>#REF!</v>
      </c>
      <c r="Y434" s="264" t="e">
        <f t="shared" si="56"/>
        <v>#DIV/0!</v>
      </c>
      <c r="Z434" s="260">
        <f t="shared" si="58"/>
        <v>0</v>
      </c>
      <c r="AD434" s="91" t="str">
        <f>PE_aug!AP423</f>
        <v>Straßenabfluss, Methode</v>
      </c>
    </row>
    <row r="435" spans="1:30">
      <c r="A435" s="314" t="s">
        <v>486</v>
      </c>
      <c r="G435">
        <v>3</v>
      </c>
      <c r="M435" s="307">
        <v>3</v>
      </c>
      <c r="N435">
        <v>0.70699999999999996</v>
      </c>
      <c r="O435">
        <v>5.2999999999999999E-2</v>
      </c>
      <c r="P435">
        <v>13.0227</v>
      </c>
      <c r="Q435">
        <v>0.67</v>
      </c>
      <c r="R435" s="259">
        <f t="shared" si="50"/>
        <v>0.16</v>
      </c>
      <c r="S435" s="260">
        <f t="shared" si="51"/>
        <v>0.41500000000000004</v>
      </c>
      <c r="T435" s="261">
        <f t="shared" si="52"/>
        <v>0</v>
      </c>
      <c r="U435" s="261">
        <f t="shared" si="53"/>
        <v>0</v>
      </c>
      <c r="V435" s="262" t="e">
        <f t="shared" si="54"/>
        <v>#DIV/0!</v>
      </c>
      <c r="W435" s="262" t="e">
        <f t="shared" si="55"/>
        <v>#DIV/0!</v>
      </c>
      <c r="X435" s="263" t="e">
        <f>INDEX(#REF!,MATCH(COUNTA(H435:M435),#REF!,0),2)</f>
        <v>#REF!</v>
      </c>
      <c r="Y435" s="264">
        <f t="shared" si="56"/>
        <v>3</v>
      </c>
      <c r="Z435" s="260">
        <f t="shared" si="58"/>
        <v>0.23036697459052269</v>
      </c>
      <c r="AD435" s="91" t="str">
        <f>PE_aug!AP424</f>
        <v>Straßenabfluss</v>
      </c>
    </row>
    <row r="436" spans="1:30">
      <c r="A436" s="314" t="s">
        <v>487</v>
      </c>
      <c r="N436">
        <v>0.70699999999999996</v>
      </c>
      <c r="O436">
        <v>5.2999999999999999E-2</v>
      </c>
      <c r="P436">
        <v>10.6518</v>
      </c>
      <c r="Q436">
        <v>0.67</v>
      </c>
      <c r="R436" s="259" t="e">
        <f t="shared" si="50"/>
        <v>#DIV/0!</v>
      </c>
      <c r="S436" s="260" t="e">
        <f t="shared" si="51"/>
        <v>#DIV/0!</v>
      </c>
      <c r="T436" s="261" t="e">
        <f t="shared" si="52"/>
        <v>#DIV/0!</v>
      </c>
      <c r="U436" s="261" t="e">
        <f t="shared" si="53"/>
        <v>#DIV/0!</v>
      </c>
      <c r="V436" s="262" t="e">
        <f t="shared" si="54"/>
        <v>#DIV/0!</v>
      </c>
      <c r="W436" s="262" t="e">
        <f t="shared" si="55"/>
        <v>#DIV/0!</v>
      </c>
      <c r="X436" s="263" t="e">
        <f>INDEX(#REF!,MATCH(COUNTA(H436:M436),#REF!,0),2)</f>
        <v>#REF!</v>
      </c>
      <c r="Y436" s="264" t="e">
        <f t="shared" si="56"/>
        <v>#DIV/0!</v>
      </c>
      <c r="Z436" s="260">
        <f t="shared" si="58"/>
        <v>0</v>
      </c>
      <c r="AD436" s="91" t="str">
        <f>PE_aug!AP425</f>
        <v>Straßenabfluss</v>
      </c>
    </row>
    <row r="437" spans="1:30">
      <c r="A437" s="314" t="s">
        <v>488</v>
      </c>
      <c r="N437">
        <v>0.70699999999999996</v>
      </c>
      <c r="O437">
        <v>0.01</v>
      </c>
      <c r="P437">
        <v>11.817399999999999</v>
      </c>
      <c r="R437" s="259" t="e">
        <f t="shared" si="50"/>
        <v>#DIV/0!</v>
      </c>
      <c r="S437" s="260" t="e">
        <f t="shared" si="51"/>
        <v>#DIV/0!</v>
      </c>
      <c r="T437" s="261" t="e">
        <f t="shared" si="52"/>
        <v>#DIV/0!</v>
      </c>
      <c r="U437" s="261" t="e">
        <f t="shared" si="53"/>
        <v>#DIV/0!</v>
      </c>
      <c r="V437" s="262" t="e">
        <f t="shared" si="54"/>
        <v>#DIV/0!</v>
      </c>
      <c r="W437" s="262" t="e">
        <f t="shared" si="55"/>
        <v>#DIV/0!</v>
      </c>
      <c r="X437" s="263" t="e">
        <f>INDEX(#REF!,MATCH(COUNTA(H437:M437),#REF!,0),2)</f>
        <v>#REF!</v>
      </c>
      <c r="Y437" s="264" t="e">
        <f t="shared" si="56"/>
        <v>#DIV/0!</v>
      </c>
      <c r="Z437" s="260">
        <f t="shared" si="58"/>
        <v>0</v>
      </c>
      <c r="AD437" s="91" t="str">
        <f>PE_aug!AP426</f>
        <v>Straßenabfluss</v>
      </c>
    </row>
    <row r="438" spans="1:30">
      <c r="A438" s="314" t="s">
        <v>489</v>
      </c>
      <c r="N438">
        <v>0.70699999999999996</v>
      </c>
      <c r="O438">
        <v>0.01</v>
      </c>
      <c r="P438">
        <v>11.172000000000001</v>
      </c>
      <c r="R438" s="259" t="e">
        <f t="shared" si="50"/>
        <v>#DIV/0!</v>
      </c>
      <c r="S438" s="260" t="e">
        <f t="shared" si="51"/>
        <v>#DIV/0!</v>
      </c>
      <c r="T438" s="261" t="e">
        <f t="shared" si="52"/>
        <v>#DIV/0!</v>
      </c>
      <c r="U438" s="261" t="e">
        <f t="shared" si="53"/>
        <v>#DIV/0!</v>
      </c>
      <c r="V438" s="262" t="e">
        <f t="shared" si="54"/>
        <v>#DIV/0!</v>
      </c>
      <c r="W438" s="262" t="e">
        <f t="shared" si="55"/>
        <v>#DIV/0!</v>
      </c>
      <c r="X438" s="263" t="e">
        <f>INDEX(#REF!,MATCH(COUNTA(H438:M438),#REF!,0),2)</f>
        <v>#REF!</v>
      </c>
      <c r="Y438" s="264" t="e">
        <f t="shared" si="56"/>
        <v>#DIV/0!</v>
      </c>
      <c r="Z438" s="260">
        <f t="shared" si="58"/>
        <v>0</v>
      </c>
      <c r="AD438" s="91" t="str">
        <f>PE_aug!AP427</f>
        <v>Straßenabfluss</v>
      </c>
    </row>
    <row r="439" spans="1:30">
      <c r="A439" s="314" t="s">
        <v>568</v>
      </c>
      <c r="P439">
        <v>5.7991000000000001</v>
      </c>
      <c r="R439" s="259" t="e">
        <f t="shared" si="50"/>
        <v>#DIV/0!</v>
      </c>
      <c r="S439" s="260" t="e">
        <f t="shared" si="51"/>
        <v>#DIV/0!</v>
      </c>
      <c r="T439" s="261" t="e">
        <f t="shared" si="52"/>
        <v>#DIV/0!</v>
      </c>
      <c r="U439" s="261" t="e">
        <f t="shared" si="53"/>
        <v>#DIV/0!</v>
      </c>
      <c r="V439" s="262" t="e">
        <f t="shared" si="54"/>
        <v>#DIV/0!</v>
      </c>
      <c r="W439" s="262" t="e">
        <f t="shared" si="55"/>
        <v>#DIV/0!</v>
      </c>
      <c r="X439" s="263" t="e">
        <f>INDEX(#REF!,MATCH(COUNTA(H439:M439),#REF!,0),2)</f>
        <v>#REF!</v>
      </c>
      <c r="Y439" s="264" t="e">
        <f t="shared" si="56"/>
        <v>#DIV/0!</v>
      </c>
      <c r="Z439" s="260">
        <f t="shared" si="58"/>
        <v>0</v>
      </c>
      <c r="AD439" s="91" t="str">
        <f>PE_aug!AP428</f>
        <v>Straßenabfluss, Methode</v>
      </c>
    </row>
    <row r="440" spans="1:30">
      <c r="A440" s="314" t="s">
        <v>491</v>
      </c>
      <c r="N440">
        <v>0.70699999999999996</v>
      </c>
      <c r="O440">
        <v>3.7999999999999999E-2</v>
      </c>
      <c r="P440">
        <v>9.7790800000000004</v>
      </c>
      <c r="R440" s="259" t="e">
        <f t="shared" si="50"/>
        <v>#DIV/0!</v>
      </c>
      <c r="S440" s="260" t="e">
        <f t="shared" si="51"/>
        <v>#DIV/0!</v>
      </c>
      <c r="T440" s="261" t="e">
        <f t="shared" si="52"/>
        <v>#DIV/0!</v>
      </c>
      <c r="U440" s="261" t="e">
        <f t="shared" si="53"/>
        <v>#DIV/0!</v>
      </c>
      <c r="V440" s="262" t="e">
        <f t="shared" si="54"/>
        <v>#DIV/0!</v>
      </c>
      <c r="W440" s="262" t="e">
        <f t="shared" si="55"/>
        <v>#DIV/0!</v>
      </c>
      <c r="X440" s="263" t="e">
        <f>INDEX(#REF!,MATCH(COUNTA(H440:M440),#REF!,0),2)</f>
        <v>#REF!</v>
      </c>
      <c r="Y440" s="264" t="e">
        <f t="shared" si="56"/>
        <v>#DIV/0!</v>
      </c>
      <c r="Z440" s="260">
        <f t="shared" si="58"/>
        <v>0</v>
      </c>
      <c r="AD440" s="91" t="str">
        <f>PE_aug!AP429</f>
        <v>Straßenabfluss</v>
      </c>
    </row>
    <row r="441" spans="1:30">
      <c r="A441" s="314" t="s">
        <v>492</v>
      </c>
      <c r="N441">
        <v>0.70699999999999996</v>
      </c>
      <c r="O441">
        <v>3.7999999999999999E-2</v>
      </c>
      <c r="P441">
        <v>11.240500000000001</v>
      </c>
      <c r="R441" s="259" t="e">
        <f t="shared" si="50"/>
        <v>#DIV/0!</v>
      </c>
      <c r="S441" s="260" t="e">
        <f t="shared" si="51"/>
        <v>#DIV/0!</v>
      </c>
      <c r="T441" s="261" t="e">
        <f t="shared" si="52"/>
        <v>#DIV/0!</v>
      </c>
      <c r="U441" s="261" t="e">
        <f t="shared" si="53"/>
        <v>#DIV/0!</v>
      </c>
      <c r="V441" s="262" t="e">
        <f t="shared" si="54"/>
        <v>#DIV/0!</v>
      </c>
      <c r="W441" s="262" t="e">
        <f t="shared" si="55"/>
        <v>#DIV/0!</v>
      </c>
      <c r="X441" s="263" t="e">
        <f>INDEX(#REF!,MATCH(COUNTA(H441:M441),#REF!,0),2)</f>
        <v>#REF!</v>
      </c>
      <c r="Y441" s="264" t="e">
        <f t="shared" si="56"/>
        <v>#DIV/0!</v>
      </c>
      <c r="Z441" s="260">
        <f t="shared" si="58"/>
        <v>0</v>
      </c>
      <c r="AD441" s="91" t="str">
        <f>PE_aug!AP430</f>
        <v>Straßenabfluss</v>
      </c>
    </row>
    <row r="442" spans="1:30">
      <c r="A442" s="314" t="s">
        <v>493</v>
      </c>
      <c r="N442">
        <v>0.70699999999999996</v>
      </c>
      <c r="O442">
        <v>0.114</v>
      </c>
      <c r="P442">
        <v>8.0438550000000006</v>
      </c>
      <c r="R442" s="259" t="e">
        <f t="shared" si="50"/>
        <v>#DIV/0!</v>
      </c>
      <c r="S442" s="260" t="e">
        <f t="shared" si="51"/>
        <v>#DIV/0!</v>
      </c>
      <c r="T442" s="261" t="e">
        <f t="shared" si="52"/>
        <v>#DIV/0!</v>
      </c>
      <c r="U442" s="261" t="e">
        <f t="shared" si="53"/>
        <v>#DIV/0!</v>
      </c>
      <c r="V442" s="262" t="e">
        <f t="shared" si="54"/>
        <v>#DIV/0!</v>
      </c>
      <c r="W442" s="262" t="e">
        <f t="shared" si="55"/>
        <v>#DIV/0!</v>
      </c>
      <c r="X442" s="263" t="e">
        <f>INDEX(#REF!,MATCH(COUNTA(H442:M442),#REF!,0),2)</f>
        <v>#REF!</v>
      </c>
      <c r="Y442" s="264" t="e">
        <f t="shared" si="56"/>
        <v>#DIV/0!</v>
      </c>
      <c r="Z442" s="260">
        <f t="shared" si="58"/>
        <v>0</v>
      </c>
      <c r="AD442" s="91" t="str">
        <f>PE_aug!AP431</f>
        <v>Straßenabfluss</v>
      </c>
    </row>
    <row r="443" spans="1:30">
      <c r="A443" s="314" t="s">
        <v>494</v>
      </c>
      <c r="N443">
        <v>0.70699999999999996</v>
      </c>
      <c r="O443">
        <v>0.114</v>
      </c>
      <c r="P443">
        <v>12.492749999999999</v>
      </c>
      <c r="R443" s="259" t="e">
        <f t="shared" si="50"/>
        <v>#DIV/0!</v>
      </c>
      <c r="S443" s="260" t="e">
        <f t="shared" si="51"/>
        <v>#DIV/0!</v>
      </c>
      <c r="T443" s="261" t="e">
        <f t="shared" si="52"/>
        <v>#DIV/0!</v>
      </c>
      <c r="U443" s="261" t="e">
        <f t="shared" si="53"/>
        <v>#DIV/0!</v>
      </c>
      <c r="V443" s="262" t="e">
        <f t="shared" si="54"/>
        <v>#DIV/0!</v>
      </c>
      <c r="W443" s="262" t="e">
        <f t="shared" si="55"/>
        <v>#DIV/0!</v>
      </c>
      <c r="X443" s="263" t="e">
        <f>INDEX(#REF!,MATCH(COUNTA(H443:M443),#REF!,0),2)</f>
        <v>#REF!</v>
      </c>
      <c r="Y443" s="264" t="e">
        <f t="shared" si="56"/>
        <v>#DIV/0!</v>
      </c>
      <c r="Z443" s="260">
        <f t="shared" si="58"/>
        <v>0</v>
      </c>
      <c r="AD443" s="91" t="str">
        <f>PE_aug!AP432</f>
        <v>Straßenabfluss</v>
      </c>
    </row>
    <row r="444" spans="1:30">
      <c r="A444" s="314" t="s">
        <v>495</v>
      </c>
      <c r="N444">
        <v>0.70699999999999996</v>
      </c>
      <c r="O444">
        <v>0.46899999999999997</v>
      </c>
      <c r="P444">
        <v>9.6039899999999996</v>
      </c>
      <c r="R444" s="259" t="e">
        <f t="shared" si="50"/>
        <v>#DIV/0!</v>
      </c>
      <c r="S444" s="260" t="e">
        <f t="shared" si="51"/>
        <v>#DIV/0!</v>
      </c>
      <c r="T444" s="261" t="e">
        <f t="shared" si="52"/>
        <v>#DIV/0!</v>
      </c>
      <c r="U444" s="261" t="e">
        <f t="shared" si="53"/>
        <v>#DIV/0!</v>
      </c>
      <c r="V444" s="262" t="e">
        <f t="shared" si="54"/>
        <v>#DIV/0!</v>
      </c>
      <c r="W444" s="262" t="e">
        <f t="shared" si="55"/>
        <v>#DIV/0!</v>
      </c>
      <c r="X444" s="263" t="e">
        <f>INDEX(#REF!,MATCH(COUNTA(H444:M444),#REF!,0),2)</f>
        <v>#REF!</v>
      </c>
      <c r="Y444" s="264" t="e">
        <f t="shared" si="56"/>
        <v>#DIV/0!</v>
      </c>
      <c r="Z444" s="260">
        <f t="shared" si="58"/>
        <v>0</v>
      </c>
      <c r="AD444" s="91" t="str">
        <f>PE_aug!AP433</f>
        <v>Straßenabfluss</v>
      </c>
    </row>
    <row r="445" spans="1:30">
      <c r="A445" s="314" t="s">
        <v>496</v>
      </c>
      <c r="N445">
        <v>0.70699999999999996</v>
      </c>
      <c r="O445">
        <v>0.46899999999999997</v>
      </c>
      <c r="P445">
        <v>12.9993</v>
      </c>
      <c r="Q445">
        <v>0.4</v>
      </c>
      <c r="R445" s="259" t="e">
        <f t="shared" si="50"/>
        <v>#DIV/0!</v>
      </c>
      <c r="S445" s="260" t="e">
        <f t="shared" si="51"/>
        <v>#DIV/0!</v>
      </c>
      <c r="T445" s="261" t="e">
        <f t="shared" si="52"/>
        <v>#DIV/0!</v>
      </c>
      <c r="U445" s="261" t="e">
        <f t="shared" si="53"/>
        <v>#DIV/0!</v>
      </c>
      <c r="V445" s="262" t="e">
        <f t="shared" si="54"/>
        <v>#DIV/0!</v>
      </c>
      <c r="W445" s="262" t="e">
        <f t="shared" si="55"/>
        <v>#DIV/0!</v>
      </c>
      <c r="X445" s="263" t="e">
        <f>INDEX(#REF!,MATCH(COUNTA(H445:M445),#REF!,0),2)</f>
        <v>#REF!</v>
      </c>
      <c r="Y445" s="264" t="e">
        <f t="shared" si="56"/>
        <v>#DIV/0!</v>
      </c>
      <c r="Z445" s="260">
        <f t="shared" si="58"/>
        <v>0</v>
      </c>
      <c r="AD445" s="91" t="str">
        <f>PE_aug!AP434</f>
        <v>Straßenabfluss</v>
      </c>
    </row>
    <row r="446" spans="1:30">
      <c r="A446" s="314" t="s">
        <v>497</v>
      </c>
      <c r="N446">
        <v>0.70699999999999996</v>
      </c>
      <c r="O446">
        <v>0.17399999999999999</v>
      </c>
      <c r="P446">
        <v>8.3272600000000008</v>
      </c>
      <c r="R446" s="259" t="e">
        <f t="shared" si="50"/>
        <v>#DIV/0!</v>
      </c>
      <c r="S446" s="260" t="e">
        <f t="shared" si="51"/>
        <v>#DIV/0!</v>
      </c>
      <c r="T446" s="261" t="e">
        <f t="shared" si="52"/>
        <v>#DIV/0!</v>
      </c>
      <c r="U446" s="261" t="e">
        <f t="shared" si="53"/>
        <v>#DIV/0!</v>
      </c>
      <c r="V446" s="262" t="e">
        <f t="shared" si="54"/>
        <v>#DIV/0!</v>
      </c>
      <c r="W446" s="262" t="e">
        <f t="shared" si="55"/>
        <v>#DIV/0!</v>
      </c>
      <c r="X446" s="263" t="e">
        <f>INDEX(#REF!,MATCH(COUNTA(H446:M446),#REF!,0),2)</f>
        <v>#REF!</v>
      </c>
      <c r="Y446" s="264" t="e">
        <f t="shared" si="56"/>
        <v>#DIV/0!</v>
      </c>
      <c r="Z446" s="260">
        <f t="shared" si="58"/>
        <v>0</v>
      </c>
      <c r="AD446" s="91" t="str">
        <f>PE_aug!AP435</f>
        <v>Straßenabfluss</v>
      </c>
    </row>
    <row r="447" spans="1:30">
      <c r="A447" s="314" t="s">
        <v>498</v>
      </c>
      <c r="N447">
        <v>0.70699999999999996</v>
      </c>
      <c r="O447">
        <v>0.17399999999999999</v>
      </c>
      <c r="P447">
        <v>5.5668749999999996</v>
      </c>
      <c r="R447" s="259" t="e">
        <f t="shared" si="50"/>
        <v>#DIV/0!</v>
      </c>
      <c r="S447" s="260" t="e">
        <f t="shared" si="51"/>
        <v>#DIV/0!</v>
      </c>
      <c r="T447" s="261" t="e">
        <f t="shared" si="52"/>
        <v>#DIV/0!</v>
      </c>
      <c r="U447" s="261" t="e">
        <f t="shared" si="53"/>
        <v>#DIV/0!</v>
      </c>
      <c r="V447" s="262" t="e">
        <f t="shared" si="54"/>
        <v>#DIV/0!</v>
      </c>
      <c r="W447" s="262" t="e">
        <f t="shared" si="55"/>
        <v>#DIV/0!</v>
      </c>
      <c r="X447" s="263" t="e">
        <f>INDEX(#REF!,MATCH(COUNTA(H447:M447),#REF!,0),2)</f>
        <v>#REF!</v>
      </c>
      <c r="Y447" s="264" t="e">
        <f t="shared" si="56"/>
        <v>#DIV/0!</v>
      </c>
      <c r="Z447" s="260">
        <f t="shared" si="58"/>
        <v>0</v>
      </c>
      <c r="AD447" s="91" t="str">
        <f>PE_aug!AP436</f>
        <v>Straßenabfluss</v>
      </c>
    </row>
    <row r="448" spans="1:30">
      <c r="A448" s="314" t="s">
        <v>499</v>
      </c>
      <c r="N448">
        <v>0.70699999999999996</v>
      </c>
      <c r="O448">
        <v>0.12</v>
      </c>
      <c r="P448">
        <v>10.570399999999999</v>
      </c>
      <c r="R448" s="259" t="e">
        <f t="shared" si="50"/>
        <v>#DIV/0!</v>
      </c>
      <c r="S448" s="260" t="e">
        <f t="shared" si="51"/>
        <v>#DIV/0!</v>
      </c>
      <c r="T448" s="261" t="e">
        <f t="shared" si="52"/>
        <v>#DIV/0!</v>
      </c>
      <c r="U448" s="261" t="e">
        <f t="shared" si="53"/>
        <v>#DIV/0!</v>
      </c>
      <c r="V448" s="262" t="e">
        <f t="shared" si="54"/>
        <v>#DIV/0!</v>
      </c>
      <c r="W448" s="262" t="e">
        <f t="shared" si="55"/>
        <v>#DIV/0!</v>
      </c>
      <c r="X448" s="263" t="e">
        <f>INDEX(#REF!,MATCH(COUNTA(H448:M448),#REF!,0),2)</f>
        <v>#REF!</v>
      </c>
      <c r="Y448" s="264" t="e">
        <f t="shared" si="56"/>
        <v>#DIV/0!</v>
      </c>
      <c r="Z448" s="260">
        <f t="shared" si="58"/>
        <v>0</v>
      </c>
      <c r="AD448" s="91" t="str">
        <f>PE_aug!AP437</f>
        <v>Straßenabfluss</v>
      </c>
    </row>
    <row r="449" spans="1:30">
      <c r="A449" s="314" t="s">
        <v>500</v>
      </c>
      <c r="N449">
        <v>0.70699999999999996</v>
      </c>
      <c r="O449">
        <v>0.12</v>
      </c>
      <c r="P449">
        <v>7.1077349999999999</v>
      </c>
      <c r="R449" s="259" t="e">
        <f t="shared" si="50"/>
        <v>#DIV/0!</v>
      </c>
      <c r="S449" s="260" t="e">
        <f t="shared" si="51"/>
        <v>#DIV/0!</v>
      </c>
      <c r="T449" s="261" t="e">
        <f t="shared" si="52"/>
        <v>#DIV/0!</v>
      </c>
      <c r="U449" s="261" t="e">
        <f t="shared" si="53"/>
        <v>#DIV/0!</v>
      </c>
      <c r="V449" s="262" t="e">
        <f t="shared" si="54"/>
        <v>#DIV/0!</v>
      </c>
      <c r="W449" s="262" t="e">
        <f t="shared" si="55"/>
        <v>#DIV/0!</v>
      </c>
      <c r="X449" s="263" t="e">
        <f>INDEX(#REF!,MATCH(COUNTA(H449:M449),#REF!,0),2)</f>
        <v>#REF!</v>
      </c>
      <c r="Y449" s="264" t="e">
        <f t="shared" si="56"/>
        <v>#DIV/0!</v>
      </c>
      <c r="Z449" s="260">
        <f t="shared" si="58"/>
        <v>0</v>
      </c>
      <c r="AD449" s="91" t="str">
        <f>PE_aug!AP438</f>
        <v>Straßenabfluss</v>
      </c>
    </row>
    <row r="450" spans="1:30">
      <c r="A450" s="322" t="s">
        <v>501</v>
      </c>
      <c r="P450">
        <v>8.5403399999999987</v>
      </c>
      <c r="R450" s="259" t="e">
        <f t="shared" ref="R450:R466" si="59">IF(COUNT(H450:M450)=1,0.16,(COUNT(H450:M450)*(1/(COUNT(H450:M450)+COUNTBLANK(H450:M450)))+(IF(T450&lt;35,1,IF(T450&lt;70,0.5,IF(T450&gt;70,0)))))/2)</f>
        <v>#DIV/0!</v>
      </c>
      <c r="S450" s="260" t="e">
        <f t="shared" ref="S450:S513" si="60">AVERAGE(Q450:R450)</f>
        <v>#DIV/0!</v>
      </c>
      <c r="T450" s="261" t="e">
        <f t="shared" ref="T450:T466" si="61">((_xlfn.STDEV.P(H450:M450))/(AVERAGE(H450:M450)))*100</f>
        <v>#DIV/0!</v>
      </c>
      <c r="U450" s="261" t="e">
        <f t="shared" ref="U450:U466" si="62">((_xlfn.STDEV.P(B450:G450))/(AVERAGE(B450:G450)))*100</f>
        <v>#DIV/0!</v>
      </c>
      <c r="V450" s="262" t="e">
        <f t="shared" ref="V450:V466" si="63">(ABS(MIN(H450:M450)-AVERAGE(H450:M450))/_xlfn.STDEV.P(H450:M450))</f>
        <v>#DIV/0!</v>
      </c>
      <c r="W450" s="262" t="e">
        <f t="shared" ref="W450:W466" si="64">(ABS(MAX(H450:M450)-AVERAGE(H450:M450))/_xlfn.STDEV.P(H450:M450))</f>
        <v>#DIV/0!</v>
      </c>
      <c r="X450" s="263" t="e">
        <f>INDEX(#REF!,MATCH(COUNTA(H450:M450),#REF!,0),2)</f>
        <v>#REF!</v>
      </c>
      <c r="Y450" s="264" t="e">
        <f t="shared" ref="Y450:Y466" si="65">AVERAGE(H450:M450)</f>
        <v>#DIV/0!</v>
      </c>
      <c r="Z450" s="260">
        <f t="shared" si="58"/>
        <v>0</v>
      </c>
      <c r="AD450" s="91" t="str">
        <f>PE_aug!AP439</f>
        <v>KWS, Methode</v>
      </c>
    </row>
    <row r="451" spans="1:30">
      <c r="A451" s="322" t="s">
        <v>502</v>
      </c>
      <c r="P451">
        <v>5.9147600000000002E-2</v>
      </c>
      <c r="R451" s="259" t="e">
        <f t="shared" si="59"/>
        <v>#DIV/0!</v>
      </c>
      <c r="S451" s="260" t="e">
        <f t="shared" si="60"/>
        <v>#DIV/0!</v>
      </c>
      <c r="T451" s="261" t="e">
        <f t="shared" si="61"/>
        <v>#DIV/0!</v>
      </c>
      <c r="U451" s="261" t="e">
        <f t="shared" si="62"/>
        <v>#DIV/0!</v>
      </c>
      <c r="V451" s="262" t="e">
        <f t="shared" si="63"/>
        <v>#DIV/0!</v>
      </c>
      <c r="W451" s="262" t="e">
        <f t="shared" si="64"/>
        <v>#DIV/0!</v>
      </c>
      <c r="X451" s="263" t="e">
        <f>INDEX(#REF!,MATCH(COUNTA(H451:M451),#REF!,0),2)</f>
        <v>#REF!</v>
      </c>
      <c r="Y451" s="264" t="e">
        <f t="shared" si="65"/>
        <v>#DIV/0!</v>
      </c>
      <c r="Z451" s="260">
        <f t="shared" si="58"/>
        <v>0</v>
      </c>
      <c r="AD451" s="91" t="str">
        <f>PE_aug!AP440</f>
        <v>Methode</v>
      </c>
    </row>
    <row r="452" spans="1:30">
      <c r="A452" s="322" t="s">
        <v>503</v>
      </c>
      <c r="N452">
        <v>0.70699999999999996</v>
      </c>
      <c r="O452">
        <v>0.152</v>
      </c>
      <c r="P452">
        <v>9.0048200000000005</v>
      </c>
      <c r="R452" s="259" t="e">
        <f t="shared" si="59"/>
        <v>#DIV/0!</v>
      </c>
      <c r="S452" s="260" t="e">
        <f t="shared" si="60"/>
        <v>#DIV/0!</v>
      </c>
      <c r="T452" s="261" t="e">
        <f t="shared" si="61"/>
        <v>#DIV/0!</v>
      </c>
      <c r="U452" s="261" t="e">
        <f t="shared" si="62"/>
        <v>#DIV/0!</v>
      </c>
      <c r="V452" s="262" t="e">
        <f t="shared" si="63"/>
        <v>#DIV/0!</v>
      </c>
      <c r="W452" s="262" t="e">
        <f t="shared" si="64"/>
        <v>#DIV/0!</v>
      </c>
      <c r="X452" s="263" t="e">
        <f>INDEX(#REF!,MATCH(COUNTA(H452:M452),#REF!,0),2)</f>
        <v>#REF!</v>
      </c>
      <c r="Y452" s="264" t="e">
        <f t="shared" si="65"/>
        <v>#DIV/0!</v>
      </c>
      <c r="Z452" s="260">
        <f t="shared" si="58"/>
        <v>0</v>
      </c>
      <c r="AD452" s="91" t="str">
        <f>PE_aug!AP441</f>
        <v>Straßenabfluss</v>
      </c>
    </row>
    <row r="453" spans="1:30">
      <c r="A453" s="322" t="s">
        <v>504</v>
      </c>
      <c r="N453">
        <v>0.70699999999999996</v>
      </c>
      <c r="O453">
        <v>0.152</v>
      </c>
      <c r="P453">
        <v>7.3795650000000004</v>
      </c>
      <c r="R453" s="259" t="e">
        <f t="shared" si="59"/>
        <v>#DIV/0!</v>
      </c>
      <c r="S453" s="260" t="e">
        <f t="shared" si="60"/>
        <v>#DIV/0!</v>
      </c>
      <c r="T453" s="261" t="e">
        <f t="shared" si="61"/>
        <v>#DIV/0!</v>
      </c>
      <c r="U453" s="261" t="e">
        <f t="shared" si="62"/>
        <v>#DIV/0!</v>
      </c>
      <c r="V453" s="262" t="e">
        <f t="shared" si="63"/>
        <v>#DIV/0!</v>
      </c>
      <c r="W453" s="262" t="e">
        <f t="shared" si="64"/>
        <v>#DIV/0!</v>
      </c>
      <c r="X453" s="263" t="e">
        <f>INDEX(#REF!,MATCH(COUNTA(H453:M453),#REF!,0),2)</f>
        <v>#REF!</v>
      </c>
      <c r="Y453" s="264" t="e">
        <f t="shared" si="65"/>
        <v>#DIV/0!</v>
      </c>
      <c r="Z453" s="260">
        <f t="shared" si="58"/>
        <v>0</v>
      </c>
      <c r="AD453" s="91" t="str">
        <f>PE_aug!AP442</f>
        <v>Straßenabfluss</v>
      </c>
    </row>
    <row r="454" spans="1:30">
      <c r="A454" s="322" t="s">
        <v>505</v>
      </c>
      <c r="P454">
        <v>4.4695199999999993</v>
      </c>
      <c r="R454" s="259" t="e">
        <f t="shared" si="59"/>
        <v>#DIV/0!</v>
      </c>
      <c r="S454" s="260" t="e">
        <f t="shared" si="60"/>
        <v>#DIV/0!</v>
      </c>
      <c r="T454" s="261" t="e">
        <f t="shared" si="61"/>
        <v>#DIV/0!</v>
      </c>
      <c r="U454" s="261" t="e">
        <f t="shared" si="62"/>
        <v>#DIV/0!</v>
      </c>
      <c r="V454" s="262" t="e">
        <f t="shared" si="63"/>
        <v>#DIV/0!</v>
      </c>
      <c r="W454" s="262" t="e">
        <f t="shared" si="64"/>
        <v>#DIV/0!</v>
      </c>
      <c r="X454" s="263" t="e">
        <f>INDEX(#REF!,MATCH(COUNTA(H454:M454),#REF!,0),2)</f>
        <v>#REF!</v>
      </c>
      <c r="Y454" s="264" t="e">
        <f t="shared" si="65"/>
        <v>#DIV/0!</v>
      </c>
      <c r="Z454" s="260">
        <f t="shared" si="58"/>
        <v>0</v>
      </c>
      <c r="AD454" s="91" t="str">
        <f>PE_aug!AP443</f>
        <v>Straßenabfluss</v>
      </c>
    </row>
    <row r="455" spans="1:30">
      <c r="A455" s="322" t="s">
        <v>506</v>
      </c>
      <c r="N455">
        <v>0.70699999999999996</v>
      </c>
      <c r="O455">
        <v>0.16500000000000001</v>
      </c>
      <c r="P455">
        <v>7.4709699999999986</v>
      </c>
      <c r="R455" s="259" t="e">
        <f t="shared" si="59"/>
        <v>#DIV/0!</v>
      </c>
      <c r="S455" s="260" t="e">
        <f t="shared" si="60"/>
        <v>#DIV/0!</v>
      </c>
      <c r="T455" s="261" t="e">
        <f t="shared" si="61"/>
        <v>#DIV/0!</v>
      </c>
      <c r="U455" s="261" t="e">
        <f t="shared" si="62"/>
        <v>#DIV/0!</v>
      </c>
      <c r="V455" s="262" t="e">
        <f t="shared" si="63"/>
        <v>#DIV/0!</v>
      </c>
      <c r="W455" s="262" t="e">
        <f t="shared" si="64"/>
        <v>#DIV/0!</v>
      </c>
      <c r="X455" s="263" t="e">
        <f>INDEX(#REF!,MATCH(COUNTA(H455:M455),#REF!,0),2)</f>
        <v>#REF!</v>
      </c>
      <c r="Y455" s="264" t="e">
        <f t="shared" si="65"/>
        <v>#DIV/0!</v>
      </c>
      <c r="Z455" s="260">
        <f t="shared" si="58"/>
        <v>0</v>
      </c>
      <c r="AD455" s="91" t="str">
        <f>PE_aug!AP444</f>
        <v>Straßenabfluss</v>
      </c>
    </row>
    <row r="456" spans="1:30">
      <c r="A456" s="322" t="s">
        <v>507</v>
      </c>
      <c r="N456">
        <v>0.70699999999999996</v>
      </c>
      <c r="O456">
        <v>0.16500000000000001</v>
      </c>
      <c r="P456">
        <v>5.5076400000000003</v>
      </c>
      <c r="R456" s="259" t="e">
        <f t="shared" si="59"/>
        <v>#DIV/0!</v>
      </c>
      <c r="S456" s="260" t="e">
        <f t="shared" si="60"/>
        <v>#DIV/0!</v>
      </c>
      <c r="T456" s="261" t="e">
        <f t="shared" si="61"/>
        <v>#DIV/0!</v>
      </c>
      <c r="U456" s="261" t="e">
        <f t="shared" si="62"/>
        <v>#DIV/0!</v>
      </c>
      <c r="V456" s="262" t="e">
        <f t="shared" si="63"/>
        <v>#DIV/0!</v>
      </c>
      <c r="W456" s="262" t="e">
        <f t="shared" si="64"/>
        <v>#DIV/0!</v>
      </c>
      <c r="X456" s="263" t="e">
        <f>INDEX(#REF!,MATCH(COUNTA(H456:M456),#REF!,0),2)</f>
        <v>#REF!</v>
      </c>
      <c r="Y456" s="264" t="e">
        <f t="shared" si="65"/>
        <v>#DIV/0!</v>
      </c>
      <c r="Z456" s="260">
        <f t="shared" si="58"/>
        <v>0</v>
      </c>
      <c r="AD456" s="91" t="str">
        <f>PE_aug!AP445</f>
        <v>Straßenabfluss</v>
      </c>
    </row>
    <row r="457" spans="1:30">
      <c r="A457" s="322" t="s">
        <v>508</v>
      </c>
      <c r="N457">
        <v>0.70699999999999996</v>
      </c>
      <c r="O457">
        <v>0.20300000000000001</v>
      </c>
      <c r="P457">
        <v>5.2079999999999993</v>
      </c>
      <c r="R457" s="259" t="e">
        <f t="shared" si="59"/>
        <v>#DIV/0!</v>
      </c>
      <c r="S457" s="260" t="e">
        <f t="shared" si="60"/>
        <v>#DIV/0!</v>
      </c>
      <c r="T457" s="261" t="e">
        <f t="shared" si="61"/>
        <v>#DIV/0!</v>
      </c>
      <c r="U457" s="261" t="e">
        <f t="shared" si="62"/>
        <v>#DIV/0!</v>
      </c>
      <c r="V457" s="262" t="e">
        <f t="shared" si="63"/>
        <v>#DIV/0!</v>
      </c>
      <c r="W457" s="262" t="e">
        <f t="shared" si="64"/>
        <v>#DIV/0!</v>
      </c>
      <c r="X457" s="263" t="e">
        <f>INDEX(#REF!,MATCH(COUNTA(H457:M457),#REF!,0),2)</f>
        <v>#REF!</v>
      </c>
      <c r="Y457" s="264" t="e">
        <f t="shared" si="65"/>
        <v>#DIV/0!</v>
      </c>
      <c r="Z457" s="260">
        <f t="shared" si="58"/>
        <v>0</v>
      </c>
      <c r="AD457" s="91" t="str">
        <f>PE_aug!AP446</f>
        <v>Straßenabfluss</v>
      </c>
    </row>
    <row r="458" spans="1:30">
      <c r="A458" s="322" t="s">
        <v>509</v>
      </c>
      <c r="N458">
        <v>0.70699999999999996</v>
      </c>
      <c r="O458">
        <v>0.20300000000000001</v>
      </c>
      <c r="P458">
        <v>7.9878200000000001</v>
      </c>
      <c r="R458" s="259" t="e">
        <f t="shared" si="59"/>
        <v>#DIV/0!</v>
      </c>
      <c r="S458" s="260" t="e">
        <f t="shared" si="60"/>
        <v>#DIV/0!</v>
      </c>
      <c r="T458" s="261" t="e">
        <f t="shared" si="61"/>
        <v>#DIV/0!</v>
      </c>
      <c r="U458" s="261" t="e">
        <f t="shared" si="62"/>
        <v>#DIV/0!</v>
      </c>
      <c r="V458" s="262" t="e">
        <f t="shared" si="63"/>
        <v>#DIV/0!</v>
      </c>
      <c r="W458" s="262" t="e">
        <f t="shared" si="64"/>
        <v>#DIV/0!</v>
      </c>
      <c r="X458" s="263" t="e">
        <f>INDEX(#REF!,MATCH(COUNTA(H458:M458),#REF!,0),2)</f>
        <v>#REF!</v>
      </c>
      <c r="Y458" s="264" t="e">
        <f t="shared" si="65"/>
        <v>#DIV/0!</v>
      </c>
      <c r="Z458" s="260">
        <f t="shared" si="58"/>
        <v>0</v>
      </c>
      <c r="AD458" s="91" t="str">
        <f>PE_aug!AP447</f>
        <v>Straßenabfluss</v>
      </c>
    </row>
    <row r="459" spans="1:30">
      <c r="A459" s="322" t="s">
        <v>510</v>
      </c>
      <c r="N459">
        <v>0.70699999999999996</v>
      </c>
      <c r="O459">
        <v>0.42699999999999999</v>
      </c>
      <c r="P459">
        <v>5.3934150000000001</v>
      </c>
      <c r="R459" s="259" t="e">
        <f t="shared" si="59"/>
        <v>#DIV/0!</v>
      </c>
      <c r="S459" s="260" t="e">
        <f t="shared" si="60"/>
        <v>#DIV/0!</v>
      </c>
      <c r="T459" s="261" t="e">
        <f t="shared" si="61"/>
        <v>#DIV/0!</v>
      </c>
      <c r="U459" s="261" t="e">
        <f t="shared" si="62"/>
        <v>#DIV/0!</v>
      </c>
      <c r="V459" s="262" t="e">
        <f t="shared" si="63"/>
        <v>#DIV/0!</v>
      </c>
      <c r="W459" s="262" t="e">
        <f t="shared" si="64"/>
        <v>#DIV/0!</v>
      </c>
      <c r="X459" s="263" t="e">
        <f>INDEX(#REF!,MATCH(COUNTA(H459:M459),#REF!,0),2)</f>
        <v>#REF!</v>
      </c>
      <c r="Y459" s="264" t="e">
        <f t="shared" si="65"/>
        <v>#DIV/0!</v>
      </c>
      <c r="Z459" s="260">
        <f t="shared" si="58"/>
        <v>0</v>
      </c>
      <c r="AD459" s="91" t="str">
        <f>PE_aug!AP448</f>
        <v>Straßenabfluss</v>
      </c>
    </row>
    <row r="460" spans="1:30">
      <c r="A460" s="322" t="s">
        <v>511</v>
      </c>
      <c r="N460">
        <v>0.70699999999999996</v>
      </c>
      <c r="O460">
        <v>0.42699999999999999</v>
      </c>
      <c r="P460">
        <v>8.8179449999999999</v>
      </c>
      <c r="R460" s="259" t="e">
        <f t="shared" si="59"/>
        <v>#DIV/0!</v>
      </c>
      <c r="S460" s="260" t="e">
        <f t="shared" si="60"/>
        <v>#DIV/0!</v>
      </c>
      <c r="T460" s="261" t="e">
        <f t="shared" si="61"/>
        <v>#DIV/0!</v>
      </c>
      <c r="U460" s="261" t="e">
        <f t="shared" si="62"/>
        <v>#DIV/0!</v>
      </c>
      <c r="V460" s="262" t="e">
        <f t="shared" si="63"/>
        <v>#DIV/0!</v>
      </c>
      <c r="W460" s="262" t="e">
        <f t="shared" si="64"/>
        <v>#DIV/0!</v>
      </c>
      <c r="X460" s="263" t="e">
        <f>INDEX(#REF!,MATCH(COUNTA(H460:M460),#REF!,0),2)</f>
        <v>#REF!</v>
      </c>
      <c r="Y460" s="264" t="e">
        <f t="shared" si="65"/>
        <v>#DIV/0!</v>
      </c>
      <c r="Z460" s="260">
        <f t="shared" si="58"/>
        <v>0</v>
      </c>
      <c r="AD460" s="91" t="str">
        <f>PE_aug!AP449</f>
        <v>Straßenabfluss</v>
      </c>
    </row>
    <row r="461" spans="1:30">
      <c r="A461" s="322" t="s">
        <v>512</v>
      </c>
      <c r="N461">
        <v>0.70699999999999996</v>
      </c>
      <c r="O461">
        <v>0.22</v>
      </c>
      <c r="P461">
        <v>20.2043</v>
      </c>
      <c r="R461" s="259" t="e">
        <f t="shared" si="59"/>
        <v>#DIV/0!</v>
      </c>
      <c r="S461" s="260" t="e">
        <f t="shared" si="60"/>
        <v>#DIV/0!</v>
      </c>
      <c r="T461" s="261" t="e">
        <f t="shared" si="61"/>
        <v>#DIV/0!</v>
      </c>
      <c r="U461" s="261" t="e">
        <f t="shared" si="62"/>
        <v>#DIV/0!</v>
      </c>
      <c r="V461" s="262" t="e">
        <f t="shared" si="63"/>
        <v>#DIV/0!</v>
      </c>
      <c r="W461" s="262" t="e">
        <f t="shared" si="64"/>
        <v>#DIV/0!</v>
      </c>
      <c r="X461" s="263" t="e">
        <f>INDEX(#REF!,MATCH(COUNTA(H461:M461),#REF!,0),2)</f>
        <v>#REF!</v>
      </c>
      <c r="Y461" s="264" t="e">
        <f t="shared" si="65"/>
        <v>#DIV/0!</v>
      </c>
      <c r="Z461" s="260">
        <f t="shared" ref="Z461:Z492" si="66">IFERROR(Y461/P461,0)</f>
        <v>0</v>
      </c>
      <c r="AD461" s="91" t="str">
        <f>PE_aug!AP450</f>
        <v>Straßenabfluss</v>
      </c>
    </row>
    <row r="462" spans="1:30">
      <c r="A462" s="322" t="s">
        <v>513</v>
      </c>
      <c r="N462">
        <v>0.70699999999999996</v>
      </c>
      <c r="O462">
        <v>0.22</v>
      </c>
      <c r="P462">
        <v>29.867599999999999</v>
      </c>
      <c r="R462" s="259" t="e">
        <f t="shared" si="59"/>
        <v>#DIV/0!</v>
      </c>
      <c r="S462" s="260" t="e">
        <f t="shared" si="60"/>
        <v>#DIV/0!</v>
      </c>
      <c r="T462" s="261" t="e">
        <f t="shared" si="61"/>
        <v>#DIV/0!</v>
      </c>
      <c r="U462" s="261" t="e">
        <f t="shared" si="62"/>
        <v>#DIV/0!</v>
      </c>
      <c r="V462" s="262" t="e">
        <f t="shared" si="63"/>
        <v>#DIV/0!</v>
      </c>
      <c r="W462" s="262" t="e">
        <f t="shared" si="64"/>
        <v>#DIV/0!</v>
      </c>
      <c r="X462" s="263" t="e">
        <f>INDEX(#REF!,MATCH(COUNTA(H462:M462),#REF!,0),2)</f>
        <v>#REF!</v>
      </c>
      <c r="Y462" s="264" t="e">
        <f t="shared" si="65"/>
        <v>#DIV/0!</v>
      </c>
      <c r="Z462" s="260">
        <f t="shared" si="66"/>
        <v>0</v>
      </c>
      <c r="AD462" s="91" t="str">
        <f>PE_aug!AP451</f>
        <v>Straßenabfluss</v>
      </c>
    </row>
    <row r="463" spans="1:30">
      <c r="A463" s="322" t="s">
        <v>514</v>
      </c>
      <c r="N463">
        <v>0.70699999999999996</v>
      </c>
      <c r="O463">
        <v>0.34499999999999997</v>
      </c>
      <c r="P463">
        <v>2.8785050000000001</v>
      </c>
      <c r="R463" s="259" t="e">
        <f t="shared" si="59"/>
        <v>#DIV/0!</v>
      </c>
      <c r="S463" s="260" t="e">
        <f t="shared" si="60"/>
        <v>#DIV/0!</v>
      </c>
      <c r="T463" s="261" t="e">
        <f t="shared" si="61"/>
        <v>#DIV/0!</v>
      </c>
      <c r="U463" s="261" t="e">
        <f t="shared" si="62"/>
        <v>#DIV/0!</v>
      </c>
      <c r="V463" s="262" t="e">
        <f t="shared" si="63"/>
        <v>#DIV/0!</v>
      </c>
      <c r="W463" s="262" t="e">
        <f t="shared" si="64"/>
        <v>#DIV/0!</v>
      </c>
      <c r="X463" s="263" t="e">
        <f>INDEX(#REF!,MATCH(COUNTA(H463:M463),#REF!,0),2)</f>
        <v>#REF!</v>
      </c>
      <c r="Y463" s="264" t="e">
        <f t="shared" si="65"/>
        <v>#DIV/0!</v>
      </c>
      <c r="Z463" s="260">
        <f t="shared" si="66"/>
        <v>0</v>
      </c>
      <c r="AD463" s="91" t="str">
        <f>PE_aug!AP452</f>
        <v>Straßenabfluss</v>
      </c>
    </row>
    <row r="464" spans="1:30">
      <c r="A464" s="322" t="s">
        <v>515</v>
      </c>
      <c r="N464">
        <v>0.70699999999999996</v>
      </c>
      <c r="O464">
        <v>0.34499999999999997</v>
      </c>
      <c r="P464">
        <v>2.8527499999999999</v>
      </c>
      <c r="R464" s="259" t="e">
        <f t="shared" si="59"/>
        <v>#DIV/0!</v>
      </c>
      <c r="S464" s="260" t="e">
        <f t="shared" si="60"/>
        <v>#DIV/0!</v>
      </c>
      <c r="T464" s="261" t="e">
        <f t="shared" si="61"/>
        <v>#DIV/0!</v>
      </c>
      <c r="U464" s="261" t="e">
        <f t="shared" si="62"/>
        <v>#DIV/0!</v>
      </c>
      <c r="V464" s="262" t="e">
        <f t="shared" si="63"/>
        <v>#DIV/0!</v>
      </c>
      <c r="W464" s="262" t="e">
        <f t="shared" si="64"/>
        <v>#DIV/0!</v>
      </c>
      <c r="X464" s="263" t="e">
        <f>INDEX(#REF!,MATCH(COUNTA(H464:M464),#REF!,0),2)</f>
        <v>#REF!</v>
      </c>
      <c r="Y464" s="264" t="e">
        <f t="shared" si="65"/>
        <v>#DIV/0!</v>
      </c>
      <c r="Z464" s="260">
        <f t="shared" si="66"/>
        <v>0</v>
      </c>
      <c r="AD464" s="91" t="str">
        <f>PE_aug!AP453</f>
        <v>Straßenabfluss</v>
      </c>
    </row>
    <row r="465" spans="1:30">
      <c r="A465" s="322" t="s">
        <v>516</v>
      </c>
      <c r="N465">
        <v>0.70699999999999996</v>
      </c>
      <c r="O465">
        <v>3.5000000000000003E-2</v>
      </c>
      <c r="P465">
        <v>3.5029300000000001</v>
      </c>
      <c r="R465" s="259" t="e">
        <f t="shared" si="59"/>
        <v>#DIV/0!</v>
      </c>
      <c r="S465" s="260" t="e">
        <f t="shared" si="60"/>
        <v>#DIV/0!</v>
      </c>
      <c r="T465" s="261" t="e">
        <f t="shared" si="61"/>
        <v>#DIV/0!</v>
      </c>
      <c r="U465" s="261" t="e">
        <f t="shared" si="62"/>
        <v>#DIV/0!</v>
      </c>
      <c r="V465" s="262" t="e">
        <f t="shared" si="63"/>
        <v>#DIV/0!</v>
      </c>
      <c r="W465" s="262" t="e">
        <f t="shared" si="64"/>
        <v>#DIV/0!</v>
      </c>
      <c r="X465" s="263" t="e">
        <f>INDEX(#REF!,MATCH(COUNTA(H465:M465),#REF!,0),2)</f>
        <v>#REF!</v>
      </c>
      <c r="Y465" s="264" t="e">
        <f t="shared" si="65"/>
        <v>#DIV/0!</v>
      </c>
      <c r="Z465" s="260">
        <f t="shared" si="66"/>
        <v>0</v>
      </c>
      <c r="AD465" s="91" t="str">
        <f>PE_aug!AP454</f>
        <v>Straßenabfluss</v>
      </c>
    </row>
    <row r="466" spans="1:30">
      <c r="A466" s="322" t="s">
        <v>517</v>
      </c>
      <c r="N466">
        <v>0.70699999999999996</v>
      </c>
      <c r="O466">
        <v>3.5000000000000003E-2</v>
      </c>
      <c r="P466">
        <v>3.8363700000000001</v>
      </c>
      <c r="R466" s="259" t="e">
        <f t="shared" si="59"/>
        <v>#DIV/0!</v>
      </c>
      <c r="S466" s="260" t="e">
        <f t="shared" si="60"/>
        <v>#DIV/0!</v>
      </c>
      <c r="T466" s="261" t="e">
        <f t="shared" si="61"/>
        <v>#DIV/0!</v>
      </c>
      <c r="U466" s="261" t="e">
        <f t="shared" si="62"/>
        <v>#DIV/0!</v>
      </c>
      <c r="V466" s="262" t="e">
        <f t="shared" si="63"/>
        <v>#DIV/0!</v>
      </c>
      <c r="W466" s="262" t="e">
        <f t="shared" si="64"/>
        <v>#DIV/0!</v>
      </c>
      <c r="X466" s="263" t="e">
        <f>INDEX(#REF!,MATCH(COUNTA(H466:M466),#REF!,0),2)</f>
        <v>#REF!</v>
      </c>
      <c r="Y466" s="264" t="e">
        <f t="shared" si="65"/>
        <v>#DIV/0!</v>
      </c>
      <c r="Z466" s="260">
        <f t="shared" si="66"/>
        <v>0</v>
      </c>
      <c r="AD466" s="91" t="str">
        <f>PE_aug!AP455</f>
        <v>Straßenabfluss</v>
      </c>
    </row>
    <row r="467" spans="1:30">
      <c r="A467" s="327" t="s">
        <v>518</v>
      </c>
      <c r="H467"/>
      <c r="I467"/>
      <c r="J467"/>
      <c r="K467"/>
      <c r="L467"/>
      <c r="M467"/>
      <c r="N467">
        <v>1.077</v>
      </c>
      <c r="O467">
        <v>0.317</v>
      </c>
      <c r="P467">
        <v>10.067399999999999</v>
      </c>
    </row>
    <row r="468" spans="1:30">
      <c r="A468" s="327" t="s">
        <v>519</v>
      </c>
      <c r="H468"/>
      <c r="I468"/>
      <c r="J468"/>
      <c r="K468"/>
      <c r="L468"/>
      <c r="M468"/>
      <c r="N468">
        <v>0.191</v>
      </c>
      <c r="O468">
        <v>0.317</v>
      </c>
      <c r="P468">
        <v>16.639399999999998</v>
      </c>
    </row>
    <row r="469" spans="1:30">
      <c r="A469" s="327" t="s">
        <v>520</v>
      </c>
      <c r="H469"/>
      <c r="I469"/>
      <c r="J469"/>
      <c r="K469"/>
      <c r="L469"/>
      <c r="M469"/>
      <c r="N469">
        <v>0.89200000000000002</v>
      </c>
      <c r="O469">
        <v>0.317</v>
      </c>
      <c r="P469">
        <v>22.4757</v>
      </c>
    </row>
    <row r="470" spans="1:30">
      <c r="A470" s="327" t="s">
        <v>521</v>
      </c>
      <c r="H470"/>
      <c r="I470"/>
      <c r="J470"/>
      <c r="K470"/>
      <c r="L470"/>
      <c r="M470"/>
      <c r="N470">
        <v>0.51300000000000001</v>
      </c>
      <c r="O470">
        <v>6.6000000000000003E-2</v>
      </c>
      <c r="P470">
        <v>15.794600000000001</v>
      </c>
    </row>
    <row r="471" spans="1:30">
      <c r="A471" s="327" t="s">
        <v>522</v>
      </c>
      <c r="H471"/>
      <c r="I471"/>
      <c r="J471"/>
      <c r="K471"/>
      <c r="L471"/>
      <c r="M471"/>
      <c r="N471">
        <v>1.075</v>
      </c>
      <c r="O471">
        <v>6.6000000000000003E-2</v>
      </c>
      <c r="P471">
        <v>9.8204600000000006</v>
      </c>
    </row>
    <row r="472" spans="1:30">
      <c r="A472" s="327" t="s">
        <v>523</v>
      </c>
      <c r="H472"/>
      <c r="I472"/>
      <c r="J472"/>
      <c r="K472"/>
      <c r="L472"/>
      <c r="M472"/>
      <c r="N472">
        <v>0.66700000000000004</v>
      </c>
      <c r="O472">
        <v>6.6000000000000003E-2</v>
      </c>
      <c r="P472">
        <v>22.010100000000001</v>
      </c>
    </row>
    <row r="473" spans="1:30">
      <c r="A473" s="327" t="s">
        <v>524</v>
      </c>
      <c r="H473"/>
      <c r="I473"/>
      <c r="J473"/>
      <c r="K473"/>
      <c r="L473"/>
      <c r="M473"/>
      <c r="N473">
        <v>0.79500000000000004</v>
      </c>
      <c r="O473">
        <v>0.19</v>
      </c>
      <c r="P473">
        <v>7.557525</v>
      </c>
    </row>
    <row r="474" spans="1:30">
      <c r="A474" s="327" t="s">
        <v>525</v>
      </c>
      <c r="H474"/>
      <c r="I474"/>
      <c r="J474"/>
      <c r="K474"/>
      <c r="L474"/>
      <c r="M474"/>
      <c r="N474">
        <v>0.315</v>
      </c>
      <c r="O474">
        <v>0.19</v>
      </c>
      <c r="P474">
        <v>12.8439</v>
      </c>
    </row>
    <row r="475" spans="1:30">
      <c r="A475" s="327" t="s">
        <v>526</v>
      </c>
      <c r="H475"/>
      <c r="I475"/>
      <c r="J475"/>
      <c r="K475"/>
      <c r="L475"/>
      <c r="M475"/>
      <c r="N475">
        <v>1.105</v>
      </c>
      <c r="O475">
        <v>0.19</v>
      </c>
      <c r="P475">
        <v>19.5275</v>
      </c>
    </row>
    <row r="476" spans="1:30">
      <c r="A476" s="327" t="s">
        <v>527</v>
      </c>
      <c r="H476"/>
      <c r="I476"/>
      <c r="J476"/>
      <c r="K476"/>
      <c r="L476"/>
      <c r="M476"/>
      <c r="N476">
        <v>1.0509999999999999</v>
      </c>
      <c r="O476">
        <v>5.2999999999999999E-2</v>
      </c>
      <c r="P476">
        <v>11.5001</v>
      </c>
    </row>
    <row r="477" spans="1:30">
      <c r="A477" s="327" t="s">
        <v>528</v>
      </c>
      <c r="H477"/>
      <c r="I477"/>
      <c r="J477"/>
      <c r="K477"/>
      <c r="L477"/>
      <c r="M477"/>
      <c r="N477">
        <v>0.20499999999999999</v>
      </c>
      <c r="O477">
        <v>5.2999999999999999E-2</v>
      </c>
      <c r="P477">
        <v>14.7828</v>
      </c>
    </row>
    <row r="478" spans="1:30">
      <c r="A478" s="327" t="s">
        <v>529</v>
      </c>
      <c r="H478"/>
      <c r="I478"/>
      <c r="J478"/>
      <c r="K478"/>
      <c r="L478"/>
      <c r="M478"/>
      <c r="N478">
        <v>0.90200000000000002</v>
      </c>
      <c r="O478">
        <v>5.2999999999999999E-2</v>
      </c>
      <c r="P478">
        <v>15.0672</v>
      </c>
    </row>
    <row r="479" spans="1:30">
      <c r="A479" s="327" t="s">
        <v>530</v>
      </c>
      <c r="H479"/>
      <c r="I479"/>
      <c r="J479"/>
      <c r="K479"/>
      <c r="L479"/>
      <c r="M479"/>
      <c r="N479">
        <v>0.79700000000000004</v>
      </c>
      <c r="O479">
        <v>2.7E-2</v>
      </c>
      <c r="P479">
        <v>10.63255</v>
      </c>
    </row>
    <row r="480" spans="1:30">
      <c r="A480" s="327" t="s">
        <v>531</v>
      </c>
      <c r="H480"/>
      <c r="I480"/>
      <c r="J480"/>
      <c r="K480"/>
      <c r="L480"/>
      <c r="M480"/>
      <c r="N480">
        <v>0.626</v>
      </c>
      <c r="O480">
        <v>2.7E-2</v>
      </c>
      <c r="P480">
        <v>10.5519</v>
      </c>
    </row>
    <row r="481" spans="1:16">
      <c r="A481" s="327" t="s">
        <v>532</v>
      </c>
      <c r="H481"/>
      <c r="I481"/>
      <c r="J481"/>
      <c r="K481"/>
      <c r="L481"/>
      <c r="M481"/>
      <c r="N481">
        <v>0.80500000000000005</v>
      </c>
      <c r="O481">
        <v>2.7E-2</v>
      </c>
      <c r="P481">
        <v>8.6896950000000004</v>
      </c>
    </row>
    <row r="482" spans="1:16">
      <c r="A482" s="327" t="s">
        <v>533</v>
      </c>
      <c r="H482"/>
      <c r="I482"/>
      <c r="J482"/>
      <c r="K482"/>
      <c r="L482"/>
      <c r="M482"/>
      <c r="N482"/>
      <c r="O482"/>
      <c r="P482">
        <v>9.8886500000000002</v>
      </c>
    </row>
  </sheetData>
  <autoFilter ref="A1:AD217" xr:uid="{00000000-0009-0000-0000-000002000000}"/>
  <conditionalFormatting sqref="T1:U466">
    <cfRule type="colorScale" priority="18">
      <colorScale>
        <cfvo type="num" val="0"/>
        <cfvo type="percentile" val="40"/>
        <cfvo type="num" val="100"/>
        <color rgb="FF63BE7B"/>
        <color rgb="FFFFEB84"/>
        <color rgb="FFF8696B"/>
      </colorScale>
    </cfRule>
  </conditionalFormatting>
  <conditionalFormatting sqref="V2:V466">
    <cfRule type="expression" dxfId="10" priority="20">
      <formula>$V2&gt;=$X2</formula>
    </cfRule>
    <cfRule type="cellIs" dxfId="9" priority="21" stopIfTrue="1" operator="greaterThan">
      <formula>#REF!</formula>
    </cfRule>
  </conditionalFormatting>
  <conditionalFormatting sqref="W2:W466">
    <cfRule type="expression" dxfId="8" priority="19">
      <formula>$W2&gt;=$X2</formula>
    </cfRule>
  </conditionalFormatting>
  <conditionalFormatting sqref="M1">
    <cfRule type="cellIs" dxfId="7" priority="9" operator="lessThan">
      <formula>#REF!</formula>
    </cfRule>
    <cfRule type="cellIs" dxfId="6" priority="10" operator="lessThan">
      <formula>"$AE$19"</formula>
    </cfRule>
  </conditionalFormatting>
  <conditionalFormatting sqref="L1">
    <cfRule type="cellIs" dxfId="5" priority="11" operator="lessThan">
      <formula>#REF!</formula>
    </cfRule>
  </conditionalFormatting>
  <conditionalFormatting sqref="K1">
    <cfRule type="cellIs" dxfId="4" priority="12" operator="lessThan">
      <formula>#REF!</formula>
    </cfRule>
  </conditionalFormatting>
  <conditionalFormatting sqref="H1:J1">
    <cfRule type="cellIs" dxfId="3" priority="13" operator="lessThan">
      <formula>#REF!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82"/>
  <sheetViews>
    <sheetView topLeftCell="A428" zoomScale="80" zoomScaleNormal="80" workbookViewId="0">
      <selection activeCell="G469" sqref="G469"/>
    </sheetView>
  </sheetViews>
  <sheetFormatPr baseColWidth="10" defaultRowHeight="15"/>
  <cols>
    <col min="1" max="1" width="57" style="275" bestFit="1" customWidth="1"/>
    <col min="5" max="5" width="11.42578125" style="306" customWidth="1"/>
    <col min="6" max="6" width="11.42578125" style="323" customWidth="1"/>
    <col min="7" max="7" width="11.42578125" style="307" customWidth="1"/>
    <col min="8" max="9" width="11.42578125" style="323" customWidth="1"/>
    <col min="10" max="10" width="11.42578125" style="307" customWidth="1"/>
    <col min="20" max="20" width="13" style="323" bestFit="1" customWidth="1"/>
    <col min="22" max="22" width="33" style="312" bestFit="1" customWidth="1"/>
  </cols>
  <sheetData>
    <row r="1" spans="1:24" ht="63.75" customHeight="1">
      <c r="A1" s="174" t="s">
        <v>0</v>
      </c>
      <c r="B1" s="52" t="s">
        <v>569</v>
      </c>
      <c r="C1" s="52" t="s">
        <v>570</v>
      </c>
      <c r="D1" s="53" t="s">
        <v>571</v>
      </c>
      <c r="E1" s="169" t="s">
        <v>569</v>
      </c>
      <c r="F1" s="169" t="s">
        <v>570</v>
      </c>
      <c r="G1" s="169" t="s">
        <v>571</v>
      </c>
      <c r="H1" s="101" t="s">
        <v>13</v>
      </c>
      <c r="I1" s="101" t="s">
        <v>14</v>
      </c>
      <c r="J1" s="101" t="s">
        <v>15</v>
      </c>
      <c r="K1" s="40" t="s">
        <v>16</v>
      </c>
      <c r="L1" s="41" t="s">
        <v>17</v>
      </c>
      <c r="M1" s="42" t="s">
        <v>551</v>
      </c>
      <c r="N1" s="37" t="s">
        <v>572</v>
      </c>
      <c r="O1" s="37" t="s">
        <v>573</v>
      </c>
      <c r="P1" s="37" t="s">
        <v>574</v>
      </c>
      <c r="Q1" s="37" t="s">
        <v>25</v>
      </c>
      <c r="R1" s="42" t="s">
        <v>26</v>
      </c>
      <c r="S1" s="59" t="s">
        <v>575</v>
      </c>
      <c r="T1" s="42" t="s">
        <v>576</v>
      </c>
      <c r="U1" s="42" t="s">
        <v>577</v>
      </c>
      <c r="V1" s="45" t="s">
        <v>29</v>
      </c>
      <c r="W1" s="46" t="s">
        <v>30</v>
      </c>
      <c r="X1" s="60"/>
    </row>
    <row r="2" spans="1:24" s="51" customFormat="1">
      <c r="A2" s="84" t="s">
        <v>32</v>
      </c>
      <c r="B2" s="51">
        <v>3.56</v>
      </c>
      <c r="C2" s="51">
        <v>7.42</v>
      </c>
      <c r="E2" s="63">
        <v>3.56</v>
      </c>
      <c r="F2" s="51">
        <v>7.42</v>
      </c>
      <c r="G2" s="78"/>
      <c r="J2" s="128">
        <v>8.8879999999999999</v>
      </c>
      <c r="K2" s="51">
        <v>0.69</v>
      </c>
      <c r="L2" s="58">
        <f t="shared" ref="L2:L65" si="0">IF(COUNT(F2:G2)&lt;1,0.33,((COUNT(F2:G2)*(1/(COUNT(F2:G2)+COUNTBLANK(F2:G2)))+(IF(P2&lt;35,1,IF(P2&lt;70,0.5,IF(P2&gt;70,0)))))/2))</f>
        <v>0.75</v>
      </c>
      <c r="M2" s="94">
        <f t="shared" ref="M2:M65" si="1">AVERAGE(K2:L2)</f>
        <v>0.72</v>
      </c>
      <c r="N2" s="310">
        <f t="shared" ref="N2:N65" si="2">AVERAGE(E2:G2)</f>
        <v>5.49</v>
      </c>
      <c r="O2" s="90">
        <f t="shared" ref="O2:O65" si="3">AVERAGE(F2:G2)</f>
        <v>7.42</v>
      </c>
      <c r="P2" s="90">
        <f t="shared" ref="P2:P65" si="4">(MAX(F2:G2)-MIN(F2:G2))/O2*100</f>
        <v>0</v>
      </c>
      <c r="Q2" s="311">
        <f t="shared" ref="Q2:Q65" si="5">IFERROR(O2/J2,0)</f>
        <v>0.83483348334833485</v>
      </c>
      <c r="V2" s="319" t="str">
        <f>PE_aug!AP2</f>
        <v>Massenbilanz KWS</v>
      </c>
    </row>
    <row r="3" spans="1:24">
      <c r="A3" s="84" t="s">
        <v>36</v>
      </c>
      <c r="B3">
        <v>4.91</v>
      </c>
      <c r="C3">
        <v>7.57</v>
      </c>
      <c r="E3" s="306">
        <v>4.91</v>
      </c>
      <c r="F3">
        <v>7.57</v>
      </c>
      <c r="J3" s="119">
        <v>8.9664000000000001</v>
      </c>
      <c r="K3">
        <v>0.69</v>
      </c>
      <c r="L3" s="308">
        <f t="shared" si="0"/>
        <v>0.75</v>
      </c>
      <c r="M3" s="309">
        <f t="shared" si="1"/>
        <v>0.72</v>
      </c>
      <c r="N3" s="310">
        <f t="shared" si="2"/>
        <v>6.24</v>
      </c>
      <c r="O3" s="310">
        <f t="shared" si="3"/>
        <v>7.57</v>
      </c>
      <c r="P3" s="310">
        <f t="shared" si="4"/>
        <v>0</v>
      </c>
      <c r="Q3" s="311">
        <f t="shared" si="5"/>
        <v>0.84426302640970741</v>
      </c>
      <c r="V3" s="319" t="str">
        <f>PE_aug!AP3</f>
        <v>Massenbilanz KWS</v>
      </c>
    </row>
    <row r="4" spans="1:24">
      <c r="A4" s="84" t="s">
        <v>37</v>
      </c>
      <c r="C4">
        <v>7.23</v>
      </c>
      <c r="F4">
        <v>7.23</v>
      </c>
      <c r="J4" s="119">
        <v>4.3002000000000002</v>
      </c>
      <c r="K4">
        <v>0.44</v>
      </c>
      <c r="L4" s="308">
        <f t="shared" si="0"/>
        <v>0.75</v>
      </c>
      <c r="M4" s="309">
        <f t="shared" si="1"/>
        <v>0.59499999999999997</v>
      </c>
      <c r="N4" s="310">
        <f t="shared" si="2"/>
        <v>7.23</v>
      </c>
      <c r="O4" s="310">
        <f t="shared" si="3"/>
        <v>7.23</v>
      </c>
      <c r="P4" s="310">
        <f t="shared" si="4"/>
        <v>0</v>
      </c>
      <c r="Q4" s="311">
        <f t="shared" si="5"/>
        <v>1.6813171480396261</v>
      </c>
      <c r="V4" s="319" t="str">
        <f>PE_aug!AP4</f>
        <v>Massenbilanz KWS</v>
      </c>
    </row>
    <row r="5" spans="1:24">
      <c r="A5" s="84" t="s">
        <v>38</v>
      </c>
      <c r="B5">
        <v>3.78</v>
      </c>
      <c r="C5">
        <v>7.8</v>
      </c>
      <c r="E5" s="306">
        <v>3.78</v>
      </c>
      <c r="F5">
        <v>7.8</v>
      </c>
      <c r="J5" s="119">
        <v>7.8087999999999997</v>
      </c>
      <c r="K5">
        <v>0.51</v>
      </c>
      <c r="L5" s="308">
        <f t="shared" si="0"/>
        <v>0.75</v>
      </c>
      <c r="M5" s="309">
        <f t="shared" si="1"/>
        <v>0.63</v>
      </c>
      <c r="N5" s="310">
        <f t="shared" si="2"/>
        <v>5.79</v>
      </c>
      <c r="O5" s="310">
        <f t="shared" si="3"/>
        <v>7.8</v>
      </c>
      <c r="P5" s="310">
        <f t="shared" si="4"/>
        <v>0</v>
      </c>
      <c r="Q5" s="311">
        <f t="shared" si="5"/>
        <v>0.99887306628419226</v>
      </c>
      <c r="V5" s="319" t="str">
        <f>PE_aug!AP5</f>
        <v>Massenbilanz KWS</v>
      </c>
    </row>
    <row r="6" spans="1:24">
      <c r="A6" s="84" t="s">
        <v>39</v>
      </c>
      <c r="B6">
        <v>4.82</v>
      </c>
      <c r="C6">
        <v>7.89</v>
      </c>
      <c r="E6" s="306">
        <v>4.82</v>
      </c>
      <c r="F6">
        <v>7.89</v>
      </c>
      <c r="J6" s="119">
        <v>6.5256999999999996</v>
      </c>
      <c r="K6">
        <v>0.56000000000000005</v>
      </c>
      <c r="L6" s="308">
        <f t="shared" si="0"/>
        <v>0.75</v>
      </c>
      <c r="M6" s="309">
        <f t="shared" si="1"/>
        <v>0.65500000000000003</v>
      </c>
      <c r="N6" s="310">
        <f t="shared" si="2"/>
        <v>6.3550000000000004</v>
      </c>
      <c r="O6" s="310">
        <f t="shared" si="3"/>
        <v>7.89</v>
      </c>
      <c r="P6" s="310">
        <f t="shared" si="4"/>
        <v>0</v>
      </c>
      <c r="Q6" s="311">
        <f t="shared" si="5"/>
        <v>1.2090656941017821</v>
      </c>
      <c r="V6" s="319" t="str">
        <f>PE_aug!AP6</f>
        <v>Massenbilanz KWS</v>
      </c>
    </row>
    <row r="7" spans="1:24">
      <c r="A7" s="84" t="s">
        <v>40</v>
      </c>
      <c r="B7">
        <v>4.01</v>
      </c>
      <c r="C7">
        <v>7.64</v>
      </c>
      <c r="E7" s="306">
        <v>4.01</v>
      </c>
      <c r="F7">
        <v>7.64</v>
      </c>
      <c r="J7" s="119">
        <v>8.0249000000000006</v>
      </c>
      <c r="K7">
        <v>0.56000000000000005</v>
      </c>
      <c r="L7" s="308">
        <f t="shared" si="0"/>
        <v>0.75</v>
      </c>
      <c r="M7" s="309">
        <f t="shared" si="1"/>
        <v>0.65500000000000003</v>
      </c>
      <c r="N7" s="310">
        <f t="shared" si="2"/>
        <v>5.8249999999999993</v>
      </c>
      <c r="O7" s="310">
        <f t="shared" si="3"/>
        <v>7.64</v>
      </c>
      <c r="P7" s="310">
        <f t="shared" si="4"/>
        <v>0</v>
      </c>
      <c r="Q7" s="311">
        <f t="shared" si="5"/>
        <v>0.95203678550511517</v>
      </c>
      <c r="V7" s="319" t="str">
        <f>PE_aug!AP7</f>
        <v>Massenbilanz KWS</v>
      </c>
    </row>
    <row r="8" spans="1:24">
      <c r="A8" s="84" t="s">
        <v>41</v>
      </c>
      <c r="B8">
        <v>5.87</v>
      </c>
      <c r="C8">
        <v>10.62</v>
      </c>
      <c r="E8" s="306">
        <v>5.87</v>
      </c>
      <c r="F8">
        <v>10.62</v>
      </c>
      <c r="J8" s="119">
        <v>7.6868999999999996</v>
      </c>
      <c r="K8">
        <v>0.44</v>
      </c>
      <c r="L8" s="308">
        <f t="shared" si="0"/>
        <v>0.75</v>
      </c>
      <c r="M8" s="309">
        <f t="shared" si="1"/>
        <v>0.59499999999999997</v>
      </c>
      <c r="N8" s="310">
        <f t="shared" si="2"/>
        <v>8.2449999999999992</v>
      </c>
      <c r="O8" s="310">
        <f t="shared" si="3"/>
        <v>10.62</v>
      </c>
      <c r="P8" s="310">
        <f t="shared" si="4"/>
        <v>0</v>
      </c>
      <c r="Q8" s="311">
        <f t="shared" si="5"/>
        <v>1.3815712445849433</v>
      </c>
      <c r="V8" s="319" t="str">
        <f>PE_aug!AP8</f>
        <v>Kläranlage</v>
      </c>
    </row>
    <row r="9" spans="1:24">
      <c r="A9" s="84" t="s">
        <v>43</v>
      </c>
      <c r="B9">
        <v>6.29</v>
      </c>
      <c r="C9">
        <v>11.9</v>
      </c>
      <c r="E9" s="306">
        <v>6.29</v>
      </c>
      <c r="F9">
        <v>11.9</v>
      </c>
      <c r="J9" s="119">
        <v>7.1997</v>
      </c>
      <c r="K9">
        <v>0.44</v>
      </c>
      <c r="L9" s="308">
        <f t="shared" si="0"/>
        <v>0.75</v>
      </c>
      <c r="M9" s="309">
        <f t="shared" si="1"/>
        <v>0.59499999999999997</v>
      </c>
      <c r="N9" s="310">
        <f t="shared" si="2"/>
        <v>9.0950000000000006</v>
      </c>
      <c r="O9" s="310">
        <f t="shared" si="3"/>
        <v>11.9</v>
      </c>
      <c r="P9" s="310">
        <f t="shared" si="4"/>
        <v>0</v>
      </c>
      <c r="Q9" s="311">
        <f t="shared" si="5"/>
        <v>1.652846646388044</v>
      </c>
      <c r="V9" s="319" t="str">
        <f>PE_aug!AP9</f>
        <v>Kläranlage</v>
      </c>
    </row>
    <row r="10" spans="1:24">
      <c r="A10" s="84" t="s">
        <v>44</v>
      </c>
      <c r="B10">
        <v>2.7</v>
      </c>
      <c r="C10">
        <v>8.85</v>
      </c>
      <c r="E10" s="306">
        <v>2.7</v>
      </c>
      <c r="F10">
        <v>8.85</v>
      </c>
      <c r="J10" s="119">
        <v>5.3699000000000003</v>
      </c>
      <c r="K10">
        <v>0.51</v>
      </c>
      <c r="L10" s="308">
        <f t="shared" si="0"/>
        <v>0.75</v>
      </c>
      <c r="M10" s="309">
        <f t="shared" si="1"/>
        <v>0.63</v>
      </c>
      <c r="N10" s="310">
        <f t="shared" si="2"/>
        <v>5.7750000000000004</v>
      </c>
      <c r="O10" s="310">
        <f t="shared" si="3"/>
        <v>8.85</v>
      </c>
      <c r="P10" s="310">
        <f t="shared" si="4"/>
        <v>0</v>
      </c>
      <c r="Q10" s="311">
        <f t="shared" si="5"/>
        <v>1.6480753831542485</v>
      </c>
      <c r="V10" s="319" t="str">
        <f>PE_aug!AP10</f>
        <v>Kläranlage</v>
      </c>
    </row>
    <row r="11" spans="1:24">
      <c r="A11" s="84" t="s">
        <v>45</v>
      </c>
      <c r="C11">
        <v>8.2200000000000006</v>
      </c>
      <c r="F11">
        <v>8.2200000000000006</v>
      </c>
      <c r="J11" s="119">
        <v>5.4539999999999997</v>
      </c>
      <c r="K11">
        <v>0.69</v>
      </c>
      <c r="L11" s="308">
        <f t="shared" si="0"/>
        <v>0.75</v>
      </c>
      <c r="M11" s="309">
        <f t="shared" si="1"/>
        <v>0.72</v>
      </c>
      <c r="N11" s="310">
        <f t="shared" si="2"/>
        <v>8.2200000000000006</v>
      </c>
      <c r="O11" s="310">
        <f t="shared" si="3"/>
        <v>8.2200000000000006</v>
      </c>
      <c r="P11" s="310">
        <f t="shared" si="4"/>
        <v>0</v>
      </c>
      <c r="Q11" s="311">
        <f t="shared" si="5"/>
        <v>1.5071507150715073</v>
      </c>
      <c r="V11" s="319" t="str">
        <f>PE_aug!AP11</f>
        <v>Referenzmessung BS</v>
      </c>
    </row>
    <row r="12" spans="1:24">
      <c r="A12" s="84" t="s">
        <v>47</v>
      </c>
      <c r="B12">
        <v>6.41</v>
      </c>
      <c r="C12">
        <v>8.0399999999999991</v>
      </c>
      <c r="E12" s="306">
        <v>6.41</v>
      </c>
      <c r="F12">
        <v>8.0399999999999991</v>
      </c>
      <c r="J12" s="119">
        <v>10.198399999999999</v>
      </c>
      <c r="K12">
        <v>0.51</v>
      </c>
      <c r="L12" s="308">
        <f t="shared" si="0"/>
        <v>0.75</v>
      </c>
      <c r="M12" s="309">
        <f t="shared" si="1"/>
        <v>0.63</v>
      </c>
      <c r="N12" s="310">
        <f t="shared" si="2"/>
        <v>7.2249999999999996</v>
      </c>
      <c r="O12" s="310">
        <f t="shared" si="3"/>
        <v>8.0399999999999991</v>
      </c>
      <c r="P12" s="310">
        <f t="shared" si="4"/>
        <v>0</v>
      </c>
      <c r="Q12" s="311">
        <f t="shared" si="5"/>
        <v>0.78835895826796354</v>
      </c>
      <c r="V12" s="319" t="str">
        <f>PE_aug!AP12</f>
        <v>Referenzmessung BS</v>
      </c>
    </row>
    <row r="13" spans="1:24">
      <c r="A13" s="86" t="s">
        <v>48</v>
      </c>
      <c r="B13">
        <v>13.62</v>
      </c>
      <c r="C13">
        <v>8.91</v>
      </c>
      <c r="E13" s="306">
        <v>13.62</v>
      </c>
      <c r="F13">
        <v>8.91</v>
      </c>
      <c r="H13" s="51"/>
      <c r="I13" s="51"/>
      <c r="J13" s="128">
        <v>8.5540000000000003</v>
      </c>
      <c r="K13">
        <v>0.44</v>
      </c>
      <c r="L13" s="308">
        <f t="shared" si="0"/>
        <v>0.75</v>
      </c>
      <c r="M13" s="309">
        <f t="shared" si="1"/>
        <v>0.59499999999999997</v>
      </c>
      <c r="N13" s="310">
        <f t="shared" si="2"/>
        <v>11.265000000000001</v>
      </c>
      <c r="O13" s="310">
        <f t="shared" si="3"/>
        <v>8.91</v>
      </c>
      <c r="P13" s="310">
        <f t="shared" si="4"/>
        <v>0</v>
      </c>
      <c r="Q13" s="311">
        <f t="shared" si="5"/>
        <v>1.0416179565115735</v>
      </c>
      <c r="V13" s="319" t="str">
        <f>PE_aug!AP13</f>
        <v>KWS, Methode</v>
      </c>
    </row>
    <row r="14" spans="1:24">
      <c r="A14" s="86" t="s">
        <v>50</v>
      </c>
      <c r="B14">
        <v>9.6300000000000008</v>
      </c>
      <c r="C14">
        <v>8.4</v>
      </c>
      <c r="E14" s="306">
        <v>9.6300000000000008</v>
      </c>
      <c r="F14">
        <v>8.4</v>
      </c>
      <c r="J14" s="119">
        <v>7.1116999999999999</v>
      </c>
      <c r="K14">
        <v>0.44</v>
      </c>
      <c r="L14" s="308">
        <f t="shared" si="0"/>
        <v>0.75</v>
      </c>
      <c r="M14" s="309">
        <f t="shared" si="1"/>
        <v>0.59499999999999997</v>
      </c>
      <c r="N14" s="310">
        <f t="shared" si="2"/>
        <v>9.0150000000000006</v>
      </c>
      <c r="O14" s="310">
        <f t="shared" si="3"/>
        <v>8.4</v>
      </c>
      <c r="P14" s="310">
        <f t="shared" si="4"/>
        <v>0</v>
      </c>
      <c r="Q14" s="311">
        <f t="shared" si="5"/>
        <v>1.1811521858346106</v>
      </c>
      <c r="V14" s="319" t="str">
        <f>PE_aug!AP14</f>
        <v>KWS, Methode</v>
      </c>
    </row>
    <row r="15" spans="1:24">
      <c r="A15" s="86" t="s">
        <v>51</v>
      </c>
      <c r="B15">
        <v>11.39</v>
      </c>
      <c r="C15">
        <v>8.4499999999999993</v>
      </c>
      <c r="E15" s="306">
        <v>11.39</v>
      </c>
      <c r="F15">
        <v>8.4499999999999993</v>
      </c>
      <c r="J15" s="119">
        <v>7.8148999999999997</v>
      </c>
      <c r="K15">
        <v>0.44</v>
      </c>
      <c r="L15" s="308">
        <f t="shared" si="0"/>
        <v>0.75</v>
      </c>
      <c r="M15" s="309">
        <f t="shared" si="1"/>
        <v>0.59499999999999997</v>
      </c>
      <c r="N15" s="310">
        <f t="shared" si="2"/>
        <v>9.92</v>
      </c>
      <c r="O15" s="310">
        <f t="shared" si="3"/>
        <v>8.4499999999999993</v>
      </c>
      <c r="P15" s="310">
        <f t="shared" si="4"/>
        <v>0</v>
      </c>
      <c r="Q15" s="311">
        <f t="shared" si="5"/>
        <v>1.081267834521235</v>
      </c>
      <c r="V15" s="319" t="str">
        <f>PE_aug!AP15</f>
        <v>KWS, Methode</v>
      </c>
    </row>
    <row r="16" spans="1:24">
      <c r="A16" s="95" t="s">
        <v>554</v>
      </c>
      <c r="C16">
        <v>7.76</v>
      </c>
      <c r="F16">
        <v>7.76</v>
      </c>
      <c r="H16" s="51"/>
      <c r="I16" s="51"/>
      <c r="J16" s="128">
        <v>5.2794999999999996</v>
      </c>
      <c r="K16">
        <v>0.44</v>
      </c>
      <c r="L16" s="308">
        <f t="shared" si="0"/>
        <v>0.75</v>
      </c>
      <c r="M16" s="309">
        <f t="shared" si="1"/>
        <v>0.59499999999999997</v>
      </c>
      <c r="N16" s="310">
        <f t="shared" si="2"/>
        <v>7.76</v>
      </c>
      <c r="O16" s="310">
        <f t="shared" si="3"/>
        <v>7.76</v>
      </c>
      <c r="P16" s="310">
        <f t="shared" si="4"/>
        <v>0</v>
      </c>
      <c r="Q16" s="311">
        <f t="shared" si="5"/>
        <v>1.4698361587271522</v>
      </c>
      <c r="V16" s="319" t="str">
        <f>PE_aug!AP16</f>
        <v>Referenzmessung BS</v>
      </c>
    </row>
    <row r="17" spans="1:22">
      <c r="A17" s="95" t="s">
        <v>555</v>
      </c>
      <c r="C17">
        <v>7.35</v>
      </c>
      <c r="F17">
        <v>7.35</v>
      </c>
      <c r="J17" s="119">
        <v>4.8700999999999999</v>
      </c>
      <c r="K17">
        <v>0.51</v>
      </c>
      <c r="L17" s="308">
        <f t="shared" si="0"/>
        <v>0.75</v>
      </c>
      <c r="M17" s="309">
        <f t="shared" si="1"/>
        <v>0.63</v>
      </c>
      <c r="N17" s="310">
        <f t="shared" si="2"/>
        <v>7.35</v>
      </c>
      <c r="O17" s="310">
        <f t="shared" si="3"/>
        <v>7.35</v>
      </c>
      <c r="P17" s="310">
        <f t="shared" si="4"/>
        <v>0</v>
      </c>
      <c r="Q17" s="311">
        <f t="shared" si="5"/>
        <v>1.5092092564834396</v>
      </c>
      <c r="V17" s="319" t="str">
        <f>PE_aug!AP17</f>
        <v>Referenzmessung BS</v>
      </c>
    </row>
    <row r="18" spans="1:22">
      <c r="A18" s="95" t="s">
        <v>556</v>
      </c>
      <c r="C18">
        <v>8.68</v>
      </c>
      <c r="D18">
        <v>15.03</v>
      </c>
      <c r="F18">
        <v>8.68</v>
      </c>
      <c r="G18" s="307">
        <v>15.03</v>
      </c>
      <c r="H18" s="85"/>
      <c r="I18" s="85"/>
      <c r="J18" s="129">
        <v>9.1433999999999997</v>
      </c>
      <c r="K18">
        <v>0.44</v>
      </c>
      <c r="L18" s="308">
        <f t="shared" si="0"/>
        <v>0.75</v>
      </c>
      <c r="M18" s="309">
        <f t="shared" si="1"/>
        <v>0.59499999999999997</v>
      </c>
      <c r="N18" s="310">
        <f t="shared" si="2"/>
        <v>11.855</v>
      </c>
      <c r="O18" s="310">
        <f t="shared" si="3"/>
        <v>11.855</v>
      </c>
      <c r="P18" s="310">
        <f t="shared" si="4"/>
        <v>53.563897089835507</v>
      </c>
      <c r="Q18" s="311">
        <f t="shared" si="5"/>
        <v>1.296563641533784</v>
      </c>
      <c r="V18" s="319" t="str">
        <f>PE_aug!AP18</f>
        <v>Referenzmessung BS</v>
      </c>
    </row>
    <row r="19" spans="1:22">
      <c r="A19" s="95" t="s">
        <v>55</v>
      </c>
      <c r="C19">
        <v>7.54</v>
      </c>
      <c r="F19">
        <v>7.54</v>
      </c>
      <c r="H19" s="51"/>
      <c r="I19" s="51"/>
      <c r="J19" s="128">
        <v>8.1303000000000001</v>
      </c>
      <c r="K19">
        <v>0.44</v>
      </c>
      <c r="L19" s="308">
        <f t="shared" si="0"/>
        <v>0.75</v>
      </c>
      <c r="M19" s="309">
        <f t="shared" si="1"/>
        <v>0.59499999999999997</v>
      </c>
      <c r="N19" s="310">
        <f t="shared" si="2"/>
        <v>7.54</v>
      </c>
      <c r="O19" s="310">
        <f t="shared" si="3"/>
        <v>7.54</v>
      </c>
      <c r="P19" s="310">
        <f t="shared" si="4"/>
        <v>0</v>
      </c>
      <c r="Q19" s="311">
        <f t="shared" si="5"/>
        <v>0.92739505307307235</v>
      </c>
      <c r="V19" s="319" t="str">
        <f>PE_aug!AP19</f>
        <v>Massenbilanz KWS</v>
      </c>
    </row>
    <row r="20" spans="1:22">
      <c r="A20" s="95" t="s">
        <v>56</v>
      </c>
      <c r="C20">
        <v>7.34</v>
      </c>
      <c r="F20">
        <v>7.34</v>
      </c>
      <c r="J20" s="119">
        <v>7.2693000000000003</v>
      </c>
      <c r="K20">
        <v>0.44</v>
      </c>
      <c r="L20" s="308">
        <f t="shared" si="0"/>
        <v>0.75</v>
      </c>
      <c r="M20" s="309">
        <f t="shared" si="1"/>
        <v>0.59499999999999997</v>
      </c>
      <c r="N20" s="310">
        <f t="shared" si="2"/>
        <v>7.34</v>
      </c>
      <c r="O20" s="310">
        <f t="shared" si="3"/>
        <v>7.34</v>
      </c>
      <c r="P20" s="310">
        <f t="shared" si="4"/>
        <v>0</v>
      </c>
      <c r="Q20" s="311">
        <f t="shared" si="5"/>
        <v>1.0097258332989421</v>
      </c>
      <c r="V20" s="319" t="str">
        <f>PE_aug!AP20</f>
        <v>Massenbilanz KWS</v>
      </c>
    </row>
    <row r="21" spans="1:22">
      <c r="A21" s="95" t="s">
        <v>57</v>
      </c>
      <c r="C21">
        <v>7.3</v>
      </c>
      <c r="F21">
        <v>7.3</v>
      </c>
      <c r="H21" s="85"/>
      <c r="I21" s="85"/>
      <c r="J21" s="129">
        <v>9.1760999999999999</v>
      </c>
      <c r="K21">
        <v>0.44</v>
      </c>
      <c r="L21" s="308">
        <f t="shared" si="0"/>
        <v>0.75</v>
      </c>
      <c r="M21" s="309">
        <f t="shared" si="1"/>
        <v>0.59499999999999997</v>
      </c>
      <c r="N21" s="310">
        <f t="shared" si="2"/>
        <v>7.3</v>
      </c>
      <c r="O21" s="310">
        <f t="shared" si="3"/>
        <v>7.3</v>
      </c>
      <c r="P21" s="310">
        <f t="shared" si="4"/>
        <v>0</v>
      </c>
      <c r="Q21" s="311">
        <f t="shared" si="5"/>
        <v>0.79554494828957834</v>
      </c>
      <c r="V21" s="319" t="str">
        <f>PE_aug!AP21</f>
        <v>Massenbilanz KWS</v>
      </c>
    </row>
    <row r="22" spans="1:22">
      <c r="A22" s="95" t="s">
        <v>58</v>
      </c>
      <c r="C22">
        <v>7.55</v>
      </c>
      <c r="F22">
        <v>7.55</v>
      </c>
      <c r="H22" s="51"/>
      <c r="I22" s="51"/>
      <c r="J22" s="128">
        <v>2.7290999999999999</v>
      </c>
      <c r="K22">
        <v>0.69</v>
      </c>
      <c r="L22" s="308">
        <f t="shared" si="0"/>
        <v>0.75</v>
      </c>
      <c r="M22" s="309">
        <f t="shared" si="1"/>
        <v>0.72</v>
      </c>
      <c r="N22" s="310">
        <f t="shared" si="2"/>
        <v>7.55</v>
      </c>
      <c r="O22" s="310">
        <f t="shared" si="3"/>
        <v>7.55</v>
      </c>
      <c r="P22" s="310">
        <f t="shared" si="4"/>
        <v>0</v>
      </c>
      <c r="Q22" s="311">
        <f t="shared" si="5"/>
        <v>2.7664797918727788</v>
      </c>
      <c r="V22" s="319" t="str">
        <f>PE_aug!AP22</f>
        <v>Massenbilanz KWS</v>
      </c>
    </row>
    <row r="23" spans="1:22">
      <c r="A23" s="95" t="s">
        <v>59</v>
      </c>
      <c r="C23">
        <v>7.14</v>
      </c>
      <c r="F23">
        <v>7.14</v>
      </c>
      <c r="J23" s="119">
        <v>3.5952000000000002</v>
      </c>
      <c r="K23">
        <v>0.44</v>
      </c>
      <c r="L23" s="308">
        <f t="shared" si="0"/>
        <v>0.75</v>
      </c>
      <c r="M23" s="309">
        <f t="shared" si="1"/>
        <v>0.59499999999999997</v>
      </c>
      <c r="N23" s="310">
        <f t="shared" si="2"/>
        <v>7.14</v>
      </c>
      <c r="O23" s="310">
        <f t="shared" si="3"/>
        <v>7.14</v>
      </c>
      <c r="P23" s="310">
        <f t="shared" si="4"/>
        <v>0</v>
      </c>
      <c r="Q23" s="311">
        <f t="shared" si="5"/>
        <v>1.9859813084112148</v>
      </c>
      <c r="V23" s="319" t="str">
        <f>PE_aug!AP23</f>
        <v>Massenbilanz KWS</v>
      </c>
    </row>
    <row r="24" spans="1:22">
      <c r="A24" s="95" t="s">
        <v>60</v>
      </c>
      <c r="C24">
        <v>7.14</v>
      </c>
      <c r="F24">
        <v>7.14</v>
      </c>
      <c r="H24" s="85"/>
      <c r="I24" s="85"/>
      <c r="J24" s="129">
        <v>9.2985000000000007</v>
      </c>
      <c r="K24">
        <v>0.44</v>
      </c>
      <c r="L24" s="308">
        <f t="shared" si="0"/>
        <v>0.75</v>
      </c>
      <c r="M24" s="309">
        <f t="shared" si="1"/>
        <v>0.59499999999999997</v>
      </c>
      <c r="N24" s="310">
        <f t="shared" si="2"/>
        <v>7.14</v>
      </c>
      <c r="O24" s="310">
        <f t="shared" si="3"/>
        <v>7.14</v>
      </c>
      <c r="P24" s="310">
        <f t="shared" si="4"/>
        <v>0</v>
      </c>
      <c r="Q24" s="311">
        <f t="shared" si="5"/>
        <v>0.76786578480400058</v>
      </c>
      <c r="V24" s="319" t="str">
        <f>PE_aug!AP24</f>
        <v>Massenbilanz KWS</v>
      </c>
    </row>
    <row r="25" spans="1:22">
      <c r="A25" s="95" t="s">
        <v>61</v>
      </c>
      <c r="C25">
        <v>7.15</v>
      </c>
      <c r="F25">
        <v>7.15</v>
      </c>
      <c r="J25" s="119">
        <v>2.0716999999999999</v>
      </c>
      <c r="K25">
        <v>0.44</v>
      </c>
      <c r="L25" s="308">
        <f t="shared" si="0"/>
        <v>0.75</v>
      </c>
      <c r="M25" s="309">
        <f t="shared" si="1"/>
        <v>0.59499999999999997</v>
      </c>
      <c r="N25" s="310">
        <f t="shared" si="2"/>
        <v>7.15</v>
      </c>
      <c r="O25" s="310">
        <f t="shared" si="3"/>
        <v>7.15</v>
      </c>
      <c r="P25" s="310">
        <f t="shared" si="4"/>
        <v>0</v>
      </c>
      <c r="Q25" s="311">
        <f t="shared" si="5"/>
        <v>3.4512719023024574</v>
      </c>
      <c r="V25" s="319" t="str">
        <f>PE_aug!AP25</f>
        <v>Referenzmessung BS</v>
      </c>
    </row>
    <row r="26" spans="1:22">
      <c r="A26" s="95" t="s">
        <v>62</v>
      </c>
      <c r="C26">
        <v>6.78</v>
      </c>
      <c r="F26">
        <v>6.78</v>
      </c>
      <c r="J26" s="119">
        <v>0.66539999999999999</v>
      </c>
      <c r="K26">
        <v>0.44</v>
      </c>
      <c r="L26" s="308">
        <f t="shared" si="0"/>
        <v>0.75</v>
      </c>
      <c r="M26" s="309">
        <f t="shared" si="1"/>
        <v>0.59499999999999997</v>
      </c>
      <c r="N26" s="310">
        <f t="shared" si="2"/>
        <v>6.78</v>
      </c>
      <c r="O26" s="310">
        <f t="shared" si="3"/>
        <v>6.78</v>
      </c>
      <c r="P26" s="310">
        <f t="shared" si="4"/>
        <v>0</v>
      </c>
      <c r="Q26" s="311">
        <f t="shared" si="5"/>
        <v>10.18935978358882</v>
      </c>
      <c r="V26" s="319" t="str">
        <f>PE_aug!AP26</f>
        <v>Referenzmessung BS</v>
      </c>
    </row>
    <row r="27" spans="1:22">
      <c r="A27" s="95" t="s">
        <v>63</v>
      </c>
      <c r="C27">
        <v>29.75</v>
      </c>
      <c r="D27">
        <v>70.13</v>
      </c>
      <c r="F27">
        <v>29.75</v>
      </c>
      <c r="G27" s="307">
        <v>70.13</v>
      </c>
      <c r="J27" s="119">
        <v>211.9</v>
      </c>
      <c r="K27">
        <v>0.51</v>
      </c>
      <c r="L27" s="308">
        <f t="shared" si="0"/>
        <v>0.5</v>
      </c>
      <c r="M27" s="309">
        <f t="shared" si="1"/>
        <v>0.505</v>
      </c>
      <c r="N27" s="310">
        <f t="shared" si="2"/>
        <v>49.94</v>
      </c>
      <c r="O27" s="310">
        <f t="shared" si="3"/>
        <v>49.94</v>
      </c>
      <c r="P27" s="310">
        <f t="shared" si="4"/>
        <v>80.857028434120934</v>
      </c>
      <c r="Q27" s="311">
        <f t="shared" si="5"/>
        <v>0.23567720622935345</v>
      </c>
      <c r="V27" s="319" t="str">
        <f>PE_aug!AP27</f>
        <v>Methode</v>
      </c>
    </row>
    <row r="28" spans="1:22">
      <c r="A28" s="171" t="s">
        <v>65</v>
      </c>
      <c r="B28">
        <v>64.87</v>
      </c>
      <c r="C28">
        <v>151.62</v>
      </c>
      <c r="D28">
        <v>732.56</v>
      </c>
      <c r="E28" s="306">
        <v>64.87</v>
      </c>
      <c r="F28">
        <v>151.62</v>
      </c>
      <c r="J28" s="119">
        <v>47.3</v>
      </c>
      <c r="K28">
        <v>0.44</v>
      </c>
      <c r="L28" s="308">
        <f t="shared" si="0"/>
        <v>0.75</v>
      </c>
      <c r="M28" s="309">
        <f t="shared" si="1"/>
        <v>0.59499999999999997</v>
      </c>
      <c r="N28" s="310">
        <f t="shared" si="2"/>
        <v>108.245</v>
      </c>
      <c r="O28" s="310">
        <f t="shared" si="3"/>
        <v>151.62</v>
      </c>
      <c r="P28" s="310">
        <f t="shared" si="4"/>
        <v>0</v>
      </c>
      <c r="Q28" s="311">
        <f t="shared" si="5"/>
        <v>3.2054968287526431</v>
      </c>
      <c r="T28" s="309">
        <f>100*(J28/O28)</f>
        <v>31.19641208283867</v>
      </c>
      <c r="U28" s="309">
        <f>100*(J28/E28)</f>
        <v>72.915060891012786</v>
      </c>
      <c r="V28" s="319" t="str">
        <f>PE_aug!AP28</f>
        <v>Methode</v>
      </c>
    </row>
    <row r="29" spans="1:22" s="51" customFormat="1">
      <c r="A29" s="111" t="s">
        <v>66</v>
      </c>
      <c r="C29" s="51">
        <v>7.75</v>
      </c>
      <c r="E29" s="63"/>
      <c r="F29" s="51">
        <v>7.75</v>
      </c>
      <c r="G29" s="78"/>
      <c r="J29" s="128">
        <v>2.4357000000000002</v>
      </c>
      <c r="K29" s="51">
        <v>0.44</v>
      </c>
      <c r="L29" s="58">
        <f t="shared" si="0"/>
        <v>0.75</v>
      </c>
      <c r="M29" s="94">
        <f t="shared" si="1"/>
        <v>0.59499999999999997</v>
      </c>
      <c r="N29" s="310">
        <f t="shared" si="2"/>
        <v>7.75</v>
      </c>
      <c r="O29" s="90">
        <f t="shared" si="3"/>
        <v>7.75</v>
      </c>
      <c r="P29" s="90">
        <f t="shared" si="4"/>
        <v>0</v>
      </c>
      <c r="Q29" s="311">
        <f t="shared" si="5"/>
        <v>3.1818368436178508</v>
      </c>
      <c r="T29" s="309"/>
      <c r="U29" s="309"/>
      <c r="V29" s="293" t="str">
        <f>PE_aug!AP29</f>
        <v>Methodenvergleich</v>
      </c>
    </row>
    <row r="30" spans="1:22">
      <c r="A30" s="111" t="s">
        <v>68</v>
      </c>
      <c r="C30">
        <v>7.39</v>
      </c>
      <c r="F30">
        <v>7.39</v>
      </c>
      <c r="J30" s="119">
        <v>4.8849</v>
      </c>
      <c r="K30">
        <v>0.44</v>
      </c>
      <c r="L30" s="308">
        <f t="shared" si="0"/>
        <v>0.75</v>
      </c>
      <c r="M30" s="309">
        <f t="shared" si="1"/>
        <v>0.59499999999999997</v>
      </c>
      <c r="N30" s="310">
        <f t="shared" si="2"/>
        <v>7.39</v>
      </c>
      <c r="O30" s="310">
        <f t="shared" si="3"/>
        <v>7.39</v>
      </c>
      <c r="P30" s="310">
        <f t="shared" si="4"/>
        <v>0</v>
      </c>
      <c r="Q30" s="311">
        <f t="shared" si="5"/>
        <v>1.5128252369546971</v>
      </c>
      <c r="T30" s="309"/>
      <c r="U30" s="309"/>
      <c r="V30" s="319" t="str">
        <f>PE_aug!AP30</f>
        <v>Methode</v>
      </c>
    </row>
    <row r="31" spans="1:22">
      <c r="A31" s="111" t="s">
        <v>69</v>
      </c>
      <c r="B31">
        <v>8.7899999999999991</v>
      </c>
      <c r="C31">
        <v>11.18</v>
      </c>
      <c r="E31" s="306">
        <v>8.7899999999999991</v>
      </c>
      <c r="F31">
        <v>11.18</v>
      </c>
      <c r="J31" s="119"/>
      <c r="K31">
        <v>0.69</v>
      </c>
      <c r="L31" s="308">
        <f t="shared" si="0"/>
        <v>0.75</v>
      </c>
      <c r="M31" s="309">
        <f t="shared" si="1"/>
        <v>0.72</v>
      </c>
      <c r="N31" s="310">
        <f t="shared" si="2"/>
        <v>9.9849999999999994</v>
      </c>
      <c r="O31" s="310">
        <f t="shared" si="3"/>
        <v>11.18</v>
      </c>
      <c r="P31" s="310">
        <f t="shared" si="4"/>
        <v>0</v>
      </c>
      <c r="Q31" s="311">
        <f t="shared" si="5"/>
        <v>0</v>
      </c>
      <c r="T31" s="309"/>
      <c r="U31" s="309"/>
      <c r="V31" s="319" t="str">
        <f>PE_aug!AP31</f>
        <v>KWS, neue Schlammbehandlung</v>
      </c>
    </row>
    <row r="32" spans="1:22">
      <c r="A32" s="111" t="s">
        <v>71</v>
      </c>
      <c r="B32">
        <v>6.37</v>
      </c>
      <c r="C32">
        <v>8.6199999999999992</v>
      </c>
      <c r="E32" s="306">
        <v>6.37</v>
      </c>
      <c r="F32">
        <v>8.6199999999999992</v>
      </c>
      <c r="J32" s="119">
        <v>8.4742072000000004</v>
      </c>
      <c r="K32">
        <v>0.81</v>
      </c>
      <c r="L32" s="308">
        <f t="shared" si="0"/>
        <v>0.75</v>
      </c>
      <c r="M32" s="309">
        <f t="shared" si="1"/>
        <v>0.78</v>
      </c>
      <c r="N32" s="310">
        <f t="shared" si="2"/>
        <v>7.4949999999999992</v>
      </c>
      <c r="O32" s="310">
        <f t="shared" si="3"/>
        <v>8.6199999999999992</v>
      </c>
      <c r="P32" s="310">
        <f t="shared" si="4"/>
        <v>0</v>
      </c>
      <c r="Q32" s="311">
        <f t="shared" si="5"/>
        <v>1.0172042996541315</v>
      </c>
      <c r="T32" s="309"/>
      <c r="U32" s="309"/>
      <c r="V32" s="319" t="str">
        <f>PE_aug!AP32</f>
        <v>Methode</v>
      </c>
    </row>
    <row r="33" spans="1:22">
      <c r="A33" s="111" t="s">
        <v>72</v>
      </c>
      <c r="B33">
        <v>7.52</v>
      </c>
      <c r="C33">
        <v>7.98</v>
      </c>
      <c r="E33" s="306">
        <v>7.52</v>
      </c>
      <c r="F33">
        <v>7.98</v>
      </c>
      <c r="J33" s="119">
        <v>9.5027999999999988</v>
      </c>
      <c r="K33">
        <v>0.56000000000000005</v>
      </c>
      <c r="L33" s="308">
        <f t="shared" si="0"/>
        <v>0.75</v>
      </c>
      <c r="M33" s="309">
        <f t="shared" si="1"/>
        <v>0.65500000000000003</v>
      </c>
      <c r="N33" s="310">
        <f t="shared" si="2"/>
        <v>7.75</v>
      </c>
      <c r="O33" s="310">
        <f t="shared" si="3"/>
        <v>7.98</v>
      </c>
      <c r="P33" s="310">
        <f t="shared" si="4"/>
        <v>0</v>
      </c>
      <c r="Q33" s="311">
        <f t="shared" si="5"/>
        <v>0.8397524940017681</v>
      </c>
      <c r="T33" s="309"/>
      <c r="U33" s="309"/>
      <c r="V33" s="319" t="str">
        <f>PE_aug!AP33</f>
        <v>Methode</v>
      </c>
    </row>
    <row r="34" spans="1:22">
      <c r="A34" s="111" t="s">
        <v>73</v>
      </c>
      <c r="B34">
        <v>2.71</v>
      </c>
      <c r="C34">
        <v>8.92</v>
      </c>
      <c r="E34" s="306">
        <v>2.71</v>
      </c>
      <c r="F34">
        <v>8.92</v>
      </c>
      <c r="J34" s="119">
        <v>6.3264996</v>
      </c>
      <c r="K34">
        <v>0.56000000000000005</v>
      </c>
      <c r="L34" s="308">
        <f t="shared" si="0"/>
        <v>0.75</v>
      </c>
      <c r="M34" s="309">
        <f t="shared" si="1"/>
        <v>0.65500000000000003</v>
      </c>
      <c r="N34" s="310">
        <f t="shared" si="2"/>
        <v>5.8149999999999995</v>
      </c>
      <c r="O34" s="310">
        <f t="shared" si="3"/>
        <v>8.92</v>
      </c>
      <c r="P34" s="310">
        <f t="shared" si="4"/>
        <v>0</v>
      </c>
      <c r="Q34" s="311">
        <f t="shared" si="5"/>
        <v>1.4099423953176256</v>
      </c>
      <c r="T34" s="309"/>
      <c r="U34" s="309"/>
      <c r="V34" s="319" t="str">
        <f>PE_aug!AP34</f>
        <v>Methode</v>
      </c>
    </row>
    <row r="35" spans="1:22">
      <c r="A35" s="111" t="s">
        <v>74</v>
      </c>
      <c r="C35">
        <v>7.57</v>
      </c>
      <c r="F35">
        <v>7.57</v>
      </c>
      <c r="J35" s="119">
        <v>20.927900000000001</v>
      </c>
      <c r="K35">
        <v>0.44</v>
      </c>
      <c r="L35" s="308">
        <f t="shared" si="0"/>
        <v>0.75</v>
      </c>
      <c r="M35" s="309">
        <f t="shared" si="1"/>
        <v>0.59499999999999997</v>
      </c>
      <c r="N35" s="310">
        <f t="shared" si="2"/>
        <v>7.57</v>
      </c>
      <c r="O35" s="310">
        <f t="shared" si="3"/>
        <v>7.57</v>
      </c>
      <c r="P35" s="310">
        <f t="shared" si="4"/>
        <v>0</v>
      </c>
      <c r="Q35" s="311">
        <f t="shared" si="5"/>
        <v>0.36171808924927967</v>
      </c>
      <c r="T35" s="309"/>
      <c r="U35" s="309"/>
      <c r="V35" s="319" t="str">
        <f>PE_aug!AP35</f>
        <v>GWI Algen</v>
      </c>
    </row>
    <row r="36" spans="1:22">
      <c r="A36" s="111" t="s">
        <v>76</v>
      </c>
      <c r="B36">
        <v>4.63</v>
      </c>
      <c r="C36">
        <v>9.67</v>
      </c>
      <c r="E36" s="306">
        <v>4.63</v>
      </c>
      <c r="F36">
        <v>9.67</v>
      </c>
      <c r="J36" s="119">
        <v>5.5827999999999998</v>
      </c>
      <c r="K36">
        <v>0.44</v>
      </c>
      <c r="L36" s="308">
        <f t="shared" si="0"/>
        <v>0.75</v>
      </c>
      <c r="M36" s="309">
        <f t="shared" si="1"/>
        <v>0.59499999999999997</v>
      </c>
      <c r="N36" s="310">
        <f t="shared" si="2"/>
        <v>7.15</v>
      </c>
      <c r="O36" s="310">
        <f t="shared" si="3"/>
        <v>9.67</v>
      </c>
      <c r="P36" s="310">
        <f t="shared" si="4"/>
        <v>0</v>
      </c>
      <c r="Q36" s="311">
        <f t="shared" si="5"/>
        <v>1.7321057533853981</v>
      </c>
      <c r="T36" s="309"/>
      <c r="U36" s="309"/>
      <c r="V36" s="319" t="str">
        <f>PE_aug!AP36</f>
        <v>KWS, neue Schlammbehandlung</v>
      </c>
    </row>
    <row r="37" spans="1:22">
      <c r="A37" s="111" t="s">
        <v>77</v>
      </c>
      <c r="B37">
        <v>9.7100000000000009</v>
      </c>
      <c r="C37">
        <v>8.73</v>
      </c>
      <c r="E37" s="306">
        <v>9.7100000000000009</v>
      </c>
      <c r="F37">
        <v>8.73</v>
      </c>
      <c r="J37" s="119">
        <v>9.077</v>
      </c>
      <c r="K37">
        <v>0.44</v>
      </c>
      <c r="L37" s="308">
        <f t="shared" si="0"/>
        <v>0.75</v>
      </c>
      <c r="M37" s="309">
        <f t="shared" si="1"/>
        <v>0.59499999999999997</v>
      </c>
      <c r="N37" s="310">
        <f t="shared" si="2"/>
        <v>9.2200000000000006</v>
      </c>
      <c r="O37" s="310">
        <f t="shared" si="3"/>
        <v>8.73</v>
      </c>
      <c r="P37" s="310">
        <f t="shared" si="4"/>
        <v>0</v>
      </c>
      <c r="Q37" s="311">
        <f t="shared" si="5"/>
        <v>0.96177151041092879</v>
      </c>
      <c r="T37" s="309"/>
      <c r="U37" s="309"/>
      <c r="V37" s="319" t="str">
        <f>PE_aug!AP37</f>
        <v>KWS, neue Schlammbehandlung</v>
      </c>
    </row>
    <row r="38" spans="1:22">
      <c r="A38" s="111" t="s">
        <v>78</v>
      </c>
      <c r="B38">
        <v>2.27</v>
      </c>
      <c r="C38">
        <v>9.01</v>
      </c>
      <c r="E38" s="306">
        <v>2.27</v>
      </c>
      <c r="F38">
        <v>9.01</v>
      </c>
      <c r="J38" s="119">
        <v>4.5395000000000003</v>
      </c>
      <c r="K38">
        <v>0.69</v>
      </c>
      <c r="L38" s="308">
        <f t="shared" si="0"/>
        <v>0.75</v>
      </c>
      <c r="M38" s="309">
        <f t="shared" si="1"/>
        <v>0.72</v>
      </c>
      <c r="N38" s="310">
        <f t="shared" si="2"/>
        <v>5.64</v>
      </c>
      <c r="O38" s="310">
        <f t="shared" si="3"/>
        <v>9.01</v>
      </c>
      <c r="P38" s="310">
        <f t="shared" si="4"/>
        <v>0</v>
      </c>
      <c r="Q38" s="311">
        <f t="shared" si="5"/>
        <v>1.9848000881154311</v>
      </c>
      <c r="T38" s="309"/>
      <c r="U38" s="309"/>
      <c r="V38" s="319" t="str">
        <f>PE_aug!AP38</f>
        <v>KWS, neue Schlammbehandlung</v>
      </c>
    </row>
    <row r="39" spans="1:22">
      <c r="A39" s="111" t="s">
        <v>79</v>
      </c>
      <c r="C39">
        <v>8.8800000000000008</v>
      </c>
      <c r="D39">
        <v>9.68</v>
      </c>
      <c r="F39">
        <v>8.8800000000000008</v>
      </c>
      <c r="G39" s="307">
        <v>9.68</v>
      </c>
      <c r="J39" s="119">
        <v>11.981299999999999</v>
      </c>
      <c r="K39">
        <v>0.44</v>
      </c>
      <c r="L39" s="308">
        <f t="shared" si="0"/>
        <v>1</v>
      </c>
      <c r="M39" s="309">
        <f t="shared" si="1"/>
        <v>0.72</v>
      </c>
      <c r="N39" s="310">
        <f t="shared" si="2"/>
        <v>9.2800000000000011</v>
      </c>
      <c r="O39" s="310">
        <f t="shared" si="3"/>
        <v>9.2800000000000011</v>
      </c>
      <c r="P39" s="310">
        <f t="shared" si="4"/>
        <v>8.6206896551724022</v>
      </c>
      <c r="Q39" s="311">
        <f t="shared" si="5"/>
        <v>0.77454032534032213</v>
      </c>
      <c r="T39" s="309"/>
      <c r="U39" s="309"/>
      <c r="V39" s="319" t="str">
        <f>PE_aug!AP39</f>
        <v>KWS, neue Schlammbehandlung</v>
      </c>
    </row>
    <row r="40" spans="1:22">
      <c r="A40" s="111" t="s">
        <v>80</v>
      </c>
      <c r="C40">
        <v>8.18</v>
      </c>
      <c r="D40">
        <v>11.74</v>
      </c>
      <c r="F40">
        <v>8.18</v>
      </c>
      <c r="G40" s="307">
        <v>11.74</v>
      </c>
      <c r="J40" s="119">
        <v>22.0534</v>
      </c>
      <c r="K40">
        <v>0.44</v>
      </c>
      <c r="L40" s="308">
        <f t="shared" si="0"/>
        <v>0.75</v>
      </c>
      <c r="M40" s="309">
        <f t="shared" si="1"/>
        <v>0.59499999999999997</v>
      </c>
      <c r="N40" s="310">
        <f t="shared" si="2"/>
        <v>9.9600000000000009</v>
      </c>
      <c r="O40" s="310">
        <f t="shared" si="3"/>
        <v>9.9600000000000009</v>
      </c>
      <c r="P40" s="310">
        <f t="shared" si="4"/>
        <v>35.742971887550198</v>
      </c>
      <c r="Q40" s="311">
        <f t="shared" si="5"/>
        <v>0.45163104101861851</v>
      </c>
      <c r="T40" s="309"/>
      <c r="U40" s="309"/>
      <c r="V40" s="319" t="str">
        <f>PE_aug!AP40</f>
        <v>KWS, neue Schlammbehandlung</v>
      </c>
    </row>
    <row r="41" spans="1:22">
      <c r="A41" s="111" t="s">
        <v>81</v>
      </c>
      <c r="C41">
        <v>7.82</v>
      </c>
      <c r="D41">
        <v>8.69</v>
      </c>
      <c r="F41">
        <v>7.82</v>
      </c>
      <c r="G41" s="307">
        <v>8.69</v>
      </c>
      <c r="J41" s="119">
        <v>14.983700000000001</v>
      </c>
      <c r="K41">
        <v>0.44</v>
      </c>
      <c r="L41" s="308">
        <f t="shared" si="0"/>
        <v>1</v>
      </c>
      <c r="M41" s="309">
        <f t="shared" si="1"/>
        <v>0.72</v>
      </c>
      <c r="N41" s="310">
        <f t="shared" si="2"/>
        <v>8.254999999999999</v>
      </c>
      <c r="O41" s="310">
        <f t="shared" si="3"/>
        <v>8.254999999999999</v>
      </c>
      <c r="P41" s="310">
        <f t="shared" si="4"/>
        <v>10.53906723198061</v>
      </c>
      <c r="Q41" s="311">
        <f t="shared" si="5"/>
        <v>0.5509320127872287</v>
      </c>
      <c r="T41" s="309"/>
      <c r="U41" s="309"/>
      <c r="V41" s="319" t="str">
        <f>PE_aug!AP41</f>
        <v>KWS, neue Schlammbehandlung</v>
      </c>
    </row>
    <row r="42" spans="1:22">
      <c r="A42" s="111" t="s">
        <v>82</v>
      </c>
      <c r="C42">
        <v>9.41</v>
      </c>
      <c r="D42">
        <v>9.1</v>
      </c>
      <c r="F42">
        <v>9.41</v>
      </c>
      <c r="G42" s="307">
        <v>9.1</v>
      </c>
      <c r="J42" s="119">
        <v>2.3340000000000001</v>
      </c>
      <c r="K42">
        <v>0.56000000000000005</v>
      </c>
      <c r="L42" s="308">
        <f t="shared" si="0"/>
        <v>1</v>
      </c>
      <c r="M42" s="309">
        <f t="shared" si="1"/>
        <v>0.78</v>
      </c>
      <c r="N42" s="310">
        <f t="shared" si="2"/>
        <v>9.254999999999999</v>
      </c>
      <c r="O42" s="310">
        <f t="shared" si="3"/>
        <v>9.254999999999999</v>
      </c>
      <c r="P42" s="310">
        <f t="shared" si="4"/>
        <v>3.3495407887628366</v>
      </c>
      <c r="Q42" s="311">
        <f t="shared" si="5"/>
        <v>3.965295629820051</v>
      </c>
      <c r="T42" s="309"/>
      <c r="U42" s="309"/>
      <c r="V42" s="319" t="str">
        <f>PE_aug!AP42</f>
        <v>Methodenvergleich</v>
      </c>
    </row>
    <row r="43" spans="1:22">
      <c r="A43" s="111" t="s">
        <v>83</v>
      </c>
      <c r="C43">
        <v>9.24</v>
      </c>
      <c r="D43">
        <v>13.94</v>
      </c>
      <c r="F43">
        <v>9.24</v>
      </c>
      <c r="G43" s="307">
        <v>13.94</v>
      </c>
      <c r="J43" s="119">
        <v>5.1288999999999998</v>
      </c>
      <c r="K43">
        <v>0.49</v>
      </c>
      <c r="L43" s="308">
        <f t="shared" si="0"/>
        <v>0.75</v>
      </c>
      <c r="M43" s="309">
        <f t="shared" si="1"/>
        <v>0.62</v>
      </c>
      <c r="N43" s="310">
        <f t="shared" si="2"/>
        <v>11.59</v>
      </c>
      <c r="O43" s="310">
        <f t="shared" si="3"/>
        <v>11.59</v>
      </c>
      <c r="P43" s="310">
        <f t="shared" si="4"/>
        <v>40.55220017256255</v>
      </c>
      <c r="Q43" s="311">
        <f t="shared" si="5"/>
        <v>2.2597438047144611</v>
      </c>
      <c r="T43" s="309"/>
      <c r="U43" s="309"/>
      <c r="V43" s="319" t="str">
        <f>PE_aug!AP43</f>
        <v>Methodenvergleich</v>
      </c>
    </row>
    <row r="44" spans="1:22">
      <c r="A44" s="111" t="s">
        <v>84</v>
      </c>
      <c r="C44">
        <v>7.81</v>
      </c>
      <c r="D44">
        <v>3.65</v>
      </c>
      <c r="F44">
        <v>7.81</v>
      </c>
      <c r="G44" s="307">
        <v>3.65</v>
      </c>
      <c r="J44" s="119">
        <v>2.7223000000000002</v>
      </c>
      <c r="K44">
        <v>0.44</v>
      </c>
      <c r="L44" s="308">
        <f t="shared" si="0"/>
        <v>0.5</v>
      </c>
      <c r="M44" s="309">
        <f t="shared" si="1"/>
        <v>0.47</v>
      </c>
      <c r="N44" s="310">
        <f t="shared" si="2"/>
        <v>5.7299999999999995</v>
      </c>
      <c r="O44" s="310">
        <f t="shared" si="3"/>
        <v>5.7299999999999995</v>
      </c>
      <c r="P44" s="310">
        <f t="shared" si="4"/>
        <v>72.600349040139619</v>
      </c>
      <c r="Q44" s="311">
        <f t="shared" si="5"/>
        <v>2.104837820960217</v>
      </c>
      <c r="T44" s="309"/>
      <c r="U44" s="309"/>
      <c r="V44" s="319" t="str">
        <f>PE_aug!AP44</f>
        <v>Methodenvergleich</v>
      </c>
    </row>
    <row r="45" spans="1:22">
      <c r="A45" s="111" t="s">
        <v>85</v>
      </c>
      <c r="C45">
        <v>7.68</v>
      </c>
      <c r="F45">
        <v>7.68</v>
      </c>
      <c r="J45" s="119">
        <v>2.6141000000000001</v>
      </c>
      <c r="K45">
        <v>0.44</v>
      </c>
      <c r="L45" s="308">
        <f t="shared" si="0"/>
        <v>0.75</v>
      </c>
      <c r="M45" s="309">
        <f t="shared" si="1"/>
        <v>0.59499999999999997</v>
      </c>
      <c r="N45" s="310">
        <f t="shared" si="2"/>
        <v>7.68</v>
      </c>
      <c r="O45" s="310">
        <f t="shared" si="3"/>
        <v>7.68</v>
      </c>
      <c r="P45" s="310">
        <f t="shared" si="4"/>
        <v>0</v>
      </c>
      <c r="Q45" s="311">
        <f t="shared" si="5"/>
        <v>2.937913622279178</v>
      </c>
      <c r="T45" s="309"/>
      <c r="U45" s="309"/>
      <c r="V45" s="319" t="str">
        <f>PE_aug!AP45</f>
        <v>Methodenvergleich</v>
      </c>
    </row>
    <row r="46" spans="1:22">
      <c r="A46" s="111" t="s">
        <v>86</v>
      </c>
      <c r="B46">
        <v>5.76</v>
      </c>
      <c r="C46">
        <v>11.38</v>
      </c>
      <c r="D46">
        <v>43.42</v>
      </c>
      <c r="E46" s="306">
        <v>5.76</v>
      </c>
      <c r="F46">
        <v>11.38</v>
      </c>
      <c r="G46" s="307">
        <v>43.42</v>
      </c>
      <c r="J46" s="119">
        <v>3.3165</v>
      </c>
      <c r="K46">
        <v>0.56000000000000005</v>
      </c>
      <c r="L46" s="308">
        <f t="shared" si="0"/>
        <v>0.5</v>
      </c>
      <c r="M46" s="309">
        <f t="shared" si="1"/>
        <v>0.53</v>
      </c>
      <c r="N46" s="310">
        <f t="shared" si="2"/>
        <v>20.186666666666667</v>
      </c>
      <c r="O46" s="310">
        <f t="shared" si="3"/>
        <v>27.400000000000002</v>
      </c>
      <c r="P46" s="310">
        <f t="shared" si="4"/>
        <v>116.93430656934305</v>
      </c>
      <c r="Q46" s="311">
        <f t="shared" si="5"/>
        <v>8.2617216945575169</v>
      </c>
      <c r="T46" s="309"/>
      <c r="U46" s="309"/>
      <c r="V46" s="319" t="str">
        <f>PE_aug!AP46</f>
        <v>Methodenvergleich</v>
      </c>
    </row>
    <row r="47" spans="1:22">
      <c r="A47" s="111" t="s">
        <v>87</v>
      </c>
      <c r="B47">
        <v>3.37</v>
      </c>
      <c r="C47">
        <v>10.59</v>
      </c>
      <c r="D47">
        <v>45.18</v>
      </c>
      <c r="E47" s="306">
        <v>3.37</v>
      </c>
      <c r="F47">
        <v>10.59</v>
      </c>
      <c r="G47" s="307">
        <v>45.18</v>
      </c>
      <c r="J47" s="119">
        <v>2.6827000000000001</v>
      </c>
      <c r="K47">
        <v>0.56000000000000005</v>
      </c>
      <c r="L47" s="308">
        <f t="shared" si="0"/>
        <v>0.5</v>
      </c>
      <c r="M47" s="309">
        <f t="shared" si="1"/>
        <v>0.53</v>
      </c>
      <c r="N47" s="310">
        <f t="shared" si="2"/>
        <v>19.713333333333335</v>
      </c>
      <c r="O47" s="310">
        <f t="shared" si="3"/>
        <v>27.884999999999998</v>
      </c>
      <c r="P47" s="310">
        <f t="shared" si="4"/>
        <v>124.04518558364714</v>
      </c>
      <c r="Q47" s="311">
        <f t="shared" si="5"/>
        <v>10.394378797480149</v>
      </c>
      <c r="T47" s="309"/>
      <c r="U47" s="309"/>
      <c r="V47" s="319" t="str">
        <f>PE_aug!AP47</f>
        <v>Methodenvergleich</v>
      </c>
    </row>
    <row r="48" spans="1:22">
      <c r="A48" s="111" t="s">
        <v>88</v>
      </c>
      <c r="C48">
        <v>7.93</v>
      </c>
      <c r="D48">
        <v>5.17</v>
      </c>
      <c r="F48">
        <v>7.93</v>
      </c>
      <c r="G48" s="307">
        <v>5.17</v>
      </c>
      <c r="J48" s="119">
        <v>4.9345999999999997</v>
      </c>
      <c r="K48">
        <v>0.44</v>
      </c>
      <c r="L48" s="308">
        <f t="shared" si="0"/>
        <v>0.75</v>
      </c>
      <c r="M48" s="309">
        <f t="shared" si="1"/>
        <v>0.59499999999999997</v>
      </c>
      <c r="N48" s="310">
        <f t="shared" si="2"/>
        <v>6.55</v>
      </c>
      <c r="O48" s="310">
        <f t="shared" si="3"/>
        <v>6.55</v>
      </c>
      <c r="P48" s="310">
        <f t="shared" si="4"/>
        <v>42.137404580152669</v>
      </c>
      <c r="Q48" s="311">
        <f t="shared" si="5"/>
        <v>1.3273618935678677</v>
      </c>
      <c r="T48" s="309"/>
      <c r="U48" s="309"/>
      <c r="V48" s="319" t="str">
        <f>PE_aug!AP48</f>
        <v>Methodenvergleich</v>
      </c>
    </row>
    <row r="49" spans="1:22">
      <c r="A49" s="111" t="s">
        <v>89</v>
      </c>
      <c r="C49">
        <v>7.56</v>
      </c>
      <c r="D49">
        <v>3.66</v>
      </c>
      <c r="F49">
        <v>7.56</v>
      </c>
      <c r="G49" s="307">
        <v>3.66</v>
      </c>
      <c r="J49" s="119">
        <v>5.2786</v>
      </c>
      <c r="K49">
        <v>0.44</v>
      </c>
      <c r="L49" s="308">
        <f t="shared" si="0"/>
        <v>0.75</v>
      </c>
      <c r="M49" s="309">
        <f t="shared" si="1"/>
        <v>0.59499999999999997</v>
      </c>
      <c r="N49" s="310">
        <f t="shared" si="2"/>
        <v>5.6099999999999994</v>
      </c>
      <c r="O49" s="310">
        <f t="shared" si="3"/>
        <v>5.6099999999999994</v>
      </c>
      <c r="P49" s="310">
        <f t="shared" si="4"/>
        <v>69.518716577540104</v>
      </c>
      <c r="Q49" s="311">
        <f t="shared" si="5"/>
        <v>1.0627817982040693</v>
      </c>
      <c r="T49" s="309"/>
      <c r="U49" s="309"/>
      <c r="V49" s="319" t="str">
        <f>PE_aug!AP49</f>
        <v>Methodenvergleich</v>
      </c>
    </row>
    <row r="50" spans="1:22">
      <c r="A50" s="116" t="s">
        <v>90</v>
      </c>
      <c r="H50" s="51"/>
      <c r="I50" s="51"/>
      <c r="J50" s="128">
        <v>6.4586099999999994E-2</v>
      </c>
      <c r="L50" s="308">
        <f t="shared" si="0"/>
        <v>0.33</v>
      </c>
      <c r="M50" s="309">
        <f t="shared" si="1"/>
        <v>0.33</v>
      </c>
      <c r="N50" s="310" t="e">
        <f t="shared" si="2"/>
        <v>#DIV/0!</v>
      </c>
      <c r="O50" s="310" t="e">
        <f t="shared" si="3"/>
        <v>#DIV/0!</v>
      </c>
      <c r="P50" s="310" t="e">
        <f t="shared" si="4"/>
        <v>#DIV/0!</v>
      </c>
      <c r="Q50" s="311">
        <f t="shared" si="5"/>
        <v>0</v>
      </c>
      <c r="T50" s="309"/>
      <c r="U50" s="309"/>
      <c r="V50" s="319" t="str">
        <f>PE_aug!AP50</f>
        <v>Methode</v>
      </c>
    </row>
    <row r="51" spans="1:22">
      <c r="A51" s="116" t="s">
        <v>91</v>
      </c>
      <c r="C51">
        <v>7.97</v>
      </c>
      <c r="F51">
        <v>7.97</v>
      </c>
      <c r="J51" s="119">
        <v>9.7091999999999992</v>
      </c>
      <c r="K51">
        <v>0.44</v>
      </c>
      <c r="L51" s="308">
        <f t="shared" si="0"/>
        <v>0.75</v>
      </c>
      <c r="M51" s="309">
        <f t="shared" si="1"/>
        <v>0.59499999999999997</v>
      </c>
      <c r="N51" s="310">
        <f t="shared" si="2"/>
        <v>7.97</v>
      </c>
      <c r="O51" s="310">
        <f t="shared" si="3"/>
        <v>7.97</v>
      </c>
      <c r="P51" s="310">
        <f t="shared" si="4"/>
        <v>0</v>
      </c>
      <c r="Q51" s="311">
        <f t="shared" si="5"/>
        <v>0.8208709265438966</v>
      </c>
      <c r="T51" s="309"/>
      <c r="U51" s="309"/>
      <c r="V51" s="319" t="str">
        <f>PE_aug!AP51</f>
        <v>Referenzmessung BS</v>
      </c>
    </row>
    <row r="52" spans="1:22">
      <c r="A52" s="116" t="s">
        <v>92</v>
      </c>
      <c r="B52">
        <v>4.17</v>
      </c>
      <c r="C52">
        <v>7.79</v>
      </c>
      <c r="E52" s="306">
        <v>4.17</v>
      </c>
      <c r="F52">
        <v>7.79</v>
      </c>
      <c r="J52" s="119">
        <v>13.1975</v>
      </c>
      <c r="K52">
        <v>0.44</v>
      </c>
      <c r="L52" s="308">
        <f t="shared" si="0"/>
        <v>0.75</v>
      </c>
      <c r="M52" s="309">
        <f t="shared" si="1"/>
        <v>0.59499999999999997</v>
      </c>
      <c r="N52" s="310">
        <f t="shared" si="2"/>
        <v>5.98</v>
      </c>
      <c r="O52" s="310">
        <f t="shared" si="3"/>
        <v>7.79</v>
      </c>
      <c r="P52" s="310">
        <f t="shared" si="4"/>
        <v>0</v>
      </c>
      <c r="Q52" s="311">
        <f t="shared" si="5"/>
        <v>0.59026330744459177</v>
      </c>
      <c r="T52" s="309"/>
      <c r="U52" s="309"/>
      <c r="V52" s="319" t="str">
        <f>PE_aug!AP52</f>
        <v>Referenzmessung BS</v>
      </c>
    </row>
    <row r="53" spans="1:22">
      <c r="A53" s="116" t="s">
        <v>93</v>
      </c>
      <c r="B53">
        <v>5.69</v>
      </c>
      <c r="C53">
        <v>8.5500000000000007</v>
      </c>
      <c r="E53" s="306">
        <v>5.69</v>
      </c>
      <c r="F53">
        <v>8.5500000000000007</v>
      </c>
      <c r="J53" s="119">
        <v>13.651300000000001</v>
      </c>
      <c r="K53">
        <v>0.44</v>
      </c>
      <c r="L53" s="308">
        <f t="shared" si="0"/>
        <v>0.75</v>
      </c>
      <c r="M53" s="309">
        <f t="shared" si="1"/>
        <v>0.59499999999999997</v>
      </c>
      <c r="N53" s="310">
        <f t="shared" si="2"/>
        <v>7.120000000000001</v>
      </c>
      <c r="O53" s="310">
        <f t="shared" si="3"/>
        <v>8.5500000000000007</v>
      </c>
      <c r="P53" s="310">
        <f t="shared" si="4"/>
        <v>0</v>
      </c>
      <c r="Q53" s="311">
        <f t="shared" si="5"/>
        <v>0.62631397742339556</v>
      </c>
      <c r="T53" s="309"/>
      <c r="U53" s="309"/>
      <c r="V53" s="319" t="str">
        <f>PE_aug!AP53</f>
        <v>Referenzmessung BS</v>
      </c>
    </row>
    <row r="54" spans="1:22">
      <c r="A54" s="116" t="s">
        <v>94</v>
      </c>
      <c r="C54">
        <v>8.08</v>
      </c>
      <c r="F54">
        <v>8.08</v>
      </c>
      <c r="J54" s="119">
        <v>12.703900000000001</v>
      </c>
      <c r="K54">
        <v>0.69</v>
      </c>
      <c r="L54" s="308">
        <f t="shared" si="0"/>
        <v>0.75</v>
      </c>
      <c r="M54" s="309">
        <f t="shared" si="1"/>
        <v>0.72</v>
      </c>
      <c r="N54" s="310">
        <f t="shared" si="2"/>
        <v>8.08</v>
      </c>
      <c r="O54" s="310">
        <f t="shared" si="3"/>
        <v>8.08</v>
      </c>
      <c r="P54" s="310">
        <f t="shared" si="4"/>
        <v>0</v>
      </c>
      <c r="Q54" s="311">
        <f t="shared" si="5"/>
        <v>0.63602515762875966</v>
      </c>
      <c r="T54" s="309"/>
      <c r="U54" s="309"/>
      <c r="V54" s="319" t="str">
        <f>PE_aug!AP54</f>
        <v>Referenzmessung BS</v>
      </c>
    </row>
    <row r="55" spans="1:22">
      <c r="A55" s="116" t="s">
        <v>95</v>
      </c>
      <c r="C55">
        <v>7.46</v>
      </c>
      <c r="F55">
        <v>7.46</v>
      </c>
      <c r="J55" s="119">
        <v>7.2664999999999997</v>
      </c>
      <c r="K55">
        <v>0.69</v>
      </c>
      <c r="L55" s="308">
        <f t="shared" si="0"/>
        <v>0.75</v>
      </c>
      <c r="M55" s="309">
        <f t="shared" si="1"/>
        <v>0.72</v>
      </c>
      <c r="N55" s="310">
        <f t="shared" si="2"/>
        <v>7.46</v>
      </c>
      <c r="O55" s="310">
        <f t="shared" si="3"/>
        <v>7.46</v>
      </c>
      <c r="P55" s="310">
        <f t="shared" si="4"/>
        <v>0</v>
      </c>
      <c r="Q55" s="311">
        <f t="shared" si="5"/>
        <v>1.0266290511250258</v>
      </c>
      <c r="T55" s="309"/>
      <c r="U55" s="309"/>
      <c r="V55" s="319" t="str">
        <f>PE_aug!AP55</f>
        <v>Referenzmessung BS</v>
      </c>
    </row>
    <row r="56" spans="1:22">
      <c r="A56" s="116" t="s">
        <v>96</v>
      </c>
      <c r="C56">
        <v>7.38</v>
      </c>
      <c r="F56">
        <v>7.38</v>
      </c>
      <c r="J56" s="119">
        <v>10.364800000000001</v>
      </c>
      <c r="K56">
        <v>0.44</v>
      </c>
      <c r="L56" s="308">
        <f t="shared" si="0"/>
        <v>0.75</v>
      </c>
      <c r="M56" s="309">
        <f t="shared" si="1"/>
        <v>0.59499999999999997</v>
      </c>
      <c r="N56" s="310">
        <f t="shared" si="2"/>
        <v>7.38</v>
      </c>
      <c r="O56" s="310">
        <f t="shared" si="3"/>
        <v>7.38</v>
      </c>
      <c r="P56" s="310">
        <f t="shared" si="4"/>
        <v>0</v>
      </c>
      <c r="Q56" s="311">
        <f t="shared" si="5"/>
        <v>0.71202531645569611</v>
      </c>
      <c r="T56" s="309"/>
      <c r="U56" s="309"/>
      <c r="V56" s="319" t="str">
        <f>PE_aug!AP56</f>
        <v>Referenzmessung BS</v>
      </c>
    </row>
    <row r="57" spans="1:22">
      <c r="A57" s="116" t="s">
        <v>97</v>
      </c>
      <c r="C57">
        <v>7.77</v>
      </c>
      <c r="F57">
        <v>7.77</v>
      </c>
      <c r="J57" s="119">
        <v>10.887700000000001</v>
      </c>
      <c r="K57">
        <v>0.44</v>
      </c>
      <c r="L57" s="308">
        <f t="shared" si="0"/>
        <v>0.75</v>
      </c>
      <c r="M57" s="309">
        <f t="shared" si="1"/>
        <v>0.59499999999999997</v>
      </c>
      <c r="N57" s="310">
        <f t="shared" si="2"/>
        <v>7.77</v>
      </c>
      <c r="O57" s="310">
        <f t="shared" si="3"/>
        <v>7.77</v>
      </c>
      <c r="P57" s="310">
        <f t="shared" si="4"/>
        <v>0</v>
      </c>
      <c r="Q57" s="311">
        <f t="shared" si="5"/>
        <v>0.71364934742874975</v>
      </c>
      <c r="T57" s="309"/>
      <c r="U57" s="309"/>
      <c r="V57" s="319" t="str">
        <f>PE_aug!AP57</f>
        <v>Referenzmessung BS</v>
      </c>
    </row>
    <row r="58" spans="1:22">
      <c r="A58" s="116" t="s">
        <v>98</v>
      </c>
      <c r="C58">
        <v>7.67</v>
      </c>
      <c r="F58">
        <v>7.67</v>
      </c>
      <c r="J58" s="119">
        <v>8.7660999999999998</v>
      </c>
      <c r="K58">
        <v>0.44</v>
      </c>
      <c r="L58" s="308">
        <f t="shared" si="0"/>
        <v>0.75</v>
      </c>
      <c r="M58" s="309">
        <f t="shared" si="1"/>
        <v>0.59499999999999997</v>
      </c>
      <c r="N58" s="310">
        <f t="shared" si="2"/>
        <v>7.67</v>
      </c>
      <c r="O58" s="310">
        <f t="shared" si="3"/>
        <v>7.67</v>
      </c>
      <c r="P58" s="310">
        <f t="shared" si="4"/>
        <v>0</v>
      </c>
      <c r="Q58" s="311">
        <f t="shared" si="5"/>
        <v>0.87496149941250956</v>
      </c>
      <c r="T58" s="309"/>
      <c r="U58" s="309"/>
      <c r="V58" s="319" t="str">
        <f>PE_aug!AP58</f>
        <v>Referenzmessung BS</v>
      </c>
    </row>
    <row r="59" spans="1:22">
      <c r="A59" s="116" t="s">
        <v>99</v>
      </c>
      <c r="C59">
        <v>7.75</v>
      </c>
      <c r="F59">
        <v>7.75</v>
      </c>
      <c r="J59" s="119">
        <v>11.4666</v>
      </c>
      <c r="K59">
        <v>0.44</v>
      </c>
      <c r="L59" s="308">
        <f t="shared" si="0"/>
        <v>0.75</v>
      </c>
      <c r="M59" s="309">
        <f t="shared" si="1"/>
        <v>0.59499999999999997</v>
      </c>
      <c r="N59" s="310">
        <f t="shared" si="2"/>
        <v>7.75</v>
      </c>
      <c r="O59" s="310">
        <f t="shared" si="3"/>
        <v>7.75</v>
      </c>
      <c r="P59" s="310">
        <f t="shared" si="4"/>
        <v>0</v>
      </c>
      <c r="Q59" s="311">
        <f t="shared" si="5"/>
        <v>0.67587602253501478</v>
      </c>
      <c r="T59" s="309"/>
      <c r="U59" s="309"/>
      <c r="V59" s="319" t="str">
        <f>PE_aug!AP59</f>
        <v>Referenzmessung BS</v>
      </c>
    </row>
    <row r="60" spans="1:22">
      <c r="A60" s="116" t="s">
        <v>100</v>
      </c>
      <c r="C60">
        <v>8.5</v>
      </c>
      <c r="F60">
        <v>8.5</v>
      </c>
      <c r="J60" s="119">
        <v>8.7931000000000008</v>
      </c>
      <c r="K60">
        <v>0.39</v>
      </c>
      <c r="L60" s="308">
        <f t="shared" si="0"/>
        <v>0.75</v>
      </c>
      <c r="M60" s="309">
        <f t="shared" si="1"/>
        <v>0.57000000000000006</v>
      </c>
      <c r="N60" s="310">
        <f t="shared" si="2"/>
        <v>8.5</v>
      </c>
      <c r="O60" s="310">
        <f t="shared" si="3"/>
        <v>8.5</v>
      </c>
      <c r="P60" s="310">
        <f t="shared" si="4"/>
        <v>0</v>
      </c>
      <c r="Q60" s="311">
        <f t="shared" si="5"/>
        <v>0.96666704575178253</v>
      </c>
      <c r="T60" s="309"/>
      <c r="U60" s="309"/>
      <c r="V60" s="319" t="str">
        <f>PE_aug!AP60</f>
        <v>Referenzmessung BS</v>
      </c>
    </row>
    <row r="61" spans="1:22">
      <c r="A61" s="116" t="s">
        <v>101</v>
      </c>
      <c r="C61">
        <v>8.5</v>
      </c>
      <c r="F61">
        <v>8.5</v>
      </c>
      <c r="J61" s="119">
        <v>7.7481</v>
      </c>
      <c r="K61">
        <v>0.39</v>
      </c>
      <c r="L61" s="308">
        <f t="shared" si="0"/>
        <v>0.75</v>
      </c>
      <c r="M61" s="309">
        <f t="shared" si="1"/>
        <v>0.57000000000000006</v>
      </c>
      <c r="N61" s="310">
        <f t="shared" si="2"/>
        <v>8.5</v>
      </c>
      <c r="O61" s="310">
        <f t="shared" si="3"/>
        <v>8.5</v>
      </c>
      <c r="P61" s="310">
        <f t="shared" si="4"/>
        <v>0</v>
      </c>
      <c r="Q61" s="311">
        <f t="shared" si="5"/>
        <v>1.097043146061615</v>
      </c>
      <c r="T61" s="309"/>
      <c r="U61" s="309"/>
      <c r="V61" s="319" t="str">
        <f>PE_aug!AP61</f>
        <v>Referenzmessung BS</v>
      </c>
    </row>
    <row r="62" spans="1:22">
      <c r="A62" s="116" t="s">
        <v>102</v>
      </c>
      <c r="C62">
        <v>8.25</v>
      </c>
      <c r="F62">
        <v>8.25</v>
      </c>
      <c r="J62" s="119">
        <v>9.3953000000000007</v>
      </c>
      <c r="K62">
        <v>0.44</v>
      </c>
      <c r="L62" s="308">
        <f t="shared" si="0"/>
        <v>0.75</v>
      </c>
      <c r="M62" s="309">
        <f t="shared" si="1"/>
        <v>0.59499999999999997</v>
      </c>
      <c r="N62" s="310">
        <f t="shared" si="2"/>
        <v>8.25</v>
      </c>
      <c r="O62" s="310">
        <f t="shared" si="3"/>
        <v>8.25</v>
      </c>
      <c r="P62" s="310">
        <f t="shared" si="4"/>
        <v>0</v>
      </c>
      <c r="Q62" s="311">
        <f t="shared" si="5"/>
        <v>0.87809862377997505</v>
      </c>
      <c r="T62" s="309"/>
      <c r="U62" s="309"/>
      <c r="V62" s="319" t="str">
        <f>PE_aug!AP62</f>
        <v>Referenzmessung BS</v>
      </c>
    </row>
    <row r="63" spans="1:22">
      <c r="A63" s="116" t="s">
        <v>103</v>
      </c>
      <c r="B63">
        <v>6.12</v>
      </c>
      <c r="C63">
        <v>8.08</v>
      </c>
      <c r="E63" s="306">
        <v>6.12</v>
      </c>
      <c r="F63">
        <v>8.08</v>
      </c>
      <c r="J63" s="119">
        <v>10.911199999999999</v>
      </c>
      <c r="K63">
        <v>0.44</v>
      </c>
      <c r="L63" s="308">
        <f t="shared" si="0"/>
        <v>0.75</v>
      </c>
      <c r="M63" s="309">
        <f t="shared" si="1"/>
        <v>0.59499999999999997</v>
      </c>
      <c r="N63" s="310">
        <f t="shared" si="2"/>
        <v>7.1</v>
      </c>
      <c r="O63" s="310">
        <f t="shared" si="3"/>
        <v>8.08</v>
      </c>
      <c r="P63" s="310">
        <f t="shared" si="4"/>
        <v>0</v>
      </c>
      <c r="Q63" s="311">
        <f t="shared" si="5"/>
        <v>0.74052349879023394</v>
      </c>
      <c r="T63" s="309"/>
      <c r="U63" s="309"/>
      <c r="V63" s="319" t="str">
        <f>PE_aug!AP63</f>
        <v>Referenzmessung BS</v>
      </c>
    </row>
    <row r="64" spans="1:22">
      <c r="A64" s="116" t="s">
        <v>104</v>
      </c>
      <c r="B64">
        <v>4.29</v>
      </c>
      <c r="C64">
        <v>8.35</v>
      </c>
      <c r="E64" s="306">
        <v>4.29</v>
      </c>
      <c r="F64">
        <v>8.35</v>
      </c>
      <c r="J64" s="119">
        <v>9.3252000000000006</v>
      </c>
      <c r="K64">
        <v>0.44</v>
      </c>
      <c r="L64" s="308">
        <f t="shared" si="0"/>
        <v>0.75</v>
      </c>
      <c r="M64" s="309">
        <f t="shared" si="1"/>
        <v>0.59499999999999997</v>
      </c>
      <c r="N64" s="310">
        <f t="shared" si="2"/>
        <v>6.32</v>
      </c>
      <c r="O64" s="310">
        <f t="shared" si="3"/>
        <v>8.35</v>
      </c>
      <c r="P64" s="310">
        <f t="shared" si="4"/>
        <v>0</v>
      </c>
      <c r="Q64" s="311">
        <f t="shared" si="5"/>
        <v>0.895423154463175</v>
      </c>
      <c r="T64" s="309"/>
      <c r="U64" s="309"/>
      <c r="V64" s="319" t="str">
        <f>PE_aug!AP64</f>
        <v>Referenzmessung BS</v>
      </c>
    </row>
    <row r="65" spans="1:22">
      <c r="A65" s="116" t="s">
        <v>105</v>
      </c>
      <c r="B65">
        <v>5.0599999999999996</v>
      </c>
      <c r="C65">
        <v>7.74</v>
      </c>
      <c r="E65" s="306">
        <v>5.0599999999999996</v>
      </c>
      <c r="F65">
        <v>7.74</v>
      </c>
      <c r="J65" s="119">
        <v>10.133599999999999</v>
      </c>
      <c r="K65">
        <v>0.44</v>
      </c>
      <c r="L65" s="308">
        <f t="shared" si="0"/>
        <v>0.75</v>
      </c>
      <c r="M65" s="309">
        <f t="shared" si="1"/>
        <v>0.59499999999999997</v>
      </c>
      <c r="N65" s="310">
        <f t="shared" si="2"/>
        <v>6.4</v>
      </c>
      <c r="O65" s="310">
        <f t="shared" si="3"/>
        <v>7.74</v>
      </c>
      <c r="P65" s="310">
        <f t="shared" si="4"/>
        <v>0</v>
      </c>
      <c r="Q65" s="311">
        <f t="shared" si="5"/>
        <v>0.76379568958711619</v>
      </c>
      <c r="T65" s="309"/>
      <c r="U65" s="309"/>
      <c r="V65" s="319" t="str">
        <f>PE_aug!AP65</f>
        <v>Referenzmessung BS</v>
      </c>
    </row>
    <row r="66" spans="1:22">
      <c r="A66" s="116" t="s">
        <v>106</v>
      </c>
      <c r="C66">
        <v>7.7</v>
      </c>
      <c r="F66">
        <v>7.7</v>
      </c>
      <c r="J66" s="119">
        <v>5.3752000000000004</v>
      </c>
      <c r="K66">
        <v>0.44</v>
      </c>
      <c r="L66" s="308">
        <f t="shared" ref="L66:L129" si="6">IF(COUNT(F66:G66)&lt;1,0.33,((COUNT(F66:G66)*(1/(COUNT(F66:G66)+COUNTBLANK(F66:G66)))+(IF(P66&lt;35,1,IF(P66&lt;70,0.5,IF(P66&gt;70,0)))))/2))</f>
        <v>0.75</v>
      </c>
      <c r="M66" s="309">
        <f t="shared" ref="M66:M129" si="7">AVERAGE(K66:L66)</f>
        <v>0.59499999999999997</v>
      </c>
      <c r="N66" s="310">
        <f t="shared" ref="N66:N129" si="8">AVERAGE(E66:G66)</f>
        <v>7.7</v>
      </c>
      <c r="O66" s="310">
        <f t="shared" ref="O66:O129" si="9">AVERAGE(F66:G66)</f>
        <v>7.7</v>
      </c>
      <c r="P66" s="310">
        <f t="shared" ref="P66:P129" si="10">(MAX(F66:G66)-MIN(F66:G66))/O66*100</f>
        <v>0</v>
      </c>
      <c r="Q66" s="311">
        <f t="shared" ref="Q66:Q129" si="11">IFERROR(O66/J66,0)</f>
        <v>1.4325048370293199</v>
      </c>
      <c r="T66" s="309"/>
      <c r="U66" s="309"/>
      <c r="V66" s="319" t="str">
        <f>PE_aug!AP66</f>
        <v>Massenbilanz KWS, Methode</v>
      </c>
    </row>
    <row r="67" spans="1:22">
      <c r="A67" s="116" t="s">
        <v>108</v>
      </c>
      <c r="C67">
        <v>7.31</v>
      </c>
      <c r="F67">
        <v>7.31</v>
      </c>
      <c r="J67" s="119">
        <v>3.4369000000000001</v>
      </c>
      <c r="K67">
        <v>0.69</v>
      </c>
      <c r="L67" s="308">
        <f t="shared" si="6"/>
        <v>0.75</v>
      </c>
      <c r="M67" s="309">
        <f t="shared" si="7"/>
        <v>0.72</v>
      </c>
      <c r="N67" s="310">
        <f t="shared" si="8"/>
        <v>7.31</v>
      </c>
      <c r="O67" s="310">
        <f t="shared" si="9"/>
        <v>7.31</v>
      </c>
      <c r="P67" s="310">
        <f t="shared" si="10"/>
        <v>0</v>
      </c>
      <c r="Q67" s="311">
        <f t="shared" si="11"/>
        <v>2.12691669818732</v>
      </c>
      <c r="T67" s="309"/>
      <c r="U67" s="309"/>
      <c r="V67" s="319" t="str">
        <f>PE_aug!AP67</f>
        <v>Massenbilanz KWS, Methode</v>
      </c>
    </row>
    <row r="68" spans="1:22">
      <c r="A68" s="127" t="s">
        <v>109</v>
      </c>
      <c r="B68">
        <v>13.88</v>
      </c>
      <c r="C68">
        <v>13.24</v>
      </c>
      <c r="E68" s="306">
        <v>13.88</v>
      </c>
      <c r="F68">
        <v>13.24</v>
      </c>
      <c r="H68" s="227">
        <v>0.72500766269002093</v>
      </c>
      <c r="I68" s="227">
        <v>2.3223591542813038</v>
      </c>
      <c r="J68" s="307">
        <v>24.244299999999999</v>
      </c>
      <c r="K68">
        <v>0.44</v>
      </c>
      <c r="L68" s="308">
        <f t="shared" si="6"/>
        <v>0.75</v>
      </c>
      <c r="M68" s="309">
        <f t="shared" si="7"/>
        <v>0.59499999999999997</v>
      </c>
      <c r="N68" s="310">
        <f t="shared" si="8"/>
        <v>13.56</v>
      </c>
      <c r="O68" s="310">
        <f t="shared" si="9"/>
        <v>13.24</v>
      </c>
      <c r="P68" s="310">
        <f t="shared" si="10"/>
        <v>0</v>
      </c>
      <c r="Q68" s="311">
        <f t="shared" si="11"/>
        <v>0.54610774491323733</v>
      </c>
      <c r="T68" s="309"/>
      <c r="U68" s="309"/>
      <c r="V68" s="319" t="str">
        <f>PE_aug!AP68</f>
        <v>Mischwasserüberlauf</v>
      </c>
    </row>
    <row r="69" spans="1:22">
      <c r="A69" s="127" t="s">
        <v>111</v>
      </c>
      <c r="B69">
        <v>22.85</v>
      </c>
      <c r="C69">
        <v>14.65</v>
      </c>
      <c r="E69" s="306">
        <v>22.85</v>
      </c>
      <c r="F69">
        <v>14.65</v>
      </c>
      <c r="H69" s="227">
        <v>1.1387065290790079</v>
      </c>
      <c r="I69" s="227">
        <v>2.3223591542813038</v>
      </c>
      <c r="J69" s="307">
        <v>21.4099</v>
      </c>
      <c r="K69">
        <v>0.44</v>
      </c>
      <c r="L69" s="308">
        <f t="shared" si="6"/>
        <v>0.75</v>
      </c>
      <c r="M69" s="309">
        <f t="shared" si="7"/>
        <v>0.59499999999999997</v>
      </c>
      <c r="N69" s="310">
        <f t="shared" si="8"/>
        <v>18.75</v>
      </c>
      <c r="O69" s="310">
        <f t="shared" si="9"/>
        <v>14.65</v>
      </c>
      <c r="P69" s="310">
        <f t="shared" si="10"/>
        <v>0</v>
      </c>
      <c r="Q69" s="311">
        <f t="shared" si="11"/>
        <v>0.68426288772950827</v>
      </c>
      <c r="T69" s="309"/>
      <c r="U69" s="309"/>
      <c r="V69" s="319" t="str">
        <f>PE_aug!AP69</f>
        <v>Mischwasserüberlauf</v>
      </c>
    </row>
    <row r="70" spans="1:22">
      <c r="A70" s="127" t="s">
        <v>112</v>
      </c>
      <c r="B70">
        <v>10.48</v>
      </c>
      <c r="C70">
        <v>12</v>
      </c>
      <c r="E70" s="306">
        <v>10.48</v>
      </c>
      <c r="F70">
        <v>12</v>
      </c>
      <c r="H70" s="227">
        <v>0.41413423453421311</v>
      </c>
      <c r="I70" s="227">
        <v>2.3223591542813038</v>
      </c>
      <c r="J70" s="307">
        <v>19.963000000000001</v>
      </c>
      <c r="K70">
        <v>0.44</v>
      </c>
      <c r="L70" s="308">
        <f t="shared" si="6"/>
        <v>0.75</v>
      </c>
      <c r="M70" s="309">
        <f t="shared" si="7"/>
        <v>0.59499999999999997</v>
      </c>
      <c r="N70" s="310">
        <f t="shared" si="8"/>
        <v>11.24</v>
      </c>
      <c r="O70" s="310">
        <f t="shared" si="9"/>
        <v>12</v>
      </c>
      <c r="P70" s="310">
        <f t="shared" si="10"/>
        <v>0</v>
      </c>
      <c r="Q70" s="311">
        <f t="shared" si="11"/>
        <v>0.60111205730601613</v>
      </c>
      <c r="T70" s="309"/>
      <c r="U70" s="309"/>
      <c r="V70" s="319" t="str">
        <f>PE_aug!AP70</f>
        <v>Mischwasserüberlauf</v>
      </c>
    </row>
    <row r="71" spans="1:22">
      <c r="A71" s="127" t="s">
        <v>113</v>
      </c>
      <c r="B71">
        <v>3.77</v>
      </c>
      <c r="C71">
        <v>9.01</v>
      </c>
      <c r="E71" s="306">
        <v>3.77</v>
      </c>
      <c r="F71">
        <v>9.01</v>
      </c>
      <c r="H71" s="227">
        <v>0.62561317936058813</v>
      </c>
      <c r="I71" s="227">
        <v>0.28260061430444122</v>
      </c>
      <c r="J71" s="307">
        <v>22.075199999999999</v>
      </c>
      <c r="K71">
        <v>0.44</v>
      </c>
      <c r="L71" s="308">
        <f t="shared" si="6"/>
        <v>0.75</v>
      </c>
      <c r="M71" s="309">
        <f t="shared" si="7"/>
        <v>0.59499999999999997</v>
      </c>
      <c r="N71" s="310">
        <f t="shared" si="8"/>
        <v>6.39</v>
      </c>
      <c r="O71" s="310">
        <f t="shared" si="9"/>
        <v>9.01</v>
      </c>
      <c r="P71" s="310">
        <f t="shared" si="10"/>
        <v>0</v>
      </c>
      <c r="Q71" s="311">
        <f t="shared" si="11"/>
        <v>0.40815032253388417</v>
      </c>
      <c r="T71" s="309"/>
      <c r="U71" s="309"/>
      <c r="V71" s="319" t="str">
        <f>PE_aug!AP71</f>
        <v>Mischwasserüberlauf</v>
      </c>
    </row>
    <row r="72" spans="1:22">
      <c r="A72" s="127" t="s">
        <v>114</v>
      </c>
      <c r="B72">
        <v>4.01</v>
      </c>
      <c r="C72">
        <v>8.7100000000000009</v>
      </c>
      <c r="E72" s="306">
        <v>4.01</v>
      </c>
      <c r="F72">
        <v>8.7100000000000009</v>
      </c>
      <c r="H72" s="227">
        <v>0.52425544744513741</v>
      </c>
      <c r="I72" s="227">
        <v>0.28260061430444122</v>
      </c>
      <c r="J72" s="307">
        <v>19.199200000000001</v>
      </c>
      <c r="K72">
        <v>0.44</v>
      </c>
      <c r="L72" s="308">
        <f t="shared" si="6"/>
        <v>0.75</v>
      </c>
      <c r="M72" s="309">
        <f t="shared" si="7"/>
        <v>0.59499999999999997</v>
      </c>
      <c r="N72" s="310">
        <f t="shared" si="8"/>
        <v>6.36</v>
      </c>
      <c r="O72" s="310">
        <f t="shared" si="9"/>
        <v>8.7100000000000009</v>
      </c>
      <c r="P72" s="310">
        <f t="shared" si="10"/>
        <v>0</v>
      </c>
      <c r="Q72" s="311">
        <f t="shared" si="11"/>
        <v>0.45366473603066798</v>
      </c>
      <c r="T72" s="309"/>
      <c r="U72" s="309"/>
      <c r="V72" s="319" t="str">
        <f>PE_aug!AP72</f>
        <v>Mischwasserüberlauf</v>
      </c>
    </row>
    <row r="73" spans="1:22">
      <c r="A73" s="127" t="s">
        <v>115</v>
      </c>
      <c r="B73">
        <v>12.83</v>
      </c>
      <c r="C73">
        <v>9.3000000000000007</v>
      </c>
      <c r="E73" s="306">
        <v>12.83</v>
      </c>
      <c r="F73">
        <v>9.3000000000000007</v>
      </c>
      <c r="H73" s="227">
        <v>1.138537379406299</v>
      </c>
      <c r="I73" s="227">
        <v>0.28260061430444122</v>
      </c>
      <c r="J73" s="307">
        <v>32.165999999999997</v>
      </c>
      <c r="K73">
        <v>0.44</v>
      </c>
      <c r="L73" s="308">
        <f t="shared" si="6"/>
        <v>0.75</v>
      </c>
      <c r="M73" s="309">
        <f t="shared" si="7"/>
        <v>0.59499999999999997</v>
      </c>
      <c r="N73" s="310">
        <f t="shared" si="8"/>
        <v>11.065000000000001</v>
      </c>
      <c r="O73" s="310">
        <f t="shared" si="9"/>
        <v>9.3000000000000007</v>
      </c>
      <c r="P73" s="310">
        <f t="shared" si="10"/>
        <v>0</v>
      </c>
      <c r="Q73" s="311">
        <f t="shared" si="11"/>
        <v>0.28912516321581799</v>
      </c>
      <c r="T73" s="309"/>
      <c r="U73" s="309"/>
      <c r="V73" s="319" t="str">
        <f>PE_aug!AP73</f>
        <v>Mischwasserüberlauf</v>
      </c>
    </row>
    <row r="74" spans="1:22">
      <c r="A74" s="127" t="s">
        <v>116</v>
      </c>
      <c r="B74">
        <v>138.35</v>
      </c>
      <c r="C74">
        <v>106.16</v>
      </c>
      <c r="D74">
        <v>112.45</v>
      </c>
      <c r="E74" s="306">
        <v>138.35</v>
      </c>
      <c r="F74">
        <v>106.16</v>
      </c>
      <c r="G74" s="307">
        <v>112.45</v>
      </c>
      <c r="H74" s="227"/>
      <c r="I74" s="227"/>
      <c r="J74" s="307">
        <v>0.48601299999999997</v>
      </c>
      <c r="K74">
        <v>0.46</v>
      </c>
      <c r="L74" s="308">
        <f t="shared" si="6"/>
        <v>1</v>
      </c>
      <c r="M74" s="309">
        <f t="shared" si="7"/>
        <v>0.73</v>
      </c>
      <c r="N74" s="310">
        <f t="shared" si="8"/>
        <v>118.98666666666666</v>
      </c>
      <c r="O74" s="310">
        <f t="shared" si="9"/>
        <v>109.30500000000001</v>
      </c>
      <c r="P74" s="310">
        <f t="shared" si="10"/>
        <v>5.7545400484881801</v>
      </c>
      <c r="Q74" s="311">
        <f t="shared" si="11"/>
        <v>224.90139152656414</v>
      </c>
      <c r="S74" s="65">
        <f>0.0955*1000</f>
        <v>95.5</v>
      </c>
      <c r="T74" s="309">
        <f>100*(O74/S74)</f>
        <v>114.45549738219896</v>
      </c>
      <c r="U74" s="309">
        <f>100*(N74/S74)</f>
        <v>124.59336823734731</v>
      </c>
      <c r="V74" s="319" t="str">
        <f>PE_aug!AP74</f>
        <v>Methode</v>
      </c>
    </row>
    <row r="75" spans="1:22">
      <c r="A75" s="127" t="s">
        <v>117</v>
      </c>
      <c r="H75" s="227"/>
      <c r="I75" s="227"/>
      <c r="J75" s="307">
        <v>31.152699999999999</v>
      </c>
      <c r="L75" s="308">
        <f t="shared" si="6"/>
        <v>0.33</v>
      </c>
      <c r="M75" s="309">
        <f t="shared" si="7"/>
        <v>0.33</v>
      </c>
      <c r="N75" s="310" t="e">
        <f t="shared" si="8"/>
        <v>#DIV/0!</v>
      </c>
      <c r="O75" s="310" t="e">
        <f t="shared" si="9"/>
        <v>#DIV/0!</v>
      </c>
      <c r="P75" s="310" t="e">
        <f t="shared" si="10"/>
        <v>#DIV/0!</v>
      </c>
      <c r="Q75" s="311">
        <f t="shared" si="11"/>
        <v>0</v>
      </c>
      <c r="T75" s="309"/>
      <c r="U75" s="309"/>
      <c r="V75" s="319" t="str">
        <f>PE_aug!AP75</f>
        <v>KWS, Methode</v>
      </c>
    </row>
    <row r="76" spans="1:22">
      <c r="A76" s="127" t="s">
        <v>118</v>
      </c>
      <c r="C76">
        <v>7.76</v>
      </c>
      <c r="D76">
        <v>5.2</v>
      </c>
      <c r="F76">
        <v>7.76</v>
      </c>
      <c r="G76" s="307">
        <v>5.2</v>
      </c>
      <c r="H76" s="227">
        <v>0.92741006348580879</v>
      </c>
      <c r="I76" s="227">
        <v>0.93563404694108665</v>
      </c>
      <c r="J76" s="307">
        <v>10.7529</v>
      </c>
      <c r="K76">
        <v>0.43</v>
      </c>
      <c r="L76" s="308">
        <f t="shared" si="6"/>
        <v>0.75</v>
      </c>
      <c r="M76" s="309">
        <f t="shared" si="7"/>
        <v>0.59</v>
      </c>
      <c r="N76" s="310">
        <f t="shared" si="8"/>
        <v>6.48</v>
      </c>
      <c r="O76" s="310">
        <f t="shared" si="9"/>
        <v>6.48</v>
      </c>
      <c r="P76" s="310">
        <f t="shared" si="10"/>
        <v>39.506172839506164</v>
      </c>
      <c r="Q76" s="311">
        <f t="shared" si="11"/>
        <v>0.60262812822587397</v>
      </c>
      <c r="T76" s="309"/>
      <c r="U76" s="309"/>
      <c r="V76" s="319" t="str">
        <f>PE_aug!AP76</f>
        <v>KWS, neue Schlammbehandlung</v>
      </c>
    </row>
    <row r="77" spans="1:22">
      <c r="A77" s="127" t="s">
        <v>119</v>
      </c>
      <c r="C77">
        <v>7.49</v>
      </c>
      <c r="D77">
        <v>4.3099999999999996</v>
      </c>
      <c r="F77">
        <v>7.49</v>
      </c>
      <c r="G77" s="307">
        <v>4.3099999999999996</v>
      </c>
      <c r="H77" s="227">
        <v>0.6165271278721236</v>
      </c>
      <c r="I77" s="227">
        <v>0.93563404694108665</v>
      </c>
      <c r="J77" s="307">
        <v>24.845700000000001</v>
      </c>
      <c r="K77">
        <v>0.39</v>
      </c>
      <c r="L77" s="308">
        <f t="shared" si="6"/>
        <v>0.75</v>
      </c>
      <c r="M77" s="309">
        <f t="shared" si="7"/>
        <v>0.57000000000000006</v>
      </c>
      <c r="N77" s="310">
        <f t="shared" si="8"/>
        <v>5.9</v>
      </c>
      <c r="O77" s="310">
        <f t="shared" si="9"/>
        <v>5.9</v>
      </c>
      <c r="P77" s="310">
        <f t="shared" si="10"/>
        <v>53.898305084745765</v>
      </c>
      <c r="Q77" s="311">
        <f t="shared" si="11"/>
        <v>0.23746563791722511</v>
      </c>
      <c r="T77" s="309"/>
      <c r="U77" s="309"/>
      <c r="V77" s="319" t="str">
        <f>PE_aug!AP77</f>
        <v>KWS, neue Schlammbehandlung</v>
      </c>
    </row>
    <row r="78" spans="1:22">
      <c r="A78" s="127" t="s">
        <v>120</v>
      </c>
      <c r="D78">
        <v>6.81</v>
      </c>
      <c r="G78" s="307">
        <v>6.81</v>
      </c>
      <c r="H78" s="227">
        <v>0.69209679096893473</v>
      </c>
      <c r="I78" s="227">
        <v>0.93563404694108665</v>
      </c>
      <c r="J78" s="307">
        <v>8.3593499999999992</v>
      </c>
      <c r="K78">
        <v>0.25</v>
      </c>
      <c r="L78" s="308">
        <f t="shared" si="6"/>
        <v>0.75</v>
      </c>
      <c r="M78" s="309">
        <f t="shared" si="7"/>
        <v>0.5</v>
      </c>
      <c r="N78" s="310">
        <f t="shared" si="8"/>
        <v>6.81</v>
      </c>
      <c r="O78" s="310">
        <f t="shared" si="9"/>
        <v>6.81</v>
      </c>
      <c r="P78" s="310">
        <f t="shared" si="10"/>
        <v>0</v>
      </c>
      <c r="Q78" s="311">
        <f t="shared" si="11"/>
        <v>0.81465664196378906</v>
      </c>
      <c r="T78" s="309"/>
      <c r="U78" s="309"/>
      <c r="V78" s="319" t="str">
        <f>PE_aug!AP78</f>
        <v>KWS, neue Schlammbehandlung</v>
      </c>
    </row>
    <row r="79" spans="1:22">
      <c r="A79" s="127" t="s">
        <v>121</v>
      </c>
      <c r="H79" s="227"/>
      <c r="I79" s="227"/>
      <c r="J79" s="307">
        <v>22.5444</v>
      </c>
      <c r="L79" s="308">
        <f t="shared" si="6"/>
        <v>0.33</v>
      </c>
      <c r="M79" s="309">
        <f t="shared" si="7"/>
        <v>0.33</v>
      </c>
      <c r="N79" s="310" t="e">
        <f t="shared" si="8"/>
        <v>#DIV/0!</v>
      </c>
      <c r="O79" s="310" t="e">
        <f t="shared" si="9"/>
        <v>#DIV/0!</v>
      </c>
      <c r="P79" s="310" t="e">
        <f t="shared" si="10"/>
        <v>#DIV/0!</v>
      </c>
      <c r="Q79" s="311">
        <f t="shared" si="11"/>
        <v>0</v>
      </c>
      <c r="T79" s="309"/>
      <c r="U79" s="309"/>
      <c r="V79" s="319" t="str">
        <f>PE_aug!AP79</f>
        <v>KWS, neue Schlammbehandlung</v>
      </c>
    </row>
    <row r="80" spans="1:22">
      <c r="A80" s="127" t="s">
        <v>122</v>
      </c>
      <c r="C80">
        <v>8.2899999999999991</v>
      </c>
      <c r="F80">
        <v>8.2899999999999991</v>
      </c>
      <c r="H80" s="227">
        <v>0.59884540222007288</v>
      </c>
      <c r="I80" s="227">
        <v>0.72751809830295933</v>
      </c>
      <c r="J80" s="307">
        <v>4.5157999999999996</v>
      </c>
      <c r="K80">
        <v>0.44</v>
      </c>
      <c r="L80" s="308">
        <f t="shared" si="6"/>
        <v>0.75</v>
      </c>
      <c r="M80" s="309">
        <f t="shared" si="7"/>
        <v>0.59499999999999997</v>
      </c>
      <c r="N80" s="310">
        <f t="shared" si="8"/>
        <v>8.2899999999999991</v>
      </c>
      <c r="O80" s="310">
        <f t="shared" si="9"/>
        <v>8.2899999999999991</v>
      </c>
      <c r="P80" s="310">
        <f t="shared" si="10"/>
        <v>0</v>
      </c>
      <c r="Q80" s="311">
        <f t="shared" si="11"/>
        <v>1.8357766065813366</v>
      </c>
      <c r="T80" s="309"/>
      <c r="U80" s="309"/>
      <c r="V80" s="319" t="str">
        <f>PE_aug!AP80</f>
        <v>Flussproben</v>
      </c>
    </row>
    <row r="81" spans="1:22">
      <c r="A81" s="127" t="s">
        <v>124</v>
      </c>
      <c r="C81">
        <v>8.4499999999999993</v>
      </c>
      <c r="F81">
        <v>8.4499999999999993</v>
      </c>
      <c r="H81" s="227">
        <v>0.61625653571817318</v>
      </c>
      <c r="I81" s="227">
        <v>0.72751809830295933</v>
      </c>
      <c r="J81" s="307">
        <v>10.894500000000001</v>
      </c>
      <c r="K81">
        <v>0.44</v>
      </c>
      <c r="L81" s="308">
        <f t="shared" si="6"/>
        <v>0.75</v>
      </c>
      <c r="M81" s="309">
        <f t="shared" si="7"/>
        <v>0.59499999999999997</v>
      </c>
      <c r="N81" s="310">
        <f t="shared" si="8"/>
        <v>8.4499999999999993</v>
      </c>
      <c r="O81" s="310">
        <f t="shared" si="9"/>
        <v>8.4499999999999993</v>
      </c>
      <c r="P81" s="310">
        <f t="shared" si="10"/>
        <v>0</v>
      </c>
      <c r="Q81" s="311">
        <f t="shared" si="11"/>
        <v>0.775620726054431</v>
      </c>
      <c r="T81" s="309"/>
      <c r="U81" s="309"/>
      <c r="V81" s="319" t="str">
        <f>PE_aug!AP81</f>
        <v>Flussproben</v>
      </c>
    </row>
    <row r="82" spans="1:22">
      <c r="A82" s="127" t="s">
        <v>125</v>
      </c>
      <c r="C82">
        <v>8.25</v>
      </c>
      <c r="F82">
        <v>8.25</v>
      </c>
      <c r="H82" s="227">
        <v>0.57667479250297526</v>
      </c>
      <c r="I82" s="227">
        <v>0.72751809830295933</v>
      </c>
      <c r="J82" s="307">
        <v>10.5124</v>
      </c>
      <c r="K82">
        <v>0.44</v>
      </c>
      <c r="L82" s="308">
        <f t="shared" si="6"/>
        <v>0.75</v>
      </c>
      <c r="M82" s="309">
        <f t="shared" si="7"/>
        <v>0.59499999999999997</v>
      </c>
      <c r="N82" s="310">
        <f t="shared" si="8"/>
        <v>8.25</v>
      </c>
      <c r="O82" s="310">
        <f t="shared" si="9"/>
        <v>8.25</v>
      </c>
      <c r="P82" s="310">
        <f t="shared" si="10"/>
        <v>0</v>
      </c>
      <c r="Q82" s="311">
        <f t="shared" si="11"/>
        <v>0.78478748906053808</v>
      </c>
      <c r="T82" s="309"/>
      <c r="U82" s="309"/>
      <c r="V82" s="319" t="str">
        <f>PE_aug!AP82</f>
        <v>Flussproben</v>
      </c>
    </row>
    <row r="83" spans="1:22">
      <c r="A83" s="127" t="s">
        <v>126</v>
      </c>
      <c r="B83">
        <v>569.32000000000005</v>
      </c>
      <c r="C83">
        <v>1094.0899999999999</v>
      </c>
      <c r="D83">
        <v>477.69</v>
      </c>
      <c r="E83" s="306">
        <v>569.32000000000005</v>
      </c>
      <c r="F83">
        <v>1094.0899999999999</v>
      </c>
      <c r="G83" s="307">
        <v>477.69</v>
      </c>
      <c r="H83" s="227">
        <v>1.3019092601025839</v>
      </c>
      <c r="I83" s="227">
        <v>0.72751809830295933</v>
      </c>
      <c r="J83" s="307">
        <v>7.32599</v>
      </c>
      <c r="K83">
        <v>0.44</v>
      </c>
      <c r="L83" s="308">
        <f t="shared" si="6"/>
        <v>0.5</v>
      </c>
      <c r="M83" s="309">
        <f t="shared" si="7"/>
        <v>0.47</v>
      </c>
      <c r="N83" s="310">
        <f t="shared" si="8"/>
        <v>713.69999999999993</v>
      </c>
      <c r="O83" s="310">
        <f t="shared" si="9"/>
        <v>785.89</v>
      </c>
      <c r="P83" s="310">
        <f t="shared" si="10"/>
        <v>78.433368537581586</v>
      </c>
      <c r="Q83" s="311">
        <f t="shared" si="11"/>
        <v>107.27423870357453</v>
      </c>
      <c r="S83" s="126">
        <v>0.38429999999999997</v>
      </c>
      <c r="T83" s="309">
        <f>100*(O83/(S83*1000))</f>
        <v>204.49908925318763</v>
      </c>
      <c r="U83" s="309">
        <f>100*(N83/(S83*1000))</f>
        <v>185.71428571428572</v>
      </c>
      <c r="V83" s="319" t="str">
        <f>PE_aug!AP83</f>
        <v>Flussproben, Methode</v>
      </c>
    </row>
    <row r="84" spans="1:22">
      <c r="A84" s="127" t="s">
        <v>128</v>
      </c>
      <c r="B84">
        <v>19.489999999999998</v>
      </c>
      <c r="C84">
        <v>18.87</v>
      </c>
      <c r="E84" s="306">
        <v>19.489999999999998</v>
      </c>
      <c r="F84">
        <v>18.87</v>
      </c>
      <c r="H84" s="227">
        <v>0.58906099485757879</v>
      </c>
      <c r="I84" s="227">
        <v>0.99528059171618266</v>
      </c>
      <c r="J84" s="307">
        <v>13.3148</v>
      </c>
      <c r="K84">
        <v>0.44</v>
      </c>
      <c r="L84" s="308">
        <f t="shared" si="6"/>
        <v>0.75</v>
      </c>
      <c r="M84" s="309">
        <f t="shared" si="7"/>
        <v>0.59499999999999997</v>
      </c>
      <c r="N84" s="310">
        <f t="shared" si="8"/>
        <v>19.18</v>
      </c>
      <c r="O84" s="310">
        <f t="shared" si="9"/>
        <v>18.87</v>
      </c>
      <c r="P84" s="310">
        <f t="shared" si="10"/>
        <v>0</v>
      </c>
      <c r="Q84" s="311">
        <f t="shared" si="11"/>
        <v>1.4172199357106379</v>
      </c>
      <c r="T84" s="309"/>
      <c r="U84" s="309"/>
      <c r="V84" s="319" t="str">
        <f>PE_aug!AP84</f>
        <v>Flussproben</v>
      </c>
    </row>
    <row r="85" spans="1:22">
      <c r="A85" s="127" t="s">
        <v>129</v>
      </c>
      <c r="B85">
        <v>15.12</v>
      </c>
      <c r="C85">
        <v>16.02</v>
      </c>
      <c r="E85" s="306">
        <v>15.12</v>
      </c>
      <c r="F85">
        <v>16.02</v>
      </c>
      <c r="H85" s="227">
        <v>0.51486739662881298</v>
      </c>
      <c r="I85" s="227">
        <v>0.99528059171618266</v>
      </c>
      <c r="J85" s="307">
        <v>11.510199999999999</v>
      </c>
      <c r="K85">
        <v>0.44</v>
      </c>
      <c r="L85" s="308">
        <f t="shared" si="6"/>
        <v>0.75</v>
      </c>
      <c r="M85" s="309">
        <f t="shared" si="7"/>
        <v>0.59499999999999997</v>
      </c>
      <c r="N85" s="310">
        <f t="shared" si="8"/>
        <v>15.57</v>
      </c>
      <c r="O85" s="310">
        <f t="shared" si="9"/>
        <v>16.02</v>
      </c>
      <c r="P85" s="310">
        <f t="shared" si="10"/>
        <v>0</v>
      </c>
      <c r="Q85" s="311">
        <f t="shared" si="11"/>
        <v>1.3918090041875901</v>
      </c>
      <c r="T85" s="309"/>
      <c r="U85" s="309"/>
      <c r="V85" s="319" t="str">
        <f>PE_aug!AP85</f>
        <v>Flussproben</v>
      </c>
    </row>
    <row r="86" spans="1:22">
      <c r="A86" s="127" t="s">
        <v>130</v>
      </c>
      <c r="B86">
        <v>19.98</v>
      </c>
      <c r="C86">
        <v>13.41</v>
      </c>
      <c r="E86" s="306">
        <v>19.98</v>
      </c>
      <c r="F86">
        <v>13.41</v>
      </c>
      <c r="H86" s="227">
        <v>0.43495871571275968</v>
      </c>
      <c r="I86" s="227">
        <v>0.99528059171618266</v>
      </c>
      <c r="J86" s="307">
        <v>13.69835</v>
      </c>
      <c r="K86">
        <v>0.56000000000000005</v>
      </c>
      <c r="L86" s="308">
        <f t="shared" si="6"/>
        <v>0.75</v>
      </c>
      <c r="M86" s="309">
        <f t="shared" si="7"/>
        <v>0.65500000000000003</v>
      </c>
      <c r="N86" s="310">
        <f t="shared" si="8"/>
        <v>16.695</v>
      </c>
      <c r="O86" s="310">
        <f t="shared" si="9"/>
        <v>13.41</v>
      </c>
      <c r="P86" s="310">
        <f t="shared" si="10"/>
        <v>0</v>
      </c>
      <c r="Q86" s="311">
        <f t="shared" si="11"/>
        <v>0.9789500195278994</v>
      </c>
      <c r="T86" s="309"/>
      <c r="U86" s="309"/>
      <c r="V86" s="319" t="str">
        <f>PE_aug!AP86</f>
        <v>Flussproben</v>
      </c>
    </row>
    <row r="87" spans="1:22">
      <c r="A87" s="127" t="s">
        <v>131</v>
      </c>
      <c r="B87">
        <v>4.8499999999999996</v>
      </c>
      <c r="C87">
        <v>9.5</v>
      </c>
      <c r="E87" s="306">
        <v>4.8499999999999996</v>
      </c>
      <c r="F87">
        <v>9.5</v>
      </c>
      <c r="H87" s="227">
        <v>1.463439595231159</v>
      </c>
      <c r="I87" s="227">
        <v>0.99528059171618266</v>
      </c>
      <c r="J87" s="307">
        <v>4.7008900000000002</v>
      </c>
      <c r="K87">
        <v>0.69</v>
      </c>
      <c r="L87" s="308">
        <f t="shared" si="6"/>
        <v>0.75</v>
      </c>
      <c r="M87" s="309">
        <f t="shared" si="7"/>
        <v>0.72</v>
      </c>
      <c r="N87" s="310">
        <f t="shared" si="8"/>
        <v>7.1749999999999998</v>
      </c>
      <c r="O87" s="310">
        <f t="shared" si="9"/>
        <v>9.5</v>
      </c>
      <c r="P87" s="310">
        <f t="shared" si="10"/>
        <v>0</v>
      </c>
      <c r="Q87" s="311">
        <f t="shared" si="11"/>
        <v>2.0208939158329593</v>
      </c>
      <c r="T87" s="309"/>
      <c r="U87" s="309"/>
      <c r="V87" s="319" t="str">
        <f>PE_aug!AP87</f>
        <v>Flussproben, Methode</v>
      </c>
    </row>
    <row r="88" spans="1:22">
      <c r="A88" s="127" t="s">
        <v>557</v>
      </c>
      <c r="B88">
        <v>3.36</v>
      </c>
      <c r="C88">
        <v>9.34</v>
      </c>
      <c r="E88" s="306">
        <v>3.36</v>
      </c>
      <c r="F88">
        <v>9.34</v>
      </c>
      <c r="H88" s="227">
        <v>0.44252277258406802</v>
      </c>
      <c r="I88" s="227">
        <v>0.56732019691233859</v>
      </c>
      <c r="J88" s="307">
        <v>7.9326249999999998</v>
      </c>
      <c r="K88">
        <v>0.44</v>
      </c>
      <c r="L88" s="308">
        <f t="shared" si="6"/>
        <v>0.75</v>
      </c>
      <c r="M88" s="309">
        <f t="shared" si="7"/>
        <v>0.59499999999999997</v>
      </c>
      <c r="N88" s="310">
        <f t="shared" si="8"/>
        <v>6.35</v>
      </c>
      <c r="O88" s="310">
        <f t="shared" si="9"/>
        <v>9.34</v>
      </c>
      <c r="P88" s="310">
        <f t="shared" si="10"/>
        <v>0</v>
      </c>
      <c r="Q88" s="311">
        <f t="shared" si="11"/>
        <v>1.1774160508028553</v>
      </c>
      <c r="T88" s="309"/>
      <c r="U88" s="309"/>
      <c r="V88" s="319" t="str">
        <f>PE_aug!AP88</f>
        <v>Mischwasserüberlauf</v>
      </c>
    </row>
    <row r="89" spans="1:22">
      <c r="A89" s="127" t="s">
        <v>558</v>
      </c>
      <c r="C89">
        <v>8.25</v>
      </c>
      <c r="F89">
        <v>8.25</v>
      </c>
      <c r="H89" s="227">
        <v>0.70058927453223541</v>
      </c>
      <c r="I89" s="227">
        <v>0.56732019691233859</v>
      </c>
      <c r="J89" s="307">
        <v>5.5930400000000002</v>
      </c>
      <c r="K89">
        <v>0.44</v>
      </c>
      <c r="L89" s="308">
        <f t="shared" si="6"/>
        <v>0.75</v>
      </c>
      <c r="M89" s="309">
        <f t="shared" si="7"/>
        <v>0.59499999999999997</v>
      </c>
      <c r="N89" s="310">
        <f t="shared" si="8"/>
        <v>8.25</v>
      </c>
      <c r="O89" s="310">
        <f t="shared" si="9"/>
        <v>8.25</v>
      </c>
      <c r="P89" s="310">
        <f t="shared" si="10"/>
        <v>0</v>
      </c>
      <c r="Q89" s="311">
        <f t="shared" si="11"/>
        <v>1.4750475591091785</v>
      </c>
      <c r="T89" s="309"/>
      <c r="U89" s="309"/>
      <c r="V89" s="319" t="str">
        <f>PE_aug!AP89</f>
        <v>Mischwasserüberlauf</v>
      </c>
    </row>
    <row r="90" spans="1:22">
      <c r="A90" s="127" t="s">
        <v>559</v>
      </c>
      <c r="C90">
        <v>8.49</v>
      </c>
      <c r="F90">
        <v>8.49</v>
      </c>
      <c r="H90" s="227">
        <v>1.1131218618954</v>
      </c>
      <c r="I90" s="227">
        <v>0.56732019691233859</v>
      </c>
      <c r="J90" s="307">
        <v>4.9848800000000004</v>
      </c>
      <c r="K90">
        <v>0.44</v>
      </c>
      <c r="L90" s="308">
        <f t="shared" si="6"/>
        <v>0.75</v>
      </c>
      <c r="M90" s="309">
        <f t="shared" si="7"/>
        <v>0.59499999999999997</v>
      </c>
      <c r="N90" s="310">
        <f t="shared" si="8"/>
        <v>8.49</v>
      </c>
      <c r="O90" s="310">
        <f t="shared" si="9"/>
        <v>8.49</v>
      </c>
      <c r="P90" s="310">
        <f t="shared" si="10"/>
        <v>0</v>
      </c>
      <c r="Q90" s="311">
        <f t="shared" si="11"/>
        <v>1.7031503265876009</v>
      </c>
      <c r="T90" s="309"/>
      <c r="U90" s="309"/>
      <c r="V90" s="319" t="str">
        <f>PE_aug!AP90</f>
        <v>Mischwasserüberlauf</v>
      </c>
    </row>
    <row r="91" spans="1:22">
      <c r="A91" s="127" t="s">
        <v>135</v>
      </c>
      <c r="C91">
        <v>7.62</v>
      </c>
      <c r="F91">
        <v>7.62</v>
      </c>
      <c r="H91" s="227">
        <v>0.95520554433141691</v>
      </c>
      <c r="I91" s="227">
        <v>0.15301122576532269</v>
      </c>
      <c r="J91" s="307">
        <v>9.8550500000000003</v>
      </c>
      <c r="K91">
        <v>0.44</v>
      </c>
      <c r="L91" s="308">
        <f t="shared" si="6"/>
        <v>0.75</v>
      </c>
      <c r="M91" s="309">
        <f t="shared" si="7"/>
        <v>0.59499999999999997</v>
      </c>
      <c r="N91" s="310">
        <f t="shared" si="8"/>
        <v>7.62</v>
      </c>
      <c r="O91" s="310">
        <f t="shared" si="9"/>
        <v>7.62</v>
      </c>
      <c r="P91" s="310">
        <f t="shared" si="10"/>
        <v>0</v>
      </c>
      <c r="Q91" s="311">
        <f t="shared" si="11"/>
        <v>0.77320764481154336</v>
      </c>
      <c r="T91" s="309"/>
      <c r="U91" s="309"/>
      <c r="V91" s="319" t="str">
        <f>PE_aug!AP91</f>
        <v>KWS, neue Schlammbehandlung</v>
      </c>
    </row>
    <row r="92" spans="1:22">
      <c r="A92" s="127" t="s">
        <v>136</v>
      </c>
      <c r="C92">
        <v>7.59</v>
      </c>
      <c r="F92">
        <v>7.59</v>
      </c>
      <c r="H92" s="227">
        <v>8.1601885331415172E-2</v>
      </c>
      <c r="I92" s="227">
        <v>0.15301122576532269</v>
      </c>
      <c r="J92" s="307">
        <v>8.9800300000000011</v>
      </c>
      <c r="K92">
        <v>0.44</v>
      </c>
      <c r="L92" s="308">
        <f t="shared" si="6"/>
        <v>0.75</v>
      </c>
      <c r="M92" s="309">
        <f t="shared" si="7"/>
        <v>0.59499999999999997</v>
      </c>
      <c r="N92" s="310">
        <f t="shared" si="8"/>
        <v>7.59</v>
      </c>
      <c r="O92" s="310">
        <f t="shared" si="9"/>
        <v>7.59</v>
      </c>
      <c r="P92" s="310">
        <f t="shared" si="10"/>
        <v>0</v>
      </c>
      <c r="Q92" s="311">
        <f t="shared" si="11"/>
        <v>0.84520875765448433</v>
      </c>
      <c r="T92" s="309"/>
      <c r="U92" s="309"/>
      <c r="V92" s="319" t="str">
        <f>PE_aug!AP92</f>
        <v>KWS, neue Schlammbehandlung</v>
      </c>
    </row>
    <row r="93" spans="1:22">
      <c r="A93" s="127" t="s">
        <v>137</v>
      </c>
      <c r="C93">
        <v>7.47</v>
      </c>
      <c r="F93">
        <v>7.47</v>
      </c>
      <c r="H93" s="227">
        <v>1.0305923510445369</v>
      </c>
      <c r="I93" s="227">
        <v>0.15301122576532269</v>
      </c>
      <c r="J93" s="307">
        <v>8.0890199999999997</v>
      </c>
      <c r="K93">
        <v>0.44</v>
      </c>
      <c r="L93" s="308">
        <f t="shared" si="6"/>
        <v>0.75</v>
      </c>
      <c r="M93" s="309">
        <f t="shared" si="7"/>
        <v>0.59499999999999997</v>
      </c>
      <c r="N93" s="310">
        <f t="shared" si="8"/>
        <v>7.47</v>
      </c>
      <c r="O93" s="310">
        <f t="shared" si="9"/>
        <v>7.47</v>
      </c>
      <c r="P93" s="310">
        <f t="shared" si="10"/>
        <v>0</v>
      </c>
      <c r="Q93" s="311">
        <f t="shared" si="11"/>
        <v>0.92347404259106791</v>
      </c>
      <c r="T93" s="309"/>
      <c r="U93" s="309"/>
      <c r="V93" s="319" t="str">
        <f>PE_aug!AP93</f>
        <v>KWS, neue Schlammbehandlung</v>
      </c>
    </row>
    <row r="94" spans="1:22">
      <c r="A94" s="127" t="s">
        <v>138</v>
      </c>
      <c r="C94">
        <v>143.65</v>
      </c>
      <c r="D94">
        <v>61.69</v>
      </c>
      <c r="F94">
        <v>143.65</v>
      </c>
      <c r="G94" s="307">
        <v>61.69</v>
      </c>
      <c r="H94" s="227"/>
      <c r="I94" s="227"/>
      <c r="J94" s="307">
        <v>1.39551</v>
      </c>
      <c r="K94">
        <v>0.39</v>
      </c>
      <c r="L94" s="308">
        <f t="shared" si="6"/>
        <v>0.5</v>
      </c>
      <c r="M94" s="309">
        <f t="shared" si="7"/>
        <v>0.44500000000000001</v>
      </c>
      <c r="N94" s="310">
        <f t="shared" si="8"/>
        <v>102.67</v>
      </c>
      <c r="O94" s="310">
        <f t="shared" si="9"/>
        <v>102.67</v>
      </c>
      <c r="P94" s="310">
        <f t="shared" si="10"/>
        <v>79.828576994253439</v>
      </c>
      <c r="Q94" s="311">
        <f t="shared" si="11"/>
        <v>73.57166913888112</v>
      </c>
      <c r="V94" s="319" t="str">
        <f>PE_aug!AP94</f>
        <v>Methode</v>
      </c>
    </row>
    <row r="95" spans="1:22">
      <c r="A95" s="136" t="s">
        <v>139</v>
      </c>
      <c r="B95">
        <v>166.1</v>
      </c>
      <c r="C95">
        <v>151.6</v>
      </c>
      <c r="D95">
        <v>88.6</v>
      </c>
      <c r="E95" s="306">
        <v>166.1</v>
      </c>
      <c r="G95" s="307">
        <v>88.6</v>
      </c>
      <c r="J95" s="307">
        <v>3.2955000000000001</v>
      </c>
      <c r="K95">
        <v>0.51</v>
      </c>
      <c r="L95" s="308">
        <f t="shared" si="6"/>
        <v>0.75</v>
      </c>
      <c r="M95" s="309">
        <f t="shared" si="7"/>
        <v>0.63</v>
      </c>
      <c r="N95" s="310">
        <f t="shared" si="8"/>
        <v>127.35</v>
      </c>
      <c r="O95" s="310">
        <f t="shared" si="9"/>
        <v>88.6</v>
      </c>
      <c r="P95" s="310">
        <f t="shared" si="10"/>
        <v>0</v>
      </c>
      <c r="Q95" s="311">
        <f t="shared" si="11"/>
        <v>26.885146411773629</v>
      </c>
      <c r="S95" s="133">
        <f>1000*0.0907898</f>
        <v>90.7898</v>
      </c>
      <c r="T95" s="309">
        <f>100*(O95/S95)</f>
        <v>97.58805504583114</v>
      </c>
      <c r="U95" s="309">
        <f>100*(N95/S95)</f>
        <v>140.26906106192544</v>
      </c>
      <c r="V95" s="319" t="str">
        <f>PE_aug!AP95</f>
        <v>Methode</v>
      </c>
    </row>
    <row r="96" spans="1:22">
      <c r="A96" s="136" t="s">
        <v>140</v>
      </c>
      <c r="C96">
        <v>6.03</v>
      </c>
      <c r="F96">
        <v>6.03</v>
      </c>
      <c r="H96">
        <v>0.70699999999999996</v>
      </c>
      <c r="I96">
        <v>1.143</v>
      </c>
      <c r="J96" s="307">
        <v>5.1746699999999999</v>
      </c>
      <c r="K96">
        <v>0.69</v>
      </c>
      <c r="L96" s="308">
        <f t="shared" si="6"/>
        <v>0.75</v>
      </c>
      <c r="M96" s="309">
        <f t="shared" si="7"/>
        <v>0.72</v>
      </c>
      <c r="N96" s="310">
        <f t="shared" si="8"/>
        <v>6.03</v>
      </c>
      <c r="O96" s="310">
        <f t="shared" si="9"/>
        <v>6.03</v>
      </c>
      <c r="P96" s="310">
        <f t="shared" si="10"/>
        <v>0</v>
      </c>
      <c r="Q96" s="311">
        <f t="shared" si="11"/>
        <v>1.1652916997605645</v>
      </c>
      <c r="T96" s="309"/>
      <c r="U96" s="309"/>
      <c r="V96" s="319" t="str">
        <f>PE_aug!AP96</f>
        <v>Algen</v>
      </c>
    </row>
    <row r="97" spans="1:22">
      <c r="A97" s="136" t="s">
        <v>142</v>
      </c>
      <c r="C97">
        <v>6.04</v>
      </c>
      <c r="F97">
        <v>6.04</v>
      </c>
      <c r="H97">
        <v>0.70699999999999996</v>
      </c>
      <c r="I97">
        <v>1.143</v>
      </c>
      <c r="J97" s="307">
        <v>8.3862100000000002</v>
      </c>
      <c r="K97">
        <v>0.69</v>
      </c>
      <c r="L97" s="308">
        <f t="shared" si="6"/>
        <v>0.75</v>
      </c>
      <c r="M97" s="309">
        <f t="shared" si="7"/>
        <v>0.72</v>
      </c>
      <c r="N97" s="310">
        <f t="shared" si="8"/>
        <v>6.04</v>
      </c>
      <c r="O97" s="310">
        <f t="shared" si="9"/>
        <v>6.04</v>
      </c>
      <c r="P97" s="310">
        <f t="shared" si="10"/>
        <v>0</v>
      </c>
      <c r="Q97" s="311">
        <f t="shared" si="11"/>
        <v>0.72022999662541243</v>
      </c>
      <c r="T97" s="309"/>
      <c r="U97" s="309"/>
      <c r="V97" s="319" t="str">
        <f>PE_aug!AP97</f>
        <v>Algen</v>
      </c>
    </row>
    <row r="98" spans="1:22">
      <c r="A98" s="136" t="s">
        <v>143</v>
      </c>
      <c r="C98">
        <v>6.05</v>
      </c>
      <c r="F98">
        <v>6.05</v>
      </c>
      <c r="H98">
        <v>0.70699999999999996</v>
      </c>
      <c r="I98">
        <v>0.104</v>
      </c>
      <c r="J98" s="307">
        <v>19.356549999999999</v>
      </c>
      <c r="K98">
        <v>0.69</v>
      </c>
      <c r="L98" s="308">
        <f t="shared" si="6"/>
        <v>0.75</v>
      </c>
      <c r="M98" s="309">
        <f t="shared" si="7"/>
        <v>0.72</v>
      </c>
      <c r="N98" s="310">
        <f t="shared" si="8"/>
        <v>6.05</v>
      </c>
      <c r="O98" s="310">
        <f t="shared" si="9"/>
        <v>6.05</v>
      </c>
      <c r="P98" s="310">
        <f t="shared" si="10"/>
        <v>0</v>
      </c>
      <c r="Q98" s="311">
        <f t="shared" si="11"/>
        <v>0.31255569820035078</v>
      </c>
      <c r="T98" s="309"/>
      <c r="U98" s="309"/>
      <c r="V98" s="319" t="str">
        <f>PE_aug!AP98</f>
        <v>Algen</v>
      </c>
    </row>
    <row r="99" spans="1:22">
      <c r="A99" s="136" t="s">
        <v>144</v>
      </c>
      <c r="C99">
        <v>5.96</v>
      </c>
      <c r="F99">
        <v>5.96</v>
      </c>
      <c r="H99">
        <v>0.70699999999999996</v>
      </c>
      <c r="I99">
        <v>0.104</v>
      </c>
      <c r="J99" s="307">
        <v>14.0021</v>
      </c>
      <c r="K99">
        <v>0.69</v>
      </c>
      <c r="L99" s="308">
        <f t="shared" si="6"/>
        <v>0.75</v>
      </c>
      <c r="M99" s="309">
        <f t="shared" si="7"/>
        <v>0.72</v>
      </c>
      <c r="N99" s="310">
        <f t="shared" si="8"/>
        <v>5.96</v>
      </c>
      <c r="O99" s="310">
        <f t="shared" si="9"/>
        <v>5.96</v>
      </c>
      <c r="P99" s="310">
        <f t="shared" si="10"/>
        <v>0</v>
      </c>
      <c r="Q99" s="311">
        <f t="shared" si="11"/>
        <v>0.4256504381485634</v>
      </c>
      <c r="T99" s="309"/>
      <c r="U99" s="309"/>
      <c r="V99" s="319" t="str">
        <f>PE_aug!AP99</f>
        <v>Algen</v>
      </c>
    </row>
    <row r="100" spans="1:22">
      <c r="A100" s="136" t="s">
        <v>145</v>
      </c>
      <c r="B100">
        <v>3.08</v>
      </c>
      <c r="C100">
        <v>6.82</v>
      </c>
      <c r="E100" s="306">
        <v>3.08</v>
      </c>
      <c r="F100">
        <v>6.82</v>
      </c>
      <c r="J100" s="307">
        <v>3.68384</v>
      </c>
      <c r="K100">
        <v>0.44</v>
      </c>
      <c r="L100" s="308">
        <f t="shared" si="6"/>
        <v>0.75</v>
      </c>
      <c r="M100" s="309">
        <f t="shared" si="7"/>
        <v>0.59499999999999997</v>
      </c>
      <c r="N100" s="310">
        <f t="shared" si="8"/>
        <v>4.95</v>
      </c>
      <c r="O100" s="310">
        <f t="shared" si="9"/>
        <v>6.82</v>
      </c>
      <c r="P100" s="310">
        <f t="shared" si="10"/>
        <v>0</v>
      </c>
      <c r="Q100" s="311">
        <f t="shared" si="11"/>
        <v>1.8513290479499653</v>
      </c>
      <c r="T100" s="309"/>
      <c r="U100" s="309"/>
      <c r="V100" s="319" t="str">
        <f>PE_aug!AP100</f>
        <v>KWS</v>
      </c>
    </row>
    <row r="101" spans="1:22">
      <c r="A101" s="136" t="s">
        <v>147</v>
      </c>
      <c r="C101">
        <v>6.79</v>
      </c>
      <c r="F101">
        <v>6.79</v>
      </c>
      <c r="H101">
        <v>0.70699999999999996</v>
      </c>
      <c r="I101">
        <v>4.2000000000000003E-2</v>
      </c>
      <c r="J101" s="307">
        <v>4.4491899999999998</v>
      </c>
      <c r="K101">
        <v>0.44</v>
      </c>
      <c r="L101" s="308">
        <f t="shared" si="6"/>
        <v>0.75</v>
      </c>
      <c r="M101" s="309">
        <f t="shared" si="7"/>
        <v>0.59499999999999997</v>
      </c>
      <c r="N101" s="310">
        <f t="shared" si="8"/>
        <v>6.79</v>
      </c>
      <c r="O101" s="310">
        <f t="shared" si="9"/>
        <v>6.79</v>
      </c>
      <c r="P101" s="310">
        <f t="shared" si="10"/>
        <v>0</v>
      </c>
      <c r="Q101" s="311">
        <f t="shared" si="11"/>
        <v>1.5261204848522991</v>
      </c>
      <c r="T101" s="309"/>
      <c r="U101" s="309"/>
      <c r="V101" s="319" t="str">
        <f>PE_aug!AP101</f>
        <v>KWS</v>
      </c>
    </row>
    <row r="102" spans="1:22">
      <c r="A102" s="136" t="s">
        <v>148</v>
      </c>
      <c r="C102">
        <v>6.57</v>
      </c>
      <c r="F102">
        <v>6.57</v>
      </c>
      <c r="H102">
        <v>0.70699999999999996</v>
      </c>
      <c r="I102">
        <v>4.2000000000000003E-2</v>
      </c>
      <c r="J102" s="307">
        <v>4.2668999999999997</v>
      </c>
      <c r="K102">
        <v>0.44</v>
      </c>
      <c r="L102" s="308">
        <f t="shared" si="6"/>
        <v>0.75</v>
      </c>
      <c r="M102" s="309">
        <f t="shared" si="7"/>
        <v>0.59499999999999997</v>
      </c>
      <c r="N102" s="310">
        <f t="shared" si="8"/>
        <v>6.57</v>
      </c>
      <c r="O102" s="310">
        <f t="shared" si="9"/>
        <v>6.57</v>
      </c>
      <c r="P102" s="310">
        <f t="shared" si="10"/>
        <v>0</v>
      </c>
      <c r="Q102" s="311">
        <f t="shared" si="11"/>
        <v>1.5397595443999159</v>
      </c>
      <c r="T102" s="309"/>
      <c r="U102" s="309"/>
      <c r="V102" s="319" t="str">
        <f>PE_aug!AP102</f>
        <v>KWS</v>
      </c>
    </row>
    <row r="103" spans="1:22">
      <c r="A103" s="136" t="s">
        <v>149</v>
      </c>
      <c r="B103">
        <v>6.55</v>
      </c>
      <c r="C103">
        <v>11.79</v>
      </c>
      <c r="E103" s="306">
        <v>6.55</v>
      </c>
      <c r="F103">
        <v>11.79</v>
      </c>
      <c r="H103">
        <v>0.70699999999999996</v>
      </c>
      <c r="I103">
        <v>0.16900000000000001</v>
      </c>
      <c r="J103" s="307">
        <v>8.0275499999999997</v>
      </c>
      <c r="K103">
        <v>0.44</v>
      </c>
      <c r="L103" s="308">
        <f t="shared" si="6"/>
        <v>0.75</v>
      </c>
      <c r="M103" s="309">
        <f t="shared" si="7"/>
        <v>0.59499999999999997</v>
      </c>
      <c r="N103" s="310">
        <f t="shared" si="8"/>
        <v>9.17</v>
      </c>
      <c r="O103" s="310">
        <f t="shared" si="9"/>
        <v>11.79</v>
      </c>
      <c r="P103" s="310">
        <f t="shared" si="10"/>
        <v>0</v>
      </c>
      <c r="Q103" s="311">
        <f t="shared" si="11"/>
        <v>1.4686921912663264</v>
      </c>
      <c r="T103" s="309"/>
      <c r="U103" s="309"/>
      <c r="V103" s="319" t="str">
        <f>PE_aug!AP103</f>
        <v>Münchehofe</v>
      </c>
    </row>
    <row r="104" spans="1:22">
      <c r="A104" s="136" t="s">
        <v>151</v>
      </c>
      <c r="C104">
        <v>8.26</v>
      </c>
      <c r="F104">
        <v>8.26</v>
      </c>
      <c r="H104">
        <v>0.70699999999999996</v>
      </c>
      <c r="I104">
        <v>0.16900000000000001</v>
      </c>
      <c r="J104" s="307">
        <v>5.2789650000000004</v>
      </c>
      <c r="K104">
        <v>0.44</v>
      </c>
      <c r="L104" s="308">
        <f t="shared" si="6"/>
        <v>0.75</v>
      </c>
      <c r="M104" s="309">
        <f t="shared" si="7"/>
        <v>0.59499999999999997</v>
      </c>
      <c r="N104" s="310">
        <f t="shared" si="8"/>
        <v>8.26</v>
      </c>
      <c r="O104" s="310">
        <f t="shared" si="9"/>
        <v>8.26</v>
      </c>
      <c r="P104" s="310">
        <f t="shared" si="10"/>
        <v>0</v>
      </c>
      <c r="Q104" s="311">
        <f t="shared" si="11"/>
        <v>1.5647006562839494</v>
      </c>
      <c r="T104" s="309"/>
      <c r="U104" s="309"/>
      <c r="V104" s="319" t="str">
        <f>PE_aug!AP104</f>
        <v>Münchehofe</v>
      </c>
    </row>
    <row r="105" spans="1:22">
      <c r="A105" s="136" t="s">
        <v>152</v>
      </c>
      <c r="B105">
        <v>8.49</v>
      </c>
      <c r="C105">
        <v>8.4700000000000006</v>
      </c>
      <c r="E105" s="306">
        <v>8.49</v>
      </c>
      <c r="F105">
        <v>8.4700000000000006</v>
      </c>
      <c r="H105">
        <v>0.42299999999999999</v>
      </c>
      <c r="I105">
        <v>1.327</v>
      </c>
      <c r="J105" s="307">
        <v>8.4861800000000009</v>
      </c>
      <c r="K105">
        <v>0.44</v>
      </c>
      <c r="L105" s="308">
        <f t="shared" si="6"/>
        <v>0.75</v>
      </c>
      <c r="M105" s="309">
        <f t="shared" si="7"/>
        <v>0.59499999999999997</v>
      </c>
      <c r="N105" s="310">
        <f t="shared" si="8"/>
        <v>8.48</v>
      </c>
      <c r="O105" s="310">
        <f t="shared" si="9"/>
        <v>8.4700000000000006</v>
      </c>
      <c r="P105" s="310">
        <f t="shared" si="10"/>
        <v>0</v>
      </c>
      <c r="Q105" s="311">
        <f t="shared" si="11"/>
        <v>0.99809337063319414</v>
      </c>
      <c r="T105" s="309"/>
      <c r="U105" s="309"/>
      <c r="V105" s="319" t="str">
        <f>PE_aug!AP105</f>
        <v>Flussproben Spree</v>
      </c>
    </row>
    <row r="106" spans="1:22">
      <c r="A106" s="136" t="s">
        <v>154</v>
      </c>
      <c r="B106">
        <v>12.06</v>
      </c>
      <c r="C106">
        <v>8.67</v>
      </c>
      <c r="E106" s="306">
        <v>12.06</v>
      </c>
      <c r="F106">
        <v>8.67</v>
      </c>
      <c r="H106">
        <v>0.71199999999999997</v>
      </c>
      <c r="I106">
        <v>1.327</v>
      </c>
      <c r="J106" s="307">
        <v>10.4887</v>
      </c>
      <c r="K106">
        <v>0.69</v>
      </c>
      <c r="L106" s="308">
        <f t="shared" si="6"/>
        <v>0.75</v>
      </c>
      <c r="M106" s="309">
        <f t="shared" si="7"/>
        <v>0.72</v>
      </c>
      <c r="N106" s="310">
        <f t="shared" si="8"/>
        <v>10.365</v>
      </c>
      <c r="O106" s="310">
        <f t="shared" si="9"/>
        <v>8.67</v>
      </c>
      <c r="P106" s="310">
        <f t="shared" si="10"/>
        <v>0</v>
      </c>
      <c r="Q106" s="311">
        <f t="shared" si="11"/>
        <v>0.82660386892560567</v>
      </c>
      <c r="T106" s="309"/>
      <c r="U106" s="309"/>
      <c r="V106" s="319" t="str">
        <f>PE_aug!AP106</f>
        <v>Flussproben Spree</v>
      </c>
    </row>
    <row r="107" spans="1:22">
      <c r="A107" s="136" t="s">
        <v>155</v>
      </c>
      <c r="B107">
        <v>4.47</v>
      </c>
      <c r="C107">
        <v>37.71</v>
      </c>
      <c r="D107">
        <v>10.41</v>
      </c>
      <c r="E107" s="306">
        <v>4.47</v>
      </c>
      <c r="F107">
        <v>37.71</v>
      </c>
      <c r="G107" s="307">
        <v>10.41</v>
      </c>
      <c r="H107">
        <v>1.1220000000000001</v>
      </c>
      <c r="I107">
        <v>1.327</v>
      </c>
      <c r="J107" s="307">
        <v>5.2791800000000002</v>
      </c>
      <c r="K107">
        <v>0.69</v>
      </c>
      <c r="L107" s="308">
        <f t="shared" si="6"/>
        <v>0.5</v>
      </c>
      <c r="M107" s="309">
        <f t="shared" si="7"/>
        <v>0.59499999999999997</v>
      </c>
      <c r="N107" s="310">
        <f t="shared" si="8"/>
        <v>17.53</v>
      </c>
      <c r="O107" s="310">
        <f t="shared" si="9"/>
        <v>24.060000000000002</v>
      </c>
      <c r="P107" s="310">
        <f t="shared" si="10"/>
        <v>113.46633416458852</v>
      </c>
      <c r="Q107" s="311">
        <f t="shared" si="11"/>
        <v>4.5575259794134695</v>
      </c>
      <c r="T107" s="309"/>
      <c r="U107" s="309"/>
      <c r="V107" s="319" t="str">
        <f>PE_aug!AP107</f>
        <v>Methode</v>
      </c>
    </row>
    <row r="108" spans="1:22">
      <c r="A108" s="136" t="s">
        <v>156</v>
      </c>
      <c r="B108">
        <v>22.27</v>
      </c>
      <c r="C108">
        <v>12.62</v>
      </c>
      <c r="E108" s="306">
        <v>22.27</v>
      </c>
      <c r="F108">
        <v>12.62</v>
      </c>
      <c r="H108">
        <v>0.70699999999999996</v>
      </c>
      <c r="I108">
        <v>6.7000000000000004E-2</v>
      </c>
      <c r="J108" s="307">
        <v>12.811</v>
      </c>
      <c r="K108">
        <v>0.56000000000000005</v>
      </c>
      <c r="L108" s="308">
        <f t="shared" si="6"/>
        <v>0.75</v>
      </c>
      <c r="M108" s="309">
        <f t="shared" si="7"/>
        <v>0.65500000000000003</v>
      </c>
      <c r="N108" s="310">
        <f t="shared" si="8"/>
        <v>17.445</v>
      </c>
      <c r="O108" s="310">
        <f t="shared" si="9"/>
        <v>12.62</v>
      </c>
      <c r="P108" s="310">
        <f t="shared" si="10"/>
        <v>0</v>
      </c>
      <c r="Q108" s="311">
        <f t="shared" si="11"/>
        <v>0.98509093747560683</v>
      </c>
      <c r="T108" s="309"/>
      <c r="U108" s="309"/>
      <c r="V108" s="319" t="str">
        <f>PE_aug!AP108</f>
        <v>Flussproben Spree</v>
      </c>
    </row>
    <row r="109" spans="1:22">
      <c r="A109" s="136" t="s">
        <v>157</v>
      </c>
      <c r="B109">
        <v>13.18</v>
      </c>
      <c r="C109">
        <v>10.48</v>
      </c>
      <c r="E109" s="306">
        <v>13.18</v>
      </c>
      <c r="F109">
        <v>10.48</v>
      </c>
      <c r="H109">
        <v>0.70699999999999996</v>
      </c>
      <c r="I109">
        <v>6.7000000000000004E-2</v>
      </c>
      <c r="J109" s="307">
        <v>9.2412299999999998</v>
      </c>
      <c r="K109">
        <v>0.44</v>
      </c>
      <c r="L109" s="308">
        <f t="shared" si="6"/>
        <v>0.75</v>
      </c>
      <c r="M109" s="309">
        <f t="shared" si="7"/>
        <v>0.59499999999999997</v>
      </c>
      <c r="N109" s="310">
        <f t="shared" si="8"/>
        <v>11.83</v>
      </c>
      <c r="O109" s="310">
        <f t="shared" si="9"/>
        <v>10.48</v>
      </c>
      <c r="P109" s="310">
        <f t="shared" si="10"/>
        <v>0</v>
      </c>
      <c r="Q109" s="311">
        <f t="shared" si="11"/>
        <v>1.1340481732410079</v>
      </c>
      <c r="T109" s="309"/>
      <c r="U109" s="309"/>
      <c r="V109" s="319" t="str">
        <f>PE_aug!AP109</f>
        <v>Flussproben Spree</v>
      </c>
    </row>
    <row r="110" spans="1:22">
      <c r="A110" s="139" t="s">
        <v>158</v>
      </c>
      <c r="B110">
        <v>12.98</v>
      </c>
      <c r="C110">
        <v>8.7899999999999991</v>
      </c>
      <c r="D110">
        <v>12.37</v>
      </c>
      <c r="E110" s="306">
        <v>12.98</v>
      </c>
      <c r="F110">
        <v>8.7899999999999991</v>
      </c>
      <c r="G110" s="307">
        <v>12.37</v>
      </c>
      <c r="H110">
        <v>1.0109999999999999</v>
      </c>
      <c r="I110">
        <v>0.113</v>
      </c>
      <c r="J110" s="307">
        <v>9.0289600000000014</v>
      </c>
      <c r="K110">
        <v>0.56000000000000005</v>
      </c>
      <c r="L110" s="308">
        <f t="shared" si="6"/>
        <v>1</v>
      </c>
      <c r="M110" s="309">
        <f t="shared" si="7"/>
        <v>0.78</v>
      </c>
      <c r="N110" s="310">
        <f t="shared" si="8"/>
        <v>11.38</v>
      </c>
      <c r="O110" s="310">
        <f t="shared" si="9"/>
        <v>10.579999999999998</v>
      </c>
      <c r="P110" s="310">
        <f t="shared" si="10"/>
        <v>33.8374291115312</v>
      </c>
      <c r="Q110" s="311">
        <f t="shared" si="11"/>
        <v>1.1717850117843025</v>
      </c>
      <c r="T110" s="309"/>
      <c r="U110" s="309"/>
      <c r="V110" s="319" t="str">
        <f>PE_aug!AP110</f>
        <v>Kläranlage</v>
      </c>
    </row>
    <row r="111" spans="1:22">
      <c r="A111" s="139" t="s">
        <v>159</v>
      </c>
      <c r="B111">
        <v>16.97</v>
      </c>
      <c r="C111">
        <v>10.44</v>
      </c>
      <c r="D111">
        <v>6.53</v>
      </c>
      <c r="E111" s="306">
        <v>16.97</v>
      </c>
      <c r="F111">
        <v>10.44</v>
      </c>
      <c r="G111" s="307">
        <v>6.53</v>
      </c>
      <c r="H111">
        <v>0.60199999999999998</v>
      </c>
      <c r="I111">
        <v>0.113</v>
      </c>
      <c r="J111" s="307">
        <v>9.4451499999999999</v>
      </c>
      <c r="K111">
        <v>0.44</v>
      </c>
      <c r="L111" s="308">
        <f t="shared" si="6"/>
        <v>0.75</v>
      </c>
      <c r="M111" s="309">
        <f t="shared" si="7"/>
        <v>0.59499999999999997</v>
      </c>
      <c r="N111" s="310">
        <f t="shared" si="8"/>
        <v>11.313333333333333</v>
      </c>
      <c r="O111" s="310">
        <f t="shared" si="9"/>
        <v>8.4849999999999994</v>
      </c>
      <c r="P111" s="310">
        <f t="shared" si="10"/>
        <v>46.081319976428986</v>
      </c>
      <c r="Q111" s="311">
        <f t="shared" si="11"/>
        <v>0.89834465307591727</v>
      </c>
      <c r="T111" s="309"/>
      <c r="U111" s="309"/>
      <c r="V111" s="319" t="str">
        <f>PE_aug!AP111</f>
        <v>Kläranlage</v>
      </c>
    </row>
    <row r="112" spans="1:22">
      <c r="A112" s="139" t="s">
        <v>160</v>
      </c>
      <c r="B112">
        <v>11.39</v>
      </c>
      <c r="C112">
        <v>9.27</v>
      </c>
      <c r="E112" s="306">
        <v>11.39</v>
      </c>
      <c r="F112">
        <v>9.27</v>
      </c>
      <c r="H112">
        <v>0.63600000000000001</v>
      </c>
      <c r="I112">
        <v>0.113</v>
      </c>
      <c r="J112" s="307">
        <v>8.1411800000000003</v>
      </c>
      <c r="K112">
        <v>0.44</v>
      </c>
      <c r="L112" s="308">
        <f t="shared" si="6"/>
        <v>0.75</v>
      </c>
      <c r="M112" s="309">
        <f t="shared" si="7"/>
        <v>0.59499999999999997</v>
      </c>
      <c r="N112" s="310">
        <f t="shared" si="8"/>
        <v>10.33</v>
      </c>
      <c r="O112" s="310">
        <f t="shared" si="9"/>
        <v>9.27</v>
      </c>
      <c r="P112" s="310">
        <f t="shared" si="10"/>
        <v>0</v>
      </c>
      <c r="Q112" s="311">
        <f t="shared" si="11"/>
        <v>1.1386555757273515</v>
      </c>
      <c r="T112" s="309"/>
      <c r="U112" s="309"/>
      <c r="V112" s="319" t="str">
        <f>PE_aug!AP112</f>
        <v>Kläranlage</v>
      </c>
    </row>
    <row r="113" spans="1:22">
      <c r="A113" s="139" t="s">
        <v>161</v>
      </c>
      <c r="B113">
        <v>9.57</v>
      </c>
      <c r="C113">
        <v>9.2100000000000009</v>
      </c>
      <c r="E113" s="306">
        <v>9.57</v>
      </c>
      <c r="F113">
        <v>9.2100000000000009</v>
      </c>
      <c r="H113">
        <v>0.60099999999999998</v>
      </c>
      <c r="I113">
        <v>0.121</v>
      </c>
      <c r="J113" s="307">
        <v>7.5561999999999996</v>
      </c>
      <c r="K113">
        <v>0.69</v>
      </c>
      <c r="L113" s="308">
        <f t="shared" si="6"/>
        <v>0.75</v>
      </c>
      <c r="M113" s="309">
        <f t="shared" si="7"/>
        <v>0.72</v>
      </c>
      <c r="N113" s="310">
        <f t="shared" si="8"/>
        <v>9.39</v>
      </c>
      <c r="O113" s="310">
        <f t="shared" si="9"/>
        <v>9.2100000000000009</v>
      </c>
      <c r="P113" s="310">
        <f t="shared" si="10"/>
        <v>0</v>
      </c>
      <c r="Q113" s="311">
        <f t="shared" si="11"/>
        <v>1.2188666260818932</v>
      </c>
      <c r="T113" s="309"/>
      <c r="U113" s="309"/>
      <c r="V113" s="319" t="str">
        <f>PE_aug!AP113</f>
        <v>Kläranlage</v>
      </c>
    </row>
    <row r="114" spans="1:22">
      <c r="A114" s="139" t="s">
        <v>162</v>
      </c>
      <c r="B114">
        <v>4.07</v>
      </c>
      <c r="C114">
        <v>8.35</v>
      </c>
      <c r="D114">
        <v>3.99</v>
      </c>
      <c r="E114" s="306">
        <v>4.07</v>
      </c>
      <c r="F114">
        <v>8.35</v>
      </c>
      <c r="G114" s="307">
        <v>3.99</v>
      </c>
      <c r="H114">
        <v>0.873</v>
      </c>
      <c r="I114">
        <v>0.121</v>
      </c>
      <c r="J114" s="307">
        <v>4.8253199999999996</v>
      </c>
      <c r="K114">
        <v>0.44</v>
      </c>
      <c r="L114" s="308">
        <f t="shared" si="6"/>
        <v>0.5</v>
      </c>
      <c r="M114" s="309">
        <f t="shared" si="7"/>
        <v>0.47</v>
      </c>
      <c r="N114" s="310">
        <f t="shared" si="8"/>
        <v>5.47</v>
      </c>
      <c r="O114" s="310">
        <f t="shared" si="9"/>
        <v>6.17</v>
      </c>
      <c r="P114" s="310">
        <f t="shared" si="10"/>
        <v>70.664505672609394</v>
      </c>
      <c r="Q114" s="311">
        <f t="shared" si="11"/>
        <v>1.2786716735884875</v>
      </c>
      <c r="T114" s="309"/>
      <c r="U114" s="309"/>
      <c r="V114" s="319" t="str">
        <f>PE_aug!AP114</f>
        <v>Kläranlage</v>
      </c>
    </row>
    <row r="115" spans="1:22">
      <c r="A115" s="139" t="s">
        <v>163</v>
      </c>
      <c r="B115">
        <v>7.25</v>
      </c>
      <c r="C115">
        <v>8.58</v>
      </c>
      <c r="E115" s="306">
        <v>7.25</v>
      </c>
      <c r="F115">
        <v>8.58</v>
      </c>
      <c r="H115">
        <v>0.76100000000000001</v>
      </c>
      <c r="I115">
        <v>0.121</v>
      </c>
      <c r="J115" s="307">
        <v>6.5425250000000004</v>
      </c>
      <c r="K115">
        <v>0.69</v>
      </c>
      <c r="L115" s="308">
        <f t="shared" si="6"/>
        <v>0.75</v>
      </c>
      <c r="M115" s="309">
        <f t="shared" si="7"/>
        <v>0.72</v>
      </c>
      <c r="N115" s="310">
        <f t="shared" si="8"/>
        <v>7.915</v>
      </c>
      <c r="O115" s="310">
        <f t="shared" si="9"/>
        <v>8.58</v>
      </c>
      <c r="P115" s="310">
        <f t="shared" si="10"/>
        <v>0</v>
      </c>
      <c r="Q115" s="311">
        <f t="shared" si="11"/>
        <v>1.3114202849817158</v>
      </c>
      <c r="T115" s="309"/>
      <c r="U115" s="309"/>
      <c r="V115" s="319" t="str">
        <f>PE_aug!AP115</f>
        <v>Kläranlage</v>
      </c>
    </row>
    <row r="116" spans="1:22">
      <c r="A116" s="139" t="s">
        <v>164</v>
      </c>
      <c r="B116">
        <v>13.35</v>
      </c>
      <c r="C116">
        <v>9.08</v>
      </c>
      <c r="E116" s="306">
        <v>13.35</v>
      </c>
      <c r="F116">
        <v>9.08</v>
      </c>
      <c r="H116">
        <v>0.93300000000000005</v>
      </c>
      <c r="I116">
        <v>0.16900000000000001</v>
      </c>
      <c r="J116" s="307">
        <v>10.150700000000001</v>
      </c>
      <c r="K116">
        <v>0.44</v>
      </c>
      <c r="L116" s="308">
        <f t="shared" si="6"/>
        <v>0.75</v>
      </c>
      <c r="M116" s="309">
        <f t="shared" si="7"/>
        <v>0.59499999999999997</v>
      </c>
      <c r="N116" s="310">
        <f t="shared" si="8"/>
        <v>11.215</v>
      </c>
      <c r="O116" s="310">
        <f t="shared" si="9"/>
        <v>9.08</v>
      </c>
      <c r="P116" s="310">
        <f t="shared" si="10"/>
        <v>0</v>
      </c>
      <c r="Q116" s="311">
        <f t="shared" si="11"/>
        <v>0.89451958978198542</v>
      </c>
      <c r="T116" s="309"/>
      <c r="U116" s="309"/>
      <c r="V116" s="319" t="str">
        <f>PE_aug!AP116</f>
        <v>Kläranlage</v>
      </c>
    </row>
    <row r="117" spans="1:22">
      <c r="A117" s="139" t="s">
        <v>165</v>
      </c>
      <c r="B117">
        <v>11.19</v>
      </c>
      <c r="C117">
        <v>9.01</v>
      </c>
      <c r="E117" s="306">
        <v>11.19</v>
      </c>
      <c r="F117">
        <v>9.01</v>
      </c>
      <c r="H117">
        <v>0.48299999999999998</v>
      </c>
      <c r="I117">
        <v>0.16900000000000001</v>
      </c>
      <c r="J117" s="307">
        <v>8.5572100000000013</v>
      </c>
      <c r="K117">
        <v>0.44</v>
      </c>
      <c r="L117" s="308">
        <f t="shared" si="6"/>
        <v>0.75</v>
      </c>
      <c r="M117" s="309">
        <f t="shared" si="7"/>
        <v>0.59499999999999997</v>
      </c>
      <c r="N117" s="310">
        <f t="shared" si="8"/>
        <v>10.1</v>
      </c>
      <c r="O117" s="310">
        <f t="shared" si="9"/>
        <v>9.01</v>
      </c>
      <c r="P117" s="310">
        <f t="shared" si="10"/>
        <v>0</v>
      </c>
      <c r="Q117" s="311">
        <f t="shared" si="11"/>
        <v>1.0529132743031897</v>
      </c>
      <c r="T117" s="309"/>
      <c r="U117" s="309"/>
      <c r="V117" s="319" t="str">
        <f>PE_aug!AP117</f>
        <v>Kläranlage</v>
      </c>
    </row>
    <row r="118" spans="1:22">
      <c r="A118" s="139" t="s">
        <v>166</v>
      </c>
      <c r="B118">
        <v>13.28</v>
      </c>
      <c r="C118">
        <v>9.2899999999999991</v>
      </c>
      <c r="E118" s="306">
        <v>13.28</v>
      </c>
      <c r="F118">
        <v>9.2899999999999991</v>
      </c>
      <c r="H118">
        <v>0.752</v>
      </c>
      <c r="I118">
        <v>0.16900000000000001</v>
      </c>
      <c r="J118" s="307">
        <v>10.0943</v>
      </c>
      <c r="K118">
        <v>0.56000000000000005</v>
      </c>
      <c r="L118" s="308">
        <f t="shared" si="6"/>
        <v>0.75</v>
      </c>
      <c r="M118" s="309">
        <f t="shared" si="7"/>
        <v>0.65500000000000003</v>
      </c>
      <c r="N118" s="310">
        <f t="shared" si="8"/>
        <v>11.285</v>
      </c>
      <c r="O118" s="310">
        <f t="shared" si="9"/>
        <v>9.2899999999999991</v>
      </c>
      <c r="P118" s="310">
        <f t="shared" si="10"/>
        <v>0</v>
      </c>
      <c r="Q118" s="311">
        <f t="shared" si="11"/>
        <v>0.92032136948574927</v>
      </c>
      <c r="T118" s="309"/>
      <c r="U118" s="309"/>
      <c r="V118" s="319" t="str">
        <f>PE_aug!AP118</f>
        <v>Kläranlage</v>
      </c>
    </row>
    <row r="119" spans="1:22">
      <c r="A119" s="139" t="s">
        <v>167</v>
      </c>
      <c r="C119">
        <v>8.2899999999999991</v>
      </c>
      <c r="D119">
        <v>42.45</v>
      </c>
      <c r="F119">
        <v>8.2899999999999991</v>
      </c>
      <c r="G119" s="307">
        <v>42.45</v>
      </c>
      <c r="H119">
        <v>0.70699999999999996</v>
      </c>
      <c r="I119">
        <v>8.1000000000000003E-2</v>
      </c>
      <c r="J119" s="307">
        <v>11.9978</v>
      </c>
      <c r="K119">
        <v>0.44</v>
      </c>
      <c r="L119" s="308">
        <f t="shared" si="6"/>
        <v>0.5</v>
      </c>
      <c r="M119" s="309">
        <f t="shared" si="7"/>
        <v>0.47</v>
      </c>
      <c r="N119" s="310">
        <f t="shared" si="8"/>
        <v>25.37</v>
      </c>
      <c r="O119" s="310">
        <f t="shared" si="9"/>
        <v>25.37</v>
      </c>
      <c r="P119" s="310">
        <f t="shared" si="10"/>
        <v>134.64722112731573</v>
      </c>
      <c r="Q119" s="311">
        <f t="shared" si="11"/>
        <v>2.1145543349614098</v>
      </c>
      <c r="T119" s="309"/>
      <c r="U119" s="309"/>
      <c r="V119" s="319" t="str">
        <f>PE_aug!AP119</f>
        <v>Flussproben</v>
      </c>
    </row>
    <row r="120" spans="1:22">
      <c r="A120" s="139" t="s">
        <v>168</v>
      </c>
      <c r="B120">
        <v>5.33</v>
      </c>
      <c r="C120">
        <v>8.43</v>
      </c>
      <c r="D120">
        <v>31.39</v>
      </c>
      <c r="E120" s="306">
        <v>5.33</v>
      </c>
      <c r="F120">
        <v>8.43</v>
      </c>
      <c r="G120" s="307">
        <v>31.39</v>
      </c>
      <c r="H120">
        <v>0.70699999999999996</v>
      </c>
      <c r="I120">
        <v>8.1000000000000003E-2</v>
      </c>
      <c r="J120" s="307">
        <v>18.2178</v>
      </c>
      <c r="K120">
        <v>0.44</v>
      </c>
      <c r="L120" s="308">
        <f t="shared" si="6"/>
        <v>0.5</v>
      </c>
      <c r="M120" s="309">
        <f t="shared" si="7"/>
        <v>0.47</v>
      </c>
      <c r="N120" s="310">
        <f t="shared" si="8"/>
        <v>15.049999999999999</v>
      </c>
      <c r="O120" s="310">
        <f t="shared" si="9"/>
        <v>19.91</v>
      </c>
      <c r="P120" s="310">
        <f t="shared" si="10"/>
        <v>115.31893520843796</v>
      </c>
      <c r="Q120" s="311">
        <f t="shared" si="11"/>
        <v>1.0928871762781456</v>
      </c>
      <c r="T120" s="309"/>
      <c r="U120" s="309"/>
      <c r="V120" s="319" t="str">
        <f>PE_aug!AP120</f>
        <v>Flussproben</v>
      </c>
    </row>
    <row r="121" spans="1:22">
      <c r="A121" s="139" t="s">
        <v>169</v>
      </c>
      <c r="B121">
        <v>4.2699999999999996</v>
      </c>
      <c r="C121">
        <v>28.13</v>
      </c>
      <c r="D121">
        <v>9.64</v>
      </c>
      <c r="E121" s="306">
        <v>4.2699999999999996</v>
      </c>
      <c r="F121">
        <v>28.13</v>
      </c>
      <c r="G121" s="307">
        <v>9.64</v>
      </c>
      <c r="J121" s="307">
        <v>14.882400000000001</v>
      </c>
      <c r="K121">
        <v>0.61</v>
      </c>
      <c r="L121" s="308">
        <f t="shared" si="6"/>
        <v>0.5</v>
      </c>
      <c r="M121" s="309">
        <f t="shared" si="7"/>
        <v>0.55499999999999994</v>
      </c>
      <c r="N121" s="310">
        <f t="shared" si="8"/>
        <v>14.013333333333334</v>
      </c>
      <c r="O121" s="310">
        <f t="shared" si="9"/>
        <v>18.884999999999998</v>
      </c>
      <c r="P121" s="310">
        <f t="shared" si="10"/>
        <v>97.908392904421504</v>
      </c>
      <c r="Q121" s="311">
        <f t="shared" si="11"/>
        <v>1.2689485566844056</v>
      </c>
      <c r="T121" s="309"/>
      <c r="U121" s="309"/>
      <c r="V121" s="319" t="str">
        <f>PE_aug!AP121</f>
        <v>Flussproben, Methode</v>
      </c>
    </row>
    <row r="122" spans="1:22">
      <c r="A122" s="139" t="s">
        <v>170</v>
      </c>
      <c r="B122">
        <v>2.3199999999999998</v>
      </c>
      <c r="C122">
        <v>7.93</v>
      </c>
      <c r="E122" s="306">
        <v>2.3199999999999998</v>
      </c>
      <c r="F122">
        <v>7.93</v>
      </c>
      <c r="J122" s="307">
        <v>11.2957</v>
      </c>
      <c r="K122">
        <v>0.81</v>
      </c>
      <c r="L122" s="308">
        <f t="shared" si="6"/>
        <v>0.75</v>
      </c>
      <c r="M122" s="309">
        <f t="shared" si="7"/>
        <v>0.78</v>
      </c>
      <c r="N122" s="310">
        <f t="shared" si="8"/>
        <v>5.125</v>
      </c>
      <c r="O122" s="310">
        <f t="shared" si="9"/>
        <v>7.93</v>
      </c>
      <c r="P122" s="310">
        <f t="shared" si="10"/>
        <v>0</v>
      </c>
      <c r="Q122" s="311">
        <f t="shared" si="11"/>
        <v>0.70203705834963748</v>
      </c>
      <c r="T122" s="309"/>
      <c r="U122" s="309"/>
      <c r="V122" s="319" t="str">
        <f>PE_aug!AP122</f>
        <v>Flussproben, Methode</v>
      </c>
    </row>
    <row r="123" spans="1:22">
      <c r="A123" s="139" t="s">
        <v>171</v>
      </c>
      <c r="C123">
        <v>7.92</v>
      </c>
      <c r="F123">
        <v>7.92</v>
      </c>
      <c r="J123" s="307">
        <v>8.4538799999999998</v>
      </c>
      <c r="K123">
        <v>0.56000000000000005</v>
      </c>
      <c r="L123" s="308">
        <f t="shared" si="6"/>
        <v>0.75</v>
      </c>
      <c r="M123" s="309">
        <f t="shared" si="7"/>
        <v>0.65500000000000003</v>
      </c>
      <c r="N123" s="310">
        <f t="shared" si="8"/>
        <v>7.92</v>
      </c>
      <c r="O123" s="310">
        <f t="shared" si="9"/>
        <v>7.92</v>
      </c>
      <c r="P123" s="310">
        <f t="shared" si="10"/>
        <v>0</v>
      </c>
      <c r="Q123" s="311">
        <f t="shared" si="11"/>
        <v>0.93684793254694887</v>
      </c>
      <c r="T123" s="309"/>
      <c r="U123" s="309"/>
      <c r="V123" s="319" t="str">
        <f>PE_aug!AP123</f>
        <v>Flussproben, Methode</v>
      </c>
    </row>
    <row r="124" spans="1:22">
      <c r="A124" s="139" t="s">
        <v>172</v>
      </c>
      <c r="B124">
        <v>70.06</v>
      </c>
      <c r="C124">
        <v>38.07</v>
      </c>
      <c r="D124">
        <v>17.149999999999999</v>
      </c>
      <c r="E124" s="306">
        <v>70.06</v>
      </c>
      <c r="F124">
        <v>38.07</v>
      </c>
      <c r="G124" s="307">
        <v>17.149999999999999</v>
      </c>
      <c r="J124" s="307">
        <v>13.7104</v>
      </c>
      <c r="K124">
        <v>0.44</v>
      </c>
      <c r="L124" s="308">
        <f t="shared" si="6"/>
        <v>0.5</v>
      </c>
      <c r="M124" s="309">
        <f t="shared" si="7"/>
        <v>0.47</v>
      </c>
      <c r="N124" s="310">
        <f t="shared" si="8"/>
        <v>41.76</v>
      </c>
      <c r="O124" s="310">
        <f t="shared" si="9"/>
        <v>27.61</v>
      </c>
      <c r="P124" s="310">
        <f t="shared" si="10"/>
        <v>75.769648678015216</v>
      </c>
      <c r="Q124" s="311">
        <f t="shared" si="11"/>
        <v>2.0137997432605905</v>
      </c>
      <c r="S124" s="132">
        <f>1000*0.2251</f>
        <v>225.1</v>
      </c>
      <c r="T124" s="309">
        <f>100*(O124/S124)</f>
        <v>12.265659706796979</v>
      </c>
      <c r="U124" s="309">
        <f>100*(N124/S124)</f>
        <v>18.551754775655262</v>
      </c>
      <c r="V124" s="319" t="str">
        <f>PE_aug!AP124</f>
        <v>Flussproben, Methode</v>
      </c>
    </row>
    <row r="125" spans="1:22">
      <c r="A125" s="139" t="s">
        <v>173</v>
      </c>
      <c r="C125">
        <v>8.5399999999999991</v>
      </c>
      <c r="D125">
        <v>18.27</v>
      </c>
      <c r="F125">
        <v>8.5399999999999991</v>
      </c>
      <c r="G125" s="307">
        <v>18.27</v>
      </c>
      <c r="H125">
        <v>1.0009999999999999</v>
      </c>
      <c r="I125">
        <v>0.155</v>
      </c>
      <c r="J125" s="307">
        <v>10.5603</v>
      </c>
      <c r="K125">
        <v>0.44</v>
      </c>
      <c r="L125" s="308">
        <f t="shared" si="6"/>
        <v>0.5</v>
      </c>
      <c r="M125" s="309">
        <f t="shared" si="7"/>
        <v>0.47</v>
      </c>
      <c r="N125" s="310">
        <f t="shared" si="8"/>
        <v>13.404999999999999</v>
      </c>
      <c r="O125" s="310">
        <f t="shared" si="9"/>
        <v>13.404999999999999</v>
      </c>
      <c r="P125" s="310">
        <f t="shared" si="10"/>
        <v>72.584856396866854</v>
      </c>
      <c r="Q125" s="311">
        <f t="shared" si="11"/>
        <v>1.2693768169464883</v>
      </c>
      <c r="V125" s="319" t="str">
        <f>PE_aug!AP125</f>
        <v>Flussproben</v>
      </c>
    </row>
    <row r="126" spans="1:22">
      <c r="A126" s="139" t="s">
        <v>174</v>
      </c>
      <c r="C126">
        <v>7.74</v>
      </c>
      <c r="D126">
        <v>52.48</v>
      </c>
      <c r="F126">
        <v>7.74</v>
      </c>
      <c r="G126" s="307">
        <v>52.48</v>
      </c>
      <c r="H126">
        <v>0.25800000000000001</v>
      </c>
      <c r="I126">
        <v>0.155</v>
      </c>
      <c r="J126" s="307">
        <v>11.7896</v>
      </c>
      <c r="K126">
        <v>0.44</v>
      </c>
      <c r="L126" s="308">
        <f t="shared" si="6"/>
        <v>0.5</v>
      </c>
      <c r="M126" s="309">
        <f t="shared" si="7"/>
        <v>0.47</v>
      </c>
      <c r="N126" s="310">
        <f t="shared" si="8"/>
        <v>30.11</v>
      </c>
      <c r="O126" s="310">
        <f t="shared" si="9"/>
        <v>30.11</v>
      </c>
      <c r="P126" s="310">
        <f t="shared" si="10"/>
        <v>148.58850880106274</v>
      </c>
      <c r="Q126" s="311">
        <f t="shared" si="11"/>
        <v>2.5539458505801722</v>
      </c>
      <c r="V126" s="319" t="str">
        <f>PE_aug!AP126</f>
        <v>Flussproben</v>
      </c>
    </row>
    <row r="127" spans="1:22">
      <c r="A127" s="139" t="s">
        <v>175</v>
      </c>
      <c r="C127">
        <v>7.63</v>
      </c>
      <c r="D127">
        <v>29.49</v>
      </c>
      <c r="F127">
        <v>7.63</v>
      </c>
      <c r="G127" s="307">
        <v>29.49</v>
      </c>
      <c r="H127">
        <v>0.93400000000000005</v>
      </c>
      <c r="I127">
        <v>0.155</v>
      </c>
      <c r="J127" s="307">
        <v>12.7499</v>
      </c>
      <c r="K127">
        <v>0.56000000000000005</v>
      </c>
      <c r="L127" s="308">
        <f t="shared" si="6"/>
        <v>0.5</v>
      </c>
      <c r="M127" s="309">
        <f t="shared" si="7"/>
        <v>0.53</v>
      </c>
      <c r="N127" s="310">
        <f t="shared" si="8"/>
        <v>18.559999999999999</v>
      </c>
      <c r="O127" s="310">
        <f t="shared" si="9"/>
        <v>18.559999999999999</v>
      </c>
      <c r="P127" s="310">
        <f t="shared" si="10"/>
        <v>117.78017241379311</v>
      </c>
      <c r="Q127" s="311">
        <f t="shared" si="11"/>
        <v>1.4556976917466018</v>
      </c>
      <c r="V127" s="319" t="str">
        <f>PE_aug!AP127</f>
        <v>Flussproben</v>
      </c>
    </row>
    <row r="128" spans="1:22">
      <c r="A128" s="139" t="s">
        <v>176</v>
      </c>
      <c r="H128">
        <v>0.64800000000000002</v>
      </c>
      <c r="I128">
        <v>0.41199999999999998</v>
      </c>
      <c r="J128" s="307">
        <v>8.2120499999999996</v>
      </c>
      <c r="K128">
        <v>0.44</v>
      </c>
      <c r="L128" s="308">
        <f t="shared" si="6"/>
        <v>0.33</v>
      </c>
      <c r="M128" s="309">
        <f t="shared" si="7"/>
        <v>0.38500000000000001</v>
      </c>
      <c r="N128" s="310" t="e">
        <f t="shared" si="8"/>
        <v>#DIV/0!</v>
      </c>
      <c r="O128" s="310" t="e">
        <f t="shared" si="9"/>
        <v>#DIV/0!</v>
      </c>
      <c r="P128" s="310" t="e">
        <f t="shared" si="10"/>
        <v>#DIV/0!</v>
      </c>
      <c r="Q128" s="311">
        <f t="shared" si="11"/>
        <v>0</v>
      </c>
      <c r="V128" s="319" t="str">
        <f>PE_aug!AP128</f>
        <v>Mischwasserüberlauf</v>
      </c>
    </row>
    <row r="129" spans="1:22">
      <c r="A129" s="139" t="s">
        <v>177</v>
      </c>
      <c r="H129">
        <v>0.73</v>
      </c>
      <c r="I129">
        <v>0.41199999999999998</v>
      </c>
      <c r="J129" s="307">
        <v>11.8268</v>
      </c>
      <c r="K129">
        <v>0.44</v>
      </c>
      <c r="L129" s="308">
        <f t="shared" si="6"/>
        <v>0.33</v>
      </c>
      <c r="M129" s="309">
        <f t="shared" si="7"/>
        <v>0.38500000000000001</v>
      </c>
      <c r="N129" s="310" t="e">
        <f t="shared" si="8"/>
        <v>#DIV/0!</v>
      </c>
      <c r="O129" s="310" t="e">
        <f t="shared" si="9"/>
        <v>#DIV/0!</v>
      </c>
      <c r="P129" s="310" t="e">
        <f t="shared" si="10"/>
        <v>#DIV/0!</v>
      </c>
      <c r="Q129" s="311">
        <f t="shared" si="11"/>
        <v>0</v>
      </c>
      <c r="V129" s="319" t="str">
        <f>PE_aug!AP129</f>
        <v>Mischwasserüberlauf</v>
      </c>
    </row>
    <row r="130" spans="1:22">
      <c r="A130" s="139" t="s">
        <v>178</v>
      </c>
      <c r="H130">
        <v>0.83599999999999997</v>
      </c>
      <c r="I130">
        <v>0.41199999999999998</v>
      </c>
      <c r="J130" s="307">
        <v>6.7368800000000002</v>
      </c>
      <c r="K130">
        <v>0.44</v>
      </c>
      <c r="L130" s="308">
        <f t="shared" ref="L130:L193" si="12">IF(COUNT(F130:G130)&lt;1,0.33,((COUNT(F130:G130)*(1/(COUNT(F130:G130)+COUNTBLANK(F130:G130)))+(IF(P130&lt;35,1,IF(P130&lt;70,0.5,IF(P130&gt;70,0)))))/2))</f>
        <v>0.33</v>
      </c>
      <c r="M130" s="309">
        <f t="shared" ref="M130:M193" si="13">AVERAGE(K130:L130)</f>
        <v>0.38500000000000001</v>
      </c>
      <c r="N130" s="310" t="e">
        <f t="shared" ref="N130:N193" si="14">AVERAGE(E130:G130)</f>
        <v>#DIV/0!</v>
      </c>
      <c r="O130" s="310" t="e">
        <f t="shared" ref="O130:O193" si="15">AVERAGE(F130:G130)</f>
        <v>#DIV/0!</v>
      </c>
      <c r="P130" s="310" t="e">
        <f t="shared" ref="P130:P193" si="16">(MAX(F130:G130)-MIN(F130:G130))/O130*100</f>
        <v>#DIV/0!</v>
      </c>
      <c r="Q130" s="311">
        <f t="shared" ref="Q130:Q193" si="17">IFERROR(O130/J130,0)</f>
        <v>0</v>
      </c>
      <c r="V130" s="319" t="str">
        <f>PE_aug!AP130</f>
        <v>Mischwasserüberlauf</v>
      </c>
    </row>
    <row r="131" spans="1:22">
      <c r="A131" s="139" t="s">
        <v>179</v>
      </c>
      <c r="B131">
        <v>3.96</v>
      </c>
      <c r="E131" s="306">
        <v>3.96</v>
      </c>
      <c r="H131">
        <v>0.31900000000000001</v>
      </c>
      <c r="I131">
        <v>6.6000000000000003E-2</v>
      </c>
      <c r="J131" s="307">
        <v>9.8973499999999994</v>
      </c>
      <c r="K131">
        <v>0.44</v>
      </c>
      <c r="L131" s="308">
        <f t="shared" si="12"/>
        <v>0.33</v>
      </c>
      <c r="M131" s="309">
        <f t="shared" si="13"/>
        <v>0.38500000000000001</v>
      </c>
      <c r="N131" s="310">
        <f t="shared" si="14"/>
        <v>3.96</v>
      </c>
      <c r="O131" s="310" t="e">
        <f t="shared" si="15"/>
        <v>#DIV/0!</v>
      </c>
      <c r="P131" s="310" t="e">
        <f t="shared" si="16"/>
        <v>#DIV/0!</v>
      </c>
      <c r="Q131" s="311">
        <f t="shared" si="17"/>
        <v>0</v>
      </c>
      <c r="V131" s="319" t="str">
        <f>PE_aug!AP131</f>
        <v>Mischwasserüberlauf</v>
      </c>
    </row>
    <row r="132" spans="1:22">
      <c r="A132" s="139" t="s">
        <v>180</v>
      </c>
      <c r="B132">
        <v>2.0699999999999998</v>
      </c>
      <c r="E132" s="306">
        <v>2.0699999999999998</v>
      </c>
      <c r="H132">
        <v>0.98799999999999999</v>
      </c>
      <c r="I132">
        <v>6.6000000000000003E-2</v>
      </c>
      <c r="J132" s="307">
        <v>7.9930649999999996</v>
      </c>
      <c r="K132">
        <v>0.44</v>
      </c>
      <c r="L132" s="308">
        <f t="shared" si="12"/>
        <v>0.33</v>
      </c>
      <c r="M132" s="309">
        <f t="shared" si="13"/>
        <v>0.38500000000000001</v>
      </c>
      <c r="N132" s="310">
        <f t="shared" si="14"/>
        <v>2.0699999999999998</v>
      </c>
      <c r="O132" s="310" t="e">
        <f t="shared" si="15"/>
        <v>#DIV/0!</v>
      </c>
      <c r="P132" s="310" t="e">
        <f t="shared" si="16"/>
        <v>#DIV/0!</v>
      </c>
      <c r="Q132" s="311">
        <f t="shared" si="17"/>
        <v>0</v>
      </c>
      <c r="V132" s="319" t="str">
        <f>PE_aug!AP132</f>
        <v>Mischwasserüberlauf</v>
      </c>
    </row>
    <row r="133" spans="1:22">
      <c r="A133" s="139" t="s">
        <v>181</v>
      </c>
      <c r="B133">
        <v>7.22</v>
      </c>
      <c r="E133" s="306">
        <v>7.22</v>
      </c>
      <c r="H133">
        <v>0.86799999999999999</v>
      </c>
      <c r="I133">
        <v>6.6000000000000003E-2</v>
      </c>
      <c r="J133" s="307">
        <v>12.607849999999999</v>
      </c>
      <c r="K133">
        <v>0.69</v>
      </c>
      <c r="L133" s="308">
        <f t="shared" si="12"/>
        <v>0.33</v>
      </c>
      <c r="M133" s="309">
        <f t="shared" si="13"/>
        <v>0.51</v>
      </c>
      <c r="N133" s="310">
        <f t="shared" si="14"/>
        <v>7.22</v>
      </c>
      <c r="O133" s="310" t="e">
        <f t="shared" si="15"/>
        <v>#DIV/0!</v>
      </c>
      <c r="P133" s="310" t="e">
        <f t="shared" si="16"/>
        <v>#DIV/0!</v>
      </c>
      <c r="Q133" s="311">
        <f t="shared" si="17"/>
        <v>0</v>
      </c>
      <c r="V133" s="319" t="str">
        <f>PE_aug!AP133</f>
        <v>Mischwasserüberlauf</v>
      </c>
    </row>
    <row r="134" spans="1:22">
      <c r="A134" s="139" t="s">
        <v>182</v>
      </c>
      <c r="B134">
        <v>71.459999999999994</v>
      </c>
      <c r="C134">
        <v>14.1</v>
      </c>
      <c r="D134">
        <v>10.49</v>
      </c>
      <c r="E134" s="306">
        <v>71.459999999999994</v>
      </c>
      <c r="F134">
        <v>14.1</v>
      </c>
      <c r="G134" s="307">
        <v>10.49</v>
      </c>
      <c r="H134">
        <v>0.75</v>
      </c>
      <c r="I134">
        <v>5.2999999999999999E-2</v>
      </c>
      <c r="J134" s="307">
        <v>13.6172</v>
      </c>
      <c r="K134">
        <v>0.44</v>
      </c>
      <c r="L134" s="308">
        <f t="shared" si="12"/>
        <v>1</v>
      </c>
      <c r="M134" s="309">
        <f t="shared" si="13"/>
        <v>0.72</v>
      </c>
      <c r="N134" s="310">
        <f t="shared" si="14"/>
        <v>32.016666666666659</v>
      </c>
      <c r="O134" s="310">
        <f t="shared" si="15"/>
        <v>12.295</v>
      </c>
      <c r="P134" s="310">
        <f t="shared" si="16"/>
        <v>29.36152907686051</v>
      </c>
      <c r="Q134" s="311">
        <f t="shared" si="17"/>
        <v>0.90290221190846864</v>
      </c>
      <c r="V134" s="319" t="str">
        <f>PE_aug!AP134</f>
        <v>Mischwasserüberlauf</v>
      </c>
    </row>
    <row r="135" spans="1:22">
      <c r="A135" s="139" t="s">
        <v>183</v>
      </c>
      <c r="B135">
        <v>37.03</v>
      </c>
      <c r="C135">
        <v>10.38</v>
      </c>
      <c r="D135">
        <v>3.67</v>
      </c>
      <c r="E135" s="306">
        <v>37.03</v>
      </c>
      <c r="F135">
        <v>10.38</v>
      </c>
      <c r="G135" s="307">
        <v>3.67</v>
      </c>
      <c r="H135">
        <v>0.89700000000000002</v>
      </c>
      <c r="I135">
        <v>5.2999999999999999E-2</v>
      </c>
      <c r="J135" s="307">
        <v>7.6774300000000002</v>
      </c>
      <c r="K135">
        <v>0.44</v>
      </c>
      <c r="L135" s="308">
        <f t="shared" si="12"/>
        <v>0.5</v>
      </c>
      <c r="M135" s="309">
        <f t="shared" si="13"/>
        <v>0.47</v>
      </c>
      <c r="N135" s="310">
        <f t="shared" si="14"/>
        <v>17.026666666666667</v>
      </c>
      <c r="O135" s="310">
        <f t="shared" si="15"/>
        <v>7.0250000000000004</v>
      </c>
      <c r="P135" s="310">
        <f t="shared" si="16"/>
        <v>95.516014234875456</v>
      </c>
      <c r="Q135" s="311">
        <f t="shared" si="17"/>
        <v>0.91501973967851225</v>
      </c>
      <c r="V135" s="319" t="str">
        <f>PE_aug!AP135</f>
        <v>Mischwasserüberlauf</v>
      </c>
    </row>
    <row r="136" spans="1:22">
      <c r="A136" s="139" t="s">
        <v>184</v>
      </c>
      <c r="B136">
        <v>66.33</v>
      </c>
      <c r="C136">
        <v>11.71</v>
      </c>
      <c r="D136">
        <v>10.66</v>
      </c>
      <c r="E136" s="306">
        <v>66.33</v>
      </c>
      <c r="F136">
        <v>11.71</v>
      </c>
      <c r="G136" s="307">
        <v>10.66</v>
      </c>
      <c r="H136">
        <v>0.59099999999999997</v>
      </c>
      <c r="I136">
        <v>5.2999999999999999E-2</v>
      </c>
      <c r="J136" s="307">
        <v>12.9139</v>
      </c>
      <c r="K136">
        <v>0.56000000000000005</v>
      </c>
      <c r="L136" s="308">
        <f t="shared" si="12"/>
        <v>1</v>
      </c>
      <c r="M136" s="309">
        <f t="shared" si="13"/>
        <v>0.78</v>
      </c>
      <c r="N136" s="310">
        <f t="shared" si="14"/>
        <v>29.566666666666663</v>
      </c>
      <c r="O136" s="310">
        <f t="shared" si="15"/>
        <v>11.185</v>
      </c>
      <c r="P136" s="310">
        <f t="shared" si="16"/>
        <v>9.3875726419311629</v>
      </c>
      <c r="Q136" s="311">
        <f t="shared" si="17"/>
        <v>0.86612100140159054</v>
      </c>
      <c r="V136" s="319" t="str">
        <f>PE_aug!AP136</f>
        <v>Mischwasserüberlauf</v>
      </c>
    </row>
    <row r="137" spans="1:22">
      <c r="A137" s="139" t="s">
        <v>185</v>
      </c>
      <c r="C137">
        <v>8.0299999999999994</v>
      </c>
      <c r="F137">
        <v>8.0299999999999994</v>
      </c>
      <c r="K137">
        <v>0.5</v>
      </c>
      <c r="L137" s="308">
        <f t="shared" si="12"/>
        <v>0.75</v>
      </c>
      <c r="M137" s="309">
        <f t="shared" si="13"/>
        <v>0.625</v>
      </c>
      <c r="N137" s="310">
        <f t="shared" si="14"/>
        <v>8.0299999999999994</v>
      </c>
      <c r="O137" s="310">
        <f t="shared" si="15"/>
        <v>8.0299999999999994</v>
      </c>
      <c r="P137" s="310">
        <f t="shared" si="16"/>
        <v>0</v>
      </c>
      <c r="Q137" s="311">
        <f t="shared" si="17"/>
        <v>0</v>
      </c>
      <c r="V137" s="319" t="str">
        <f>PE_aug!AP137</f>
        <v>Sickerwasser</v>
      </c>
    </row>
    <row r="138" spans="1:22">
      <c r="A138" s="139" t="s">
        <v>187</v>
      </c>
      <c r="L138" s="308">
        <f t="shared" si="12"/>
        <v>0.33</v>
      </c>
      <c r="M138" s="309">
        <f t="shared" si="13"/>
        <v>0.33</v>
      </c>
      <c r="N138" s="310" t="e">
        <f t="shared" si="14"/>
        <v>#DIV/0!</v>
      </c>
      <c r="O138" s="310" t="e">
        <f t="shared" si="15"/>
        <v>#DIV/0!</v>
      </c>
      <c r="P138" s="310" t="e">
        <f t="shared" si="16"/>
        <v>#DIV/0!</v>
      </c>
      <c r="Q138" s="311">
        <f t="shared" si="17"/>
        <v>0</v>
      </c>
      <c r="V138" s="319" t="str">
        <f>PE_aug!AP138</f>
        <v>Sickerwasser</v>
      </c>
    </row>
    <row r="139" spans="1:22">
      <c r="A139" s="139" t="s">
        <v>188</v>
      </c>
      <c r="C139">
        <v>10.58</v>
      </c>
      <c r="F139">
        <v>10.58</v>
      </c>
      <c r="K139">
        <v>0.5</v>
      </c>
      <c r="L139" s="308">
        <f t="shared" si="12"/>
        <v>0.75</v>
      </c>
      <c r="M139" s="309">
        <f t="shared" si="13"/>
        <v>0.625</v>
      </c>
      <c r="N139" s="310">
        <f t="shared" si="14"/>
        <v>10.58</v>
      </c>
      <c r="O139" s="310">
        <f t="shared" si="15"/>
        <v>10.58</v>
      </c>
      <c r="P139" s="310">
        <f t="shared" si="16"/>
        <v>0</v>
      </c>
      <c r="Q139" s="311">
        <f t="shared" si="17"/>
        <v>0</v>
      </c>
      <c r="V139" s="319" t="str">
        <f>PE_aug!AP139</f>
        <v>Sickerwasser</v>
      </c>
    </row>
    <row r="140" spans="1:22">
      <c r="A140" s="139" t="s">
        <v>189</v>
      </c>
      <c r="C140">
        <v>8.6199999999999992</v>
      </c>
      <c r="F140">
        <v>8.6199999999999992</v>
      </c>
      <c r="K140">
        <v>0.25</v>
      </c>
      <c r="L140" s="308">
        <f t="shared" si="12"/>
        <v>0.75</v>
      </c>
      <c r="M140" s="309">
        <f t="shared" si="13"/>
        <v>0.5</v>
      </c>
      <c r="N140" s="310">
        <f t="shared" si="14"/>
        <v>8.6199999999999992</v>
      </c>
      <c r="O140" s="310">
        <f t="shared" si="15"/>
        <v>8.6199999999999992</v>
      </c>
      <c r="P140" s="310">
        <f t="shared" si="16"/>
        <v>0</v>
      </c>
      <c r="Q140" s="311">
        <f t="shared" si="17"/>
        <v>0</v>
      </c>
      <c r="V140" s="319" t="str">
        <f>PE_aug!AP140</f>
        <v>Sickerwasser</v>
      </c>
    </row>
    <row r="141" spans="1:22">
      <c r="A141" s="139" t="s">
        <v>190</v>
      </c>
      <c r="C141">
        <v>8.9600000000000009</v>
      </c>
      <c r="F141">
        <v>8.9600000000000009</v>
      </c>
      <c r="J141">
        <v>0.61838899999999997</v>
      </c>
      <c r="K141">
        <v>0.44</v>
      </c>
      <c r="L141" s="308">
        <f t="shared" si="12"/>
        <v>0.75</v>
      </c>
      <c r="M141" s="309">
        <f t="shared" si="13"/>
        <v>0.59499999999999997</v>
      </c>
      <c r="N141" s="310">
        <f t="shared" si="14"/>
        <v>8.9600000000000009</v>
      </c>
      <c r="O141" s="310">
        <f t="shared" si="15"/>
        <v>8.9600000000000009</v>
      </c>
      <c r="P141" s="310">
        <f t="shared" si="16"/>
        <v>0</v>
      </c>
      <c r="Q141" s="311">
        <f t="shared" si="17"/>
        <v>14.489261613644489</v>
      </c>
      <c r="V141" s="319" t="str">
        <f>PE_aug!AP141</f>
        <v>Bodenretentionsfilter</v>
      </c>
    </row>
    <row r="142" spans="1:22">
      <c r="A142" s="139" t="s">
        <v>192</v>
      </c>
      <c r="C142">
        <v>8.6</v>
      </c>
      <c r="F142">
        <v>8.6</v>
      </c>
      <c r="J142">
        <v>0.122319</v>
      </c>
      <c r="K142">
        <v>0.5</v>
      </c>
      <c r="L142" s="308">
        <f t="shared" si="12"/>
        <v>0.75</v>
      </c>
      <c r="M142" s="309">
        <f t="shared" si="13"/>
        <v>0.625</v>
      </c>
      <c r="N142" s="310">
        <f t="shared" si="14"/>
        <v>8.6</v>
      </c>
      <c r="O142" s="310">
        <f t="shared" si="15"/>
        <v>8.6</v>
      </c>
      <c r="P142" s="310">
        <f t="shared" si="16"/>
        <v>0</v>
      </c>
      <c r="Q142" s="311">
        <f t="shared" si="17"/>
        <v>70.307965238433923</v>
      </c>
      <c r="V142" s="319" t="str">
        <f>PE_aug!AP142</f>
        <v>Bodenretentionsfilter</v>
      </c>
    </row>
    <row r="143" spans="1:22">
      <c r="A143" s="140" t="s">
        <v>193</v>
      </c>
      <c r="C143">
        <v>7.66</v>
      </c>
      <c r="F143">
        <v>7.66</v>
      </c>
      <c r="H143">
        <v>1.093</v>
      </c>
      <c r="I143">
        <v>0.10100000000000001</v>
      </c>
      <c r="J143" s="307">
        <v>5.5792199999999994</v>
      </c>
      <c r="K143">
        <v>0.44</v>
      </c>
      <c r="L143" s="308">
        <f t="shared" si="12"/>
        <v>0.75</v>
      </c>
      <c r="M143" s="309">
        <f t="shared" si="13"/>
        <v>0.59499999999999997</v>
      </c>
      <c r="N143" s="310">
        <f t="shared" si="14"/>
        <v>7.66</v>
      </c>
      <c r="O143" s="310">
        <f t="shared" si="15"/>
        <v>7.66</v>
      </c>
      <c r="P143" s="310">
        <f t="shared" si="16"/>
        <v>0</v>
      </c>
      <c r="Q143" s="311">
        <f t="shared" si="17"/>
        <v>1.3729517746208253</v>
      </c>
      <c r="V143" s="319" t="str">
        <f>PE_aug!AP143</f>
        <v>Kläranlage</v>
      </c>
    </row>
    <row r="144" spans="1:22">
      <c r="A144" s="140" t="s">
        <v>194</v>
      </c>
      <c r="B144">
        <v>4.17</v>
      </c>
      <c r="C144">
        <v>8.06</v>
      </c>
      <c r="E144" s="306">
        <v>4.17</v>
      </c>
      <c r="F144">
        <v>8.06</v>
      </c>
      <c r="H144">
        <v>0.40500000000000003</v>
      </c>
      <c r="I144">
        <v>0.10100000000000001</v>
      </c>
      <c r="J144" s="307">
        <v>9.1932700000000001</v>
      </c>
      <c r="K144">
        <v>0.44</v>
      </c>
      <c r="L144" s="308">
        <f t="shared" si="12"/>
        <v>0.75</v>
      </c>
      <c r="M144" s="309">
        <f t="shared" si="13"/>
        <v>0.59499999999999997</v>
      </c>
      <c r="N144" s="310">
        <f t="shared" si="14"/>
        <v>6.1150000000000002</v>
      </c>
      <c r="O144" s="310">
        <f t="shared" si="15"/>
        <v>8.06</v>
      </c>
      <c r="P144" s="310">
        <f t="shared" si="16"/>
        <v>0</v>
      </c>
      <c r="Q144" s="311">
        <f t="shared" si="17"/>
        <v>0.87672830233420762</v>
      </c>
      <c r="V144" s="319" t="str">
        <f>PE_aug!AP144</f>
        <v>Kläranlage</v>
      </c>
    </row>
    <row r="145" spans="1:22">
      <c r="A145" s="140" t="s">
        <v>195</v>
      </c>
      <c r="B145">
        <v>4.0999999999999996</v>
      </c>
      <c r="C145">
        <v>8.56</v>
      </c>
      <c r="E145" s="306">
        <v>4.0999999999999996</v>
      </c>
      <c r="F145">
        <v>8.56</v>
      </c>
      <c r="H145">
        <v>0.74</v>
      </c>
      <c r="I145">
        <v>0.10100000000000001</v>
      </c>
      <c r="J145" s="307">
        <v>9.9659200000000006</v>
      </c>
      <c r="K145">
        <v>0.56000000000000005</v>
      </c>
      <c r="L145" s="308">
        <f t="shared" si="12"/>
        <v>0.75</v>
      </c>
      <c r="M145" s="309">
        <f t="shared" si="13"/>
        <v>0.65500000000000003</v>
      </c>
      <c r="N145" s="310">
        <f t="shared" si="14"/>
        <v>6.33</v>
      </c>
      <c r="O145" s="310">
        <f t="shared" si="15"/>
        <v>8.56</v>
      </c>
      <c r="P145" s="310">
        <f t="shared" si="16"/>
        <v>0</v>
      </c>
      <c r="Q145" s="311">
        <f t="shared" si="17"/>
        <v>0.85892722397932153</v>
      </c>
      <c r="V145" s="319" t="str">
        <f>PE_aug!AP145</f>
        <v>Kläranlage</v>
      </c>
    </row>
    <row r="146" spans="1:22">
      <c r="A146" s="140" t="s">
        <v>196</v>
      </c>
      <c r="B146">
        <v>8.1199999999999992</v>
      </c>
      <c r="C146">
        <v>8.56</v>
      </c>
      <c r="E146" s="306">
        <v>8.1199999999999992</v>
      </c>
      <c r="F146">
        <v>8.56</v>
      </c>
      <c r="H146">
        <v>0.41599999999999998</v>
      </c>
      <c r="I146">
        <v>0.19</v>
      </c>
      <c r="J146" s="307">
        <v>7.4657300000000006</v>
      </c>
      <c r="K146">
        <v>0.56000000000000005</v>
      </c>
      <c r="L146" s="308">
        <f t="shared" si="12"/>
        <v>0.75</v>
      </c>
      <c r="M146" s="309">
        <f t="shared" si="13"/>
        <v>0.65500000000000003</v>
      </c>
      <c r="N146" s="310">
        <f t="shared" si="14"/>
        <v>8.34</v>
      </c>
      <c r="O146" s="310">
        <f t="shared" si="15"/>
        <v>8.56</v>
      </c>
      <c r="P146" s="310">
        <f t="shared" si="16"/>
        <v>0</v>
      </c>
      <c r="Q146" s="311">
        <f t="shared" si="17"/>
        <v>1.1465724048418573</v>
      </c>
      <c r="V146" s="319" t="str">
        <f>PE_aug!AP146</f>
        <v>KWS</v>
      </c>
    </row>
    <row r="147" spans="1:22">
      <c r="A147" s="140" t="s">
        <v>197</v>
      </c>
      <c r="B147">
        <v>6.86</v>
      </c>
      <c r="C147">
        <v>8.43</v>
      </c>
      <c r="E147" s="306">
        <v>6.86</v>
      </c>
      <c r="F147">
        <v>8.43</v>
      </c>
      <c r="H147">
        <v>1.0229999999999999</v>
      </c>
      <c r="I147">
        <v>0.19</v>
      </c>
      <c r="J147" s="307">
        <v>6.9106949999999996</v>
      </c>
      <c r="K147">
        <v>0.56000000000000005</v>
      </c>
      <c r="L147" s="308">
        <f t="shared" si="12"/>
        <v>0.75</v>
      </c>
      <c r="M147" s="309">
        <f t="shared" si="13"/>
        <v>0.65500000000000003</v>
      </c>
      <c r="N147" s="310">
        <f t="shared" si="14"/>
        <v>7.6449999999999996</v>
      </c>
      <c r="O147" s="310">
        <f t="shared" si="15"/>
        <v>8.43</v>
      </c>
      <c r="P147" s="310">
        <f t="shared" si="16"/>
        <v>0</v>
      </c>
      <c r="Q147" s="311">
        <f t="shared" si="17"/>
        <v>1.2198483654683068</v>
      </c>
      <c r="V147" s="319" t="str">
        <f>PE_aug!AP147</f>
        <v>KWS</v>
      </c>
    </row>
    <row r="148" spans="1:22">
      <c r="A148" s="140" t="s">
        <v>198</v>
      </c>
      <c r="B148">
        <v>6.76</v>
      </c>
      <c r="C148">
        <v>8.19</v>
      </c>
      <c r="E148" s="306">
        <v>6.76</v>
      </c>
      <c r="F148">
        <v>8.19</v>
      </c>
      <c r="H148">
        <v>0.80500000000000005</v>
      </c>
      <c r="I148">
        <v>0.19</v>
      </c>
      <c r="J148" s="307">
        <v>6.5458299999999996</v>
      </c>
      <c r="K148">
        <v>0.44</v>
      </c>
      <c r="L148" s="308">
        <f t="shared" si="12"/>
        <v>0.75</v>
      </c>
      <c r="M148" s="309">
        <f t="shared" si="13"/>
        <v>0.59499999999999997</v>
      </c>
      <c r="N148" s="310">
        <f t="shared" si="14"/>
        <v>7.4749999999999996</v>
      </c>
      <c r="O148" s="310">
        <f t="shared" si="15"/>
        <v>8.19</v>
      </c>
      <c r="P148" s="310">
        <f t="shared" si="16"/>
        <v>0</v>
      </c>
      <c r="Q148" s="311">
        <f t="shared" si="17"/>
        <v>1.2511782310264703</v>
      </c>
      <c r="V148" s="319" t="str">
        <f>PE_aug!AP148</f>
        <v>KWS</v>
      </c>
    </row>
    <row r="149" spans="1:22">
      <c r="A149" s="140" t="s">
        <v>199</v>
      </c>
      <c r="B149">
        <v>15.63</v>
      </c>
      <c r="C149">
        <v>9.14</v>
      </c>
      <c r="E149" s="306">
        <v>15.63</v>
      </c>
      <c r="F149">
        <v>9.14</v>
      </c>
      <c r="H149">
        <v>0.79200000000000004</v>
      </c>
      <c r="I149">
        <v>8.5999999999999993E-2</v>
      </c>
      <c r="J149" s="307">
        <v>11.9077</v>
      </c>
      <c r="K149">
        <v>0.56000000000000005</v>
      </c>
      <c r="L149" s="308">
        <f t="shared" si="12"/>
        <v>0.75</v>
      </c>
      <c r="M149" s="309">
        <f t="shared" si="13"/>
        <v>0.65500000000000003</v>
      </c>
      <c r="N149" s="310">
        <f t="shared" si="14"/>
        <v>12.385000000000002</v>
      </c>
      <c r="O149" s="310">
        <f t="shared" si="15"/>
        <v>9.14</v>
      </c>
      <c r="P149" s="310">
        <f t="shared" si="16"/>
        <v>0</v>
      </c>
      <c r="Q149" s="311">
        <f t="shared" si="17"/>
        <v>0.76757056358490727</v>
      </c>
      <c r="V149" s="319" t="str">
        <f>PE_aug!AP149</f>
        <v>KWS</v>
      </c>
    </row>
    <row r="150" spans="1:22">
      <c r="A150" s="140" t="s">
        <v>200</v>
      </c>
      <c r="B150">
        <v>8.85</v>
      </c>
      <c r="C150">
        <v>9.6</v>
      </c>
      <c r="E150" s="306">
        <v>8.85</v>
      </c>
      <c r="F150">
        <v>9.6</v>
      </c>
      <c r="H150">
        <v>0.34799999999999998</v>
      </c>
      <c r="I150">
        <v>8.5999999999999993E-2</v>
      </c>
      <c r="J150" s="307">
        <v>8.1406600000000005</v>
      </c>
      <c r="K150">
        <v>0.56000000000000005</v>
      </c>
      <c r="L150" s="308">
        <f t="shared" si="12"/>
        <v>0.75</v>
      </c>
      <c r="M150" s="309">
        <f t="shared" si="13"/>
        <v>0.65500000000000003</v>
      </c>
      <c r="N150" s="310">
        <f t="shared" si="14"/>
        <v>9.2249999999999996</v>
      </c>
      <c r="O150" s="310">
        <f t="shared" si="15"/>
        <v>9.6</v>
      </c>
      <c r="P150" s="310">
        <f t="shared" si="16"/>
        <v>0</v>
      </c>
      <c r="Q150" s="311">
        <f t="shared" si="17"/>
        <v>1.1792655632344304</v>
      </c>
      <c r="V150" s="319" t="str">
        <f>PE_aug!AP150</f>
        <v>KWS</v>
      </c>
    </row>
    <row r="151" spans="1:22">
      <c r="A151" s="140" t="s">
        <v>201</v>
      </c>
      <c r="B151">
        <v>10.63</v>
      </c>
      <c r="C151">
        <v>9.1300000000000008</v>
      </c>
      <c r="E151" s="306">
        <v>10.63</v>
      </c>
      <c r="F151">
        <v>9.1300000000000008</v>
      </c>
      <c r="H151">
        <v>1.0620000000000001</v>
      </c>
      <c r="I151">
        <v>8.5999999999999993E-2</v>
      </c>
      <c r="J151" s="307">
        <v>9.8009899999999988</v>
      </c>
      <c r="K151">
        <v>0.56000000000000005</v>
      </c>
      <c r="L151" s="308">
        <f t="shared" si="12"/>
        <v>0.75</v>
      </c>
      <c r="M151" s="309">
        <f t="shared" si="13"/>
        <v>0.65500000000000003</v>
      </c>
      <c r="N151" s="310">
        <f t="shared" si="14"/>
        <v>9.8800000000000008</v>
      </c>
      <c r="O151" s="310">
        <f t="shared" si="15"/>
        <v>9.1300000000000008</v>
      </c>
      <c r="P151" s="310">
        <f t="shared" si="16"/>
        <v>0</v>
      </c>
      <c r="Q151" s="311">
        <f t="shared" si="17"/>
        <v>0.93153854865681951</v>
      </c>
      <c r="V151" s="319" t="str">
        <f>PE_aug!AP151</f>
        <v>KWS</v>
      </c>
    </row>
    <row r="152" spans="1:22">
      <c r="A152" s="140" t="s">
        <v>202</v>
      </c>
      <c r="B152">
        <v>9.57</v>
      </c>
      <c r="C152">
        <v>8.2799999999999994</v>
      </c>
      <c r="E152" s="306">
        <v>9.57</v>
      </c>
      <c r="F152">
        <v>8.2799999999999994</v>
      </c>
      <c r="H152">
        <v>0.191</v>
      </c>
      <c r="I152">
        <v>0.17599999999999999</v>
      </c>
      <c r="J152" s="307">
        <v>8.4228899999999989</v>
      </c>
      <c r="K152">
        <v>0.56000000000000005</v>
      </c>
      <c r="L152" s="308">
        <f t="shared" si="12"/>
        <v>0.75</v>
      </c>
      <c r="M152" s="309">
        <f t="shared" si="13"/>
        <v>0.65500000000000003</v>
      </c>
      <c r="N152" s="310">
        <f t="shared" si="14"/>
        <v>8.9250000000000007</v>
      </c>
      <c r="O152" s="310">
        <f t="shared" si="15"/>
        <v>8.2799999999999994</v>
      </c>
      <c r="P152" s="310">
        <f t="shared" si="16"/>
        <v>0</v>
      </c>
      <c r="Q152" s="311">
        <f t="shared" si="17"/>
        <v>0.98303551393880251</v>
      </c>
      <c r="V152" s="319" t="str">
        <f>PE_aug!AP152</f>
        <v>KWS, Schlamm</v>
      </c>
    </row>
    <row r="153" spans="1:22">
      <c r="A153" s="140" t="s">
        <v>204</v>
      </c>
      <c r="B153">
        <v>4.25</v>
      </c>
      <c r="C153">
        <v>7.79</v>
      </c>
      <c r="E153" s="306">
        <v>4.25</v>
      </c>
      <c r="F153">
        <v>7.79</v>
      </c>
      <c r="H153">
        <v>0.95699999999999996</v>
      </c>
      <c r="I153">
        <v>0.17599999999999999</v>
      </c>
      <c r="J153" s="307">
        <v>5.5259049999999998</v>
      </c>
      <c r="K153">
        <v>0.56000000000000005</v>
      </c>
      <c r="L153" s="308">
        <f t="shared" si="12"/>
        <v>0.75</v>
      </c>
      <c r="M153" s="309">
        <f t="shared" si="13"/>
        <v>0.65500000000000003</v>
      </c>
      <c r="N153" s="310">
        <f t="shared" si="14"/>
        <v>6.02</v>
      </c>
      <c r="O153" s="310">
        <f t="shared" si="15"/>
        <v>7.79</v>
      </c>
      <c r="P153" s="310">
        <f t="shared" si="16"/>
        <v>0</v>
      </c>
      <c r="Q153" s="311">
        <f t="shared" si="17"/>
        <v>1.4097238370909382</v>
      </c>
      <c r="V153" s="319" t="str">
        <f>PE_aug!AP153</f>
        <v>KWS, Schlamm</v>
      </c>
    </row>
    <row r="154" spans="1:22">
      <c r="A154" s="140" t="s">
        <v>205</v>
      </c>
      <c r="B154">
        <v>18.14</v>
      </c>
      <c r="C154">
        <v>7.82</v>
      </c>
      <c r="E154" s="306">
        <v>18.14</v>
      </c>
      <c r="F154">
        <v>7.82</v>
      </c>
      <c r="H154">
        <v>0.97</v>
      </c>
      <c r="I154">
        <v>0.17599999999999999</v>
      </c>
      <c r="J154" s="307">
        <v>12.773300000000001</v>
      </c>
      <c r="K154">
        <v>0.44</v>
      </c>
      <c r="L154" s="308">
        <f t="shared" si="12"/>
        <v>0.75</v>
      </c>
      <c r="M154" s="309">
        <f t="shared" si="13"/>
        <v>0.59499999999999997</v>
      </c>
      <c r="N154" s="310">
        <f t="shared" si="14"/>
        <v>12.98</v>
      </c>
      <c r="O154" s="310">
        <f t="shared" si="15"/>
        <v>7.82</v>
      </c>
      <c r="P154" s="310">
        <f t="shared" si="16"/>
        <v>0</v>
      </c>
      <c r="Q154" s="311">
        <f t="shared" si="17"/>
        <v>0.61221454126967967</v>
      </c>
      <c r="V154" s="319" t="str">
        <f>PE_aug!AP154</f>
        <v>KWS, Schlamm</v>
      </c>
    </row>
    <row r="155" spans="1:22">
      <c r="A155" s="140" t="s">
        <v>206</v>
      </c>
      <c r="C155">
        <v>7.45</v>
      </c>
      <c r="F155">
        <v>7.45</v>
      </c>
      <c r="H155">
        <v>0.34399999999999997</v>
      </c>
      <c r="I155">
        <v>2.3E-2</v>
      </c>
      <c r="J155" s="307">
        <v>6.3905200000000004</v>
      </c>
      <c r="K155">
        <v>0.69</v>
      </c>
      <c r="L155" s="308">
        <f t="shared" si="12"/>
        <v>0.75</v>
      </c>
      <c r="M155" s="309">
        <f t="shared" si="13"/>
        <v>0.72</v>
      </c>
      <c r="N155" s="310">
        <f t="shared" si="14"/>
        <v>7.45</v>
      </c>
      <c r="O155" s="310">
        <f t="shared" si="15"/>
        <v>7.45</v>
      </c>
      <c r="P155" s="310">
        <f t="shared" si="16"/>
        <v>0</v>
      </c>
      <c r="Q155" s="311">
        <f t="shared" si="17"/>
        <v>1.1657893254383054</v>
      </c>
      <c r="V155" s="319" t="str">
        <f>PE_aug!AP155</f>
        <v>Flussproben, Lippe</v>
      </c>
    </row>
    <row r="156" spans="1:22">
      <c r="A156" s="140" t="s">
        <v>208</v>
      </c>
      <c r="C156">
        <v>7.41</v>
      </c>
      <c r="F156">
        <v>7.41</v>
      </c>
      <c r="H156">
        <v>0.86199999999999999</v>
      </c>
      <c r="I156">
        <v>2.3E-2</v>
      </c>
      <c r="J156" s="307">
        <v>7.3049899999999992</v>
      </c>
      <c r="K156">
        <v>0.69</v>
      </c>
      <c r="L156" s="308">
        <f t="shared" si="12"/>
        <v>0.75</v>
      </c>
      <c r="M156" s="309">
        <f t="shared" si="13"/>
        <v>0.72</v>
      </c>
      <c r="N156" s="310">
        <f t="shared" si="14"/>
        <v>7.41</v>
      </c>
      <c r="O156" s="310">
        <f t="shared" si="15"/>
        <v>7.41</v>
      </c>
      <c r="P156" s="310">
        <f t="shared" si="16"/>
        <v>0</v>
      </c>
      <c r="Q156" s="311">
        <f t="shared" si="17"/>
        <v>1.0143751052362837</v>
      </c>
      <c r="V156" s="319" t="str">
        <f>PE_aug!AP156</f>
        <v>Flussproben, Lippe</v>
      </c>
    </row>
    <row r="157" spans="1:22">
      <c r="A157" s="140" t="s">
        <v>209</v>
      </c>
      <c r="C157">
        <v>7.63</v>
      </c>
      <c r="F157">
        <v>7.63</v>
      </c>
      <c r="H157">
        <v>1.0049999999999999</v>
      </c>
      <c r="I157">
        <v>2.3E-2</v>
      </c>
      <c r="J157" s="307">
        <v>8.3328150000000001</v>
      </c>
      <c r="K157">
        <v>0.94</v>
      </c>
      <c r="L157" s="308">
        <f t="shared" si="12"/>
        <v>0.75</v>
      </c>
      <c r="M157" s="309">
        <f t="shared" si="13"/>
        <v>0.84499999999999997</v>
      </c>
      <c r="N157" s="310">
        <f t="shared" si="14"/>
        <v>7.63</v>
      </c>
      <c r="O157" s="310">
        <f t="shared" si="15"/>
        <v>7.63</v>
      </c>
      <c r="P157" s="310">
        <f t="shared" si="16"/>
        <v>0</v>
      </c>
      <c r="Q157" s="311">
        <f t="shared" si="17"/>
        <v>0.91565695386253021</v>
      </c>
      <c r="V157" s="319" t="str">
        <f>PE_aug!AP157</f>
        <v>Flussproben, Lippe</v>
      </c>
    </row>
    <row r="158" spans="1:22">
      <c r="A158" s="140" t="s">
        <v>210</v>
      </c>
      <c r="C158">
        <v>7.23</v>
      </c>
      <c r="F158">
        <v>7.23</v>
      </c>
      <c r="H158">
        <v>0.44400000000000001</v>
      </c>
      <c r="I158">
        <v>5.8999999999999997E-2</v>
      </c>
      <c r="J158" s="307">
        <v>5.7549900000000003</v>
      </c>
      <c r="K158">
        <v>0.94</v>
      </c>
      <c r="L158" s="308">
        <f t="shared" si="12"/>
        <v>0.75</v>
      </c>
      <c r="M158" s="309">
        <f t="shared" si="13"/>
        <v>0.84499999999999997</v>
      </c>
      <c r="N158" s="310">
        <f t="shared" si="14"/>
        <v>7.23</v>
      </c>
      <c r="O158" s="310">
        <f t="shared" si="15"/>
        <v>7.23</v>
      </c>
      <c r="P158" s="310">
        <f t="shared" si="16"/>
        <v>0</v>
      </c>
      <c r="Q158" s="311">
        <f t="shared" si="17"/>
        <v>1.2563010535205101</v>
      </c>
      <c r="V158" s="319" t="str">
        <f>PE_aug!AP158</f>
        <v>Flussproben, Lippe</v>
      </c>
    </row>
    <row r="159" spans="1:22">
      <c r="A159" s="140" t="s">
        <v>211</v>
      </c>
      <c r="C159">
        <v>7.91</v>
      </c>
      <c r="F159">
        <v>7.91</v>
      </c>
      <c r="H159">
        <v>1.101</v>
      </c>
      <c r="I159">
        <v>5.8999999999999997E-2</v>
      </c>
      <c r="J159" s="307">
        <v>9.8056399999999986</v>
      </c>
      <c r="K159">
        <v>0.94</v>
      </c>
      <c r="L159" s="308">
        <f t="shared" si="12"/>
        <v>0.75</v>
      </c>
      <c r="M159" s="309">
        <f t="shared" si="13"/>
        <v>0.84499999999999997</v>
      </c>
      <c r="N159" s="310">
        <f t="shared" si="14"/>
        <v>7.91</v>
      </c>
      <c r="O159" s="310">
        <f t="shared" si="15"/>
        <v>7.91</v>
      </c>
      <c r="P159" s="310">
        <f t="shared" si="16"/>
        <v>0</v>
      </c>
      <c r="Q159" s="311">
        <f t="shared" si="17"/>
        <v>0.80667860537405012</v>
      </c>
      <c r="V159" s="319" t="str">
        <f>PE_aug!AP159</f>
        <v>Flussproben, Lippe</v>
      </c>
    </row>
    <row r="160" spans="1:22">
      <c r="A160" s="140" t="s">
        <v>212</v>
      </c>
      <c r="H160">
        <v>0.71799999999999997</v>
      </c>
      <c r="I160">
        <v>5.8999999999999997E-2</v>
      </c>
      <c r="J160" s="307">
        <v>5.9145799999999999</v>
      </c>
      <c r="K160">
        <v>0.69</v>
      </c>
      <c r="L160" s="308">
        <f t="shared" si="12"/>
        <v>0.33</v>
      </c>
      <c r="M160" s="309">
        <f t="shared" si="13"/>
        <v>0.51</v>
      </c>
      <c r="N160" s="310" t="e">
        <f t="shared" si="14"/>
        <v>#DIV/0!</v>
      </c>
      <c r="O160" s="310" t="e">
        <f t="shared" si="15"/>
        <v>#DIV/0!</v>
      </c>
      <c r="P160" s="310" t="e">
        <f t="shared" si="16"/>
        <v>#DIV/0!</v>
      </c>
      <c r="Q160" s="311">
        <f t="shared" si="17"/>
        <v>0</v>
      </c>
      <c r="V160" s="319" t="str">
        <f>PE_aug!AP160</f>
        <v>Flussproben, Lippe</v>
      </c>
    </row>
    <row r="161" spans="1:22">
      <c r="A161" s="140" t="s">
        <v>213</v>
      </c>
      <c r="H161">
        <v>0.51400000000000001</v>
      </c>
      <c r="I161">
        <v>6.0999999999999999E-2</v>
      </c>
      <c r="J161" s="307">
        <v>7.65665</v>
      </c>
      <c r="K161">
        <v>0.69</v>
      </c>
      <c r="L161" s="308">
        <f t="shared" si="12"/>
        <v>0.33</v>
      </c>
      <c r="M161" s="309">
        <f t="shared" si="13"/>
        <v>0.51</v>
      </c>
      <c r="N161" s="310" t="e">
        <f t="shared" si="14"/>
        <v>#DIV/0!</v>
      </c>
      <c r="O161" s="310" t="e">
        <f t="shared" si="15"/>
        <v>#DIV/0!</v>
      </c>
      <c r="P161" s="310" t="e">
        <f t="shared" si="16"/>
        <v>#DIV/0!</v>
      </c>
      <c r="Q161" s="311">
        <f t="shared" si="17"/>
        <v>0</v>
      </c>
      <c r="V161" s="319" t="str">
        <f>PE_aug!AP161</f>
        <v>Flussproben, Lippe</v>
      </c>
    </row>
    <row r="162" spans="1:22">
      <c r="A162" s="140" t="s">
        <v>214</v>
      </c>
      <c r="H162">
        <v>0.621</v>
      </c>
      <c r="I162">
        <v>6.0999999999999999E-2</v>
      </c>
      <c r="J162" s="307">
        <v>8.9807000000000006</v>
      </c>
      <c r="K162">
        <v>0.69</v>
      </c>
      <c r="L162" s="308">
        <f t="shared" si="12"/>
        <v>0.33</v>
      </c>
      <c r="M162" s="309">
        <f t="shared" si="13"/>
        <v>0.51</v>
      </c>
      <c r="N162" s="310" t="e">
        <f t="shared" si="14"/>
        <v>#DIV/0!</v>
      </c>
      <c r="O162" s="310" t="e">
        <f t="shared" si="15"/>
        <v>#DIV/0!</v>
      </c>
      <c r="P162" s="310" t="e">
        <f t="shared" si="16"/>
        <v>#DIV/0!</v>
      </c>
      <c r="Q162" s="311">
        <f t="shared" si="17"/>
        <v>0</v>
      </c>
      <c r="V162" s="319" t="str">
        <f>PE_aug!AP162</f>
        <v>Flussproben, Lippe</v>
      </c>
    </row>
    <row r="163" spans="1:22">
      <c r="A163" s="140" t="s">
        <v>215</v>
      </c>
      <c r="C163">
        <v>7.2</v>
      </c>
      <c r="F163">
        <v>7.2</v>
      </c>
      <c r="H163">
        <v>1.1120000000000001</v>
      </c>
      <c r="I163">
        <v>6.0999999999999999E-2</v>
      </c>
      <c r="J163" s="307">
        <v>5.3088700000000006</v>
      </c>
      <c r="K163">
        <v>0.69</v>
      </c>
      <c r="L163" s="308">
        <f t="shared" si="12"/>
        <v>0.75</v>
      </c>
      <c r="M163" s="309">
        <f t="shared" si="13"/>
        <v>0.72</v>
      </c>
      <c r="N163" s="310">
        <f t="shared" si="14"/>
        <v>7.2</v>
      </c>
      <c r="O163" s="310">
        <f t="shared" si="15"/>
        <v>7.2</v>
      </c>
      <c r="P163" s="310">
        <f t="shared" si="16"/>
        <v>0</v>
      </c>
      <c r="Q163" s="311">
        <f t="shared" si="17"/>
        <v>1.3562208153524196</v>
      </c>
      <c r="V163" s="319" t="str">
        <f>PE_aug!AP163</f>
        <v>Flussproben, Lippe</v>
      </c>
    </row>
    <row r="164" spans="1:22">
      <c r="A164" s="140" t="s">
        <v>216</v>
      </c>
      <c r="B164">
        <v>9.23</v>
      </c>
      <c r="C164">
        <v>8</v>
      </c>
      <c r="E164" s="306">
        <v>9.23</v>
      </c>
      <c r="F164">
        <v>8</v>
      </c>
      <c r="H164">
        <v>0.42699999999999999</v>
      </c>
      <c r="I164">
        <v>0.17699999999999999</v>
      </c>
      <c r="J164" s="307">
        <v>9.4334749999999996</v>
      </c>
      <c r="K164">
        <v>0.69</v>
      </c>
      <c r="L164" s="308">
        <f t="shared" si="12"/>
        <v>0.75</v>
      </c>
      <c r="M164" s="309">
        <f t="shared" si="13"/>
        <v>0.72</v>
      </c>
      <c r="N164" s="310">
        <f t="shared" si="14"/>
        <v>8.6150000000000002</v>
      </c>
      <c r="O164" s="310">
        <f t="shared" si="15"/>
        <v>8</v>
      </c>
      <c r="P164" s="310">
        <f t="shared" si="16"/>
        <v>0</v>
      </c>
      <c r="Q164" s="311">
        <f t="shared" si="17"/>
        <v>0.84804380146234559</v>
      </c>
      <c r="V164" s="319" t="str">
        <f>PE_aug!AP164</f>
        <v>Kläranlage</v>
      </c>
    </row>
    <row r="165" spans="1:22">
      <c r="A165" s="140" t="s">
        <v>217</v>
      </c>
      <c r="B165">
        <v>13.2</v>
      </c>
      <c r="E165" s="306">
        <v>13.2</v>
      </c>
      <c r="H165">
        <v>1.0229999999999999</v>
      </c>
      <c r="I165">
        <v>0.17699999999999999</v>
      </c>
      <c r="J165" s="307">
        <v>12.192550000000001</v>
      </c>
      <c r="K165">
        <v>0.56000000000000005</v>
      </c>
      <c r="L165" s="308">
        <f t="shared" si="12"/>
        <v>0.33</v>
      </c>
      <c r="M165" s="309">
        <f t="shared" si="13"/>
        <v>0.44500000000000006</v>
      </c>
      <c r="N165" s="310">
        <f t="shared" si="14"/>
        <v>13.2</v>
      </c>
      <c r="O165" s="310" t="e">
        <f t="shared" si="15"/>
        <v>#DIV/0!</v>
      </c>
      <c r="P165" s="310" t="e">
        <f t="shared" si="16"/>
        <v>#DIV/0!</v>
      </c>
      <c r="Q165" s="311">
        <f t="shared" si="17"/>
        <v>0</v>
      </c>
      <c r="V165" s="319" t="str">
        <f>PE_aug!AP165</f>
        <v>Kläranlage</v>
      </c>
    </row>
    <row r="166" spans="1:22">
      <c r="A166" s="140" t="s">
        <v>218</v>
      </c>
      <c r="B166">
        <v>4.8</v>
      </c>
      <c r="E166" s="306">
        <v>4.8</v>
      </c>
      <c r="H166">
        <v>0.74</v>
      </c>
      <c r="I166">
        <v>0.17699999999999999</v>
      </c>
      <c r="J166" s="307">
        <v>7.2366899999999994</v>
      </c>
      <c r="K166">
        <v>0.69</v>
      </c>
      <c r="L166" s="308">
        <f t="shared" si="12"/>
        <v>0.33</v>
      </c>
      <c r="M166" s="309">
        <f t="shared" si="13"/>
        <v>0.51</v>
      </c>
      <c r="N166" s="310">
        <f t="shared" si="14"/>
        <v>4.8</v>
      </c>
      <c r="O166" s="310" t="e">
        <f t="shared" si="15"/>
        <v>#DIV/0!</v>
      </c>
      <c r="P166" s="310" t="e">
        <f t="shared" si="16"/>
        <v>#DIV/0!</v>
      </c>
      <c r="Q166" s="311">
        <f t="shared" si="17"/>
        <v>0</v>
      </c>
      <c r="V166" s="319" t="str">
        <f>PE_aug!AP166</f>
        <v>Kläranlage</v>
      </c>
    </row>
    <row r="167" spans="1:22">
      <c r="A167" s="140" t="s">
        <v>219</v>
      </c>
      <c r="C167">
        <v>7.82</v>
      </c>
      <c r="F167">
        <v>7.82</v>
      </c>
      <c r="J167" s="307">
        <v>0.28799999999999998</v>
      </c>
      <c r="K167">
        <v>0.5</v>
      </c>
      <c r="L167" s="308">
        <f t="shared" si="12"/>
        <v>0.75</v>
      </c>
      <c r="M167" s="309">
        <f t="shared" si="13"/>
        <v>0.625</v>
      </c>
      <c r="N167" s="310">
        <f t="shared" si="14"/>
        <v>7.82</v>
      </c>
      <c r="O167" s="310">
        <f t="shared" si="15"/>
        <v>7.82</v>
      </c>
      <c r="P167" s="310">
        <f t="shared" si="16"/>
        <v>0</v>
      </c>
      <c r="Q167" s="311">
        <f t="shared" si="17"/>
        <v>27.152777777777782</v>
      </c>
      <c r="V167" s="319" t="str">
        <f>PE_aug!AP167</f>
        <v>Methode</v>
      </c>
    </row>
    <row r="168" spans="1:22">
      <c r="A168" s="140" t="s">
        <v>220</v>
      </c>
      <c r="C168">
        <v>60.28</v>
      </c>
      <c r="D168">
        <v>16.920000000000002</v>
      </c>
      <c r="F168">
        <v>60.28</v>
      </c>
      <c r="G168" s="307">
        <v>16.920000000000002</v>
      </c>
      <c r="J168" s="307">
        <v>0.15598200000000001</v>
      </c>
      <c r="K168">
        <v>0.39</v>
      </c>
      <c r="L168" s="308">
        <f t="shared" si="12"/>
        <v>0.5</v>
      </c>
      <c r="M168" s="309">
        <f t="shared" si="13"/>
        <v>0.44500000000000001</v>
      </c>
      <c r="N168" s="310">
        <f t="shared" si="14"/>
        <v>38.6</v>
      </c>
      <c r="O168" s="310">
        <f t="shared" si="15"/>
        <v>38.6</v>
      </c>
      <c r="P168" s="310">
        <f t="shared" si="16"/>
        <v>112.33160621761658</v>
      </c>
      <c r="Q168" s="311">
        <f t="shared" si="17"/>
        <v>247.46445102640047</v>
      </c>
      <c r="V168" s="319" t="str">
        <f>PE_aug!AP168</f>
        <v>Methode</v>
      </c>
    </row>
    <row r="169" spans="1:22">
      <c r="A169" s="140" t="s">
        <v>221</v>
      </c>
      <c r="B169">
        <v>106.82</v>
      </c>
      <c r="C169">
        <v>65.989999999999995</v>
      </c>
      <c r="D169">
        <v>49.81</v>
      </c>
      <c r="E169" s="306">
        <v>106.82</v>
      </c>
      <c r="F169">
        <v>65.989999999999995</v>
      </c>
      <c r="G169" s="307">
        <v>49.81</v>
      </c>
      <c r="J169" s="307">
        <v>0.40368500000000002</v>
      </c>
      <c r="K169">
        <v>0.39</v>
      </c>
      <c r="L169" s="308">
        <f t="shared" si="12"/>
        <v>1</v>
      </c>
      <c r="M169" s="309">
        <f t="shared" si="13"/>
        <v>0.69500000000000006</v>
      </c>
      <c r="N169" s="310">
        <f t="shared" si="14"/>
        <v>74.206666666666663</v>
      </c>
      <c r="O169" s="310">
        <f t="shared" si="15"/>
        <v>57.9</v>
      </c>
      <c r="P169" s="310">
        <f t="shared" si="16"/>
        <v>27.94473229706389</v>
      </c>
      <c r="Q169" s="311">
        <f t="shared" si="17"/>
        <v>143.42866343807671</v>
      </c>
      <c r="S169">
        <f>1000*0.055481</f>
        <v>55.481000000000002</v>
      </c>
      <c r="T169" s="203">
        <f>100*O169/S169</f>
        <v>104.36005118869522</v>
      </c>
      <c r="U169" s="203">
        <f>100*E169/S169</f>
        <v>192.5343811394892</v>
      </c>
      <c r="V169" s="319" t="str">
        <f>PE_aug!AP169</f>
        <v>Methode</v>
      </c>
    </row>
    <row r="170" spans="1:22">
      <c r="A170" s="172" t="s">
        <v>222</v>
      </c>
      <c r="B170">
        <v>22.43</v>
      </c>
      <c r="C170">
        <v>13.04</v>
      </c>
      <c r="E170" s="306">
        <v>22.43</v>
      </c>
      <c r="F170">
        <v>13.04</v>
      </c>
      <c r="H170">
        <v>0.93100000000000005</v>
      </c>
      <c r="I170">
        <v>0.15</v>
      </c>
      <c r="J170">
        <v>6.3953800000000003</v>
      </c>
      <c r="K170">
        <v>0.44</v>
      </c>
      <c r="L170" s="308">
        <f t="shared" si="12"/>
        <v>0.75</v>
      </c>
      <c r="M170" s="309">
        <f t="shared" si="13"/>
        <v>0.59499999999999997</v>
      </c>
      <c r="N170" s="310">
        <f t="shared" si="14"/>
        <v>17.734999999999999</v>
      </c>
      <c r="O170" s="310">
        <f t="shared" si="15"/>
        <v>13.04</v>
      </c>
      <c r="P170" s="310">
        <f t="shared" si="16"/>
        <v>0</v>
      </c>
      <c r="Q170" s="311">
        <f t="shared" si="17"/>
        <v>2.0389718828279162</v>
      </c>
      <c r="T170" s="203"/>
      <c r="U170" s="203"/>
      <c r="V170" s="319" t="str">
        <f>PE_aug!AP170</f>
        <v>Kläranlage</v>
      </c>
    </row>
    <row r="171" spans="1:22">
      <c r="A171" s="172" t="s">
        <v>223</v>
      </c>
      <c r="B171">
        <v>61.95</v>
      </c>
      <c r="C171">
        <v>14.39</v>
      </c>
      <c r="E171" s="306">
        <v>61.95</v>
      </c>
      <c r="F171">
        <v>14.39</v>
      </c>
      <c r="H171">
        <v>0.98199999999999998</v>
      </c>
      <c r="I171">
        <v>0.15</v>
      </c>
      <c r="J171">
        <v>14.388500000000001</v>
      </c>
      <c r="K171">
        <v>0.56000000000000005</v>
      </c>
      <c r="L171" s="308">
        <f t="shared" si="12"/>
        <v>0.75</v>
      </c>
      <c r="M171" s="309">
        <f t="shared" si="13"/>
        <v>0.65500000000000003</v>
      </c>
      <c r="N171" s="310">
        <f t="shared" si="14"/>
        <v>38.17</v>
      </c>
      <c r="O171" s="310">
        <f t="shared" si="15"/>
        <v>14.39</v>
      </c>
      <c r="P171" s="310">
        <f t="shared" si="16"/>
        <v>0</v>
      </c>
      <c r="Q171" s="311">
        <f t="shared" si="17"/>
        <v>1.0001042499218125</v>
      </c>
      <c r="T171" s="203"/>
      <c r="U171" s="203"/>
      <c r="V171" s="319" t="str">
        <f>PE_aug!AP171</f>
        <v>Kläranlage</v>
      </c>
    </row>
    <row r="172" spans="1:22">
      <c r="A172" s="172" t="s">
        <v>224</v>
      </c>
      <c r="B172">
        <v>41.97</v>
      </c>
      <c r="C172">
        <v>10.64</v>
      </c>
      <c r="E172" s="306">
        <v>41.97</v>
      </c>
      <c r="F172">
        <v>10.64</v>
      </c>
      <c r="H172">
        <v>0.24199999999999999</v>
      </c>
      <c r="I172">
        <v>0.15</v>
      </c>
      <c r="J172">
        <v>9.6715149999999994</v>
      </c>
      <c r="K172">
        <v>0.56000000000000005</v>
      </c>
      <c r="L172" s="308">
        <f t="shared" si="12"/>
        <v>0.75</v>
      </c>
      <c r="M172" s="309">
        <f t="shared" si="13"/>
        <v>0.65500000000000003</v>
      </c>
      <c r="N172" s="310">
        <f t="shared" si="14"/>
        <v>26.305</v>
      </c>
      <c r="O172" s="310">
        <f t="shared" si="15"/>
        <v>10.64</v>
      </c>
      <c r="P172" s="310">
        <f t="shared" si="16"/>
        <v>0</v>
      </c>
      <c r="Q172" s="311">
        <f t="shared" si="17"/>
        <v>1.1001378791223506</v>
      </c>
      <c r="T172" s="203"/>
      <c r="U172" s="203"/>
      <c r="V172" s="319" t="str">
        <f>PE_aug!AP172</f>
        <v>Kläranlage</v>
      </c>
    </row>
    <row r="173" spans="1:22">
      <c r="A173" s="172" t="s">
        <v>225</v>
      </c>
      <c r="B173">
        <v>26.85</v>
      </c>
      <c r="C173">
        <v>25.79</v>
      </c>
      <c r="D173">
        <v>4.82</v>
      </c>
      <c r="E173" s="306">
        <v>26.85</v>
      </c>
      <c r="F173">
        <v>25.79</v>
      </c>
      <c r="G173" s="307">
        <v>4.82</v>
      </c>
      <c r="J173">
        <v>8.4091399999999989</v>
      </c>
      <c r="K173">
        <v>0.44</v>
      </c>
      <c r="L173" s="308">
        <f t="shared" si="12"/>
        <v>0.5</v>
      </c>
      <c r="M173" s="309">
        <f t="shared" si="13"/>
        <v>0.47</v>
      </c>
      <c r="N173" s="310">
        <f t="shared" si="14"/>
        <v>19.153333333333332</v>
      </c>
      <c r="O173" s="310">
        <f t="shared" si="15"/>
        <v>15.305</v>
      </c>
      <c r="P173" s="310">
        <f t="shared" si="16"/>
        <v>137.01404769683108</v>
      </c>
      <c r="Q173" s="311">
        <f t="shared" si="17"/>
        <v>1.8200434289356584</v>
      </c>
      <c r="T173" s="203"/>
      <c r="U173" s="203"/>
      <c r="V173" s="319" t="str">
        <f>PE_aug!AP173</f>
        <v>Kläranlage, Methode</v>
      </c>
    </row>
    <row r="174" spans="1:22">
      <c r="A174" s="172" t="s">
        <v>227</v>
      </c>
      <c r="B174">
        <v>55.6</v>
      </c>
      <c r="C174">
        <v>18.100000000000001</v>
      </c>
      <c r="D174">
        <v>5.42</v>
      </c>
      <c r="E174" s="306">
        <v>55.6</v>
      </c>
      <c r="F174">
        <v>18.100000000000001</v>
      </c>
      <c r="G174" s="307">
        <v>5.42</v>
      </c>
      <c r="J174">
        <v>11.4796</v>
      </c>
      <c r="K174">
        <v>0.56000000000000005</v>
      </c>
      <c r="L174" s="308">
        <f t="shared" si="12"/>
        <v>0.5</v>
      </c>
      <c r="M174" s="309">
        <f t="shared" si="13"/>
        <v>0.53</v>
      </c>
      <c r="N174" s="310">
        <f t="shared" si="14"/>
        <v>26.373333333333335</v>
      </c>
      <c r="O174" s="310">
        <f t="shared" si="15"/>
        <v>11.760000000000002</v>
      </c>
      <c r="P174" s="310">
        <f t="shared" si="16"/>
        <v>107.82312925170068</v>
      </c>
      <c r="Q174" s="311">
        <f t="shared" si="17"/>
        <v>1.0244259381859997</v>
      </c>
      <c r="T174" s="203"/>
      <c r="U174" s="203"/>
      <c r="V174" s="319" t="str">
        <f>PE_aug!AP174</f>
        <v>Kläranlage, Methode</v>
      </c>
    </row>
    <row r="175" spans="1:22">
      <c r="A175" s="172" t="s">
        <v>228</v>
      </c>
      <c r="B175">
        <v>35.619999999999997</v>
      </c>
      <c r="C175">
        <v>20.420000000000002</v>
      </c>
      <c r="D175">
        <v>4.62</v>
      </c>
      <c r="E175" s="306">
        <v>35.619999999999997</v>
      </c>
      <c r="F175">
        <v>20.420000000000002</v>
      </c>
      <c r="G175" s="307">
        <v>4.62</v>
      </c>
      <c r="J175">
        <v>6.8967000000000001</v>
      </c>
      <c r="K175">
        <v>0.44</v>
      </c>
      <c r="L175" s="308">
        <f t="shared" si="12"/>
        <v>0.5</v>
      </c>
      <c r="M175" s="309">
        <f t="shared" si="13"/>
        <v>0.47</v>
      </c>
      <c r="N175" s="310">
        <f t="shared" si="14"/>
        <v>20.22</v>
      </c>
      <c r="O175" s="310">
        <f t="shared" si="15"/>
        <v>12.520000000000001</v>
      </c>
      <c r="P175" s="310">
        <f t="shared" si="16"/>
        <v>126.19808306709264</v>
      </c>
      <c r="Q175" s="311">
        <f t="shared" si="17"/>
        <v>1.8153609697391508</v>
      </c>
      <c r="T175" s="203"/>
      <c r="U175" s="203"/>
      <c r="V175" s="319" t="str">
        <f>PE_aug!AP175</f>
        <v>Kläranlage, Methode</v>
      </c>
    </row>
    <row r="176" spans="1:22">
      <c r="A176" s="172" t="s">
        <v>229</v>
      </c>
      <c r="B176">
        <v>16.11</v>
      </c>
      <c r="C176">
        <v>9.82</v>
      </c>
      <c r="E176" s="306">
        <v>16.11</v>
      </c>
      <c r="F176">
        <v>9.82</v>
      </c>
      <c r="H176">
        <v>0.70699999999999996</v>
      </c>
      <c r="I176">
        <v>0.122</v>
      </c>
      <c r="J176">
        <v>8.6541700000000006</v>
      </c>
      <c r="K176">
        <v>0.44</v>
      </c>
      <c r="L176" s="308">
        <f t="shared" si="12"/>
        <v>0.75</v>
      </c>
      <c r="M176" s="309">
        <f t="shared" si="13"/>
        <v>0.59499999999999997</v>
      </c>
      <c r="N176" s="310">
        <f t="shared" si="14"/>
        <v>12.965</v>
      </c>
      <c r="O176" s="310">
        <f t="shared" si="15"/>
        <v>9.82</v>
      </c>
      <c r="P176" s="310">
        <f t="shared" si="16"/>
        <v>0</v>
      </c>
      <c r="Q176" s="311">
        <f t="shared" si="17"/>
        <v>1.1347130920700657</v>
      </c>
      <c r="T176" s="203"/>
      <c r="U176" s="203"/>
      <c r="V176" s="319" t="str">
        <f>PE_aug!AP176</f>
        <v>Kläranlage</v>
      </c>
    </row>
    <row r="177" spans="1:22">
      <c r="A177" s="172" t="s">
        <v>230</v>
      </c>
      <c r="B177">
        <v>13.54</v>
      </c>
      <c r="C177">
        <v>8.09</v>
      </c>
      <c r="E177" s="306">
        <v>13.54</v>
      </c>
      <c r="F177">
        <v>8.09</v>
      </c>
      <c r="H177">
        <v>0.70699999999999996</v>
      </c>
      <c r="I177">
        <v>0.122</v>
      </c>
      <c r="J177">
        <v>7.3876200000000001</v>
      </c>
      <c r="K177">
        <v>0.44</v>
      </c>
      <c r="L177" s="308">
        <f t="shared" si="12"/>
        <v>0.75</v>
      </c>
      <c r="M177" s="309">
        <f t="shared" si="13"/>
        <v>0.59499999999999997</v>
      </c>
      <c r="N177" s="310">
        <f t="shared" si="14"/>
        <v>10.815</v>
      </c>
      <c r="O177" s="310">
        <f t="shared" si="15"/>
        <v>8.09</v>
      </c>
      <c r="P177" s="310">
        <f t="shared" si="16"/>
        <v>0</v>
      </c>
      <c r="Q177" s="311">
        <f t="shared" si="17"/>
        <v>1.0950752745809882</v>
      </c>
      <c r="T177" s="203"/>
      <c r="U177" s="203"/>
      <c r="V177" s="319" t="str">
        <f>PE_aug!AP177</f>
        <v>Kläranlage</v>
      </c>
    </row>
    <row r="178" spans="1:22">
      <c r="A178" s="172" t="s">
        <v>231</v>
      </c>
      <c r="H178">
        <v>0.81799999999999995</v>
      </c>
      <c r="I178">
        <v>3.5000000000000003E-2</v>
      </c>
      <c r="J178">
        <v>7.5310050000000004</v>
      </c>
      <c r="K178">
        <v>0.69</v>
      </c>
      <c r="L178" s="308">
        <f t="shared" si="12"/>
        <v>0.33</v>
      </c>
      <c r="M178" s="309">
        <f t="shared" si="13"/>
        <v>0.51</v>
      </c>
      <c r="N178" s="310" t="e">
        <f t="shared" si="14"/>
        <v>#DIV/0!</v>
      </c>
      <c r="O178" s="310" t="e">
        <f t="shared" si="15"/>
        <v>#DIV/0!</v>
      </c>
      <c r="P178" s="310" t="e">
        <f t="shared" si="16"/>
        <v>#DIV/0!</v>
      </c>
      <c r="Q178" s="311">
        <f t="shared" si="17"/>
        <v>0</v>
      </c>
      <c r="T178" s="203"/>
      <c r="U178" s="203"/>
      <c r="V178" s="319" t="str">
        <f>PE_aug!AP178</f>
        <v>Kläranlage</v>
      </c>
    </row>
    <row r="179" spans="1:22">
      <c r="A179" s="172" t="s">
        <v>232</v>
      </c>
      <c r="H179">
        <v>0.50800000000000001</v>
      </c>
      <c r="I179">
        <v>3.5000000000000003E-2</v>
      </c>
      <c r="J179">
        <v>7.2204149999999991</v>
      </c>
      <c r="K179">
        <v>0.44</v>
      </c>
      <c r="L179" s="308">
        <f t="shared" si="12"/>
        <v>0.33</v>
      </c>
      <c r="M179" s="309">
        <f t="shared" si="13"/>
        <v>0.38500000000000001</v>
      </c>
      <c r="N179" s="310" t="e">
        <f t="shared" si="14"/>
        <v>#DIV/0!</v>
      </c>
      <c r="O179" s="310" t="e">
        <f t="shared" si="15"/>
        <v>#DIV/0!</v>
      </c>
      <c r="P179" s="310" t="e">
        <f t="shared" si="16"/>
        <v>#DIV/0!</v>
      </c>
      <c r="Q179" s="311">
        <f t="shared" si="17"/>
        <v>0</v>
      </c>
      <c r="T179" s="203"/>
      <c r="U179" s="203"/>
      <c r="V179" s="319" t="str">
        <f>PE_aug!AP179</f>
        <v>Kläranlage</v>
      </c>
    </row>
    <row r="180" spans="1:22">
      <c r="A180" s="172" t="s">
        <v>233</v>
      </c>
      <c r="H180">
        <v>0.86099999999999999</v>
      </c>
      <c r="I180">
        <v>3.5000000000000003E-2</v>
      </c>
      <c r="J180">
        <v>6.5432199999999998</v>
      </c>
      <c r="K180">
        <v>0.5</v>
      </c>
      <c r="L180" s="308">
        <f t="shared" si="12"/>
        <v>0.33</v>
      </c>
      <c r="M180" s="309">
        <f t="shared" si="13"/>
        <v>0.41500000000000004</v>
      </c>
      <c r="N180" s="310" t="e">
        <f t="shared" si="14"/>
        <v>#DIV/0!</v>
      </c>
      <c r="O180" s="310" t="e">
        <f t="shared" si="15"/>
        <v>#DIV/0!</v>
      </c>
      <c r="P180" s="310" t="e">
        <f t="shared" si="16"/>
        <v>#DIV/0!</v>
      </c>
      <c r="Q180" s="311">
        <f t="shared" si="17"/>
        <v>0</v>
      </c>
      <c r="T180" s="203"/>
      <c r="U180" s="203"/>
      <c r="V180" s="319" t="str">
        <f>PE_aug!AP180</f>
        <v>Kläranlage</v>
      </c>
    </row>
    <row r="181" spans="1:22">
      <c r="A181" s="172" t="s">
        <v>234</v>
      </c>
      <c r="B181">
        <v>67.5</v>
      </c>
      <c r="C181">
        <v>84.97</v>
      </c>
      <c r="D181">
        <v>222.3</v>
      </c>
      <c r="E181" s="306">
        <v>67.5</v>
      </c>
      <c r="F181">
        <v>84.97</v>
      </c>
      <c r="J181">
        <v>6.5395599999999998</v>
      </c>
      <c r="K181">
        <v>0.51</v>
      </c>
      <c r="L181" s="308">
        <f t="shared" si="12"/>
        <v>0.75</v>
      </c>
      <c r="M181" s="309">
        <f t="shared" si="13"/>
        <v>0.63</v>
      </c>
      <c r="N181" s="310">
        <f t="shared" si="14"/>
        <v>76.234999999999999</v>
      </c>
      <c r="O181" s="310">
        <f t="shared" si="15"/>
        <v>84.97</v>
      </c>
      <c r="P181" s="310">
        <f t="shared" si="16"/>
        <v>0</v>
      </c>
      <c r="Q181" s="311">
        <f t="shared" si="17"/>
        <v>12.993228902250305</v>
      </c>
      <c r="S181" s="126">
        <v>3.6697399999999998E-2</v>
      </c>
      <c r="T181" s="203">
        <f>100*O181/(S181*1000)</f>
        <v>231.54228909950027</v>
      </c>
      <c r="U181" s="203">
        <f>100*N181/(1000*S181)</f>
        <v>207.73951288102157</v>
      </c>
      <c r="V181" s="319" t="str">
        <f>PE_aug!AP181</f>
        <v>Kläranlage, Methode</v>
      </c>
    </row>
    <row r="182" spans="1:22">
      <c r="A182" s="172" t="s">
        <v>235</v>
      </c>
      <c r="B182">
        <v>11.18</v>
      </c>
      <c r="E182" s="306">
        <v>11.18</v>
      </c>
      <c r="H182">
        <v>0.70699999999999996</v>
      </c>
      <c r="I182">
        <v>0.14799999999999999</v>
      </c>
      <c r="J182">
        <v>12.27675</v>
      </c>
      <c r="K182">
        <v>0.44</v>
      </c>
      <c r="L182" s="308">
        <f t="shared" si="12"/>
        <v>0.33</v>
      </c>
      <c r="M182" s="309">
        <f t="shared" si="13"/>
        <v>0.38500000000000001</v>
      </c>
      <c r="N182" s="310">
        <f t="shared" si="14"/>
        <v>11.18</v>
      </c>
      <c r="O182" s="310" t="e">
        <f t="shared" si="15"/>
        <v>#DIV/0!</v>
      </c>
      <c r="P182" s="310" t="e">
        <f t="shared" si="16"/>
        <v>#DIV/0!</v>
      </c>
      <c r="Q182" s="311">
        <f t="shared" si="17"/>
        <v>0</v>
      </c>
      <c r="T182" s="203"/>
      <c r="U182" s="203"/>
      <c r="V182" s="319" t="str">
        <f>PE_aug!AP182</f>
        <v>Kläranlage</v>
      </c>
    </row>
    <row r="183" spans="1:22">
      <c r="A183" s="172" t="s">
        <v>236</v>
      </c>
      <c r="B183">
        <v>3.14</v>
      </c>
      <c r="E183" s="306">
        <v>3.14</v>
      </c>
      <c r="H183">
        <v>0.70699999999999996</v>
      </c>
      <c r="I183">
        <v>0.14799999999999999</v>
      </c>
      <c r="J183">
        <v>6.5768300000000002</v>
      </c>
      <c r="K183">
        <v>0.56000000000000005</v>
      </c>
      <c r="L183" s="308">
        <f t="shared" si="12"/>
        <v>0.33</v>
      </c>
      <c r="M183" s="309">
        <f t="shared" si="13"/>
        <v>0.44500000000000006</v>
      </c>
      <c r="N183" s="310">
        <f t="shared" si="14"/>
        <v>3.14</v>
      </c>
      <c r="O183" s="310" t="e">
        <f t="shared" si="15"/>
        <v>#DIV/0!</v>
      </c>
      <c r="P183" s="310" t="e">
        <f t="shared" si="16"/>
        <v>#DIV/0!</v>
      </c>
      <c r="Q183" s="311">
        <f t="shared" si="17"/>
        <v>0</v>
      </c>
      <c r="T183" s="203"/>
      <c r="U183" s="203"/>
      <c r="V183" s="319" t="str">
        <f>PE_aug!AP183</f>
        <v>Kläranlage</v>
      </c>
    </row>
    <row r="184" spans="1:22">
      <c r="A184" s="172" t="s">
        <v>237</v>
      </c>
      <c r="D184">
        <v>74.3</v>
      </c>
      <c r="G184" s="307">
        <v>74.3</v>
      </c>
      <c r="H184">
        <v>0.70699999999999996</v>
      </c>
      <c r="I184">
        <v>0.34799999999999998</v>
      </c>
      <c r="J184">
        <v>4.1054899999999996</v>
      </c>
      <c r="K184">
        <v>0.49</v>
      </c>
      <c r="L184" s="308">
        <f t="shared" si="12"/>
        <v>0.75</v>
      </c>
      <c r="M184" s="309">
        <f t="shared" si="13"/>
        <v>0.62</v>
      </c>
      <c r="N184" s="310">
        <f t="shared" si="14"/>
        <v>74.3</v>
      </c>
      <c r="O184" s="310">
        <f t="shared" si="15"/>
        <v>74.3</v>
      </c>
      <c r="P184" s="310">
        <f t="shared" si="16"/>
        <v>0</v>
      </c>
      <c r="Q184" s="311">
        <f t="shared" si="17"/>
        <v>18.097717933791095</v>
      </c>
      <c r="T184" s="203"/>
      <c r="U184" s="203"/>
      <c r="V184" s="319" t="str">
        <f>PE_aug!AP184</f>
        <v>Kläranlage</v>
      </c>
    </row>
    <row r="185" spans="1:22">
      <c r="A185" s="172" t="s">
        <v>238</v>
      </c>
      <c r="B185">
        <v>3.66</v>
      </c>
      <c r="E185" s="306">
        <v>3.66</v>
      </c>
      <c r="H185">
        <v>0.70699999999999996</v>
      </c>
      <c r="I185">
        <v>0.34799999999999998</v>
      </c>
      <c r="J185">
        <v>7.0180100000000003</v>
      </c>
      <c r="K185">
        <v>0.69</v>
      </c>
      <c r="L185" s="308">
        <f t="shared" si="12"/>
        <v>0.33</v>
      </c>
      <c r="M185" s="309">
        <f t="shared" si="13"/>
        <v>0.51</v>
      </c>
      <c r="N185" s="310">
        <f t="shared" si="14"/>
        <v>3.66</v>
      </c>
      <c r="O185" s="310" t="e">
        <f t="shared" si="15"/>
        <v>#DIV/0!</v>
      </c>
      <c r="P185" s="310" t="e">
        <f t="shared" si="16"/>
        <v>#DIV/0!</v>
      </c>
      <c r="Q185" s="311">
        <f t="shared" si="17"/>
        <v>0</v>
      </c>
      <c r="T185" s="203"/>
      <c r="U185" s="203"/>
      <c r="V185" s="319" t="str">
        <f>PE_aug!AP185</f>
        <v>Kläranlage</v>
      </c>
    </row>
    <row r="186" spans="1:22">
      <c r="A186" s="172" t="s">
        <v>239</v>
      </c>
      <c r="C186">
        <v>12.57</v>
      </c>
      <c r="F186">
        <v>12.57</v>
      </c>
      <c r="J186">
        <v>7.1787899999999988E-2</v>
      </c>
      <c r="K186">
        <v>0.44</v>
      </c>
      <c r="L186" s="308">
        <f t="shared" si="12"/>
        <v>0.75</v>
      </c>
      <c r="M186" s="309">
        <f t="shared" si="13"/>
        <v>0.59499999999999997</v>
      </c>
      <c r="N186" s="310">
        <f t="shared" si="14"/>
        <v>12.57</v>
      </c>
      <c r="O186" s="310">
        <f t="shared" si="15"/>
        <v>12.57</v>
      </c>
      <c r="P186" s="310">
        <f t="shared" si="16"/>
        <v>0</v>
      </c>
      <c r="Q186" s="311">
        <f t="shared" si="17"/>
        <v>175.0991462349505</v>
      </c>
      <c r="T186" s="203"/>
      <c r="U186" s="203"/>
      <c r="V186" s="319" t="str">
        <f>PE_aug!AP186</f>
        <v>Methode</v>
      </c>
    </row>
    <row r="187" spans="1:22">
      <c r="A187" s="173" t="s">
        <v>240</v>
      </c>
      <c r="B187">
        <v>4.18</v>
      </c>
      <c r="C187">
        <v>7.94</v>
      </c>
      <c r="E187" s="306">
        <v>4.18</v>
      </c>
      <c r="F187">
        <v>7.94</v>
      </c>
      <c r="H187">
        <v>0.71699999999999997</v>
      </c>
      <c r="I187">
        <v>0.308</v>
      </c>
      <c r="J187">
        <v>5.5142600000000002</v>
      </c>
      <c r="K187">
        <v>0.69</v>
      </c>
      <c r="L187" s="308">
        <f t="shared" si="12"/>
        <v>0.75</v>
      </c>
      <c r="M187" s="309">
        <f t="shared" si="13"/>
        <v>0.72</v>
      </c>
      <c r="N187" s="310">
        <f t="shared" si="14"/>
        <v>6.0600000000000005</v>
      </c>
      <c r="O187" s="310">
        <f t="shared" si="15"/>
        <v>7.94</v>
      </c>
      <c r="P187" s="310">
        <f t="shared" si="16"/>
        <v>0</v>
      </c>
      <c r="Q187" s="311">
        <f t="shared" si="17"/>
        <v>1.4399030876309786</v>
      </c>
      <c r="T187" s="203"/>
      <c r="U187" s="203"/>
      <c r="V187" s="319" t="str">
        <f>PE_aug!AP187</f>
        <v>KWS</v>
      </c>
    </row>
    <row r="188" spans="1:22">
      <c r="A188" s="173" t="s">
        <v>241</v>
      </c>
      <c r="B188">
        <v>12.82</v>
      </c>
      <c r="C188">
        <v>8.07</v>
      </c>
      <c r="E188" s="306">
        <v>12.82</v>
      </c>
      <c r="F188">
        <v>8.07</v>
      </c>
      <c r="H188">
        <v>0.63600000000000001</v>
      </c>
      <c r="I188">
        <v>0.308</v>
      </c>
      <c r="J188">
        <v>8.6348099999999999</v>
      </c>
      <c r="K188">
        <v>0.44</v>
      </c>
      <c r="L188" s="308">
        <f t="shared" si="12"/>
        <v>0.75</v>
      </c>
      <c r="M188" s="309">
        <f t="shared" si="13"/>
        <v>0.59499999999999997</v>
      </c>
      <c r="N188" s="310">
        <f t="shared" si="14"/>
        <v>10.445</v>
      </c>
      <c r="O188" s="310">
        <f t="shared" si="15"/>
        <v>8.07</v>
      </c>
      <c r="P188" s="310">
        <f t="shared" si="16"/>
        <v>0</v>
      </c>
      <c r="Q188" s="311">
        <f t="shared" si="17"/>
        <v>0.93458918030622562</v>
      </c>
      <c r="T188" s="203"/>
      <c r="U188" s="203"/>
      <c r="V188" s="319" t="str">
        <f>PE_aug!AP188</f>
        <v>KWS</v>
      </c>
    </row>
    <row r="189" spans="1:22">
      <c r="A189" s="173" t="s">
        <v>242</v>
      </c>
      <c r="B189">
        <v>13.57</v>
      </c>
      <c r="C189">
        <v>9.07</v>
      </c>
      <c r="E189" s="306">
        <v>13.57</v>
      </c>
      <c r="F189">
        <v>9.07</v>
      </c>
      <c r="H189">
        <v>0.86399999999999999</v>
      </c>
      <c r="I189">
        <v>0.308</v>
      </c>
      <c r="J189">
        <v>9.2441649999999989</v>
      </c>
      <c r="K189">
        <v>0.56000000000000005</v>
      </c>
      <c r="L189" s="308">
        <f t="shared" si="12"/>
        <v>0.75</v>
      </c>
      <c r="M189" s="309">
        <f t="shared" si="13"/>
        <v>0.65500000000000003</v>
      </c>
      <c r="N189" s="310">
        <f t="shared" si="14"/>
        <v>11.32</v>
      </c>
      <c r="O189" s="310">
        <f t="shared" si="15"/>
        <v>9.07</v>
      </c>
      <c r="P189" s="310">
        <f t="shared" si="16"/>
        <v>0</v>
      </c>
      <c r="Q189" s="311">
        <f t="shared" si="17"/>
        <v>0.98115946653916297</v>
      </c>
      <c r="T189" s="203"/>
      <c r="U189" s="203"/>
      <c r="V189" s="319" t="str">
        <f>PE_aug!AP189</f>
        <v>KWS</v>
      </c>
    </row>
    <row r="190" spans="1:22">
      <c r="A190" s="173" t="s">
        <v>243</v>
      </c>
      <c r="H190">
        <v>0.52</v>
      </c>
      <c r="I190">
        <v>5.7000000000000002E-2</v>
      </c>
      <c r="J190">
        <v>8.5557249999999989</v>
      </c>
      <c r="K190">
        <v>0.69</v>
      </c>
      <c r="L190" s="308">
        <f t="shared" si="12"/>
        <v>0.33</v>
      </c>
      <c r="M190" s="309">
        <f t="shared" si="13"/>
        <v>0.51</v>
      </c>
      <c r="N190" s="310" t="e">
        <f t="shared" si="14"/>
        <v>#DIV/0!</v>
      </c>
      <c r="O190" s="310" t="e">
        <f t="shared" si="15"/>
        <v>#DIV/0!</v>
      </c>
      <c r="P190" s="310" t="e">
        <f t="shared" si="16"/>
        <v>#DIV/0!</v>
      </c>
      <c r="Q190" s="311">
        <f t="shared" si="17"/>
        <v>0</v>
      </c>
      <c r="T190" s="203"/>
      <c r="U190" s="203"/>
      <c r="V190" s="319" t="str">
        <f>PE_aug!AP190</f>
        <v>Kläranlagen</v>
      </c>
    </row>
    <row r="191" spans="1:22">
      <c r="A191" s="173" t="s">
        <v>245</v>
      </c>
      <c r="B191">
        <v>4.58</v>
      </c>
      <c r="E191" s="306">
        <v>4.58</v>
      </c>
      <c r="H191">
        <v>0.77600000000000002</v>
      </c>
      <c r="I191">
        <v>5.7000000000000002E-2</v>
      </c>
      <c r="J191">
        <v>12.1275</v>
      </c>
      <c r="K191">
        <v>0.69</v>
      </c>
      <c r="L191" s="308">
        <f t="shared" si="12"/>
        <v>0.33</v>
      </c>
      <c r="M191" s="309">
        <f t="shared" si="13"/>
        <v>0.51</v>
      </c>
      <c r="N191" s="310">
        <f t="shared" si="14"/>
        <v>4.58</v>
      </c>
      <c r="O191" s="310" t="e">
        <f t="shared" si="15"/>
        <v>#DIV/0!</v>
      </c>
      <c r="P191" s="310" t="e">
        <f t="shared" si="16"/>
        <v>#DIV/0!</v>
      </c>
      <c r="Q191" s="311">
        <f t="shared" si="17"/>
        <v>0</v>
      </c>
      <c r="T191" s="203"/>
      <c r="U191" s="203"/>
      <c r="V191" s="319" t="str">
        <f>PE_aug!AP191</f>
        <v>Kläranlagen</v>
      </c>
    </row>
    <row r="192" spans="1:22">
      <c r="A192" s="173" t="s">
        <v>246</v>
      </c>
      <c r="H192">
        <v>0.91</v>
      </c>
      <c r="I192">
        <v>5.7000000000000002E-2</v>
      </c>
      <c r="J192">
        <v>7.9963800000000003</v>
      </c>
      <c r="K192">
        <v>0.69</v>
      </c>
      <c r="L192" s="308">
        <f t="shared" si="12"/>
        <v>0.33</v>
      </c>
      <c r="M192" s="309">
        <f t="shared" si="13"/>
        <v>0.51</v>
      </c>
      <c r="N192" s="310" t="e">
        <f t="shared" si="14"/>
        <v>#DIV/0!</v>
      </c>
      <c r="O192" s="310" t="e">
        <f t="shared" si="15"/>
        <v>#DIV/0!</v>
      </c>
      <c r="P192" s="310" t="e">
        <f t="shared" si="16"/>
        <v>#DIV/0!</v>
      </c>
      <c r="Q192" s="311">
        <f t="shared" si="17"/>
        <v>0</v>
      </c>
      <c r="T192" s="203"/>
      <c r="U192" s="203"/>
      <c r="V192" s="319" t="str">
        <f>PE_aug!AP192</f>
        <v>Kläranlagen</v>
      </c>
    </row>
    <row r="193" spans="1:22">
      <c r="A193" s="173" t="s">
        <v>247</v>
      </c>
      <c r="B193">
        <v>6.19</v>
      </c>
      <c r="E193" s="306">
        <v>6.19</v>
      </c>
      <c r="H193">
        <v>0.70699999999999996</v>
      </c>
      <c r="I193">
        <v>4.3999999999999997E-2</v>
      </c>
      <c r="J193">
        <v>9.1964899999999989</v>
      </c>
      <c r="K193">
        <v>0.56000000000000005</v>
      </c>
      <c r="L193" s="308">
        <f t="shared" si="12"/>
        <v>0.33</v>
      </c>
      <c r="M193" s="309">
        <f t="shared" si="13"/>
        <v>0.44500000000000006</v>
      </c>
      <c r="N193" s="310">
        <f t="shared" si="14"/>
        <v>6.19</v>
      </c>
      <c r="O193" s="310" t="e">
        <f t="shared" si="15"/>
        <v>#DIV/0!</v>
      </c>
      <c r="P193" s="310" t="e">
        <f t="shared" si="16"/>
        <v>#DIV/0!</v>
      </c>
      <c r="Q193" s="311">
        <f t="shared" si="17"/>
        <v>0</v>
      </c>
      <c r="T193" s="203"/>
      <c r="U193" s="203"/>
      <c r="V193" s="319" t="str">
        <f>PE_aug!AP193</f>
        <v>Kläranlagen</v>
      </c>
    </row>
    <row r="194" spans="1:22">
      <c r="A194" s="173" t="s">
        <v>248</v>
      </c>
      <c r="B194">
        <v>4.0999999999999996</v>
      </c>
      <c r="E194" s="306">
        <v>4.0999999999999996</v>
      </c>
      <c r="H194">
        <v>0.70699999999999996</v>
      </c>
      <c r="I194">
        <v>4.3999999999999997E-2</v>
      </c>
      <c r="J194">
        <v>7.59185</v>
      </c>
      <c r="K194">
        <v>0.69</v>
      </c>
      <c r="L194" s="308">
        <f t="shared" ref="L194:L257" si="18">IF(COUNT(F194:G194)&lt;1,0.33,((COUNT(F194:G194)*(1/(COUNT(F194:G194)+COUNTBLANK(F194:G194)))+(IF(P194&lt;35,1,IF(P194&lt;70,0.5,IF(P194&gt;70,0)))))/2))</f>
        <v>0.33</v>
      </c>
      <c r="M194" s="309">
        <f t="shared" ref="M194:M257" si="19">AVERAGE(K194:L194)</f>
        <v>0.51</v>
      </c>
      <c r="N194" s="310">
        <f t="shared" ref="N194:N257" si="20">AVERAGE(E194:G194)</f>
        <v>4.0999999999999996</v>
      </c>
      <c r="O194" s="310" t="e">
        <f t="shared" ref="O194:O257" si="21">AVERAGE(F194:G194)</f>
        <v>#DIV/0!</v>
      </c>
      <c r="P194" s="310" t="e">
        <f t="shared" ref="P194:P257" si="22">(MAX(F194:G194)-MIN(F194:G194))/O194*100</f>
        <v>#DIV/0!</v>
      </c>
      <c r="Q194" s="311">
        <f t="shared" ref="Q194:Q257" si="23">IFERROR(O194/J194,0)</f>
        <v>0</v>
      </c>
      <c r="T194" s="203"/>
      <c r="U194" s="203"/>
      <c r="V194" s="319" t="str">
        <f>PE_aug!AP194</f>
        <v>Kläranlagen</v>
      </c>
    </row>
    <row r="195" spans="1:22">
      <c r="A195" s="173" t="s">
        <v>249</v>
      </c>
      <c r="B195">
        <v>5.94</v>
      </c>
      <c r="E195" s="306">
        <v>5.94</v>
      </c>
      <c r="H195">
        <v>0.70699999999999996</v>
      </c>
      <c r="I195">
        <v>0.17599999999999999</v>
      </c>
      <c r="J195">
        <v>9.1481399999999997</v>
      </c>
      <c r="K195">
        <v>0.69</v>
      </c>
      <c r="L195" s="308">
        <f t="shared" si="18"/>
        <v>0.33</v>
      </c>
      <c r="M195" s="309">
        <f t="shared" si="19"/>
        <v>0.51</v>
      </c>
      <c r="N195" s="310">
        <f t="shared" si="20"/>
        <v>5.94</v>
      </c>
      <c r="O195" s="310" t="e">
        <f t="shared" si="21"/>
        <v>#DIV/0!</v>
      </c>
      <c r="P195" s="310" t="e">
        <f t="shared" si="22"/>
        <v>#DIV/0!</v>
      </c>
      <c r="Q195" s="311">
        <f t="shared" si="23"/>
        <v>0</v>
      </c>
      <c r="T195" s="203"/>
      <c r="U195" s="203"/>
      <c r="V195" s="319" t="str">
        <f>PE_aug!AP195</f>
        <v>Kläranlagen</v>
      </c>
    </row>
    <row r="196" spans="1:22">
      <c r="A196" s="173" t="s">
        <v>250</v>
      </c>
      <c r="C196">
        <v>8</v>
      </c>
      <c r="F196">
        <v>8</v>
      </c>
      <c r="H196">
        <v>0.70699999999999996</v>
      </c>
      <c r="I196">
        <v>0.17599999999999999</v>
      </c>
      <c r="J196">
        <v>5.17957</v>
      </c>
      <c r="K196">
        <v>0.81</v>
      </c>
      <c r="L196" s="308">
        <f t="shared" si="18"/>
        <v>0.75</v>
      </c>
      <c r="M196" s="309">
        <f t="shared" si="19"/>
        <v>0.78</v>
      </c>
      <c r="N196" s="310">
        <f t="shared" si="20"/>
        <v>8</v>
      </c>
      <c r="O196" s="310">
        <f t="shared" si="21"/>
        <v>8</v>
      </c>
      <c r="P196" s="310">
        <f t="shared" si="22"/>
        <v>0</v>
      </c>
      <c r="Q196" s="311">
        <f t="shared" si="23"/>
        <v>1.5445297582617863</v>
      </c>
      <c r="T196" s="203"/>
      <c r="U196" s="203"/>
      <c r="V196" s="319" t="str">
        <f>PE_aug!AP196</f>
        <v>Kläranlagen</v>
      </c>
    </row>
    <row r="197" spans="1:22">
      <c r="A197" s="173" t="s">
        <v>251</v>
      </c>
      <c r="B197">
        <v>2.72</v>
      </c>
      <c r="C197">
        <v>10.32</v>
      </c>
      <c r="E197" s="306">
        <v>2.72</v>
      </c>
      <c r="F197">
        <v>10.32</v>
      </c>
      <c r="H197">
        <v>0.70699999999999996</v>
      </c>
      <c r="I197">
        <v>5.2999999999999999E-2</v>
      </c>
      <c r="J197">
        <v>9.0249299999999995</v>
      </c>
      <c r="K197">
        <v>0.94</v>
      </c>
      <c r="L197" s="308">
        <f t="shared" si="18"/>
        <v>0.75</v>
      </c>
      <c r="M197" s="309">
        <f t="shared" si="19"/>
        <v>0.84499999999999997</v>
      </c>
      <c r="N197" s="310">
        <f t="shared" si="20"/>
        <v>6.5200000000000005</v>
      </c>
      <c r="O197" s="310">
        <f t="shared" si="21"/>
        <v>10.32</v>
      </c>
      <c r="P197" s="310">
        <f t="shared" si="22"/>
        <v>0</v>
      </c>
      <c r="Q197" s="311">
        <f t="shared" si="23"/>
        <v>1.1434991739548119</v>
      </c>
      <c r="T197" s="203"/>
      <c r="U197" s="203"/>
      <c r="V197" s="319" t="str">
        <f>PE_aug!AP197</f>
        <v>Kläranlagen</v>
      </c>
    </row>
    <row r="198" spans="1:22">
      <c r="A198" s="173" t="s">
        <v>252</v>
      </c>
      <c r="C198">
        <v>8.08</v>
      </c>
      <c r="F198">
        <v>8.08</v>
      </c>
      <c r="H198">
        <v>0.70699999999999996</v>
      </c>
      <c r="I198">
        <v>5.2999999999999999E-2</v>
      </c>
      <c r="J198">
        <v>8.3660199999999989</v>
      </c>
      <c r="K198">
        <v>0.94</v>
      </c>
      <c r="L198" s="308">
        <f t="shared" si="18"/>
        <v>0.75</v>
      </c>
      <c r="M198" s="309">
        <f t="shared" si="19"/>
        <v>0.84499999999999997</v>
      </c>
      <c r="N198" s="310">
        <f t="shared" si="20"/>
        <v>8.08</v>
      </c>
      <c r="O198" s="310">
        <f t="shared" si="21"/>
        <v>8.08</v>
      </c>
      <c r="P198" s="310">
        <f t="shared" si="22"/>
        <v>0</v>
      </c>
      <c r="Q198" s="311">
        <f t="shared" si="23"/>
        <v>0.96581170018718587</v>
      </c>
      <c r="T198" s="203"/>
      <c r="U198" s="203"/>
      <c r="V198" s="319" t="str">
        <f>PE_aug!AP198</f>
        <v>Kläranlagen</v>
      </c>
    </row>
    <row r="199" spans="1:22">
      <c r="A199" s="173" t="s">
        <v>253</v>
      </c>
      <c r="B199">
        <v>13.35</v>
      </c>
      <c r="C199">
        <v>8.7799999999999994</v>
      </c>
      <c r="E199" s="306">
        <v>13.35</v>
      </c>
      <c r="F199">
        <v>8.7799999999999994</v>
      </c>
      <c r="H199">
        <v>0.67700000000000005</v>
      </c>
      <c r="I199">
        <v>4.8000000000000001E-2</v>
      </c>
      <c r="J199">
        <v>8.8748400000000007</v>
      </c>
      <c r="K199">
        <v>0.39</v>
      </c>
      <c r="L199" s="308">
        <f t="shared" si="18"/>
        <v>0.75</v>
      </c>
      <c r="M199" s="309">
        <f t="shared" si="19"/>
        <v>0.57000000000000006</v>
      </c>
      <c r="N199" s="310">
        <f t="shared" si="20"/>
        <v>11.065</v>
      </c>
      <c r="O199" s="310">
        <f t="shared" si="21"/>
        <v>8.7799999999999994</v>
      </c>
      <c r="P199" s="310">
        <f t="shared" si="22"/>
        <v>0</v>
      </c>
      <c r="Q199" s="311">
        <f t="shared" si="23"/>
        <v>0.98931361016085906</v>
      </c>
      <c r="T199" s="203"/>
      <c r="U199" s="203"/>
      <c r="V199" s="319" t="str">
        <f>PE_aug!AP199</f>
        <v>Kläranlagen</v>
      </c>
    </row>
    <row r="200" spans="1:22">
      <c r="A200" s="173" t="s">
        <v>254</v>
      </c>
      <c r="B200">
        <v>15.89</v>
      </c>
      <c r="C200">
        <v>9.1300000000000008</v>
      </c>
      <c r="E200" s="306">
        <v>15.89</v>
      </c>
      <c r="F200">
        <v>9.1300000000000008</v>
      </c>
      <c r="H200">
        <v>0.87</v>
      </c>
      <c r="I200">
        <v>4.8000000000000001E-2</v>
      </c>
      <c r="J200">
        <v>10.6442</v>
      </c>
      <c r="K200">
        <v>0.44</v>
      </c>
      <c r="L200" s="308">
        <f t="shared" si="18"/>
        <v>0.75</v>
      </c>
      <c r="M200" s="309">
        <f t="shared" si="19"/>
        <v>0.59499999999999997</v>
      </c>
      <c r="N200" s="310">
        <f t="shared" si="20"/>
        <v>12.510000000000002</v>
      </c>
      <c r="O200" s="310">
        <f t="shared" si="21"/>
        <v>9.1300000000000008</v>
      </c>
      <c r="P200" s="310">
        <f t="shared" si="22"/>
        <v>0</v>
      </c>
      <c r="Q200" s="311">
        <f t="shared" si="23"/>
        <v>0.85774412356024887</v>
      </c>
      <c r="T200" s="203"/>
      <c r="U200" s="203"/>
      <c r="V200" s="319" t="str">
        <f>PE_aug!AP200</f>
        <v>Kläranlagen</v>
      </c>
    </row>
    <row r="201" spans="1:22">
      <c r="A201" s="173" t="s">
        <v>255</v>
      </c>
      <c r="B201">
        <v>11.58</v>
      </c>
      <c r="C201">
        <v>9.11</v>
      </c>
      <c r="E201" s="306">
        <v>11.58</v>
      </c>
      <c r="F201">
        <v>9.11</v>
      </c>
      <c r="H201">
        <v>0.626</v>
      </c>
      <c r="I201">
        <v>4.8000000000000001E-2</v>
      </c>
      <c r="J201">
        <v>8.4144699999999997</v>
      </c>
      <c r="K201">
        <v>0.56000000000000005</v>
      </c>
      <c r="L201" s="308">
        <f t="shared" si="18"/>
        <v>0.75</v>
      </c>
      <c r="M201" s="309">
        <f t="shared" si="19"/>
        <v>0.65500000000000003</v>
      </c>
      <c r="N201" s="310">
        <f t="shared" si="20"/>
        <v>10.344999999999999</v>
      </c>
      <c r="O201" s="310">
        <f t="shared" si="21"/>
        <v>9.11</v>
      </c>
      <c r="P201" s="310">
        <f t="shared" si="22"/>
        <v>0</v>
      </c>
      <c r="Q201" s="311">
        <f t="shared" si="23"/>
        <v>1.0826588008513904</v>
      </c>
      <c r="T201" s="203"/>
      <c r="U201" s="203"/>
      <c r="V201" s="319" t="str">
        <f>PE_aug!AP201</f>
        <v>Kläranlagen</v>
      </c>
    </row>
    <row r="202" spans="1:22">
      <c r="A202" s="170" t="s">
        <v>256</v>
      </c>
      <c r="B202">
        <v>2.44</v>
      </c>
      <c r="C202">
        <v>8.14</v>
      </c>
      <c r="E202" s="306">
        <v>2.44</v>
      </c>
      <c r="F202">
        <v>8.14</v>
      </c>
      <c r="H202">
        <v>0.70699999999999996</v>
      </c>
      <c r="I202">
        <v>0.113</v>
      </c>
      <c r="J202">
        <v>4.5994950000000001</v>
      </c>
      <c r="K202">
        <v>0.69</v>
      </c>
      <c r="L202" s="308">
        <f t="shared" si="18"/>
        <v>0.75</v>
      </c>
      <c r="M202" s="309">
        <f t="shared" si="19"/>
        <v>0.72</v>
      </c>
      <c r="N202" s="310">
        <f t="shared" si="20"/>
        <v>5.29</v>
      </c>
      <c r="O202" s="310">
        <f t="shared" si="21"/>
        <v>8.14</v>
      </c>
      <c r="P202" s="310">
        <f t="shared" si="22"/>
        <v>0</v>
      </c>
      <c r="Q202" s="311">
        <f t="shared" si="23"/>
        <v>1.7697595062066598</v>
      </c>
      <c r="T202" s="203"/>
      <c r="U202" s="203"/>
      <c r="V202" s="319" t="str">
        <f>PE_aug!AP202</f>
        <v>KWS</v>
      </c>
    </row>
    <row r="203" spans="1:22">
      <c r="A203" s="170" t="s">
        <v>257</v>
      </c>
      <c r="B203">
        <v>4.97</v>
      </c>
      <c r="C203">
        <v>9.64</v>
      </c>
      <c r="E203" s="306">
        <v>4.97</v>
      </c>
      <c r="F203">
        <v>9.64</v>
      </c>
      <c r="H203">
        <v>0.70699999999999996</v>
      </c>
      <c r="I203">
        <v>0.113</v>
      </c>
      <c r="J203">
        <v>6.10121</v>
      </c>
      <c r="K203">
        <v>0.94</v>
      </c>
      <c r="L203" s="308">
        <f t="shared" si="18"/>
        <v>0.75</v>
      </c>
      <c r="M203" s="309">
        <f t="shared" si="19"/>
        <v>0.84499999999999997</v>
      </c>
      <c r="N203" s="310">
        <f t="shared" si="20"/>
        <v>7.3049999999999997</v>
      </c>
      <c r="O203" s="310">
        <f t="shared" si="21"/>
        <v>9.64</v>
      </c>
      <c r="P203" s="310">
        <f t="shared" si="22"/>
        <v>0</v>
      </c>
      <c r="Q203" s="311">
        <f t="shared" si="23"/>
        <v>1.5800144561488623</v>
      </c>
      <c r="T203" s="203"/>
      <c r="U203" s="203"/>
      <c r="V203" s="319" t="str">
        <f>PE_aug!AP203</f>
        <v>KWS</v>
      </c>
    </row>
    <row r="204" spans="1:22">
      <c r="A204" s="170" t="s">
        <v>258</v>
      </c>
      <c r="H204">
        <v>0.70699999999999996</v>
      </c>
      <c r="I204">
        <v>9.7000000000000003E-2</v>
      </c>
      <c r="J204">
        <v>4.843</v>
      </c>
      <c r="K204">
        <v>0.56000000000000005</v>
      </c>
      <c r="L204" s="308">
        <f t="shared" si="18"/>
        <v>0.33</v>
      </c>
      <c r="M204" s="309">
        <f t="shared" si="19"/>
        <v>0.44500000000000006</v>
      </c>
      <c r="N204" s="310" t="e">
        <f t="shared" si="20"/>
        <v>#DIV/0!</v>
      </c>
      <c r="O204" s="310" t="e">
        <f t="shared" si="21"/>
        <v>#DIV/0!</v>
      </c>
      <c r="P204" s="310" t="e">
        <f t="shared" si="22"/>
        <v>#DIV/0!</v>
      </c>
      <c r="Q204" s="311">
        <f t="shared" si="23"/>
        <v>0</v>
      </c>
      <c r="T204" s="203"/>
      <c r="U204" s="203"/>
      <c r="V204" s="319" t="str">
        <f>PE_aug!AP204</f>
        <v>KWS</v>
      </c>
    </row>
    <row r="205" spans="1:22">
      <c r="A205" s="170" t="s">
        <v>259</v>
      </c>
      <c r="B205">
        <v>4.84</v>
      </c>
      <c r="C205">
        <v>8.06</v>
      </c>
      <c r="E205" s="306">
        <v>4.84</v>
      </c>
      <c r="F205">
        <v>8.06</v>
      </c>
      <c r="H205">
        <v>0.70699999999999996</v>
      </c>
      <c r="I205">
        <v>9.7000000000000003E-2</v>
      </c>
      <c r="J205">
        <v>6.6468399999999992</v>
      </c>
      <c r="K205">
        <v>0.69</v>
      </c>
      <c r="L205" s="308">
        <f t="shared" si="18"/>
        <v>0.75</v>
      </c>
      <c r="M205" s="309">
        <f t="shared" si="19"/>
        <v>0.72</v>
      </c>
      <c r="N205" s="310">
        <f t="shared" si="20"/>
        <v>6.45</v>
      </c>
      <c r="O205" s="310">
        <f t="shared" si="21"/>
        <v>8.06</v>
      </c>
      <c r="P205" s="310">
        <f t="shared" si="22"/>
        <v>0</v>
      </c>
      <c r="Q205" s="311">
        <f t="shared" si="23"/>
        <v>1.2126062911097606</v>
      </c>
      <c r="T205" s="203"/>
      <c r="U205" s="203"/>
      <c r="V205" s="319" t="str">
        <f>PE_aug!AP205</f>
        <v>KWS</v>
      </c>
    </row>
    <row r="206" spans="1:22">
      <c r="A206" s="170" t="s">
        <v>260</v>
      </c>
      <c r="C206">
        <v>8.16</v>
      </c>
      <c r="F206">
        <v>8.16</v>
      </c>
      <c r="J206">
        <v>-84.199200000000005</v>
      </c>
      <c r="K206">
        <v>0.44</v>
      </c>
      <c r="L206" s="308">
        <f t="shared" si="18"/>
        <v>0.75</v>
      </c>
      <c r="M206" s="309">
        <f t="shared" si="19"/>
        <v>0.59499999999999997</v>
      </c>
      <c r="N206" s="310">
        <f t="shared" si="20"/>
        <v>8.16</v>
      </c>
      <c r="O206" s="310">
        <f t="shared" si="21"/>
        <v>8.16</v>
      </c>
      <c r="P206" s="310">
        <f t="shared" si="22"/>
        <v>0</v>
      </c>
      <c r="Q206" s="311">
        <f t="shared" si="23"/>
        <v>-9.6913034803181031E-2</v>
      </c>
      <c r="T206" s="203"/>
      <c r="U206" s="203"/>
      <c r="V206" s="319" t="str">
        <f>PE_aug!AP206</f>
        <v>Methode</v>
      </c>
    </row>
    <row r="207" spans="1:22">
      <c r="A207" s="170" t="s">
        <v>261</v>
      </c>
      <c r="B207">
        <v>2.97</v>
      </c>
      <c r="C207">
        <v>9</v>
      </c>
      <c r="E207" s="306">
        <v>2.97</v>
      </c>
      <c r="F207">
        <v>9</v>
      </c>
      <c r="J207">
        <v>5.4117899999999999</v>
      </c>
      <c r="K207">
        <v>0.56000000000000005</v>
      </c>
      <c r="L207" s="308">
        <f t="shared" si="18"/>
        <v>0.75</v>
      </c>
      <c r="M207" s="309">
        <f t="shared" si="19"/>
        <v>0.65500000000000003</v>
      </c>
      <c r="N207" s="310">
        <f t="shared" si="20"/>
        <v>5.9850000000000003</v>
      </c>
      <c r="O207" s="310">
        <f t="shared" si="21"/>
        <v>9</v>
      </c>
      <c r="P207" s="310">
        <f t="shared" si="22"/>
        <v>0</v>
      </c>
      <c r="Q207" s="311">
        <f t="shared" si="23"/>
        <v>1.6630357053765945</v>
      </c>
      <c r="T207" s="203"/>
      <c r="U207" s="203"/>
      <c r="V207" s="319" t="str">
        <f>PE_aug!AP207</f>
        <v>KWS, Methode</v>
      </c>
    </row>
    <row r="208" spans="1:22">
      <c r="A208" s="170" t="s">
        <v>262</v>
      </c>
      <c r="B208">
        <v>94.12</v>
      </c>
      <c r="C208">
        <v>111.39</v>
      </c>
      <c r="D208">
        <v>71.67</v>
      </c>
      <c r="E208" s="306">
        <v>94.12</v>
      </c>
      <c r="F208">
        <v>111.39</v>
      </c>
      <c r="G208" s="307">
        <v>71.67</v>
      </c>
      <c r="J208">
        <v>5.4577400000000003</v>
      </c>
      <c r="K208">
        <v>0.56000000000000005</v>
      </c>
      <c r="L208" s="308">
        <f t="shared" si="18"/>
        <v>0.75</v>
      </c>
      <c r="M208" s="309">
        <f t="shared" si="19"/>
        <v>0.65500000000000003</v>
      </c>
      <c r="N208" s="310">
        <f t="shared" si="20"/>
        <v>92.393333333333331</v>
      </c>
      <c r="O208" s="310">
        <f t="shared" si="21"/>
        <v>91.53</v>
      </c>
      <c r="P208" s="310">
        <f t="shared" si="22"/>
        <v>43.395607997377908</v>
      </c>
      <c r="Q208" s="311">
        <f t="shared" si="23"/>
        <v>16.77067797293385</v>
      </c>
      <c r="S208">
        <v>4.3299999999999998E-2</v>
      </c>
      <c r="T208" s="203">
        <f>100*O208/(S208*1000)</f>
        <v>211.38568129330255</v>
      </c>
      <c r="U208" s="203">
        <f>100*N208/(1000*S208)</f>
        <v>213.37952270977678</v>
      </c>
      <c r="V208" s="319" t="str">
        <f>PE_aug!AP208</f>
        <v>KWS, Methode</v>
      </c>
    </row>
    <row r="209" spans="1:22">
      <c r="A209" s="170" t="s">
        <v>263</v>
      </c>
      <c r="K209">
        <v>0.44</v>
      </c>
      <c r="L209" s="308">
        <f t="shared" si="18"/>
        <v>0.33</v>
      </c>
      <c r="M209" s="309">
        <f t="shared" si="19"/>
        <v>0.38500000000000001</v>
      </c>
      <c r="N209" s="310" t="e">
        <f t="shared" si="20"/>
        <v>#DIV/0!</v>
      </c>
      <c r="O209" s="310" t="e">
        <f t="shared" si="21"/>
        <v>#DIV/0!</v>
      </c>
      <c r="P209" s="310" t="e">
        <f t="shared" si="22"/>
        <v>#DIV/0!</v>
      </c>
      <c r="Q209" s="311">
        <f t="shared" si="23"/>
        <v>0</v>
      </c>
      <c r="T209" s="203"/>
      <c r="U209" s="203"/>
      <c r="V209" s="319" t="str">
        <f>PE_aug!AP209</f>
        <v>KWS, Methode</v>
      </c>
    </row>
    <row r="210" spans="1:22">
      <c r="A210" s="170" t="s">
        <v>264</v>
      </c>
      <c r="B210">
        <v>5.99</v>
      </c>
      <c r="E210" s="306">
        <v>5.99</v>
      </c>
      <c r="H210">
        <v>0.70699999999999996</v>
      </c>
      <c r="I210">
        <v>0.10199999999999999</v>
      </c>
      <c r="J210">
        <v>10.235150000000001</v>
      </c>
      <c r="K210">
        <v>0.44</v>
      </c>
      <c r="L210" s="308">
        <f t="shared" si="18"/>
        <v>0.33</v>
      </c>
      <c r="M210" s="309">
        <f t="shared" si="19"/>
        <v>0.38500000000000001</v>
      </c>
      <c r="N210" s="310">
        <f t="shared" si="20"/>
        <v>5.99</v>
      </c>
      <c r="O210" s="310" t="e">
        <f t="shared" si="21"/>
        <v>#DIV/0!</v>
      </c>
      <c r="P210" s="310" t="e">
        <f t="shared" si="22"/>
        <v>#DIV/0!</v>
      </c>
      <c r="Q210" s="311">
        <f t="shared" si="23"/>
        <v>0</v>
      </c>
      <c r="T210" s="203"/>
      <c r="U210" s="203"/>
      <c r="V210" s="319" t="str">
        <f>PE_aug!AP210</f>
        <v>Kläranlagen</v>
      </c>
    </row>
    <row r="211" spans="1:22">
      <c r="A211" s="170" t="s">
        <v>265</v>
      </c>
      <c r="B211">
        <v>5.74</v>
      </c>
      <c r="E211" s="306">
        <v>5.74</v>
      </c>
      <c r="H211">
        <v>0.70699999999999996</v>
      </c>
      <c r="I211">
        <v>0.10199999999999999</v>
      </c>
      <c r="J211">
        <v>8.9477550000000008</v>
      </c>
      <c r="K211">
        <v>0.69</v>
      </c>
      <c r="L211" s="308">
        <f t="shared" si="18"/>
        <v>0.33</v>
      </c>
      <c r="M211" s="309">
        <f t="shared" si="19"/>
        <v>0.51</v>
      </c>
      <c r="N211" s="310">
        <f t="shared" si="20"/>
        <v>5.74</v>
      </c>
      <c r="O211" s="310" t="e">
        <f t="shared" si="21"/>
        <v>#DIV/0!</v>
      </c>
      <c r="P211" s="310" t="e">
        <f t="shared" si="22"/>
        <v>#DIV/0!</v>
      </c>
      <c r="Q211" s="311">
        <f t="shared" si="23"/>
        <v>0</v>
      </c>
      <c r="T211" s="203"/>
      <c r="U211" s="203"/>
      <c r="V211" s="319" t="str">
        <f>PE_aug!AP211</f>
        <v>Kläranlagen</v>
      </c>
    </row>
    <row r="212" spans="1:22">
      <c r="A212" s="170" t="s">
        <v>266</v>
      </c>
      <c r="B212">
        <v>45.11</v>
      </c>
      <c r="C212">
        <v>41.11</v>
      </c>
      <c r="D212">
        <v>135.44</v>
      </c>
      <c r="E212" s="306">
        <v>45.11</v>
      </c>
      <c r="F212">
        <v>41.11</v>
      </c>
      <c r="G212" s="307">
        <v>135.44</v>
      </c>
      <c r="H212">
        <v>0.70699999999999996</v>
      </c>
      <c r="I212">
        <v>0.96399999999999997</v>
      </c>
      <c r="J212">
        <v>10.384600000000001</v>
      </c>
      <c r="K212">
        <v>0.44</v>
      </c>
      <c r="L212" s="308">
        <f t="shared" si="18"/>
        <v>0.5</v>
      </c>
      <c r="M212" s="309">
        <f t="shared" si="19"/>
        <v>0.47</v>
      </c>
      <c r="N212" s="310">
        <f t="shared" si="20"/>
        <v>73.88666666666667</v>
      </c>
      <c r="O212" s="310">
        <f t="shared" si="21"/>
        <v>88.275000000000006</v>
      </c>
      <c r="P212" s="310">
        <f t="shared" si="22"/>
        <v>106.85924667233078</v>
      </c>
      <c r="Q212" s="311">
        <f t="shared" si="23"/>
        <v>8.500568148989851</v>
      </c>
      <c r="T212" s="203"/>
      <c r="U212" s="203"/>
      <c r="V212" s="319" t="str">
        <f>PE_aug!AP212</f>
        <v>Kläranlagen</v>
      </c>
    </row>
    <row r="213" spans="1:22">
      <c r="A213" s="170" t="s">
        <v>267</v>
      </c>
      <c r="B213">
        <v>78.55</v>
      </c>
      <c r="C213">
        <v>55.49</v>
      </c>
      <c r="D213">
        <v>98.97</v>
      </c>
      <c r="E213" s="306">
        <v>78.55</v>
      </c>
      <c r="F213">
        <v>55.49</v>
      </c>
      <c r="G213" s="307">
        <v>98.97</v>
      </c>
      <c r="H213">
        <v>0.70699999999999996</v>
      </c>
      <c r="I213">
        <v>0.96399999999999997</v>
      </c>
      <c r="J213">
        <v>9.8753700000000002</v>
      </c>
      <c r="K213">
        <v>0.39</v>
      </c>
      <c r="L213" s="308">
        <f t="shared" si="18"/>
        <v>0.75</v>
      </c>
      <c r="M213" s="309">
        <f t="shared" si="19"/>
        <v>0.57000000000000006</v>
      </c>
      <c r="N213" s="310">
        <f t="shared" si="20"/>
        <v>77.67</v>
      </c>
      <c r="O213" s="310">
        <f t="shared" si="21"/>
        <v>77.23</v>
      </c>
      <c r="P213" s="310">
        <f t="shared" si="22"/>
        <v>56.29936553152919</v>
      </c>
      <c r="Q213" s="311">
        <f t="shared" si="23"/>
        <v>7.8204664736612406</v>
      </c>
      <c r="T213" s="203"/>
      <c r="U213" s="203"/>
      <c r="V213" s="319" t="str">
        <f>PE_aug!AP213</f>
        <v>Kläranlagen</v>
      </c>
    </row>
    <row r="214" spans="1:22">
      <c r="A214" s="170" t="s">
        <v>268</v>
      </c>
      <c r="B214">
        <v>7.96</v>
      </c>
      <c r="C214">
        <v>137.25</v>
      </c>
      <c r="D214">
        <v>300.81</v>
      </c>
      <c r="E214" s="306">
        <v>7.96</v>
      </c>
      <c r="F214">
        <v>137.25</v>
      </c>
      <c r="G214" s="307">
        <v>300.81</v>
      </c>
      <c r="J214">
        <v>6.4336500000000001</v>
      </c>
      <c r="K214">
        <v>0.56000000000000005</v>
      </c>
      <c r="L214" s="308">
        <f t="shared" si="18"/>
        <v>0.5</v>
      </c>
      <c r="M214" s="309">
        <f t="shared" si="19"/>
        <v>0.53</v>
      </c>
      <c r="N214" s="310">
        <f t="shared" si="20"/>
        <v>148.67333333333332</v>
      </c>
      <c r="O214" s="310">
        <f t="shared" si="21"/>
        <v>219.03</v>
      </c>
      <c r="P214" s="310">
        <f t="shared" si="22"/>
        <v>74.674702095603337</v>
      </c>
      <c r="Q214" s="311">
        <f t="shared" si="23"/>
        <v>34.044438227133895</v>
      </c>
      <c r="T214" s="203"/>
      <c r="U214" s="203"/>
      <c r="V214" s="319" t="str">
        <f>PE_aug!AP214</f>
        <v>Kläranlagen, Methode</v>
      </c>
    </row>
    <row r="215" spans="1:22">
      <c r="A215" s="170" t="s">
        <v>270</v>
      </c>
      <c r="C215">
        <v>26.03</v>
      </c>
      <c r="D215">
        <v>29.84</v>
      </c>
      <c r="F215">
        <v>26.03</v>
      </c>
      <c r="G215" s="307">
        <v>29.84</v>
      </c>
      <c r="J215">
        <v>0.232761</v>
      </c>
      <c r="K215">
        <v>0.44</v>
      </c>
      <c r="L215" s="308">
        <f t="shared" si="18"/>
        <v>1</v>
      </c>
      <c r="M215" s="309">
        <f t="shared" si="19"/>
        <v>0.72</v>
      </c>
      <c r="N215" s="310">
        <f t="shared" si="20"/>
        <v>27.935000000000002</v>
      </c>
      <c r="O215" s="310">
        <f t="shared" si="21"/>
        <v>27.935000000000002</v>
      </c>
      <c r="P215" s="310">
        <f t="shared" si="22"/>
        <v>13.638804367281182</v>
      </c>
      <c r="Q215" s="311">
        <f t="shared" si="23"/>
        <v>120.01581020875491</v>
      </c>
      <c r="T215" s="203"/>
      <c r="U215" s="203"/>
      <c r="V215" s="319" t="str">
        <f>PE_aug!AP215</f>
        <v>Methode</v>
      </c>
    </row>
    <row r="216" spans="1:22">
      <c r="A216" s="170" t="s">
        <v>271</v>
      </c>
      <c r="K216">
        <v>0.4</v>
      </c>
      <c r="L216" s="308">
        <f t="shared" si="18"/>
        <v>0.33</v>
      </c>
      <c r="M216" s="309">
        <f t="shared" si="19"/>
        <v>0.36499999999999999</v>
      </c>
      <c r="N216" s="310" t="e">
        <f t="shared" si="20"/>
        <v>#DIV/0!</v>
      </c>
      <c r="O216" s="310" t="e">
        <f t="shared" si="21"/>
        <v>#DIV/0!</v>
      </c>
      <c r="P216" s="310" t="e">
        <f t="shared" si="22"/>
        <v>#DIV/0!</v>
      </c>
      <c r="Q216" s="311">
        <f t="shared" si="23"/>
        <v>0</v>
      </c>
      <c r="T216" s="203"/>
      <c r="U216" s="203"/>
      <c r="V216" s="319" t="str">
        <f>PE_aug!AP216</f>
        <v>Methode</v>
      </c>
    </row>
    <row r="217" spans="1:22">
      <c r="A217" s="170" t="s">
        <v>272</v>
      </c>
      <c r="B217">
        <v>179.97</v>
      </c>
      <c r="C217">
        <v>164.34</v>
      </c>
      <c r="D217">
        <v>655.86</v>
      </c>
      <c r="E217" s="306">
        <v>179.97</v>
      </c>
      <c r="F217">
        <v>164.34</v>
      </c>
      <c r="J217">
        <v>0.18177399999999999</v>
      </c>
      <c r="K217">
        <v>0.51</v>
      </c>
      <c r="L217" s="308">
        <f t="shared" si="18"/>
        <v>0.75</v>
      </c>
      <c r="M217" s="309">
        <f t="shared" si="19"/>
        <v>0.63</v>
      </c>
      <c r="N217" s="310">
        <f t="shared" si="20"/>
        <v>172.155</v>
      </c>
      <c r="O217" s="310">
        <f t="shared" si="21"/>
        <v>164.34</v>
      </c>
      <c r="P217" s="310">
        <f t="shared" si="22"/>
        <v>0</v>
      </c>
      <c r="Q217" s="311">
        <f t="shared" si="23"/>
        <v>904.08969379559244</v>
      </c>
      <c r="S217" s="168">
        <v>9.1094999999999995E-2</v>
      </c>
      <c r="T217" s="203">
        <f>100*O217/(S217*1000)</f>
        <v>180.40507162851969</v>
      </c>
      <c r="U217" s="203">
        <f>100*N217/(1000*S217)</f>
        <v>188.98402766342829</v>
      </c>
      <c r="V217" s="319" t="str">
        <f>PE_aug!AP217</f>
        <v>Methode</v>
      </c>
    </row>
    <row r="218" spans="1:22">
      <c r="A218" s="218" t="s">
        <v>534</v>
      </c>
      <c r="H218">
        <v>1.133</v>
      </c>
      <c r="I218">
        <v>0.12</v>
      </c>
      <c r="J218">
        <v>11.5961</v>
      </c>
      <c r="K218">
        <v>0.69</v>
      </c>
      <c r="L218" s="308">
        <f t="shared" si="18"/>
        <v>0.33</v>
      </c>
      <c r="M218" s="309">
        <f t="shared" si="19"/>
        <v>0.51</v>
      </c>
      <c r="N218" s="310" t="e">
        <f t="shared" si="20"/>
        <v>#DIV/0!</v>
      </c>
      <c r="O218" s="310" t="e">
        <f t="shared" si="21"/>
        <v>#DIV/0!</v>
      </c>
      <c r="P218" s="310" t="e">
        <f t="shared" si="22"/>
        <v>#DIV/0!</v>
      </c>
      <c r="Q218" s="311">
        <f t="shared" si="23"/>
        <v>0</v>
      </c>
      <c r="V218" s="312" t="str">
        <f>PE_may!AH218</f>
        <v>Methodenvergleich</v>
      </c>
    </row>
    <row r="219" spans="1:22">
      <c r="A219" s="218" t="s">
        <v>535</v>
      </c>
      <c r="C219">
        <v>7.87</v>
      </c>
      <c r="F219">
        <v>7.87</v>
      </c>
      <c r="H219">
        <v>0.622</v>
      </c>
      <c r="I219">
        <v>0.12</v>
      </c>
      <c r="J219">
        <v>7.643110000000001</v>
      </c>
      <c r="K219">
        <v>0.56000000000000005</v>
      </c>
      <c r="L219" s="308">
        <f t="shared" si="18"/>
        <v>0.75</v>
      </c>
      <c r="M219" s="309">
        <f t="shared" si="19"/>
        <v>0.65500000000000003</v>
      </c>
      <c r="N219" s="310">
        <f t="shared" si="20"/>
        <v>7.87</v>
      </c>
      <c r="O219" s="310">
        <f t="shared" si="21"/>
        <v>7.87</v>
      </c>
      <c r="P219" s="310">
        <f t="shared" si="22"/>
        <v>0</v>
      </c>
      <c r="Q219" s="311">
        <f t="shared" si="23"/>
        <v>1.0296855599356805</v>
      </c>
      <c r="V219" s="312" t="str">
        <f>PE_may!AH219</f>
        <v>Methodenvergleich</v>
      </c>
    </row>
    <row r="220" spans="1:22">
      <c r="A220" s="218" t="s">
        <v>536</v>
      </c>
      <c r="C220">
        <v>3.22</v>
      </c>
      <c r="F220">
        <v>3.22</v>
      </c>
      <c r="H220">
        <v>0.52700000000000002</v>
      </c>
      <c r="I220">
        <v>0.12</v>
      </c>
      <c r="J220">
        <v>7.9017200000000001</v>
      </c>
      <c r="K220">
        <v>0.44</v>
      </c>
      <c r="L220" s="308">
        <f t="shared" si="18"/>
        <v>0.75</v>
      </c>
      <c r="M220" s="309">
        <f t="shared" si="19"/>
        <v>0.59499999999999997</v>
      </c>
      <c r="N220" s="310">
        <f t="shared" si="20"/>
        <v>3.22</v>
      </c>
      <c r="O220" s="310">
        <f t="shared" si="21"/>
        <v>3.22</v>
      </c>
      <c r="P220" s="310">
        <f t="shared" si="22"/>
        <v>0</v>
      </c>
      <c r="Q220" s="311">
        <f t="shared" si="23"/>
        <v>0.40750621383698743</v>
      </c>
      <c r="V220" s="312" t="str">
        <f>PE_may!AH220</f>
        <v>Methodenvergleich</v>
      </c>
    </row>
    <row r="221" spans="1:22">
      <c r="A221" s="218" t="s">
        <v>537</v>
      </c>
      <c r="C221">
        <v>16.84</v>
      </c>
      <c r="D221">
        <v>17.48</v>
      </c>
      <c r="F221">
        <v>16.84</v>
      </c>
      <c r="G221">
        <v>17.48</v>
      </c>
      <c r="K221">
        <v>0.51</v>
      </c>
      <c r="L221" s="308">
        <f t="shared" si="18"/>
        <v>1</v>
      </c>
      <c r="M221" s="309">
        <f t="shared" si="19"/>
        <v>0.755</v>
      </c>
      <c r="N221" s="310">
        <f t="shared" si="20"/>
        <v>17.16</v>
      </c>
      <c r="O221" s="310">
        <f t="shared" si="21"/>
        <v>17.16</v>
      </c>
      <c r="P221" s="310">
        <f t="shared" si="22"/>
        <v>3.729603729603733</v>
      </c>
      <c r="Q221" s="311">
        <f t="shared" si="23"/>
        <v>0</v>
      </c>
      <c r="V221" s="312" t="str">
        <f>PE_may!AH221</f>
        <v>Methode</v>
      </c>
    </row>
    <row r="222" spans="1:22">
      <c r="A222" s="218" t="s">
        <v>538</v>
      </c>
      <c r="B222">
        <v>12.6</v>
      </c>
      <c r="D222">
        <v>11.02</v>
      </c>
      <c r="E222">
        <v>12.6</v>
      </c>
      <c r="G222">
        <v>11.02</v>
      </c>
      <c r="H222">
        <v>0.878</v>
      </c>
      <c r="I222">
        <v>9.5000000000000001E-2</v>
      </c>
      <c r="J222">
        <v>11.2964</v>
      </c>
      <c r="K222">
        <v>0.56000000000000005</v>
      </c>
      <c r="L222" s="308">
        <f t="shared" si="18"/>
        <v>0.75</v>
      </c>
      <c r="M222" s="309">
        <f t="shared" si="19"/>
        <v>0.65500000000000003</v>
      </c>
      <c r="N222" s="310">
        <f t="shared" si="20"/>
        <v>11.809999999999999</v>
      </c>
      <c r="O222" s="310">
        <f t="shared" si="21"/>
        <v>11.02</v>
      </c>
      <c r="P222" s="310">
        <f t="shared" si="22"/>
        <v>0</v>
      </c>
      <c r="Q222" s="311">
        <f t="shared" si="23"/>
        <v>0.97553202790269455</v>
      </c>
      <c r="V222" s="312" t="str">
        <f>PE_may!AH222</f>
        <v>Kläranlagen</v>
      </c>
    </row>
    <row r="223" spans="1:22">
      <c r="A223" s="218" t="s">
        <v>539</v>
      </c>
      <c r="B223">
        <v>16.29</v>
      </c>
      <c r="C223">
        <v>2.1</v>
      </c>
      <c r="D223">
        <v>22.5</v>
      </c>
      <c r="E223">
        <v>16.29</v>
      </c>
      <c r="F223">
        <v>2.1</v>
      </c>
      <c r="G223">
        <v>22.5</v>
      </c>
      <c r="H223">
        <v>1.008</v>
      </c>
      <c r="I223">
        <v>9.5000000000000001E-2</v>
      </c>
      <c r="J223">
        <v>14.131</v>
      </c>
      <c r="K223">
        <v>0.49</v>
      </c>
      <c r="L223" s="308">
        <f t="shared" si="18"/>
        <v>0.5</v>
      </c>
      <c r="M223" s="309">
        <f t="shared" si="19"/>
        <v>0.495</v>
      </c>
      <c r="N223" s="310">
        <f t="shared" si="20"/>
        <v>13.63</v>
      </c>
      <c r="O223" s="310">
        <f t="shared" si="21"/>
        <v>12.3</v>
      </c>
      <c r="P223" s="310">
        <f t="shared" si="22"/>
        <v>165.85365853658533</v>
      </c>
      <c r="Q223" s="311">
        <f t="shared" si="23"/>
        <v>0.87042672139268285</v>
      </c>
      <c r="V223" s="312" t="str">
        <f>PE_may!AH223</f>
        <v>Kläranlagen</v>
      </c>
    </row>
    <row r="224" spans="1:22">
      <c r="A224" s="218" t="s">
        <v>540</v>
      </c>
      <c r="B224">
        <v>11.48</v>
      </c>
      <c r="E224">
        <v>11.48</v>
      </c>
      <c r="H224">
        <v>0.317</v>
      </c>
      <c r="I224">
        <v>9.5000000000000001E-2</v>
      </c>
      <c r="J224">
        <v>11.628</v>
      </c>
      <c r="K224">
        <v>0.56000000000000005</v>
      </c>
      <c r="L224" s="308">
        <f t="shared" si="18"/>
        <v>0.33</v>
      </c>
      <c r="M224" s="309">
        <f t="shared" si="19"/>
        <v>0.44500000000000006</v>
      </c>
      <c r="N224" s="310">
        <f t="shared" si="20"/>
        <v>11.48</v>
      </c>
      <c r="O224" s="310" t="e">
        <f t="shared" si="21"/>
        <v>#DIV/0!</v>
      </c>
      <c r="P224" s="310" t="e">
        <f t="shared" si="22"/>
        <v>#DIV/0!</v>
      </c>
      <c r="Q224" s="311">
        <f t="shared" si="23"/>
        <v>0</v>
      </c>
      <c r="V224" s="312" t="str">
        <f>PE_may!AH224</f>
        <v>Kläranlagen</v>
      </c>
    </row>
    <row r="225" spans="1:22">
      <c r="A225" s="218" t="s">
        <v>541</v>
      </c>
      <c r="H225">
        <v>1.0489999999999999</v>
      </c>
      <c r="I225">
        <v>6.2E-2</v>
      </c>
      <c r="J225">
        <v>7.5634450000000006</v>
      </c>
      <c r="K225">
        <v>0.69</v>
      </c>
      <c r="L225" s="308">
        <f t="shared" si="18"/>
        <v>0.33</v>
      </c>
      <c r="M225" s="309">
        <f t="shared" si="19"/>
        <v>0.51</v>
      </c>
      <c r="N225" s="310" t="e">
        <f t="shared" si="20"/>
        <v>#DIV/0!</v>
      </c>
      <c r="O225" s="310" t="e">
        <f t="shared" si="21"/>
        <v>#DIV/0!</v>
      </c>
      <c r="P225" s="310" t="e">
        <f t="shared" si="22"/>
        <v>#DIV/0!</v>
      </c>
      <c r="Q225" s="311">
        <f t="shared" si="23"/>
        <v>0</v>
      </c>
      <c r="V225" s="312" t="str">
        <f>PE_may!AH225</f>
        <v>Kläranlagen</v>
      </c>
    </row>
    <row r="226" spans="1:22">
      <c r="A226" s="218" t="s">
        <v>542</v>
      </c>
      <c r="C226">
        <v>4.6100000000000003</v>
      </c>
      <c r="F226">
        <v>4.6100000000000003</v>
      </c>
      <c r="H226">
        <v>0.53800000000000003</v>
      </c>
      <c r="I226">
        <v>6.2E-2</v>
      </c>
      <c r="J226">
        <v>9.8938349999999993</v>
      </c>
      <c r="K226">
        <v>0.69</v>
      </c>
      <c r="L226" s="308">
        <f t="shared" si="18"/>
        <v>0.75</v>
      </c>
      <c r="M226" s="309">
        <f t="shared" si="19"/>
        <v>0.72</v>
      </c>
      <c r="N226" s="310">
        <f t="shared" si="20"/>
        <v>4.6100000000000003</v>
      </c>
      <c r="O226" s="310">
        <f t="shared" si="21"/>
        <v>4.6100000000000003</v>
      </c>
      <c r="P226" s="310">
        <f t="shared" si="22"/>
        <v>0</v>
      </c>
      <c r="Q226" s="311">
        <f t="shared" si="23"/>
        <v>0.4659467233888579</v>
      </c>
      <c r="V226" s="312" t="str">
        <f>PE_may!AH226</f>
        <v>Kläranlagen</v>
      </c>
    </row>
    <row r="227" spans="1:22">
      <c r="A227" s="218" t="s">
        <v>543</v>
      </c>
      <c r="B227">
        <v>2.38</v>
      </c>
      <c r="C227">
        <v>5.12</v>
      </c>
      <c r="E227">
        <v>2.38</v>
      </c>
      <c r="F227">
        <v>5.12</v>
      </c>
      <c r="H227">
        <v>0.65200000000000002</v>
      </c>
      <c r="I227">
        <v>6.2E-2</v>
      </c>
      <c r="J227">
        <v>10.473699999999999</v>
      </c>
      <c r="K227">
        <v>0.69</v>
      </c>
      <c r="L227" s="308">
        <f t="shared" si="18"/>
        <v>0.75</v>
      </c>
      <c r="M227" s="309">
        <f t="shared" si="19"/>
        <v>0.72</v>
      </c>
      <c r="N227" s="310">
        <f t="shared" si="20"/>
        <v>3.75</v>
      </c>
      <c r="O227" s="310">
        <f t="shared" si="21"/>
        <v>5.12</v>
      </c>
      <c r="P227" s="310">
        <f t="shared" si="22"/>
        <v>0</v>
      </c>
      <c r="Q227" s="311">
        <f t="shared" si="23"/>
        <v>0.48884348415555157</v>
      </c>
      <c r="V227" s="312" t="str">
        <f>PE_may!AH227</f>
        <v>Kläranlagen</v>
      </c>
    </row>
    <row r="228" spans="1:22">
      <c r="A228" s="218" t="s">
        <v>544</v>
      </c>
      <c r="J228">
        <v>2.2444700000000002</v>
      </c>
      <c r="L228" s="308">
        <f t="shared" si="18"/>
        <v>0.33</v>
      </c>
      <c r="M228" s="309">
        <f t="shared" si="19"/>
        <v>0.33</v>
      </c>
      <c r="N228" s="310" t="e">
        <f t="shared" si="20"/>
        <v>#DIV/0!</v>
      </c>
      <c r="O228" s="310" t="e">
        <f t="shared" si="21"/>
        <v>#DIV/0!</v>
      </c>
      <c r="P228" s="310" t="e">
        <f t="shared" si="22"/>
        <v>#DIV/0!</v>
      </c>
      <c r="Q228" s="311">
        <f t="shared" si="23"/>
        <v>0</v>
      </c>
      <c r="V228" s="312" t="str">
        <f>PE_may!AH228</f>
        <v>Kläranlagen</v>
      </c>
    </row>
    <row r="229" spans="1:22">
      <c r="A229" s="219" t="s">
        <v>273</v>
      </c>
      <c r="B229">
        <v>15.51</v>
      </c>
      <c r="C229">
        <v>9.8000000000000007</v>
      </c>
      <c r="E229">
        <v>15.51</v>
      </c>
      <c r="F229">
        <v>9.8000000000000007</v>
      </c>
      <c r="K229">
        <v>0.94</v>
      </c>
      <c r="L229" s="308">
        <f t="shared" si="18"/>
        <v>0.75</v>
      </c>
      <c r="M229" s="309">
        <f t="shared" si="19"/>
        <v>0.84499999999999997</v>
      </c>
      <c r="N229" s="310">
        <f t="shared" si="20"/>
        <v>12.655000000000001</v>
      </c>
      <c r="O229" s="310">
        <f t="shared" si="21"/>
        <v>9.8000000000000007</v>
      </c>
      <c r="P229" s="310">
        <f t="shared" si="22"/>
        <v>0</v>
      </c>
      <c r="Q229" s="311">
        <f t="shared" si="23"/>
        <v>0</v>
      </c>
      <c r="V229" s="312">
        <f>PE_aug!AP218</f>
        <v>0</v>
      </c>
    </row>
    <row r="230" spans="1:22">
      <c r="A230" s="219" t="s">
        <v>274</v>
      </c>
      <c r="B230">
        <v>14.27</v>
      </c>
      <c r="C230">
        <v>11.36</v>
      </c>
      <c r="E230">
        <v>14.27</v>
      </c>
      <c r="F230">
        <v>11.36</v>
      </c>
      <c r="K230">
        <v>0.94</v>
      </c>
      <c r="L230" s="308">
        <f t="shared" si="18"/>
        <v>0.75</v>
      </c>
      <c r="M230" s="309">
        <f t="shared" si="19"/>
        <v>0.84499999999999997</v>
      </c>
      <c r="N230" s="310">
        <f t="shared" si="20"/>
        <v>12.815</v>
      </c>
      <c r="O230" s="310">
        <f t="shared" si="21"/>
        <v>11.36</v>
      </c>
      <c r="P230" s="310">
        <f t="shared" si="22"/>
        <v>0</v>
      </c>
      <c r="Q230" s="311">
        <f t="shared" si="23"/>
        <v>0</v>
      </c>
      <c r="V230" s="312">
        <f>PE_aug!AP219</f>
        <v>0</v>
      </c>
    </row>
    <row r="231" spans="1:22">
      <c r="A231" s="219" t="s">
        <v>275</v>
      </c>
      <c r="H231">
        <v>0.747</v>
      </c>
      <c r="I231">
        <v>0.02</v>
      </c>
      <c r="J231">
        <v>9.4741699999999991</v>
      </c>
      <c r="K231">
        <v>0.69</v>
      </c>
      <c r="L231" s="308">
        <f t="shared" si="18"/>
        <v>0.33</v>
      </c>
      <c r="M231" s="309">
        <f t="shared" si="19"/>
        <v>0.51</v>
      </c>
      <c r="N231" s="310" t="e">
        <f t="shared" si="20"/>
        <v>#DIV/0!</v>
      </c>
      <c r="O231" s="310" t="e">
        <f t="shared" si="21"/>
        <v>#DIV/0!</v>
      </c>
      <c r="P231" s="310" t="e">
        <f t="shared" si="22"/>
        <v>#DIV/0!</v>
      </c>
      <c r="Q231" s="311">
        <f t="shared" si="23"/>
        <v>0</v>
      </c>
      <c r="V231" s="312" t="str">
        <f>PE_aug!AP220</f>
        <v>Kläranlagen</v>
      </c>
    </row>
    <row r="232" spans="1:22">
      <c r="A232" s="219" t="s">
        <v>276</v>
      </c>
      <c r="H232">
        <v>0.64</v>
      </c>
      <c r="I232">
        <v>0.02</v>
      </c>
      <c r="J232">
        <v>8.9339700000000004</v>
      </c>
      <c r="K232">
        <v>0.81</v>
      </c>
      <c r="L232" s="308">
        <f t="shared" si="18"/>
        <v>0.33</v>
      </c>
      <c r="M232" s="309">
        <f t="shared" si="19"/>
        <v>0.57000000000000006</v>
      </c>
      <c r="N232" s="310" t="e">
        <f t="shared" si="20"/>
        <v>#DIV/0!</v>
      </c>
      <c r="O232" s="310" t="e">
        <f t="shared" si="21"/>
        <v>#DIV/0!</v>
      </c>
      <c r="P232" s="310" t="e">
        <f t="shared" si="22"/>
        <v>#DIV/0!</v>
      </c>
      <c r="Q232" s="311">
        <f t="shared" si="23"/>
        <v>0</v>
      </c>
      <c r="V232" s="312" t="str">
        <f>PE_aug!AP221</f>
        <v>Kläranlagen</v>
      </c>
    </row>
    <row r="233" spans="1:22">
      <c r="A233" s="219" t="s">
        <v>277</v>
      </c>
      <c r="H233">
        <v>0.82199999999999995</v>
      </c>
      <c r="I233">
        <v>0.02</v>
      </c>
      <c r="J233">
        <v>10.4704</v>
      </c>
      <c r="K233">
        <v>0.94</v>
      </c>
      <c r="L233" s="308">
        <f t="shared" si="18"/>
        <v>0.33</v>
      </c>
      <c r="M233" s="309">
        <f t="shared" si="19"/>
        <v>0.63500000000000001</v>
      </c>
      <c r="N233" s="310" t="e">
        <f t="shared" si="20"/>
        <v>#DIV/0!</v>
      </c>
      <c r="O233" s="310" t="e">
        <f t="shared" si="21"/>
        <v>#DIV/0!</v>
      </c>
      <c r="P233" s="310" t="e">
        <f t="shared" si="22"/>
        <v>#DIV/0!</v>
      </c>
      <c r="Q233" s="311">
        <f t="shared" si="23"/>
        <v>0</v>
      </c>
      <c r="V233" s="312" t="str">
        <f>PE_aug!AP222</f>
        <v>Kläranlagen</v>
      </c>
    </row>
    <row r="234" spans="1:22">
      <c r="A234" s="219" t="s">
        <v>278</v>
      </c>
      <c r="C234">
        <v>4.3</v>
      </c>
      <c r="F234">
        <v>4.3</v>
      </c>
      <c r="H234">
        <v>0.83099999999999996</v>
      </c>
      <c r="I234">
        <v>0.13600000000000001</v>
      </c>
      <c r="J234">
        <v>8.854280000000001</v>
      </c>
      <c r="K234">
        <v>0.81</v>
      </c>
      <c r="L234" s="308">
        <f t="shared" si="18"/>
        <v>0.75</v>
      </c>
      <c r="M234" s="309">
        <f t="shared" si="19"/>
        <v>0.78</v>
      </c>
      <c r="N234" s="310">
        <f t="shared" si="20"/>
        <v>4.3</v>
      </c>
      <c r="O234" s="310">
        <f t="shared" si="21"/>
        <v>4.3</v>
      </c>
      <c r="P234" s="310">
        <f t="shared" si="22"/>
        <v>0</v>
      </c>
      <c r="Q234" s="311">
        <f t="shared" si="23"/>
        <v>0.48564084262074381</v>
      </c>
      <c r="V234" s="312" t="str">
        <f>PE_aug!AP223</f>
        <v>Kläranlagen</v>
      </c>
    </row>
    <row r="235" spans="1:22">
      <c r="A235" s="219" t="s">
        <v>279</v>
      </c>
      <c r="H235">
        <v>0.29799999999999999</v>
      </c>
      <c r="I235">
        <v>0.13600000000000001</v>
      </c>
      <c r="J235">
        <v>8.9194449999999996</v>
      </c>
      <c r="K235">
        <v>0.74</v>
      </c>
      <c r="L235" s="308">
        <f t="shared" si="18"/>
        <v>0.33</v>
      </c>
      <c r="M235" s="309">
        <f t="shared" si="19"/>
        <v>0.53500000000000003</v>
      </c>
      <c r="N235" s="310" t="e">
        <f t="shared" si="20"/>
        <v>#DIV/0!</v>
      </c>
      <c r="O235" s="310" t="e">
        <f t="shared" si="21"/>
        <v>#DIV/0!</v>
      </c>
      <c r="P235" s="310" t="e">
        <f t="shared" si="22"/>
        <v>#DIV/0!</v>
      </c>
      <c r="Q235" s="311">
        <f t="shared" si="23"/>
        <v>0</v>
      </c>
      <c r="V235" s="312" t="str">
        <f>PE_aug!AP224</f>
        <v>Kläranlagen</v>
      </c>
    </row>
    <row r="236" spans="1:22">
      <c r="A236" s="219" t="s">
        <v>280</v>
      </c>
      <c r="H236">
        <v>1.038</v>
      </c>
      <c r="I236">
        <v>0.13600000000000001</v>
      </c>
      <c r="J236">
        <v>9.8315149999999996</v>
      </c>
      <c r="K236">
        <v>0.81</v>
      </c>
      <c r="L236" s="308">
        <f t="shared" si="18"/>
        <v>0.33</v>
      </c>
      <c r="M236" s="309">
        <f t="shared" si="19"/>
        <v>0.57000000000000006</v>
      </c>
      <c r="N236" s="310" t="e">
        <f t="shared" si="20"/>
        <v>#DIV/0!</v>
      </c>
      <c r="O236" s="310" t="e">
        <f t="shared" si="21"/>
        <v>#DIV/0!</v>
      </c>
      <c r="P236" s="310" t="e">
        <f t="shared" si="22"/>
        <v>#DIV/0!</v>
      </c>
      <c r="Q236" s="311">
        <f t="shared" si="23"/>
        <v>0</v>
      </c>
      <c r="V236" s="312" t="str">
        <f>PE_aug!AP225</f>
        <v>Kläranlagen</v>
      </c>
    </row>
    <row r="237" spans="1:22">
      <c r="A237" s="219" t="s">
        <v>281</v>
      </c>
      <c r="H237">
        <v>0.92</v>
      </c>
      <c r="I237">
        <v>0.113</v>
      </c>
      <c r="J237">
        <v>8.5098400000000005</v>
      </c>
      <c r="K237">
        <v>0.56000000000000005</v>
      </c>
      <c r="L237" s="308">
        <f t="shared" si="18"/>
        <v>0.33</v>
      </c>
      <c r="M237" s="309">
        <f t="shared" si="19"/>
        <v>0.44500000000000006</v>
      </c>
      <c r="N237" s="310" t="e">
        <f t="shared" si="20"/>
        <v>#DIV/0!</v>
      </c>
      <c r="O237" s="310" t="e">
        <f t="shared" si="21"/>
        <v>#DIV/0!</v>
      </c>
      <c r="P237" s="310" t="e">
        <f t="shared" si="22"/>
        <v>#DIV/0!</v>
      </c>
      <c r="Q237" s="311">
        <f t="shared" si="23"/>
        <v>0</v>
      </c>
      <c r="V237" s="312" t="str">
        <f>PE_aug!AP226</f>
        <v>Kläranlagen</v>
      </c>
    </row>
    <row r="238" spans="1:22">
      <c r="A238" s="219" t="s">
        <v>282</v>
      </c>
      <c r="H238">
        <v>0.78100000000000003</v>
      </c>
      <c r="I238">
        <v>0.113</v>
      </c>
      <c r="J238">
        <v>8.9350749999999994</v>
      </c>
      <c r="K238">
        <v>0.76</v>
      </c>
      <c r="L238" s="308">
        <f t="shared" si="18"/>
        <v>0.33</v>
      </c>
      <c r="M238" s="309">
        <f t="shared" si="19"/>
        <v>0.54500000000000004</v>
      </c>
      <c r="N238" s="310" t="e">
        <f t="shared" si="20"/>
        <v>#DIV/0!</v>
      </c>
      <c r="O238" s="310" t="e">
        <f t="shared" si="21"/>
        <v>#DIV/0!</v>
      </c>
      <c r="P238" s="310" t="e">
        <f t="shared" si="22"/>
        <v>#DIV/0!</v>
      </c>
      <c r="Q238" s="311">
        <f t="shared" si="23"/>
        <v>0</v>
      </c>
      <c r="V238" s="312" t="str">
        <f>PE_aug!AP227</f>
        <v>Kläranlagen</v>
      </c>
    </row>
    <row r="239" spans="1:22">
      <c r="A239" s="219" t="s">
        <v>283</v>
      </c>
      <c r="H239">
        <v>0.502</v>
      </c>
      <c r="I239">
        <v>0.113</v>
      </c>
      <c r="J239">
        <v>8.0010499999999993</v>
      </c>
      <c r="K239">
        <v>0.89</v>
      </c>
      <c r="L239" s="308">
        <f t="shared" si="18"/>
        <v>0.33</v>
      </c>
      <c r="M239" s="309">
        <f t="shared" si="19"/>
        <v>0.61</v>
      </c>
      <c r="N239" s="310" t="e">
        <f t="shared" si="20"/>
        <v>#DIV/0!</v>
      </c>
      <c r="O239" s="310" t="e">
        <f t="shared" si="21"/>
        <v>#DIV/0!</v>
      </c>
      <c r="P239" s="310" t="e">
        <f t="shared" si="22"/>
        <v>#DIV/0!</v>
      </c>
      <c r="Q239" s="311">
        <f t="shared" si="23"/>
        <v>0</v>
      </c>
      <c r="V239" s="312" t="str">
        <f>PE_aug!AP228</f>
        <v>Kläranlagen</v>
      </c>
    </row>
    <row r="240" spans="1:22">
      <c r="A240" s="219" t="s">
        <v>284</v>
      </c>
      <c r="H240">
        <v>0.70699999999999996</v>
      </c>
      <c r="I240">
        <v>3.2000000000000001E-2</v>
      </c>
      <c r="J240">
        <v>9.4548300000000012</v>
      </c>
      <c r="K240">
        <v>0.81</v>
      </c>
      <c r="L240" s="308">
        <f t="shared" si="18"/>
        <v>0.33</v>
      </c>
      <c r="M240" s="309">
        <f t="shared" si="19"/>
        <v>0.57000000000000006</v>
      </c>
      <c r="N240" s="310" t="e">
        <f t="shared" si="20"/>
        <v>#DIV/0!</v>
      </c>
      <c r="O240" s="310" t="e">
        <f t="shared" si="21"/>
        <v>#DIV/0!</v>
      </c>
      <c r="P240" s="310" t="e">
        <f t="shared" si="22"/>
        <v>#DIV/0!</v>
      </c>
      <c r="Q240" s="311">
        <f t="shared" si="23"/>
        <v>0</v>
      </c>
      <c r="V240" s="312" t="str">
        <f>PE_aug!AP229</f>
        <v>Kläranlagen</v>
      </c>
    </row>
    <row r="241" spans="1:22">
      <c r="A241" s="219" t="s">
        <v>285</v>
      </c>
      <c r="H241">
        <v>0.70699999999999996</v>
      </c>
      <c r="I241">
        <v>3.2000000000000001E-2</v>
      </c>
      <c r="J241">
        <v>9.7220899999999997</v>
      </c>
      <c r="K241">
        <v>0.69</v>
      </c>
      <c r="L241" s="308">
        <f t="shared" si="18"/>
        <v>0.33</v>
      </c>
      <c r="M241" s="309">
        <f t="shared" si="19"/>
        <v>0.51</v>
      </c>
      <c r="N241" s="310" t="e">
        <f t="shared" si="20"/>
        <v>#DIV/0!</v>
      </c>
      <c r="O241" s="310" t="e">
        <f t="shared" si="21"/>
        <v>#DIV/0!</v>
      </c>
      <c r="P241" s="310" t="e">
        <f t="shared" si="22"/>
        <v>#DIV/0!</v>
      </c>
      <c r="Q241" s="311">
        <f t="shared" si="23"/>
        <v>0</v>
      </c>
      <c r="V241" s="312" t="str">
        <f>PE_aug!AP230</f>
        <v>Kläranlagen</v>
      </c>
    </row>
    <row r="242" spans="1:22">
      <c r="A242" s="219" t="s">
        <v>286</v>
      </c>
      <c r="H242">
        <v>1.1419999999999999</v>
      </c>
      <c r="I242">
        <v>5.5E-2</v>
      </c>
      <c r="J242">
        <v>6.5427799999999996</v>
      </c>
      <c r="K242">
        <v>0.81</v>
      </c>
      <c r="L242" s="308">
        <f t="shared" si="18"/>
        <v>0.33</v>
      </c>
      <c r="M242" s="309">
        <f t="shared" si="19"/>
        <v>0.57000000000000006</v>
      </c>
      <c r="N242" s="310" t="e">
        <f t="shared" si="20"/>
        <v>#DIV/0!</v>
      </c>
      <c r="O242" s="310" t="e">
        <f t="shared" si="21"/>
        <v>#DIV/0!</v>
      </c>
      <c r="P242" s="310" t="e">
        <f t="shared" si="22"/>
        <v>#DIV/0!</v>
      </c>
      <c r="Q242" s="311">
        <f t="shared" si="23"/>
        <v>0</v>
      </c>
      <c r="V242" s="312" t="str">
        <f>PE_aug!AP231</f>
        <v>Kläranlagen</v>
      </c>
    </row>
    <row r="243" spans="1:22">
      <c r="A243" s="219" t="s">
        <v>287</v>
      </c>
      <c r="H243">
        <v>0.49399999999999999</v>
      </c>
      <c r="I243">
        <v>5.5E-2</v>
      </c>
      <c r="J243">
        <v>9.3765300000000007</v>
      </c>
      <c r="K243">
        <v>0.81</v>
      </c>
      <c r="L243" s="308">
        <f t="shared" si="18"/>
        <v>0.33</v>
      </c>
      <c r="M243" s="309">
        <f t="shared" si="19"/>
        <v>0.57000000000000006</v>
      </c>
      <c r="N243" s="310" t="e">
        <f t="shared" si="20"/>
        <v>#DIV/0!</v>
      </c>
      <c r="O243" s="310" t="e">
        <f t="shared" si="21"/>
        <v>#DIV/0!</v>
      </c>
      <c r="P243" s="310" t="e">
        <f t="shared" si="22"/>
        <v>#DIV/0!</v>
      </c>
      <c r="Q243" s="311">
        <f t="shared" si="23"/>
        <v>0</v>
      </c>
      <c r="V243" s="312" t="str">
        <f>PE_aug!AP232</f>
        <v>Kläranlagen</v>
      </c>
    </row>
    <row r="244" spans="1:22">
      <c r="A244" s="219" t="s">
        <v>288</v>
      </c>
      <c r="H244">
        <v>0.65</v>
      </c>
      <c r="I244">
        <v>5.5E-2</v>
      </c>
      <c r="J244">
        <v>9.4145599999999998</v>
      </c>
      <c r="K244">
        <v>0.94</v>
      </c>
      <c r="L244" s="308">
        <f t="shared" si="18"/>
        <v>0.33</v>
      </c>
      <c r="M244" s="309">
        <f t="shared" si="19"/>
        <v>0.63500000000000001</v>
      </c>
      <c r="N244" s="310" t="e">
        <f t="shared" si="20"/>
        <v>#DIV/0!</v>
      </c>
      <c r="O244" s="310" t="e">
        <f t="shared" si="21"/>
        <v>#DIV/0!</v>
      </c>
      <c r="P244" s="310" t="e">
        <f t="shared" si="22"/>
        <v>#DIV/0!</v>
      </c>
      <c r="Q244" s="311">
        <f t="shared" si="23"/>
        <v>0</v>
      </c>
      <c r="V244" s="312" t="str">
        <f>PE_aug!AP233</f>
        <v>Kläranlagen</v>
      </c>
    </row>
    <row r="245" spans="1:22">
      <c r="A245" s="219" t="s">
        <v>289</v>
      </c>
      <c r="H245">
        <v>0.54800000000000004</v>
      </c>
      <c r="I245">
        <v>0.16400000000000001</v>
      </c>
      <c r="J245">
        <v>4.9484750000000002</v>
      </c>
      <c r="K245">
        <v>0.81</v>
      </c>
      <c r="L245" s="308">
        <f t="shared" si="18"/>
        <v>0.33</v>
      </c>
      <c r="M245" s="309">
        <f t="shared" si="19"/>
        <v>0.57000000000000006</v>
      </c>
      <c r="N245" s="310" t="e">
        <f t="shared" si="20"/>
        <v>#DIV/0!</v>
      </c>
      <c r="O245" s="310" t="e">
        <f t="shared" si="21"/>
        <v>#DIV/0!</v>
      </c>
      <c r="P245" s="310" t="e">
        <f t="shared" si="22"/>
        <v>#DIV/0!</v>
      </c>
      <c r="Q245" s="311">
        <f t="shared" si="23"/>
        <v>0</v>
      </c>
      <c r="V245" s="312" t="str">
        <f>PE_aug!AP234</f>
        <v>Kläranlagen</v>
      </c>
    </row>
    <row r="246" spans="1:22">
      <c r="A246" s="219" t="s">
        <v>290</v>
      </c>
      <c r="H246">
        <v>0.82099999999999995</v>
      </c>
      <c r="I246">
        <v>0.16400000000000001</v>
      </c>
      <c r="J246">
        <v>5.7705900000000003</v>
      </c>
      <c r="K246">
        <v>0.69</v>
      </c>
      <c r="L246" s="308">
        <f t="shared" si="18"/>
        <v>0.33</v>
      </c>
      <c r="M246" s="309">
        <f t="shared" si="19"/>
        <v>0.51</v>
      </c>
      <c r="N246" s="310" t="e">
        <f t="shared" si="20"/>
        <v>#DIV/0!</v>
      </c>
      <c r="O246" s="310" t="e">
        <f t="shared" si="21"/>
        <v>#DIV/0!</v>
      </c>
      <c r="P246" s="310" t="e">
        <f t="shared" si="22"/>
        <v>#DIV/0!</v>
      </c>
      <c r="Q246" s="311">
        <f t="shared" si="23"/>
        <v>0</v>
      </c>
      <c r="V246" s="312" t="str">
        <f>PE_aug!AP235</f>
        <v>Kläranlagen</v>
      </c>
    </row>
    <row r="247" spans="1:22">
      <c r="A247" s="219" t="s">
        <v>291</v>
      </c>
      <c r="H247">
        <v>0.79400000000000004</v>
      </c>
      <c r="I247">
        <v>0.16400000000000001</v>
      </c>
      <c r="J247">
        <v>7.5740399999999992</v>
      </c>
      <c r="K247">
        <v>0.81</v>
      </c>
      <c r="L247" s="308">
        <f t="shared" si="18"/>
        <v>0.33</v>
      </c>
      <c r="M247" s="309">
        <f t="shared" si="19"/>
        <v>0.57000000000000006</v>
      </c>
      <c r="N247" s="310" t="e">
        <f t="shared" si="20"/>
        <v>#DIV/0!</v>
      </c>
      <c r="O247" s="310" t="e">
        <f t="shared" si="21"/>
        <v>#DIV/0!</v>
      </c>
      <c r="P247" s="310" t="e">
        <f t="shared" si="22"/>
        <v>#DIV/0!</v>
      </c>
      <c r="Q247" s="311">
        <f t="shared" si="23"/>
        <v>0</v>
      </c>
      <c r="V247" s="312" t="str">
        <f>PE_aug!AP236</f>
        <v>Kläranlagen</v>
      </c>
    </row>
    <row r="248" spans="1:22">
      <c r="A248" s="219" t="s">
        <v>292</v>
      </c>
      <c r="H248">
        <v>0.90600000000000003</v>
      </c>
      <c r="I248">
        <v>0.13900000000000001</v>
      </c>
      <c r="J248">
        <v>8.5894499999999994</v>
      </c>
      <c r="K248">
        <v>0.81</v>
      </c>
      <c r="L248" s="308">
        <f t="shared" si="18"/>
        <v>0.33</v>
      </c>
      <c r="M248" s="309">
        <f t="shared" si="19"/>
        <v>0.57000000000000006</v>
      </c>
      <c r="N248" s="310" t="e">
        <f t="shared" si="20"/>
        <v>#DIV/0!</v>
      </c>
      <c r="O248" s="310" t="e">
        <f t="shared" si="21"/>
        <v>#DIV/0!</v>
      </c>
      <c r="P248" s="310" t="e">
        <f t="shared" si="22"/>
        <v>#DIV/0!</v>
      </c>
      <c r="Q248" s="311">
        <f t="shared" si="23"/>
        <v>0</v>
      </c>
      <c r="V248" s="312" t="str">
        <f>PE_aug!AP237</f>
        <v>Kläranlagen</v>
      </c>
    </row>
    <row r="249" spans="1:22">
      <c r="A249" s="219" t="s">
        <v>293</v>
      </c>
      <c r="H249">
        <v>0.64600000000000002</v>
      </c>
      <c r="I249">
        <v>0.13900000000000001</v>
      </c>
      <c r="J249">
        <v>8.6637399999999989</v>
      </c>
      <c r="K249">
        <v>0.81</v>
      </c>
      <c r="L249" s="308">
        <f t="shared" si="18"/>
        <v>0.33</v>
      </c>
      <c r="M249" s="309">
        <f t="shared" si="19"/>
        <v>0.57000000000000006</v>
      </c>
      <c r="N249" s="310" t="e">
        <f t="shared" si="20"/>
        <v>#DIV/0!</v>
      </c>
      <c r="O249" s="310" t="e">
        <f t="shared" si="21"/>
        <v>#DIV/0!</v>
      </c>
      <c r="P249" s="310" t="e">
        <f t="shared" si="22"/>
        <v>#DIV/0!</v>
      </c>
      <c r="Q249" s="311">
        <f t="shared" si="23"/>
        <v>0</v>
      </c>
      <c r="V249" s="312" t="str">
        <f>PE_aug!AP238</f>
        <v>Kläranlagen</v>
      </c>
    </row>
    <row r="250" spans="1:22">
      <c r="A250" s="219" t="s">
        <v>294</v>
      </c>
      <c r="C250">
        <v>3.12</v>
      </c>
      <c r="F250">
        <v>3.12</v>
      </c>
      <c r="H250">
        <v>0.68</v>
      </c>
      <c r="I250">
        <v>0.13900000000000001</v>
      </c>
      <c r="J250">
        <v>9.0110200000000003</v>
      </c>
      <c r="K250">
        <v>0.81</v>
      </c>
      <c r="L250" s="308">
        <f t="shared" si="18"/>
        <v>0.75</v>
      </c>
      <c r="M250" s="309">
        <f t="shared" si="19"/>
        <v>0.78</v>
      </c>
      <c r="N250" s="310">
        <f t="shared" si="20"/>
        <v>3.12</v>
      </c>
      <c r="O250" s="310">
        <f t="shared" si="21"/>
        <v>3.12</v>
      </c>
      <c r="P250" s="310">
        <f t="shared" si="22"/>
        <v>0</v>
      </c>
      <c r="Q250" s="311">
        <f t="shared" si="23"/>
        <v>0.34624271170189391</v>
      </c>
      <c r="V250" s="312" t="str">
        <f>PE_aug!AP239</f>
        <v>Kläranlagen</v>
      </c>
    </row>
    <row r="251" spans="1:22">
      <c r="A251" s="219" t="s">
        <v>295</v>
      </c>
      <c r="C251">
        <v>13.06</v>
      </c>
      <c r="F251">
        <v>13.06</v>
      </c>
      <c r="J251">
        <v>1</v>
      </c>
      <c r="K251">
        <v>0.81</v>
      </c>
      <c r="L251" s="308">
        <f t="shared" si="18"/>
        <v>0.75</v>
      </c>
      <c r="M251" s="309">
        <f t="shared" si="19"/>
        <v>0.78</v>
      </c>
      <c r="N251" s="310">
        <f t="shared" si="20"/>
        <v>13.06</v>
      </c>
      <c r="O251" s="310">
        <f t="shared" si="21"/>
        <v>13.06</v>
      </c>
      <c r="P251" s="310">
        <f t="shared" si="22"/>
        <v>0</v>
      </c>
      <c r="Q251" s="311">
        <f t="shared" si="23"/>
        <v>13.06</v>
      </c>
      <c r="V251" s="312" t="str">
        <f>PE_aug!AP240</f>
        <v>Methode</v>
      </c>
    </row>
    <row r="252" spans="1:22">
      <c r="A252" s="219" t="s">
        <v>296</v>
      </c>
      <c r="J252">
        <v>1</v>
      </c>
      <c r="K252">
        <v>0.5</v>
      </c>
      <c r="L252" s="308">
        <f t="shared" si="18"/>
        <v>0.33</v>
      </c>
      <c r="M252" s="309">
        <f t="shared" si="19"/>
        <v>0.41500000000000004</v>
      </c>
      <c r="N252" s="310" t="e">
        <f t="shared" si="20"/>
        <v>#DIV/0!</v>
      </c>
      <c r="O252" s="310" t="e">
        <f t="shared" si="21"/>
        <v>#DIV/0!</v>
      </c>
      <c r="P252" s="310" t="e">
        <f t="shared" si="22"/>
        <v>#DIV/0!</v>
      </c>
      <c r="Q252" s="311">
        <f t="shared" si="23"/>
        <v>0</v>
      </c>
      <c r="V252" s="312" t="str">
        <f>PE_aug!AP241</f>
        <v>Methode</v>
      </c>
    </row>
    <row r="253" spans="1:22">
      <c r="A253" s="219" t="s">
        <v>297</v>
      </c>
      <c r="C253">
        <v>3.18</v>
      </c>
      <c r="F253">
        <v>3.18</v>
      </c>
      <c r="K253">
        <v>0.39</v>
      </c>
      <c r="L253" s="308">
        <f t="shared" si="18"/>
        <v>0.75</v>
      </c>
      <c r="M253" s="309">
        <f t="shared" si="19"/>
        <v>0.57000000000000006</v>
      </c>
      <c r="N253" s="310">
        <f t="shared" si="20"/>
        <v>3.18</v>
      </c>
      <c r="O253" s="310">
        <f t="shared" si="21"/>
        <v>3.18</v>
      </c>
      <c r="P253" s="310">
        <f t="shared" si="22"/>
        <v>0</v>
      </c>
      <c r="Q253" s="311">
        <f t="shared" si="23"/>
        <v>0</v>
      </c>
      <c r="V253" s="312" t="str">
        <f>PE_aug!AP242</f>
        <v>Kläranlagen</v>
      </c>
    </row>
    <row r="254" spans="1:22">
      <c r="A254" s="219" t="s">
        <v>298</v>
      </c>
      <c r="K254">
        <v>0.56000000000000005</v>
      </c>
      <c r="L254" s="308">
        <f t="shared" si="18"/>
        <v>0.33</v>
      </c>
      <c r="M254" s="309">
        <f t="shared" si="19"/>
        <v>0.44500000000000006</v>
      </c>
      <c r="N254" s="310" t="e">
        <f t="shared" si="20"/>
        <v>#DIV/0!</v>
      </c>
      <c r="O254" s="310" t="e">
        <f t="shared" si="21"/>
        <v>#DIV/0!</v>
      </c>
      <c r="P254" s="310" t="e">
        <f t="shared" si="22"/>
        <v>#DIV/0!</v>
      </c>
      <c r="Q254" s="311">
        <f t="shared" si="23"/>
        <v>0</v>
      </c>
      <c r="V254" s="312" t="str">
        <f>PE_aug!AP243</f>
        <v>Kläranlagen</v>
      </c>
    </row>
    <row r="255" spans="1:22">
      <c r="A255" s="219" t="s">
        <v>299</v>
      </c>
      <c r="K255">
        <v>0.69</v>
      </c>
      <c r="L255" s="308">
        <f t="shared" si="18"/>
        <v>0.33</v>
      </c>
      <c r="M255" s="309">
        <f t="shared" si="19"/>
        <v>0.51</v>
      </c>
      <c r="N255" s="310" t="e">
        <f t="shared" si="20"/>
        <v>#DIV/0!</v>
      </c>
      <c r="O255" s="310" t="e">
        <f t="shared" si="21"/>
        <v>#DIV/0!</v>
      </c>
      <c r="P255" s="310" t="e">
        <f t="shared" si="22"/>
        <v>#DIV/0!</v>
      </c>
      <c r="Q255" s="311">
        <f t="shared" si="23"/>
        <v>0</v>
      </c>
      <c r="V255" s="312" t="str">
        <f>PE_aug!AP244</f>
        <v>Kläranlagen</v>
      </c>
    </row>
    <row r="256" spans="1:22">
      <c r="A256" s="219" t="s">
        <v>300</v>
      </c>
      <c r="B256">
        <v>24.64</v>
      </c>
      <c r="C256">
        <v>24.14</v>
      </c>
      <c r="D256">
        <v>72.23</v>
      </c>
      <c r="E256">
        <v>24.64</v>
      </c>
      <c r="F256">
        <v>24.14</v>
      </c>
      <c r="G256">
        <v>72.23</v>
      </c>
      <c r="J256">
        <v>6.02935</v>
      </c>
      <c r="K256">
        <v>0.81</v>
      </c>
      <c r="L256" s="308">
        <f t="shared" si="18"/>
        <v>0.5</v>
      </c>
      <c r="M256" s="309">
        <f t="shared" si="19"/>
        <v>0.65500000000000003</v>
      </c>
      <c r="N256" s="310">
        <f t="shared" si="20"/>
        <v>40.336666666666666</v>
      </c>
      <c r="O256" s="310">
        <f t="shared" si="21"/>
        <v>48.185000000000002</v>
      </c>
      <c r="P256" s="310">
        <f t="shared" si="22"/>
        <v>99.802843208467365</v>
      </c>
      <c r="Q256" s="311">
        <f t="shared" si="23"/>
        <v>7.9917404031943748</v>
      </c>
      <c r="V256" s="312" t="str">
        <f>PE_aug!AP245</f>
        <v>Kläranlage, Methode</v>
      </c>
    </row>
    <row r="257" spans="1:22">
      <c r="A257" s="219" t="s">
        <v>301</v>
      </c>
      <c r="H257">
        <v>0.82799999999999996</v>
      </c>
      <c r="I257">
        <v>0.191</v>
      </c>
      <c r="J257">
        <v>8.4088700000000003</v>
      </c>
      <c r="K257">
        <v>0.69</v>
      </c>
      <c r="L257" s="308">
        <f t="shared" si="18"/>
        <v>0.33</v>
      </c>
      <c r="M257" s="309">
        <f t="shared" si="19"/>
        <v>0.51</v>
      </c>
      <c r="N257" s="310" t="e">
        <f t="shared" si="20"/>
        <v>#DIV/0!</v>
      </c>
      <c r="O257" s="310" t="e">
        <f t="shared" si="21"/>
        <v>#DIV/0!</v>
      </c>
      <c r="P257" s="310" t="e">
        <f t="shared" si="22"/>
        <v>#DIV/0!</v>
      </c>
      <c r="Q257" s="311">
        <f t="shared" si="23"/>
        <v>0</v>
      </c>
      <c r="V257" s="312" t="str">
        <f>PE_aug!AP246</f>
        <v>Kläranlagen</v>
      </c>
    </row>
    <row r="258" spans="1:22">
      <c r="A258" s="219" t="s">
        <v>302</v>
      </c>
      <c r="H258">
        <v>0.79200000000000004</v>
      </c>
      <c r="I258">
        <v>0.191</v>
      </c>
      <c r="J258">
        <v>6.7405999999999997</v>
      </c>
      <c r="K258">
        <v>0.69</v>
      </c>
      <c r="L258" s="308">
        <f t="shared" ref="L258:L321" si="24">IF(COUNT(F258:G258)&lt;1,0.33,((COUNT(F258:G258)*(1/(COUNT(F258:G258)+COUNTBLANK(F258:G258)))+(IF(P258&lt;35,1,IF(P258&lt;70,0.5,IF(P258&gt;70,0)))))/2))</f>
        <v>0.33</v>
      </c>
      <c r="M258" s="309">
        <f t="shared" ref="M258:M321" si="25">AVERAGE(K258:L258)</f>
        <v>0.51</v>
      </c>
      <c r="N258" s="310" t="e">
        <f t="shared" ref="N258:N321" si="26">AVERAGE(E258:G258)</f>
        <v>#DIV/0!</v>
      </c>
      <c r="O258" s="310" t="e">
        <f t="shared" ref="O258:O321" si="27">AVERAGE(F258:G258)</f>
        <v>#DIV/0!</v>
      </c>
      <c r="P258" s="310" t="e">
        <f t="shared" ref="P258:P321" si="28">(MAX(F258:G258)-MIN(F258:G258))/O258*100</f>
        <v>#DIV/0!</v>
      </c>
      <c r="Q258" s="311">
        <f t="shared" ref="Q258:Q321" si="29">IFERROR(O258/J258,0)</f>
        <v>0</v>
      </c>
      <c r="V258" s="312" t="str">
        <f>PE_aug!AP247</f>
        <v>Kläranlagen</v>
      </c>
    </row>
    <row r="259" spans="1:22">
      <c r="A259" s="219" t="s">
        <v>303</v>
      </c>
      <c r="H259">
        <v>0.629</v>
      </c>
      <c r="I259">
        <v>0.191</v>
      </c>
      <c r="J259">
        <v>7.8805199999999997</v>
      </c>
      <c r="K259">
        <v>0.56000000000000005</v>
      </c>
      <c r="L259" s="308">
        <f t="shared" si="24"/>
        <v>0.33</v>
      </c>
      <c r="M259" s="309">
        <f t="shared" si="25"/>
        <v>0.44500000000000006</v>
      </c>
      <c r="N259" s="310" t="e">
        <f t="shared" si="26"/>
        <v>#DIV/0!</v>
      </c>
      <c r="O259" s="310" t="e">
        <f t="shared" si="27"/>
        <v>#DIV/0!</v>
      </c>
      <c r="P259" s="310" t="e">
        <f t="shared" si="28"/>
        <v>#DIV/0!</v>
      </c>
      <c r="Q259" s="311">
        <f t="shared" si="29"/>
        <v>0</v>
      </c>
      <c r="V259" s="312" t="str">
        <f>PE_aug!AP248</f>
        <v>Kläranlagen</v>
      </c>
    </row>
    <row r="260" spans="1:22">
      <c r="A260" s="219" t="s">
        <v>304</v>
      </c>
      <c r="H260">
        <v>0.83699999999999997</v>
      </c>
      <c r="I260">
        <v>7.9000000000000001E-2</v>
      </c>
      <c r="J260">
        <v>7.9408200000000004</v>
      </c>
      <c r="L260" s="308">
        <f t="shared" si="24"/>
        <v>0.33</v>
      </c>
      <c r="M260" s="309">
        <f t="shared" si="25"/>
        <v>0.33</v>
      </c>
      <c r="N260" s="310" t="e">
        <f t="shared" si="26"/>
        <v>#DIV/0!</v>
      </c>
      <c r="O260" s="310" t="e">
        <f t="shared" si="27"/>
        <v>#DIV/0!</v>
      </c>
      <c r="P260" s="310" t="e">
        <f t="shared" si="28"/>
        <v>#DIV/0!</v>
      </c>
      <c r="Q260" s="311">
        <f t="shared" si="29"/>
        <v>0</v>
      </c>
      <c r="V260" s="312" t="str">
        <f>PE_aug!AP249</f>
        <v>Kläranlagen</v>
      </c>
    </row>
    <row r="261" spans="1:22">
      <c r="A261" s="219" t="s">
        <v>305</v>
      </c>
      <c r="H261">
        <v>0.56399999999999995</v>
      </c>
      <c r="I261">
        <v>7.9000000000000001E-2</v>
      </c>
      <c r="J261">
        <v>8.8329500000000003</v>
      </c>
      <c r="L261" s="308">
        <f t="shared" si="24"/>
        <v>0.33</v>
      </c>
      <c r="M261" s="309">
        <f t="shared" si="25"/>
        <v>0.33</v>
      </c>
      <c r="N261" s="310" t="e">
        <f t="shared" si="26"/>
        <v>#DIV/0!</v>
      </c>
      <c r="O261" s="310" t="e">
        <f t="shared" si="27"/>
        <v>#DIV/0!</v>
      </c>
      <c r="P261" s="310" t="e">
        <f t="shared" si="28"/>
        <v>#DIV/0!</v>
      </c>
      <c r="Q261" s="311">
        <f t="shared" si="29"/>
        <v>0</v>
      </c>
      <c r="V261" s="312" t="str">
        <f>PE_aug!AP250</f>
        <v>Kläranlagen</v>
      </c>
    </row>
    <row r="262" spans="1:22">
      <c r="A262" s="219" t="s">
        <v>306</v>
      </c>
      <c r="H262">
        <v>0.82899999999999996</v>
      </c>
      <c r="I262">
        <v>7.9000000000000001E-2</v>
      </c>
      <c r="J262">
        <v>5.0712599999999997</v>
      </c>
      <c r="L262" s="308">
        <f t="shared" si="24"/>
        <v>0.33</v>
      </c>
      <c r="M262" s="309">
        <f t="shared" si="25"/>
        <v>0.33</v>
      </c>
      <c r="N262" s="310" t="e">
        <f t="shared" si="26"/>
        <v>#DIV/0!</v>
      </c>
      <c r="O262" s="310" t="e">
        <f t="shared" si="27"/>
        <v>#DIV/0!</v>
      </c>
      <c r="P262" s="310" t="e">
        <f t="shared" si="28"/>
        <v>#DIV/0!</v>
      </c>
      <c r="Q262" s="311">
        <f t="shared" si="29"/>
        <v>0</v>
      </c>
      <c r="V262" s="312" t="str">
        <f>PE_aug!AP251</f>
        <v>Kläranlagen</v>
      </c>
    </row>
    <row r="263" spans="1:22">
      <c r="A263" s="219" t="s">
        <v>307</v>
      </c>
      <c r="H263">
        <v>0.28599999999999998</v>
      </c>
      <c r="I263">
        <v>2.7E-2</v>
      </c>
      <c r="J263">
        <v>8.5876000000000001</v>
      </c>
      <c r="L263" s="308">
        <f t="shared" si="24"/>
        <v>0.33</v>
      </c>
      <c r="M263" s="309">
        <f t="shared" si="25"/>
        <v>0.33</v>
      </c>
      <c r="N263" s="310" t="e">
        <f t="shared" si="26"/>
        <v>#DIV/0!</v>
      </c>
      <c r="O263" s="310" t="e">
        <f t="shared" si="27"/>
        <v>#DIV/0!</v>
      </c>
      <c r="P263" s="310" t="e">
        <f t="shared" si="28"/>
        <v>#DIV/0!</v>
      </c>
      <c r="Q263" s="311">
        <f t="shared" si="29"/>
        <v>0</v>
      </c>
      <c r="V263" s="312" t="str">
        <f>PE_aug!AP252</f>
        <v>Kläranlagen</v>
      </c>
    </row>
    <row r="264" spans="1:22">
      <c r="A264" s="219" t="s">
        <v>308</v>
      </c>
      <c r="H264">
        <v>1</v>
      </c>
      <c r="I264">
        <v>2.7E-2</v>
      </c>
      <c r="J264">
        <v>11.023999999999999</v>
      </c>
      <c r="L264" s="308">
        <f t="shared" si="24"/>
        <v>0.33</v>
      </c>
      <c r="M264" s="309">
        <f t="shared" si="25"/>
        <v>0.33</v>
      </c>
      <c r="N264" s="310" t="e">
        <f t="shared" si="26"/>
        <v>#DIV/0!</v>
      </c>
      <c r="O264" s="310" t="e">
        <f t="shared" si="27"/>
        <v>#DIV/0!</v>
      </c>
      <c r="P264" s="310" t="e">
        <f t="shared" si="28"/>
        <v>#DIV/0!</v>
      </c>
      <c r="Q264" s="311">
        <f t="shared" si="29"/>
        <v>0</v>
      </c>
      <c r="V264" s="312" t="str">
        <f>PE_aug!AP253</f>
        <v>Kläranlagen</v>
      </c>
    </row>
    <row r="265" spans="1:22">
      <c r="A265" s="219" t="s">
        <v>309</v>
      </c>
      <c r="H265">
        <v>0.86599999999999999</v>
      </c>
      <c r="I265">
        <v>2.7E-2</v>
      </c>
      <c r="J265">
        <v>7.3292199999999994</v>
      </c>
      <c r="L265" s="308">
        <f t="shared" si="24"/>
        <v>0.33</v>
      </c>
      <c r="M265" s="309">
        <f t="shared" si="25"/>
        <v>0.33</v>
      </c>
      <c r="N265" s="310" t="e">
        <f t="shared" si="26"/>
        <v>#DIV/0!</v>
      </c>
      <c r="O265" s="310" t="e">
        <f t="shared" si="27"/>
        <v>#DIV/0!</v>
      </c>
      <c r="P265" s="310" t="e">
        <f t="shared" si="28"/>
        <v>#DIV/0!</v>
      </c>
      <c r="Q265" s="311">
        <f t="shared" si="29"/>
        <v>0</v>
      </c>
      <c r="V265" s="312" t="str">
        <f>PE_aug!AP254</f>
        <v>Kläranlagen</v>
      </c>
    </row>
    <row r="266" spans="1:22">
      <c r="A266" s="219" t="s">
        <v>310</v>
      </c>
      <c r="L266" s="308">
        <f t="shared" si="24"/>
        <v>0.33</v>
      </c>
      <c r="M266" s="309">
        <f t="shared" si="25"/>
        <v>0.33</v>
      </c>
      <c r="N266" s="310" t="e">
        <f t="shared" si="26"/>
        <v>#DIV/0!</v>
      </c>
      <c r="O266" s="310" t="e">
        <f t="shared" si="27"/>
        <v>#DIV/0!</v>
      </c>
      <c r="P266" s="310" t="e">
        <f t="shared" si="28"/>
        <v>#DIV/0!</v>
      </c>
      <c r="Q266" s="311">
        <f t="shared" si="29"/>
        <v>0</v>
      </c>
      <c r="V266" s="312" t="str">
        <f>PE_aug!AP255</f>
        <v>Sickerwasser</v>
      </c>
    </row>
    <row r="267" spans="1:22">
      <c r="A267" s="219" t="s">
        <v>311</v>
      </c>
      <c r="L267" s="308">
        <f t="shared" si="24"/>
        <v>0.33</v>
      </c>
      <c r="M267" s="309">
        <f t="shared" si="25"/>
        <v>0.33</v>
      </c>
      <c r="N267" s="310" t="e">
        <f t="shared" si="26"/>
        <v>#DIV/0!</v>
      </c>
      <c r="O267" s="310" t="e">
        <f t="shared" si="27"/>
        <v>#DIV/0!</v>
      </c>
      <c r="P267" s="310" t="e">
        <f t="shared" si="28"/>
        <v>#DIV/0!</v>
      </c>
      <c r="Q267" s="311">
        <f t="shared" si="29"/>
        <v>0</v>
      </c>
      <c r="V267" s="312" t="str">
        <f>PE_aug!AP256</f>
        <v>Sickerwasser</v>
      </c>
    </row>
    <row r="268" spans="1:22">
      <c r="A268" s="219" t="s">
        <v>312</v>
      </c>
      <c r="C268">
        <v>4.43</v>
      </c>
      <c r="F268">
        <v>4.43</v>
      </c>
      <c r="K268">
        <v>0.81</v>
      </c>
      <c r="L268" s="308">
        <f t="shared" si="24"/>
        <v>0.75</v>
      </c>
      <c r="M268" s="309">
        <f t="shared" si="25"/>
        <v>0.78</v>
      </c>
      <c r="N268" s="310">
        <f t="shared" si="26"/>
        <v>4.43</v>
      </c>
      <c r="O268" s="310">
        <f t="shared" si="27"/>
        <v>4.43</v>
      </c>
      <c r="P268" s="310">
        <f t="shared" si="28"/>
        <v>0</v>
      </c>
      <c r="Q268" s="311">
        <f t="shared" si="29"/>
        <v>0</v>
      </c>
      <c r="V268" s="312" t="str">
        <f>PE_aug!AP257</f>
        <v>Sickerwasser</v>
      </c>
    </row>
    <row r="269" spans="1:22">
      <c r="A269" s="219" t="s">
        <v>313</v>
      </c>
      <c r="K269">
        <v>0.83</v>
      </c>
      <c r="L269" s="308">
        <f t="shared" si="24"/>
        <v>0.33</v>
      </c>
      <c r="M269" s="309">
        <f t="shared" si="25"/>
        <v>0.57999999999999996</v>
      </c>
      <c r="N269" s="310" t="e">
        <f t="shared" si="26"/>
        <v>#DIV/0!</v>
      </c>
      <c r="O269" s="310" t="e">
        <f t="shared" si="27"/>
        <v>#DIV/0!</v>
      </c>
      <c r="P269" s="310" t="e">
        <f t="shared" si="28"/>
        <v>#DIV/0!</v>
      </c>
      <c r="Q269" s="311">
        <f t="shared" si="29"/>
        <v>0</v>
      </c>
      <c r="V269" s="312" t="str">
        <f>PE_aug!AP258</f>
        <v>Sickerwasser</v>
      </c>
    </row>
    <row r="270" spans="1:22">
      <c r="A270" s="220" t="s">
        <v>314</v>
      </c>
      <c r="H270">
        <v>1.0760000000000001</v>
      </c>
      <c r="I270">
        <v>1.7000000000000001E-2</v>
      </c>
      <c r="J270">
        <v>10.911899999999999</v>
      </c>
      <c r="L270" s="308">
        <f t="shared" si="24"/>
        <v>0.33</v>
      </c>
      <c r="M270" s="309">
        <f t="shared" si="25"/>
        <v>0.33</v>
      </c>
      <c r="N270" s="310" t="e">
        <f t="shared" si="26"/>
        <v>#DIV/0!</v>
      </c>
      <c r="O270" s="310" t="e">
        <f t="shared" si="27"/>
        <v>#DIV/0!</v>
      </c>
      <c r="P270" s="310" t="e">
        <f t="shared" si="28"/>
        <v>#DIV/0!</v>
      </c>
      <c r="Q270" s="311">
        <f t="shared" si="29"/>
        <v>0</v>
      </c>
      <c r="V270" s="312" t="str">
        <f>PE_aug!AP259</f>
        <v>Kläranlagen</v>
      </c>
    </row>
    <row r="271" spans="1:22">
      <c r="A271" s="220" t="s">
        <v>315</v>
      </c>
      <c r="H271">
        <v>0.76800000000000002</v>
      </c>
      <c r="I271">
        <v>1.7000000000000001E-2</v>
      </c>
      <c r="J271">
        <v>13.8399</v>
      </c>
      <c r="L271" s="308">
        <f t="shared" si="24"/>
        <v>0.33</v>
      </c>
      <c r="M271" s="309">
        <f t="shared" si="25"/>
        <v>0.33</v>
      </c>
      <c r="N271" s="310" t="e">
        <f t="shared" si="26"/>
        <v>#DIV/0!</v>
      </c>
      <c r="O271" s="310" t="e">
        <f t="shared" si="27"/>
        <v>#DIV/0!</v>
      </c>
      <c r="P271" s="310" t="e">
        <f t="shared" si="28"/>
        <v>#DIV/0!</v>
      </c>
      <c r="Q271" s="311">
        <f t="shared" si="29"/>
        <v>0</v>
      </c>
      <c r="V271" s="312" t="str">
        <f>PE_aug!AP260</f>
        <v>Kläranlagen</v>
      </c>
    </row>
    <row r="272" spans="1:22">
      <c r="A272" s="220" t="s">
        <v>316</v>
      </c>
      <c r="H272">
        <v>0.39500000000000002</v>
      </c>
      <c r="I272">
        <v>1.7000000000000001E-2</v>
      </c>
      <c r="J272">
        <v>13.1463</v>
      </c>
      <c r="L272" s="308">
        <f t="shared" si="24"/>
        <v>0.33</v>
      </c>
      <c r="M272" s="309">
        <f t="shared" si="25"/>
        <v>0.33</v>
      </c>
      <c r="N272" s="310" t="e">
        <f t="shared" si="26"/>
        <v>#DIV/0!</v>
      </c>
      <c r="O272" s="310" t="e">
        <f t="shared" si="27"/>
        <v>#DIV/0!</v>
      </c>
      <c r="P272" s="310" t="e">
        <f t="shared" si="28"/>
        <v>#DIV/0!</v>
      </c>
      <c r="Q272" s="311">
        <f t="shared" si="29"/>
        <v>0</v>
      </c>
      <c r="V272" s="312" t="str">
        <f>PE_aug!AP261</f>
        <v>Kläranlagen</v>
      </c>
    </row>
    <row r="273" spans="1:22">
      <c r="A273" s="220" t="s">
        <v>317</v>
      </c>
      <c r="C273">
        <v>3.74</v>
      </c>
      <c r="F273">
        <v>3.74</v>
      </c>
      <c r="H273">
        <v>0.996</v>
      </c>
      <c r="I273">
        <v>8.1000000000000003E-2</v>
      </c>
      <c r="J273">
        <v>4.4084400000000006</v>
      </c>
      <c r="K273">
        <v>0.81</v>
      </c>
      <c r="L273" s="308">
        <f t="shared" si="24"/>
        <v>0.75</v>
      </c>
      <c r="M273" s="309">
        <f t="shared" si="25"/>
        <v>0.78</v>
      </c>
      <c r="N273" s="310">
        <f t="shared" si="26"/>
        <v>3.74</v>
      </c>
      <c r="O273" s="310">
        <f t="shared" si="27"/>
        <v>3.74</v>
      </c>
      <c r="P273" s="310">
        <f t="shared" si="28"/>
        <v>0</v>
      </c>
      <c r="Q273" s="311">
        <f t="shared" si="29"/>
        <v>0.84837266697516578</v>
      </c>
      <c r="V273" s="312" t="str">
        <f>PE_aug!AP262</f>
        <v>Kläranlagen</v>
      </c>
    </row>
    <row r="274" spans="1:22">
      <c r="A274" s="220" t="s">
        <v>318</v>
      </c>
      <c r="C274">
        <v>4.99</v>
      </c>
      <c r="F274">
        <v>4.99</v>
      </c>
      <c r="H274">
        <v>0.155</v>
      </c>
      <c r="I274">
        <v>8.1000000000000003E-2</v>
      </c>
      <c r="J274">
        <v>5.8289400000000002</v>
      </c>
      <c r="K274">
        <v>0.89</v>
      </c>
      <c r="L274" s="308">
        <f t="shared" si="24"/>
        <v>0.75</v>
      </c>
      <c r="M274" s="309">
        <f t="shared" si="25"/>
        <v>0.82000000000000006</v>
      </c>
      <c r="N274" s="310">
        <f t="shared" si="26"/>
        <v>4.99</v>
      </c>
      <c r="O274" s="310">
        <f t="shared" si="27"/>
        <v>4.99</v>
      </c>
      <c r="P274" s="310">
        <f t="shared" si="28"/>
        <v>0</v>
      </c>
      <c r="Q274" s="311">
        <f t="shared" si="29"/>
        <v>0.85607331693240962</v>
      </c>
      <c r="V274" s="312" t="str">
        <f>PE_aug!AP263</f>
        <v>Kläranlagen</v>
      </c>
    </row>
    <row r="275" spans="1:22">
      <c r="A275" s="220" t="s">
        <v>319</v>
      </c>
      <c r="C275">
        <v>4.4400000000000004</v>
      </c>
      <c r="F275">
        <v>4.4400000000000004</v>
      </c>
      <c r="H275">
        <v>0.97299999999999998</v>
      </c>
      <c r="I275">
        <v>8.1000000000000003E-2</v>
      </c>
      <c r="J275">
        <v>7.2398100000000003</v>
      </c>
      <c r="K275">
        <v>0.94</v>
      </c>
      <c r="L275" s="308">
        <f t="shared" si="24"/>
        <v>0.75</v>
      </c>
      <c r="M275" s="309">
        <f t="shared" si="25"/>
        <v>0.84499999999999997</v>
      </c>
      <c r="N275" s="310">
        <f t="shared" si="26"/>
        <v>4.4400000000000004</v>
      </c>
      <c r="O275" s="310">
        <f t="shared" si="27"/>
        <v>4.4400000000000004</v>
      </c>
      <c r="P275" s="310">
        <f t="shared" si="28"/>
        <v>0</v>
      </c>
      <c r="Q275" s="311">
        <f t="shared" si="29"/>
        <v>0.61327576276173001</v>
      </c>
      <c r="V275" s="312" t="str">
        <f>PE_aug!AP264</f>
        <v>Kläranlagen</v>
      </c>
    </row>
    <row r="276" spans="1:22">
      <c r="A276" s="220" t="s">
        <v>320</v>
      </c>
      <c r="H276">
        <v>0.70699999999999996</v>
      </c>
      <c r="I276">
        <v>7.1999999999999995E-2</v>
      </c>
      <c r="J276">
        <v>8.7419449999999994</v>
      </c>
      <c r="K276">
        <v>0.56000000000000005</v>
      </c>
      <c r="L276" s="308">
        <f t="shared" si="24"/>
        <v>0.33</v>
      </c>
      <c r="M276" s="309">
        <f t="shared" si="25"/>
        <v>0.44500000000000006</v>
      </c>
      <c r="N276" s="310" t="e">
        <f t="shared" si="26"/>
        <v>#DIV/0!</v>
      </c>
      <c r="O276" s="310" t="e">
        <f t="shared" si="27"/>
        <v>#DIV/0!</v>
      </c>
      <c r="P276" s="310" t="e">
        <f t="shared" si="28"/>
        <v>#DIV/0!</v>
      </c>
      <c r="Q276" s="311">
        <f t="shared" si="29"/>
        <v>0</v>
      </c>
      <c r="V276" s="312" t="str">
        <f>PE_aug!AP265</f>
        <v>Kläranlagen</v>
      </c>
    </row>
    <row r="277" spans="1:22">
      <c r="A277" s="220" t="s">
        <v>321</v>
      </c>
      <c r="H277">
        <v>0.70699999999999996</v>
      </c>
      <c r="I277">
        <v>7.1999999999999995E-2</v>
      </c>
      <c r="J277">
        <v>9.5270100000000006</v>
      </c>
      <c r="K277">
        <v>0.56000000000000005</v>
      </c>
      <c r="L277" s="308">
        <f t="shared" si="24"/>
        <v>0.33</v>
      </c>
      <c r="M277" s="309">
        <f t="shared" si="25"/>
        <v>0.44500000000000006</v>
      </c>
      <c r="N277" s="310" t="e">
        <f t="shared" si="26"/>
        <v>#DIV/0!</v>
      </c>
      <c r="O277" s="310" t="e">
        <f t="shared" si="27"/>
        <v>#DIV/0!</v>
      </c>
      <c r="P277" s="310" t="e">
        <f t="shared" si="28"/>
        <v>#DIV/0!</v>
      </c>
      <c r="Q277" s="311">
        <f t="shared" si="29"/>
        <v>0</v>
      </c>
      <c r="V277" s="312" t="str">
        <f>PE_aug!AP266</f>
        <v>Kläranlagen</v>
      </c>
    </row>
    <row r="278" spans="1:22">
      <c r="A278" s="225" t="s">
        <v>322</v>
      </c>
      <c r="H278">
        <v>0.70699999999999996</v>
      </c>
      <c r="I278">
        <v>0.124</v>
      </c>
      <c r="J278">
        <v>8.6800599999999992</v>
      </c>
      <c r="K278">
        <v>0.81</v>
      </c>
      <c r="L278" s="308">
        <f t="shared" si="24"/>
        <v>0.33</v>
      </c>
      <c r="M278" s="309">
        <f t="shared" si="25"/>
        <v>0.57000000000000006</v>
      </c>
      <c r="N278" s="310" t="e">
        <f t="shared" si="26"/>
        <v>#DIV/0!</v>
      </c>
      <c r="O278" s="310" t="e">
        <f t="shared" si="27"/>
        <v>#DIV/0!</v>
      </c>
      <c r="P278" s="310" t="e">
        <f t="shared" si="28"/>
        <v>#DIV/0!</v>
      </c>
      <c r="Q278" s="311">
        <f t="shared" si="29"/>
        <v>0</v>
      </c>
      <c r="V278" s="312" t="str">
        <f>PE_aug!AP267</f>
        <v>KWB</v>
      </c>
    </row>
    <row r="279" spans="1:22">
      <c r="A279" s="225" t="s">
        <v>324</v>
      </c>
      <c r="H279">
        <v>0.70699999999999996</v>
      </c>
      <c r="I279">
        <v>0.124</v>
      </c>
      <c r="J279">
        <v>7.4999899999999986</v>
      </c>
      <c r="K279">
        <v>0.81</v>
      </c>
      <c r="L279" s="308">
        <f t="shared" si="24"/>
        <v>0.33</v>
      </c>
      <c r="M279" s="309">
        <f t="shared" si="25"/>
        <v>0.57000000000000006</v>
      </c>
      <c r="N279" s="310" t="e">
        <f t="shared" si="26"/>
        <v>#DIV/0!</v>
      </c>
      <c r="O279" s="310" t="e">
        <f t="shared" si="27"/>
        <v>#DIV/0!</v>
      </c>
      <c r="P279" s="310" t="e">
        <f t="shared" si="28"/>
        <v>#DIV/0!</v>
      </c>
      <c r="Q279" s="311">
        <f t="shared" si="29"/>
        <v>0</v>
      </c>
      <c r="V279" s="312" t="str">
        <f>PE_aug!AP268</f>
        <v>KWB</v>
      </c>
    </row>
    <row r="280" spans="1:22">
      <c r="A280" s="225" t="s">
        <v>325</v>
      </c>
      <c r="H280">
        <v>0.70699999999999996</v>
      </c>
      <c r="I280">
        <v>0.14499999999999999</v>
      </c>
      <c r="J280">
        <v>5.2230249999999998</v>
      </c>
      <c r="K280">
        <v>0.56000000000000005</v>
      </c>
      <c r="L280" s="308">
        <f t="shared" si="24"/>
        <v>0.33</v>
      </c>
      <c r="M280" s="309">
        <f t="shared" si="25"/>
        <v>0.44500000000000006</v>
      </c>
      <c r="N280" s="310" t="e">
        <f t="shared" si="26"/>
        <v>#DIV/0!</v>
      </c>
      <c r="O280" s="310" t="e">
        <f t="shared" si="27"/>
        <v>#DIV/0!</v>
      </c>
      <c r="P280" s="310" t="e">
        <f t="shared" si="28"/>
        <v>#DIV/0!</v>
      </c>
      <c r="Q280" s="311">
        <f t="shared" si="29"/>
        <v>0</v>
      </c>
      <c r="V280" s="312" t="str">
        <f>PE_aug!AP269</f>
        <v>KWB</v>
      </c>
    </row>
    <row r="281" spans="1:22">
      <c r="A281" s="225" t="s">
        <v>326</v>
      </c>
      <c r="H281">
        <v>0.70699999999999996</v>
      </c>
      <c r="I281">
        <v>0.45</v>
      </c>
      <c r="J281">
        <v>6.5487399999999996</v>
      </c>
      <c r="K281">
        <v>0.81</v>
      </c>
      <c r="L281" s="308">
        <f t="shared" si="24"/>
        <v>0.33</v>
      </c>
      <c r="M281" s="309">
        <f t="shared" si="25"/>
        <v>0.57000000000000006</v>
      </c>
      <c r="N281" s="310" t="e">
        <f t="shared" si="26"/>
        <v>#DIV/0!</v>
      </c>
      <c r="O281" s="310" t="e">
        <f t="shared" si="27"/>
        <v>#DIV/0!</v>
      </c>
      <c r="P281" s="310" t="e">
        <f t="shared" si="28"/>
        <v>#DIV/0!</v>
      </c>
      <c r="Q281" s="311">
        <f t="shared" si="29"/>
        <v>0</v>
      </c>
      <c r="V281" s="312" t="str">
        <f>PE_aug!AP270</f>
        <v>KWB</v>
      </c>
    </row>
    <row r="282" spans="1:22">
      <c r="A282" s="225" t="s">
        <v>327</v>
      </c>
      <c r="H282">
        <v>0.70699999999999996</v>
      </c>
      <c r="I282">
        <v>0.45</v>
      </c>
      <c r="J282">
        <v>6.3243900000000002</v>
      </c>
      <c r="K282">
        <v>0.69</v>
      </c>
      <c r="L282" s="308">
        <f t="shared" si="24"/>
        <v>0.33</v>
      </c>
      <c r="M282" s="309">
        <f t="shared" si="25"/>
        <v>0.51</v>
      </c>
      <c r="N282" s="310" t="e">
        <f t="shared" si="26"/>
        <v>#DIV/0!</v>
      </c>
      <c r="O282" s="310" t="e">
        <f t="shared" si="27"/>
        <v>#DIV/0!</v>
      </c>
      <c r="P282" s="310" t="e">
        <f t="shared" si="28"/>
        <v>#DIV/0!</v>
      </c>
      <c r="Q282" s="311">
        <f t="shared" si="29"/>
        <v>0</v>
      </c>
      <c r="V282" s="312" t="str">
        <f>PE_aug!AP271</f>
        <v>KWB</v>
      </c>
    </row>
    <row r="283" spans="1:22">
      <c r="A283" s="225" t="s">
        <v>328</v>
      </c>
      <c r="H283">
        <v>0.70699999999999996</v>
      </c>
      <c r="I283">
        <v>0.14699999999999999</v>
      </c>
      <c r="J283">
        <v>8.8096600000000009</v>
      </c>
      <c r="K283">
        <v>0.81</v>
      </c>
      <c r="L283" s="308">
        <f t="shared" si="24"/>
        <v>0.33</v>
      </c>
      <c r="M283" s="309">
        <f t="shared" si="25"/>
        <v>0.57000000000000006</v>
      </c>
      <c r="N283" s="310" t="e">
        <f t="shared" si="26"/>
        <v>#DIV/0!</v>
      </c>
      <c r="O283" s="310" t="e">
        <f t="shared" si="27"/>
        <v>#DIV/0!</v>
      </c>
      <c r="P283" s="310" t="e">
        <f t="shared" si="28"/>
        <v>#DIV/0!</v>
      </c>
      <c r="Q283" s="311">
        <f t="shared" si="29"/>
        <v>0</v>
      </c>
      <c r="V283" s="312" t="str">
        <f>PE_aug!AP272</f>
        <v>Kläranlagen</v>
      </c>
    </row>
    <row r="284" spans="1:22">
      <c r="A284" s="225" t="s">
        <v>329</v>
      </c>
      <c r="H284">
        <v>0.70699999999999996</v>
      </c>
      <c r="I284">
        <v>0.14699999999999999</v>
      </c>
      <c r="J284">
        <v>4.2674799999999999</v>
      </c>
      <c r="K284">
        <v>0.56000000000000005</v>
      </c>
      <c r="L284" s="308">
        <f t="shared" si="24"/>
        <v>0.33</v>
      </c>
      <c r="M284" s="309">
        <f t="shared" si="25"/>
        <v>0.44500000000000006</v>
      </c>
      <c r="N284" s="310" t="e">
        <f t="shared" si="26"/>
        <v>#DIV/0!</v>
      </c>
      <c r="O284" s="310" t="e">
        <f t="shared" si="27"/>
        <v>#DIV/0!</v>
      </c>
      <c r="P284" s="310" t="e">
        <f t="shared" si="28"/>
        <v>#DIV/0!</v>
      </c>
      <c r="Q284" s="311">
        <f t="shared" si="29"/>
        <v>0</v>
      </c>
      <c r="V284" s="312" t="str">
        <f>PE_aug!AP273</f>
        <v>Kläranlagen</v>
      </c>
    </row>
    <row r="285" spans="1:22">
      <c r="A285" s="225" t="s">
        <v>330</v>
      </c>
      <c r="H285">
        <v>1.016</v>
      </c>
      <c r="I285">
        <v>0.124</v>
      </c>
      <c r="J285">
        <v>16.704599999999999</v>
      </c>
      <c r="K285">
        <v>0.69</v>
      </c>
      <c r="L285" s="308">
        <f t="shared" si="24"/>
        <v>0.33</v>
      </c>
      <c r="M285" s="309">
        <f t="shared" si="25"/>
        <v>0.51</v>
      </c>
      <c r="N285" s="310" t="e">
        <f t="shared" si="26"/>
        <v>#DIV/0!</v>
      </c>
      <c r="O285" s="310" t="e">
        <f t="shared" si="27"/>
        <v>#DIV/0!</v>
      </c>
      <c r="P285" s="310" t="e">
        <f t="shared" si="28"/>
        <v>#DIV/0!</v>
      </c>
      <c r="Q285" s="311">
        <f t="shared" si="29"/>
        <v>0</v>
      </c>
      <c r="V285" s="312" t="str">
        <f>PE_aug!AP274</f>
        <v>Kläranlagen</v>
      </c>
    </row>
    <row r="286" spans="1:22">
      <c r="A286" s="225" t="s">
        <v>331</v>
      </c>
      <c r="H286">
        <v>0.22500000000000001</v>
      </c>
      <c r="I286">
        <v>0.124</v>
      </c>
      <c r="J286">
        <v>10.55025</v>
      </c>
      <c r="K286">
        <v>0.69</v>
      </c>
      <c r="L286" s="308">
        <f t="shared" si="24"/>
        <v>0.33</v>
      </c>
      <c r="M286" s="309">
        <f t="shared" si="25"/>
        <v>0.51</v>
      </c>
      <c r="N286" s="310" t="e">
        <f t="shared" si="26"/>
        <v>#DIV/0!</v>
      </c>
      <c r="O286" s="310" t="e">
        <f t="shared" si="27"/>
        <v>#DIV/0!</v>
      </c>
      <c r="P286" s="310" t="e">
        <f t="shared" si="28"/>
        <v>#DIV/0!</v>
      </c>
      <c r="Q286" s="311">
        <f t="shared" si="29"/>
        <v>0</v>
      </c>
      <c r="V286" s="312" t="str">
        <f>PE_aug!AP275</f>
        <v>Kläranlagen</v>
      </c>
    </row>
    <row r="287" spans="1:22">
      <c r="A287" s="225" t="s">
        <v>332</v>
      </c>
      <c r="H287">
        <v>0.90200000000000002</v>
      </c>
      <c r="I287">
        <v>0.124</v>
      </c>
      <c r="J287">
        <v>8.4931399999999986</v>
      </c>
      <c r="K287">
        <v>0.69</v>
      </c>
      <c r="L287" s="308">
        <f t="shared" si="24"/>
        <v>0.33</v>
      </c>
      <c r="M287" s="309">
        <f t="shared" si="25"/>
        <v>0.51</v>
      </c>
      <c r="N287" s="310" t="e">
        <f t="shared" si="26"/>
        <v>#DIV/0!</v>
      </c>
      <c r="O287" s="310" t="e">
        <f t="shared" si="27"/>
        <v>#DIV/0!</v>
      </c>
      <c r="P287" s="310" t="e">
        <f t="shared" si="28"/>
        <v>#DIV/0!</v>
      </c>
      <c r="Q287" s="311">
        <f t="shared" si="29"/>
        <v>0</v>
      </c>
      <c r="V287" s="312" t="str">
        <f>PE_aug!AP276</f>
        <v>Kläranlagen</v>
      </c>
    </row>
    <row r="288" spans="1:22">
      <c r="A288" s="225" t="s">
        <v>333</v>
      </c>
      <c r="H288">
        <v>0.97099999999999997</v>
      </c>
      <c r="I288">
        <v>9.8000000000000004E-2</v>
      </c>
      <c r="J288">
        <v>8.8784799999999997</v>
      </c>
      <c r="K288">
        <v>0.69</v>
      </c>
      <c r="L288" s="308">
        <f t="shared" si="24"/>
        <v>0.33</v>
      </c>
      <c r="M288" s="309">
        <f t="shared" si="25"/>
        <v>0.51</v>
      </c>
      <c r="N288" s="310" t="e">
        <f t="shared" si="26"/>
        <v>#DIV/0!</v>
      </c>
      <c r="O288" s="310" t="e">
        <f t="shared" si="27"/>
        <v>#DIV/0!</v>
      </c>
      <c r="P288" s="310" t="e">
        <f t="shared" si="28"/>
        <v>#DIV/0!</v>
      </c>
      <c r="Q288" s="311">
        <f t="shared" si="29"/>
        <v>0</v>
      </c>
      <c r="V288" s="312" t="str">
        <f>PE_aug!AP277</f>
        <v>KWS, Schlamm</v>
      </c>
    </row>
    <row r="289" spans="1:22">
      <c r="A289" s="225" t="s">
        <v>334</v>
      </c>
      <c r="H289">
        <v>0.54800000000000004</v>
      </c>
      <c r="I289">
        <v>9.8000000000000004E-2</v>
      </c>
      <c r="J289">
        <v>13.416</v>
      </c>
      <c r="K289">
        <v>0.81</v>
      </c>
      <c r="L289" s="308">
        <f t="shared" si="24"/>
        <v>0.33</v>
      </c>
      <c r="M289" s="309">
        <f t="shared" si="25"/>
        <v>0.57000000000000006</v>
      </c>
      <c r="N289" s="310" t="e">
        <f t="shared" si="26"/>
        <v>#DIV/0!</v>
      </c>
      <c r="O289" s="310" t="e">
        <f t="shared" si="27"/>
        <v>#DIV/0!</v>
      </c>
      <c r="P289" s="310" t="e">
        <f t="shared" si="28"/>
        <v>#DIV/0!</v>
      </c>
      <c r="Q289" s="311">
        <f t="shared" si="29"/>
        <v>0</v>
      </c>
      <c r="V289" s="312" t="str">
        <f>PE_aug!AP278</f>
        <v>KWS, Schlamm</v>
      </c>
    </row>
    <row r="290" spans="1:22">
      <c r="A290" s="225" t="s">
        <v>335</v>
      </c>
      <c r="H290">
        <v>0.66600000000000004</v>
      </c>
      <c r="I290">
        <v>9.8000000000000004E-2</v>
      </c>
      <c r="J290">
        <v>12.52145</v>
      </c>
      <c r="K290">
        <v>0.69</v>
      </c>
      <c r="L290" s="308">
        <f t="shared" si="24"/>
        <v>0.33</v>
      </c>
      <c r="M290" s="309">
        <f t="shared" si="25"/>
        <v>0.51</v>
      </c>
      <c r="N290" s="310" t="e">
        <f t="shared" si="26"/>
        <v>#DIV/0!</v>
      </c>
      <c r="O290" s="310" t="e">
        <f t="shared" si="27"/>
        <v>#DIV/0!</v>
      </c>
      <c r="P290" s="310" t="e">
        <f t="shared" si="28"/>
        <v>#DIV/0!</v>
      </c>
      <c r="Q290" s="311">
        <f t="shared" si="29"/>
        <v>0</v>
      </c>
      <c r="V290" s="312" t="str">
        <f>PE_aug!AP279</f>
        <v>KWS, Schlamm</v>
      </c>
    </row>
    <row r="291" spans="1:22">
      <c r="A291" s="225" t="s">
        <v>336</v>
      </c>
      <c r="H291">
        <v>0.71199999999999997</v>
      </c>
      <c r="I291">
        <v>0.10199999999999999</v>
      </c>
      <c r="J291">
        <v>6.3610100000000003</v>
      </c>
      <c r="K291">
        <v>0.94</v>
      </c>
      <c r="L291" s="308">
        <f t="shared" si="24"/>
        <v>0.33</v>
      </c>
      <c r="M291" s="309">
        <f t="shared" si="25"/>
        <v>0.63500000000000001</v>
      </c>
      <c r="N291" s="310" t="e">
        <f t="shared" si="26"/>
        <v>#DIV/0!</v>
      </c>
      <c r="O291" s="310" t="e">
        <f t="shared" si="27"/>
        <v>#DIV/0!</v>
      </c>
      <c r="P291" s="310" t="e">
        <f t="shared" si="28"/>
        <v>#DIV/0!</v>
      </c>
      <c r="Q291" s="311">
        <f t="shared" si="29"/>
        <v>0</v>
      </c>
      <c r="V291" s="312" t="str">
        <f>PE_aug!AP280</f>
        <v>Kläranlagen</v>
      </c>
    </row>
    <row r="292" spans="1:22">
      <c r="A292" s="225" t="s">
        <v>337</v>
      </c>
      <c r="C292">
        <v>3.14</v>
      </c>
      <c r="F292">
        <v>3.14</v>
      </c>
      <c r="H292">
        <v>0.52700000000000002</v>
      </c>
      <c r="I292">
        <v>0.10199999999999999</v>
      </c>
      <c r="J292">
        <v>6.8360700000000003</v>
      </c>
      <c r="K292">
        <v>0.81</v>
      </c>
      <c r="L292" s="308">
        <f t="shared" si="24"/>
        <v>0.75</v>
      </c>
      <c r="M292" s="309">
        <f t="shared" si="25"/>
        <v>0.78</v>
      </c>
      <c r="N292" s="310">
        <f t="shared" si="26"/>
        <v>3.14</v>
      </c>
      <c r="O292" s="310">
        <f t="shared" si="27"/>
        <v>3.14</v>
      </c>
      <c r="P292" s="310">
        <f t="shared" si="28"/>
        <v>0</v>
      </c>
      <c r="Q292" s="311">
        <f t="shared" si="29"/>
        <v>0.45932823976348985</v>
      </c>
      <c r="V292" s="312" t="str">
        <f>PE_aug!AP281</f>
        <v>Kläranlagen</v>
      </c>
    </row>
    <row r="293" spans="1:22">
      <c r="A293" s="225" t="s">
        <v>338</v>
      </c>
      <c r="H293">
        <v>0.98899999999999999</v>
      </c>
      <c r="I293">
        <v>0.10199999999999999</v>
      </c>
      <c r="J293">
        <v>9.666640000000001</v>
      </c>
      <c r="K293">
        <v>0.94</v>
      </c>
      <c r="L293" s="308">
        <f t="shared" si="24"/>
        <v>0.33</v>
      </c>
      <c r="M293" s="309">
        <f t="shared" si="25"/>
        <v>0.63500000000000001</v>
      </c>
      <c r="N293" s="310" t="e">
        <f t="shared" si="26"/>
        <v>#DIV/0!</v>
      </c>
      <c r="O293" s="310" t="e">
        <f t="shared" si="27"/>
        <v>#DIV/0!</v>
      </c>
      <c r="P293" s="310" t="e">
        <f t="shared" si="28"/>
        <v>#DIV/0!</v>
      </c>
      <c r="Q293" s="311">
        <f t="shared" si="29"/>
        <v>0</v>
      </c>
      <c r="V293" s="312" t="str">
        <f>PE_aug!AP282</f>
        <v>Kläranlagen</v>
      </c>
    </row>
    <row r="294" spans="1:22">
      <c r="A294" s="225" t="s">
        <v>339</v>
      </c>
      <c r="H294">
        <v>0.70699999999999996</v>
      </c>
      <c r="I294">
        <v>3.9E-2</v>
      </c>
      <c r="J294">
        <v>7.4099700000000004</v>
      </c>
      <c r="K294">
        <v>0.69</v>
      </c>
      <c r="L294" s="308">
        <f t="shared" si="24"/>
        <v>0.33</v>
      </c>
      <c r="M294" s="309">
        <f t="shared" si="25"/>
        <v>0.51</v>
      </c>
      <c r="N294" s="310" t="e">
        <f t="shared" si="26"/>
        <v>#DIV/0!</v>
      </c>
      <c r="O294" s="310" t="e">
        <f t="shared" si="27"/>
        <v>#DIV/0!</v>
      </c>
      <c r="P294" s="310" t="e">
        <f t="shared" si="28"/>
        <v>#DIV/0!</v>
      </c>
      <c r="Q294" s="311">
        <f t="shared" si="29"/>
        <v>0</v>
      </c>
      <c r="V294" s="312" t="str">
        <f>PE_aug!AP283</f>
        <v>Kläranlagen</v>
      </c>
    </row>
    <row r="295" spans="1:22">
      <c r="A295" s="225" t="s">
        <v>340</v>
      </c>
      <c r="H295">
        <v>0.70699999999999996</v>
      </c>
      <c r="I295">
        <v>3.9E-2</v>
      </c>
      <c r="J295">
        <v>8.2233499999999999</v>
      </c>
      <c r="K295">
        <v>0.69</v>
      </c>
      <c r="L295" s="308">
        <f t="shared" si="24"/>
        <v>0.33</v>
      </c>
      <c r="M295" s="309">
        <f t="shared" si="25"/>
        <v>0.51</v>
      </c>
      <c r="N295" s="310" t="e">
        <f t="shared" si="26"/>
        <v>#DIV/0!</v>
      </c>
      <c r="O295" s="310" t="e">
        <f t="shared" si="27"/>
        <v>#DIV/0!</v>
      </c>
      <c r="P295" s="310" t="e">
        <f t="shared" si="28"/>
        <v>#DIV/0!</v>
      </c>
      <c r="Q295" s="311">
        <f t="shared" si="29"/>
        <v>0</v>
      </c>
      <c r="V295" s="312" t="str">
        <f>PE_aug!AP284</f>
        <v>Kläranlagen</v>
      </c>
    </row>
    <row r="296" spans="1:22">
      <c r="A296" s="226" t="s">
        <v>560</v>
      </c>
      <c r="H296">
        <v>0.65800000000000003</v>
      </c>
      <c r="I296">
        <v>5.3999999999999999E-2</v>
      </c>
      <c r="J296">
        <v>12.948399999999999</v>
      </c>
      <c r="K296">
        <v>0.69</v>
      </c>
      <c r="L296" s="308">
        <f t="shared" si="24"/>
        <v>0.33</v>
      </c>
      <c r="M296" s="309">
        <f t="shared" si="25"/>
        <v>0.51</v>
      </c>
      <c r="N296" s="310" t="e">
        <f t="shared" si="26"/>
        <v>#DIV/0!</v>
      </c>
      <c r="O296" s="310" t="e">
        <f t="shared" si="27"/>
        <v>#DIV/0!</v>
      </c>
      <c r="P296" s="310" t="e">
        <f t="shared" si="28"/>
        <v>#DIV/0!</v>
      </c>
      <c r="Q296" s="311">
        <f t="shared" si="29"/>
        <v>0</v>
      </c>
      <c r="V296" s="312" t="str">
        <f>PE_aug!AP285</f>
        <v>Ringversuch</v>
      </c>
    </row>
    <row r="297" spans="1:22">
      <c r="A297" s="226" t="s">
        <v>561</v>
      </c>
      <c r="H297">
        <v>0.54</v>
      </c>
      <c r="I297">
        <v>5.3999999999999999E-2</v>
      </c>
      <c r="J297">
        <v>12.1568</v>
      </c>
      <c r="K297">
        <v>0.81</v>
      </c>
      <c r="L297" s="308">
        <f t="shared" si="24"/>
        <v>0.33</v>
      </c>
      <c r="M297" s="309">
        <f t="shared" si="25"/>
        <v>0.57000000000000006</v>
      </c>
      <c r="N297" s="310" t="e">
        <f t="shared" si="26"/>
        <v>#DIV/0!</v>
      </c>
      <c r="O297" s="310" t="e">
        <f t="shared" si="27"/>
        <v>#DIV/0!</v>
      </c>
      <c r="P297" s="310" t="e">
        <f t="shared" si="28"/>
        <v>#DIV/0!</v>
      </c>
      <c r="Q297" s="311">
        <f t="shared" si="29"/>
        <v>0</v>
      </c>
      <c r="V297" s="312" t="str">
        <f>PE_aug!AP286</f>
        <v>Ringversuch</v>
      </c>
    </row>
    <row r="298" spans="1:22">
      <c r="A298" s="226" t="s">
        <v>562</v>
      </c>
      <c r="H298">
        <v>1.002</v>
      </c>
      <c r="I298">
        <v>5.3999999999999999E-2</v>
      </c>
      <c r="J298">
        <v>10.7057</v>
      </c>
      <c r="K298">
        <v>0.81</v>
      </c>
      <c r="L298" s="308">
        <f t="shared" si="24"/>
        <v>0.33</v>
      </c>
      <c r="M298" s="309">
        <f t="shared" si="25"/>
        <v>0.57000000000000006</v>
      </c>
      <c r="N298" s="310" t="e">
        <f t="shared" si="26"/>
        <v>#DIV/0!</v>
      </c>
      <c r="O298" s="310" t="e">
        <f t="shared" si="27"/>
        <v>#DIV/0!</v>
      </c>
      <c r="P298" s="310" t="e">
        <f t="shared" si="28"/>
        <v>#DIV/0!</v>
      </c>
      <c r="Q298" s="311">
        <f t="shared" si="29"/>
        <v>0</v>
      </c>
      <c r="V298" s="312" t="str">
        <f>PE_aug!AP287</f>
        <v>Ringversuch</v>
      </c>
    </row>
    <row r="299" spans="1:22">
      <c r="A299" s="226" t="s">
        <v>563</v>
      </c>
      <c r="J299">
        <v>3.8606199999999991</v>
      </c>
      <c r="K299">
        <v>0.69</v>
      </c>
      <c r="L299" s="308">
        <f t="shared" si="24"/>
        <v>0.33</v>
      </c>
      <c r="M299" s="309">
        <f t="shared" si="25"/>
        <v>0.51</v>
      </c>
      <c r="N299" s="310" t="e">
        <f t="shared" si="26"/>
        <v>#DIV/0!</v>
      </c>
      <c r="O299" s="310" t="e">
        <f t="shared" si="27"/>
        <v>#DIV/0!</v>
      </c>
      <c r="P299" s="310" t="e">
        <f t="shared" si="28"/>
        <v>#DIV/0!</v>
      </c>
      <c r="Q299" s="311">
        <f t="shared" si="29"/>
        <v>0</v>
      </c>
      <c r="V299" s="312" t="str">
        <f>PE_aug!AP288</f>
        <v>Ringversuch</v>
      </c>
    </row>
    <row r="300" spans="1:22">
      <c r="A300" s="226" t="s">
        <v>564</v>
      </c>
      <c r="J300">
        <v>4.9999699999999994</v>
      </c>
      <c r="K300">
        <v>0.69</v>
      </c>
      <c r="L300" s="308">
        <f t="shared" si="24"/>
        <v>0.33</v>
      </c>
      <c r="M300" s="309">
        <f t="shared" si="25"/>
        <v>0.51</v>
      </c>
      <c r="N300" s="310" t="e">
        <f t="shared" si="26"/>
        <v>#DIV/0!</v>
      </c>
      <c r="O300" s="310" t="e">
        <f t="shared" si="27"/>
        <v>#DIV/0!</v>
      </c>
      <c r="P300" s="310" t="e">
        <f t="shared" si="28"/>
        <v>#DIV/0!</v>
      </c>
      <c r="Q300" s="311">
        <f t="shared" si="29"/>
        <v>0</v>
      </c>
      <c r="V300" s="312" t="str">
        <f>PE_aug!AP289</f>
        <v>Ringversuch</v>
      </c>
    </row>
    <row r="301" spans="1:22">
      <c r="A301" s="226" t="s">
        <v>565</v>
      </c>
      <c r="J301">
        <v>2.4472399999999999</v>
      </c>
      <c r="K301">
        <v>0.69</v>
      </c>
      <c r="L301" s="308">
        <f t="shared" si="24"/>
        <v>0.33</v>
      </c>
      <c r="M301" s="309">
        <f t="shared" si="25"/>
        <v>0.51</v>
      </c>
      <c r="N301" s="310" t="e">
        <f t="shared" si="26"/>
        <v>#DIV/0!</v>
      </c>
      <c r="O301" s="310" t="e">
        <f t="shared" si="27"/>
        <v>#DIV/0!</v>
      </c>
      <c r="P301" s="310" t="e">
        <f t="shared" si="28"/>
        <v>#DIV/0!</v>
      </c>
      <c r="Q301" s="311">
        <f t="shared" si="29"/>
        <v>0</v>
      </c>
      <c r="V301" s="312" t="str">
        <f>PE_aug!AP290</f>
        <v>Ringversuch</v>
      </c>
    </row>
    <row r="302" spans="1:22">
      <c r="A302" s="226" t="s">
        <v>566</v>
      </c>
      <c r="J302">
        <v>5.4399699999999998</v>
      </c>
      <c r="K302">
        <v>0.81</v>
      </c>
      <c r="L302" s="308">
        <f t="shared" si="24"/>
        <v>0.33</v>
      </c>
      <c r="M302" s="309">
        <f t="shared" si="25"/>
        <v>0.57000000000000006</v>
      </c>
      <c r="N302" s="310" t="e">
        <f t="shared" si="26"/>
        <v>#DIV/0!</v>
      </c>
      <c r="O302" s="310" t="e">
        <f t="shared" si="27"/>
        <v>#DIV/0!</v>
      </c>
      <c r="P302" s="310" t="e">
        <f t="shared" si="28"/>
        <v>#DIV/0!</v>
      </c>
      <c r="Q302" s="311">
        <f t="shared" si="29"/>
        <v>0</v>
      </c>
      <c r="V302" s="312" t="str">
        <f>PE_aug!AP291</f>
        <v>Ringversuch</v>
      </c>
    </row>
    <row r="303" spans="1:22">
      <c r="A303" s="226" t="s">
        <v>567</v>
      </c>
      <c r="B303">
        <v>9.24</v>
      </c>
      <c r="C303">
        <v>9.4700000000000006</v>
      </c>
      <c r="E303" s="306">
        <v>9.24</v>
      </c>
      <c r="F303">
        <v>9.4700000000000006</v>
      </c>
      <c r="J303">
        <v>3.875</v>
      </c>
      <c r="K303">
        <v>0.81</v>
      </c>
      <c r="L303" s="308">
        <f t="shared" si="24"/>
        <v>0.75</v>
      </c>
      <c r="M303" s="309">
        <f t="shared" si="25"/>
        <v>0.78</v>
      </c>
      <c r="N303" s="310">
        <f t="shared" si="26"/>
        <v>9.3550000000000004</v>
      </c>
      <c r="O303" s="310">
        <f t="shared" si="27"/>
        <v>9.4700000000000006</v>
      </c>
      <c r="P303" s="310">
        <f t="shared" si="28"/>
        <v>0</v>
      </c>
      <c r="Q303" s="311">
        <f t="shared" si="29"/>
        <v>2.4438709677419355</v>
      </c>
      <c r="S303">
        <v>15</v>
      </c>
      <c r="T303" s="309">
        <f>100*O303/S303</f>
        <v>63.13333333333334</v>
      </c>
      <c r="U303" s="309">
        <f>100*(N303/S303)</f>
        <v>62.366666666666667</v>
      </c>
      <c r="V303" s="312" t="str">
        <f>PE_aug!AP292</f>
        <v>Ringversuch</v>
      </c>
    </row>
    <row r="304" spans="1:22">
      <c r="A304" s="226" t="s">
        <v>350</v>
      </c>
      <c r="B304">
        <v>11.01</v>
      </c>
      <c r="C304">
        <v>22.03</v>
      </c>
      <c r="D304">
        <v>93.68</v>
      </c>
      <c r="E304" s="306">
        <v>11.01</v>
      </c>
      <c r="F304">
        <v>22.03</v>
      </c>
      <c r="J304">
        <v>4.3691700000000004</v>
      </c>
      <c r="K304">
        <v>0.69</v>
      </c>
      <c r="L304" s="308">
        <f t="shared" si="24"/>
        <v>0.75</v>
      </c>
      <c r="M304" s="309">
        <f t="shared" si="25"/>
        <v>0.72</v>
      </c>
      <c r="N304" s="310">
        <f t="shared" si="26"/>
        <v>16.52</v>
      </c>
      <c r="O304" s="310">
        <f t="shared" si="27"/>
        <v>22.03</v>
      </c>
      <c r="P304" s="310">
        <f t="shared" si="28"/>
        <v>0</v>
      </c>
      <c r="Q304" s="311">
        <f t="shared" si="29"/>
        <v>5.0421475932499762</v>
      </c>
      <c r="S304">
        <v>20</v>
      </c>
      <c r="T304" s="309">
        <f>100*O304/S304</f>
        <v>110.15</v>
      </c>
      <c r="U304" s="309">
        <f>100*N304/S304</f>
        <v>82.6</v>
      </c>
      <c r="V304" s="312" t="str">
        <f>PE_aug!AP293</f>
        <v>Kläranlagen, Methode</v>
      </c>
    </row>
    <row r="305" spans="1:22">
      <c r="A305" s="226" t="s">
        <v>351</v>
      </c>
      <c r="H305">
        <v>0.70699999999999996</v>
      </c>
      <c r="I305">
        <v>3.9E-2</v>
      </c>
      <c r="J305">
        <v>3.71591</v>
      </c>
      <c r="K305">
        <v>0.44</v>
      </c>
      <c r="L305" s="308">
        <f t="shared" si="24"/>
        <v>0.33</v>
      </c>
      <c r="M305" s="309">
        <f t="shared" si="25"/>
        <v>0.38500000000000001</v>
      </c>
      <c r="N305" s="310" t="e">
        <f t="shared" si="26"/>
        <v>#DIV/0!</v>
      </c>
      <c r="O305" s="310" t="e">
        <f t="shared" si="27"/>
        <v>#DIV/0!</v>
      </c>
      <c r="P305" s="310" t="e">
        <f t="shared" si="28"/>
        <v>#DIV/0!</v>
      </c>
      <c r="Q305" s="311">
        <f t="shared" si="29"/>
        <v>0</v>
      </c>
      <c r="V305" s="312" t="str">
        <f>PE_aug!AP294</f>
        <v>KWB</v>
      </c>
    </row>
    <row r="306" spans="1:22">
      <c r="A306" s="226" t="s">
        <v>352</v>
      </c>
      <c r="H306">
        <v>0.70699999999999996</v>
      </c>
      <c r="I306">
        <v>3.9E-2</v>
      </c>
      <c r="J306">
        <v>3.9680499999999999</v>
      </c>
      <c r="K306">
        <v>0.44</v>
      </c>
      <c r="L306" s="308">
        <f t="shared" si="24"/>
        <v>0.33</v>
      </c>
      <c r="M306" s="309">
        <f t="shared" si="25"/>
        <v>0.38500000000000001</v>
      </c>
      <c r="N306" s="310" t="e">
        <f t="shared" si="26"/>
        <v>#DIV/0!</v>
      </c>
      <c r="O306" s="310" t="e">
        <f t="shared" si="27"/>
        <v>#DIV/0!</v>
      </c>
      <c r="P306" s="310" t="e">
        <f t="shared" si="28"/>
        <v>#DIV/0!</v>
      </c>
      <c r="Q306" s="311">
        <f t="shared" si="29"/>
        <v>0</v>
      </c>
      <c r="V306" s="312" t="str">
        <f>PE_aug!AP295</f>
        <v>KWB</v>
      </c>
    </row>
    <row r="307" spans="1:22">
      <c r="A307" s="226" t="s">
        <v>353</v>
      </c>
      <c r="H307">
        <v>0.70699999999999996</v>
      </c>
      <c r="I307">
        <v>2.492</v>
      </c>
      <c r="J307">
        <v>1.542055</v>
      </c>
      <c r="K307">
        <v>0.5</v>
      </c>
      <c r="L307" s="308">
        <f t="shared" si="24"/>
        <v>0.33</v>
      </c>
      <c r="M307" s="309">
        <f t="shared" si="25"/>
        <v>0.41500000000000004</v>
      </c>
      <c r="N307" s="310" t="e">
        <f t="shared" si="26"/>
        <v>#DIV/0!</v>
      </c>
      <c r="O307" s="310" t="e">
        <f t="shared" si="27"/>
        <v>#DIV/0!</v>
      </c>
      <c r="P307" s="310" t="e">
        <f t="shared" si="28"/>
        <v>#DIV/0!</v>
      </c>
      <c r="Q307" s="311">
        <f t="shared" si="29"/>
        <v>0</v>
      </c>
      <c r="V307" s="312" t="str">
        <f>PE_aug!AP296</f>
        <v>Bodenproben</v>
      </c>
    </row>
    <row r="308" spans="1:22">
      <c r="A308" s="226" t="s">
        <v>355</v>
      </c>
      <c r="H308">
        <v>0.70699999999999996</v>
      </c>
      <c r="I308">
        <v>2.492</v>
      </c>
      <c r="J308">
        <v>0.66962800000000011</v>
      </c>
      <c r="K308">
        <v>0.5</v>
      </c>
      <c r="L308" s="308">
        <f t="shared" si="24"/>
        <v>0.33</v>
      </c>
      <c r="M308" s="309">
        <f t="shared" si="25"/>
        <v>0.41500000000000004</v>
      </c>
      <c r="N308" s="310" t="e">
        <f t="shared" si="26"/>
        <v>#DIV/0!</v>
      </c>
      <c r="O308" s="310" t="e">
        <f t="shared" si="27"/>
        <v>#DIV/0!</v>
      </c>
      <c r="P308" s="310" t="e">
        <f t="shared" si="28"/>
        <v>#DIV/0!</v>
      </c>
      <c r="Q308" s="311">
        <f t="shared" si="29"/>
        <v>0</v>
      </c>
      <c r="V308" s="312" t="str">
        <f>PE_aug!AP297</f>
        <v>Bodenproben</v>
      </c>
    </row>
    <row r="309" spans="1:22">
      <c r="A309" s="226" t="s">
        <v>356</v>
      </c>
      <c r="H309">
        <v>0.749</v>
      </c>
      <c r="I309">
        <v>2.9000000000000001E-2</v>
      </c>
      <c r="J309">
        <v>6.9847100000000006</v>
      </c>
      <c r="K309">
        <v>0.56000000000000005</v>
      </c>
      <c r="L309" s="308">
        <f t="shared" si="24"/>
        <v>0.33</v>
      </c>
      <c r="M309" s="309">
        <f t="shared" si="25"/>
        <v>0.44500000000000006</v>
      </c>
      <c r="N309" s="310" t="e">
        <f t="shared" si="26"/>
        <v>#DIV/0!</v>
      </c>
      <c r="O309" s="310" t="e">
        <f t="shared" si="27"/>
        <v>#DIV/0!</v>
      </c>
      <c r="P309" s="310" t="e">
        <f t="shared" si="28"/>
        <v>#DIV/0!</v>
      </c>
      <c r="Q309" s="311">
        <f t="shared" si="29"/>
        <v>0</v>
      </c>
      <c r="V309" s="312" t="str">
        <f>PE_aug!AP298</f>
        <v>Kläranlagen</v>
      </c>
    </row>
    <row r="310" spans="1:22">
      <c r="A310" s="226" t="s">
        <v>357</v>
      </c>
      <c r="H310">
        <v>0.59899999999999998</v>
      </c>
      <c r="I310">
        <v>2.9000000000000001E-2</v>
      </c>
      <c r="J310">
        <v>7.3604950000000002</v>
      </c>
      <c r="K310">
        <v>0.69</v>
      </c>
      <c r="L310" s="308">
        <f t="shared" si="24"/>
        <v>0.33</v>
      </c>
      <c r="M310" s="309">
        <f t="shared" si="25"/>
        <v>0.51</v>
      </c>
      <c r="N310" s="310" t="e">
        <f t="shared" si="26"/>
        <v>#DIV/0!</v>
      </c>
      <c r="O310" s="310" t="e">
        <f t="shared" si="27"/>
        <v>#DIV/0!</v>
      </c>
      <c r="P310" s="310" t="e">
        <f t="shared" si="28"/>
        <v>#DIV/0!</v>
      </c>
      <c r="Q310" s="311">
        <f t="shared" si="29"/>
        <v>0</v>
      </c>
      <c r="V310" s="312" t="str">
        <f>PE_aug!AP299</f>
        <v>Kläranlagen</v>
      </c>
    </row>
    <row r="311" spans="1:22">
      <c r="A311" s="226" t="s">
        <v>358</v>
      </c>
      <c r="H311">
        <v>0.88700000000000001</v>
      </c>
      <c r="I311">
        <v>2.9000000000000001E-2</v>
      </c>
      <c r="J311">
        <v>7.2579799999999999</v>
      </c>
      <c r="K311">
        <v>0.69</v>
      </c>
      <c r="L311" s="308">
        <f t="shared" si="24"/>
        <v>0.33</v>
      </c>
      <c r="M311" s="309">
        <f t="shared" si="25"/>
        <v>0.51</v>
      </c>
      <c r="N311" s="310" t="e">
        <f t="shared" si="26"/>
        <v>#DIV/0!</v>
      </c>
      <c r="O311" s="310" t="e">
        <f t="shared" si="27"/>
        <v>#DIV/0!</v>
      </c>
      <c r="P311" s="310" t="e">
        <f t="shared" si="28"/>
        <v>#DIV/0!</v>
      </c>
      <c r="Q311" s="311">
        <f t="shared" si="29"/>
        <v>0</v>
      </c>
      <c r="V311" s="312" t="str">
        <f>PE_aug!AP300</f>
        <v>Kläranlagen</v>
      </c>
    </row>
    <row r="312" spans="1:22">
      <c r="A312" s="226" t="s">
        <v>359</v>
      </c>
      <c r="J312">
        <v>7.8634899999999996</v>
      </c>
      <c r="K312">
        <v>0.81</v>
      </c>
      <c r="L312" s="308">
        <f t="shared" si="24"/>
        <v>0.33</v>
      </c>
      <c r="M312" s="309">
        <f t="shared" si="25"/>
        <v>0.57000000000000006</v>
      </c>
      <c r="N312" s="310" t="e">
        <f t="shared" si="26"/>
        <v>#DIV/0!</v>
      </c>
      <c r="O312" s="310" t="e">
        <f t="shared" si="27"/>
        <v>#DIV/0!</v>
      </c>
      <c r="P312" s="310" t="e">
        <f t="shared" si="28"/>
        <v>#DIV/0!</v>
      </c>
      <c r="Q312" s="311">
        <f t="shared" si="29"/>
        <v>0</v>
      </c>
      <c r="V312" s="312" t="str">
        <f>PE_aug!AP301</f>
        <v>Kläranlagen, Methode</v>
      </c>
    </row>
    <row r="313" spans="1:22">
      <c r="A313" s="233" t="s">
        <v>360</v>
      </c>
      <c r="H313">
        <v>0.54</v>
      </c>
      <c r="I313">
        <v>5.3999999999999999E-2</v>
      </c>
      <c r="J313">
        <v>12.1568</v>
      </c>
      <c r="K313">
        <v>0.76</v>
      </c>
      <c r="L313" s="308">
        <f t="shared" si="24"/>
        <v>0.33</v>
      </c>
      <c r="M313" s="309">
        <f t="shared" si="25"/>
        <v>0.54500000000000004</v>
      </c>
      <c r="N313" s="310" t="e">
        <f t="shared" si="26"/>
        <v>#DIV/0!</v>
      </c>
      <c r="O313" s="310" t="e">
        <f t="shared" si="27"/>
        <v>#DIV/0!</v>
      </c>
      <c r="P313" s="310" t="e">
        <f t="shared" si="28"/>
        <v>#DIV/0!</v>
      </c>
      <c r="Q313" s="311">
        <f t="shared" si="29"/>
        <v>0</v>
      </c>
      <c r="V313" s="312" t="str">
        <f>PE_aug!AP302</f>
        <v>Ringversuch</v>
      </c>
    </row>
    <row r="314" spans="1:22">
      <c r="A314" s="233" t="s">
        <v>361</v>
      </c>
      <c r="H314">
        <v>1.002</v>
      </c>
      <c r="I314">
        <v>5.3999999999999999E-2</v>
      </c>
      <c r="J314">
        <v>10.7057</v>
      </c>
      <c r="K314">
        <v>0.76</v>
      </c>
      <c r="L314" s="308">
        <f t="shared" si="24"/>
        <v>0.33</v>
      </c>
      <c r="M314" s="309">
        <f t="shared" si="25"/>
        <v>0.54500000000000004</v>
      </c>
      <c r="N314" s="310" t="e">
        <f t="shared" si="26"/>
        <v>#DIV/0!</v>
      </c>
      <c r="O314" s="310" t="e">
        <f t="shared" si="27"/>
        <v>#DIV/0!</v>
      </c>
      <c r="P314" s="310" t="e">
        <f t="shared" si="28"/>
        <v>#DIV/0!</v>
      </c>
      <c r="Q314" s="311">
        <f t="shared" si="29"/>
        <v>0</v>
      </c>
      <c r="V314" s="312" t="str">
        <f>PE_aug!AP303</f>
        <v>Ringversuch</v>
      </c>
    </row>
    <row r="315" spans="1:22">
      <c r="A315" s="233" t="s">
        <v>362</v>
      </c>
      <c r="C315">
        <v>6.74</v>
      </c>
      <c r="F315">
        <v>6.74</v>
      </c>
      <c r="I315" s="307"/>
      <c r="J315">
        <v>3.8606199999999991</v>
      </c>
      <c r="K315">
        <v>0.56000000000000005</v>
      </c>
      <c r="L315" s="308">
        <f t="shared" si="24"/>
        <v>0.75</v>
      </c>
      <c r="M315" s="309">
        <f t="shared" si="25"/>
        <v>0.65500000000000003</v>
      </c>
      <c r="N315" s="310">
        <f t="shared" si="26"/>
        <v>6.74</v>
      </c>
      <c r="O315" s="310">
        <f t="shared" si="27"/>
        <v>6.74</v>
      </c>
      <c r="P315" s="310">
        <f t="shared" si="28"/>
        <v>0</v>
      </c>
      <c r="Q315" s="311">
        <f t="shared" si="29"/>
        <v>1.7458335707736068</v>
      </c>
      <c r="T315" s="309"/>
      <c r="U315" s="309"/>
      <c r="V315" s="312" t="str">
        <f>PE_aug!AP304</f>
        <v>Ringversuch</v>
      </c>
    </row>
    <row r="316" spans="1:22">
      <c r="A316" s="233" t="s">
        <v>363</v>
      </c>
      <c r="I316" s="307"/>
      <c r="J316">
        <v>4.9999699999999994</v>
      </c>
      <c r="K316">
        <v>0.61</v>
      </c>
      <c r="L316" s="308">
        <f t="shared" si="24"/>
        <v>0.33</v>
      </c>
      <c r="M316" s="309">
        <f t="shared" si="25"/>
        <v>0.47</v>
      </c>
      <c r="N316" s="310" t="e">
        <f t="shared" si="26"/>
        <v>#DIV/0!</v>
      </c>
      <c r="O316" s="310" t="e">
        <f t="shared" si="27"/>
        <v>#DIV/0!</v>
      </c>
      <c r="P316" s="310" t="e">
        <f t="shared" si="28"/>
        <v>#DIV/0!</v>
      </c>
      <c r="Q316" s="311">
        <f t="shared" si="29"/>
        <v>0</v>
      </c>
      <c r="V316" s="312" t="str">
        <f>PE_aug!AP305</f>
        <v>Ringversuch</v>
      </c>
    </row>
    <row r="317" spans="1:22">
      <c r="A317" s="233" t="s">
        <v>364</v>
      </c>
      <c r="I317" s="307"/>
      <c r="J317">
        <v>2.4472399999999999</v>
      </c>
      <c r="K317">
        <v>0.69</v>
      </c>
      <c r="L317" s="308">
        <f t="shared" si="24"/>
        <v>0.33</v>
      </c>
      <c r="M317" s="309">
        <f t="shared" si="25"/>
        <v>0.51</v>
      </c>
      <c r="N317" s="310" t="e">
        <f t="shared" si="26"/>
        <v>#DIV/0!</v>
      </c>
      <c r="O317" s="310" t="e">
        <f t="shared" si="27"/>
        <v>#DIV/0!</v>
      </c>
      <c r="P317" s="310" t="e">
        <f t="shared" si="28"/>
        <v>#DIV/0!</v>
      </c>
      <c r="Q317" s="311">
        <f t="shared" si="29"/>
        <v>0</v>
      </c>
      <c r="V317" s="312" t="str">
        <f>PE_aug!AP306</f>
        <v>Ringversuch</v>
      </c>
    </row>
    <row r="318" spans="1:22">
      <c r="A318" s="233" t="s">
        <v>365</v>
      </c>
      <c r="I318" s="307"/>
      <c r="J318">
        <v>5.4399699999999998</v>
      </c>
      <c r="K318">
        <v>0.74</v>
      </c>
      <c r="L318" s="308">
        <f t="shared" si="24"/>
        <v>0.33</v>
      </c>
      <c r="M318" s="309">
        <f t="shared" si="25"/>
        <v>0.53500000000000003</v>
      </c>
      <c r="N318" s="310" t="e">
        <f t="shared" si="26"/>
        <v>#DIV/0!</v>
      </c>
      <c r="O318" s="310" t="e">
        <f t="shared" si="27"/>
        <v>#DIV/0!</v>
      </c>
      <c r="P318" s="310" t="e">
        <f t="shared" si="28"/>
        <v>#DIV/0!</v>
      </c>
      <c r="Q318" s="311">
        <f t="shared" si="29"/>
        <v>0</v>
      </c>
      <c r="V318" s="312" t="str">
        <f>PE_aug!AP307</f>
        <v>Ringversuch</v>
      </c>
    </row>
    <row r="319" spans="1:22">
      <c r="A319" s="233" t="s">
        <v>366</v>
      </c>
      <c r="B319">
        <v>9.24</v>
      </c>
      <c r="C319">
        <v>9.4700000000000006</v>
      </c>
      <c r="E319" s="306">
        <v>9.24</v>
      </c>
      <c r="F319">
        <v>9.4700000000000006</v>
      </c>
      <c r="I319" s="307"/>
      <c r="J319">
        <v>3.875</v>
      </c>
      <c r="K319">
        <v>0.81</v>
      </c>
      <c r="L319" s="308">
        <f t="shared" si="24"/>
        <v>0.75</v>
      </c>
      <c r="M319" s="309">
        <f t="shared" si="25"/>
        <v>0.78</v>
      </c>
      <c r="N319" s="310">
        <f t="shared" si="26"/>
        <v>9.3550000000000004</v>
      </c>
      <c r="O319" s="310">
        <f t="shared" si="27"/>
        <v>9.4700000000000006</v>
      </c>
      <c r="P319" s="310">
        <f t="shared" si="28"/>
        <v>0</v>
      </c>
      <c r="Q319" s="311">
        <f t="shared" si="29"/>
        <v>2.4438709677419355</v>
      </c>
      <c r="S319">
        <v>15</v>
      </c>
      <c r="T319" s="309">
        <f>100*O319/S319</f>
        <v>63.13333333333334</v>
      </c>
      <c r="U319" s="309">
        <f>100*(N319/S319)</f>
        <v>62.366666666666667</v>
      </c>
      <c r="V319" s="312" t="str">
        <f>PE_aug!AP308</f>
        <v>Ringversuch</v>
      </c>
    </row>
    <row r="320" spans="1:22">
      <c r="A320" s="251" t="s">
        <v>367</v>
      </c>
      <c r="H320">
        <v>1.091</v>
      </c>
      <c r="I320">
        <v>6.7000000000000004E-2</v>
      </c>
      <c r="J320">
        <v>9.286525000000001</v>
      </c>
      <c r="K320">
        <v>0.56000000000000005</v>
      </c>
      <c r="L320" s="308">
        <f t="shared" si="24"/>
        <v>0.33</v>
      </c>
      <c r="M320" s="309">
        <f t="shared" si="25"/>
        <v>0.44500000000000006</v>
      </c>
      <c r="N320" s="310" t="e">
        <f t="shared" si="26"/>
        <v>#DIV/0!</v>
      </c>
      <c r="O320" s="310" t="e">
        <f t="shared" si="27"/>
        <v>#DIV/0!</v>
      </c>
      <c r="P320" s="310" t="e">
        <f t="shared" si="28"/>
        <v>#DIV/0!</v>
      </c>
      <c r="Q320" s="311">
        <f t="shared" si="29"/>
        <v>0</v>
      </c>
      <c r="V320" s="312" t="str">
        <f>PE_aug!AP309</f>
        <v>Flussproben</v>
      </c>
    </row>
    <row r="321" spans="1:22">
      <c r="A321" s="251" t="s">
        <v>368</v>
      </c>
      <c r="H321">
        <v>0.60099999999999998</v>
      </c>
      <c r="I321">
        <v>6.7000000000000004E-2</v>
      </c>
      <c r="J321">
        <v>12.251099999999999</v>
      </c>
      <c r="K321">
        <v>0.56000000000000005</v>
      </c>
      <c r="L321" s="308">
        <f t="shared" si="24"/>
        <v>0.33</v>
      </c>
      <c r="M321" s="309">
        <f t="shared" si="25"/>
        <v>0.44500000000000006</v>
      </c>
      <c r="N321" s="310" t="e">
        <f t="shared" si="26"/>
        <v>#DIV/0!</v>
      </c>
      <c r="O321" s="310" t="e">
        <f t="shared" si="27"/>
        <v>#DIV/0!</v>
      </c>
      <c r="P321" s="310" t="e">
        <f t="shared" si="28"/>
        <v>#DIV/0!</v>
      </c>
      <c r="Q321" s="311">
        <f t="shared" si="29"/>
        <v>0</v>
      </c>
      <c r="V321" s="312" t="str">
        <f>PE_aug!AP310</f>
        <v>Flussproben</v>
      </c>
    </row>
    <row r="322" spans="1:22">
      <c r="A322" s="251" t="s">
        <v>369</v>
      </c>
      <c r="H322">
        <v>0.51500000000000001</v>
      </c>
      <c r="I322">
        <v>6.7000000000000004E-2</v>
      </c>
      <c r="J322">
        <v>12.615600000000001</v>
      </c>
      <c r="K322">
        <v>0.56000000000000005</v>
      </c>
      <c r="L322" s="308">
        <f t="shared" ref="L322:L385" si="30">IF(COUNT(F322:G322)&lt;1,0.33,((COUNT(F322:G322)*(1/(COUNT(F322:G322)+COUNTBLANK(F322:G322)))+(IF(P322&lt;35,1,IF(P322&lt;70,0.5,IF(P322&gt;70,0)))))/2))</f>
        <v>0.33</v>
      </c>
      <c r="M322" s="309">
        <f t="shared" ref="M322:M385" si="31">AVERAGE(K322:L322)</f>
        <v>0.44500000000000006</v>
      </c>
      <c r="N322" s="310" t="e">
        <f t="shared" ref="N322:N385" si="32">AVERAGE(E322:G322)</f>
        <v>#DIV/0!</v>
      </c>
      <c r="O322" s="310" t="e">
        <f t="shared" ref="O322:O385" si="33">AVERAGE(F322:G322)</f>
        <v>#DIV/0!</v>
      </c>
      <c r="P322" s="310" t="e">
        <f t="shared" ref="P322:P385" si="34">(MAX(F322:G322)-MIN(F322:G322))/O322*100</f>
        <v>#DIV/0!</v>
      </c>
      <c r="Q322" s="311">
        <f t="shared" ref="Q322:Q385" si="35">IFERROR(O322/J322,0)</f>
        <v>0</v>
      </c>
      <c r="V322" s="312" t="str">
        <f>PE_aug!AP311</f>
        <v>Flussproben</v>
      </c>
    </row>
    <row r="323" spans="1:22">
      <c r="A323" s="251" t="s">
        <v>370</v>
      </c>
      <c r="H323">
        <v>0.97199999999999998</v>
      </c>
      <c r="I323">
        <v>0.105</v>
      </c>
      <c r="J323">
        <v>7.857660000000001</v>
      </c>
      <c r="K323">
        <v>0.69</v>
      </c>
      <c r="L323" s="308">
        <f t="shared" si="30"/>
        <v>0.33</v>
      </c>
      <c r="M323" s="309">
        <f t="shared" si="31"/>
        <v>0.51</v>
      </c>
      <c r="N323" s="310" t="e">
        <f t="shared" si="32"/>
        <v>#DIV/0!</v>
      </c>
      <c r="O323" s="310" t="e">
        <f t="shared" si="33"/>
        <v>#DIV/0!</v>
      </c>
      <c r="P323" s="310" t="e">
        <f t="shared" si="34"/>
        <v>#DIV/0!</v>
      </c>
      <c r="Q323" s="311">
        <f t="shared" si="35"/>
        <v>0</v>
      </c>
      <c r="V323" s="312" t="str">
        <f>PE_aug!AP312</f>
        <v>Flussproben</v>
      </c>
    </row>
    <row r="324" spans="1:22">
      <c r="A324" s="251" t="s">
        <v>371</v>
      </c>
      <c r="H324">
        <v>0.99399999999999999</v>
      </c>
      <c r="I324">
        <v>0.105</v>
      </c>
      <c r="J324">
        <v>14.188499999999999</v>
      </c>
      <c r="K324">
        <v>0.69</v>
      </c>
      <c r="L324" s="308">
        <f t="shared" si="30"/>
        <v>0.33</v>
      </c>
      <c r="M324" s="309">
        <f t="shared" si="31"/>
        <v>0.51</v>
      </c>
      <c r="N324" s="310" t="e">
        <f t="shared" si="32"/>
        <v>#DIV/0!</v>
      </c>
      <c r="O324" s="310" t="e">
        <f t="shared" si="33"/>
        <v>#DIV/0!</v>
      </c>
      <c r="P324" s="310" t="e">
        <f t="shared" si="34"/>
        <v>#DIV/0!</v>
      </c>
      <c r="Q324" s="311">
        <f t="shared" si="35"/>
        <v>0</v>
      </c>
      <c r="V324" s="312" t="str">
        <f>PE_aug!AP313</f>
        <v>Flussproben</v>
      </c>
    </row>
    <row r="325" spans="1:22">
      <c r="A325" s="251" t="s">
        <v>372</v>
      </c>
      <c r="H325">
        <v>0.1</v>
      </c>
      <c r="I325">
        <v>0.105</v>
      </c>
      <c r="J325">
        <v>11.1106</v>
      </c>
      <c r="K325">
        <v>0.69</v>
      </c>
      <c r="L325" s="308">
        <f t="shared" si="30"/>
        <v>0.33</v>
      </c>
      <c r="M325" s="309">
        <f t="shared" si="31"/>
        <v>0.51</v>
      </c>
      <c r="N325" s="310" t="e">
        <f t="shared" si="32"/>
        <v>#DIV/0!</v>
      </c>
      <c r="O325" s="310" t="e">
        <f t="shared" si="33"/>
        <v>#DIV/0!</v>
      </c>
      <c r="P325" s="310" t="e">
        <f t="shared" si="34"/>
        <v>#DIV/0!</v>
      </c>
      <c r="Q325" s="311">
        <f t="shared" si="35"/>
        <v>0</v>
      </c>
      <c r="V325" s="312" t="str">
        <f>PE_aug!AP314</f>
        <v>Flussproben</v>
      </c>
    </row>
    <row r="326" spans="1:22">
      <c r="A326" s="251" t="s">
        <v>373</v>
      </c>
      <c r="H326">
        <v>0.41</v>
      </c>
      <c r="I326">
        <v>2.1000000000000001E-2</v>
      </c>
      <c r="J326">
        <v>7.3926399999999992</v>
      </c>
      <c r="K326">
        <v>0.81</v>
      </c>
      <c r="L326" s="308">
        <f t="shared" si="30"/>
        <v>0.33</v>
      </c>
      <c r="M326" s="309">
        <f t="shared" si="31"/>
        <v>0.57000000000000006</v>
      </c>
      <c r="N326" s="310" t="e">
        <f t="shared" si="32"/>
        <v>#DIV/0!</v>
      </c>
      <c r="O326" s="310" t="e">
        <f t="shared" si="33"/>
        <v>#DIV/0!</v>
      </c>
      <c r="P326" s="310" t="e">
        <f t="shared" si="34"/>
        <v>#DIV/0!</v>
      </c>
      <c r="Q326" s="311">
        <f t="shared" si="35"/>
        <v>0</v>
      </c>
      <c r="V326" s="312" t="str">
        <f>PE_aug!AP315</f>
        <v>Flussproben</v>
      </c>
    </row>
    <row r="327" spans="1:22">
      <c r="A327" s="251" t="s">
        <v>374</v>
      </c>
      <c r="H327">
        <v>0.96</v>
      </c>
      <c r="I327">
        <v>2.1000000000000001E-2</v>
      </c>
      <c r="J327">
        <v>6.2162100000000002</v>
      </c>
      <c r="K327">
        <v>0.56000000000000005</v>
      </c>
      <c r="L327" s="308">
        <f t="shared" si="30"/>
        <v>0.33</v>
      </c>
      <c r="M327" s="309">
        <f t="shared" si="31"/>
        <v>0.44500000000000006</v>
      </c>
      <c r="N327" s="310" t="e">
        <f t="shared" si="32"/>
        <v>#DIV/0!</v>
      </c>
      <c r="O327" s="310" t="e">
        <f t="shared" si="33"/>
        <v>#DIV/0!</v>
      </c>
      <c r="P327" s="310" t="e">
        <f t="shared" si="34"/>
        <v>#DIV/0!</v>
      </c>
      <c r="Q327" s="311">
        <f t="shared" si="35"/>
        <v>0</v>
      </c>
      <c r="V327" s="312" t="str">
        <f>PE_aug!AP316</f>
        <v>Flussproben</v>
      </c>
    </row>
    <row r="328" spans="1:22">
      <c r="A328" s="251" t="s">
        <v>375</v>
      </c>
      <c r="H328">
        <v>0.84199999999999997</v>
      </c>
      <c r="I328">
        <v>2.1000000000000001E-2</v>
      </c>
      <c r="J328">
        <v>7.15618</v>
      </c>
      <c r="K328">
        <v>0.94</v>
      </c>
      <c r="L328" s="308">
        <f t="shared" si="30"/>
        <v>0.33</v>
      </c>
      <c r="M328" s="309">
        <f t="shared" si="31"/>
        <v>0.63500000000000001</v>
      </c>
      <c r="N328" s="310" t="e">
        <f t="shared" si="32"/>
        <v>#DIV/0!</v>
      </c>
      <c r="O328" s="310" t="e">
        <f t="shared" si="33"/>
        <v>#DIV/0!</v>
      </c>
      <c r="P328" s="310" t="e">
        <f t="shared" si="34"/>
        <v>#DIV/0!</v>
      </c>
      <c r="Q328" s="311">
        <f t="shared" si="35"/>
        <v>0</v>
      </c>
      <c r="V328" s="312" t="str">
        <f>PE_aug!AP317</f>
        <v>Flussproben</v>
      </c>
    </row>
    <row r="329" spans="1:22">
      <c r="A329" s="251" t="s">
        <v>376</v>
      </c>
      <c r="H329">
        <v>0.374</v>
      </c>
      <c r="I329">
        <v>4.5999999999999999E-2</v>
      </c>
      <c r="J329">
        <v>8.03186</v>
      </c>
      <c r="K329">
        <v>0.69</v>
      </c>
      <c r="L329" s="308">
        <f t="shared" si="30"/>
        <v>0.33</v>
      </c>
      <c r="M329" s="309">
        <f t="shared" si="31"/>
        <v>0.51</v>
      </c>
      <c r="N329" s="310" t="e">
        <f t="shared" si="32"/>
        <v>#DIV/0!</v>
      </c>
      <c r="O329" s="310" t="e">
        <f t="shared" si="33"/>
        <v>#DIV/0!</v>
      </c>
      <c r="P329" s="310" t="e">
        <f t="shared" si="34"/>
        <v>#DIV/0!</v>
      </c>
      <c r="Q329" s="311">
        <f t="shared" si="35"/>
        <v>0</v>
      </c>
      <c r="V329" s="312" t="str">
        <f>PE_aug!AP318</f>
        <v>Flussproben</v>
      </c>
    </row>
    <row r="330" spans="1:22">
      <c r="A330" s="251" t="s">
        <v>377</v>
      </c>
      <c r="H330">
        <v>0.74099999999999999</v>
      </c>
      <c r="I330">
        <v>4.5999999999999999E-2</v>
      </c>
      <c r="J330">
        <v>8.0254700000000003</v>
      </c>
      <c r="K330">
        <v>0.81</v>
      </c>
      <c r="L330" s="308">
        <f t="shared" si="30"/>
        <v>0.33</v>
      </c>
      <c r="M330" s="309">
        <f t="shared" si="31"/>
        <v>0.57000000000000006</v>
      </c>
      <c r="N330" s="310" t="e">
        <f t="shared" si="32"/>
        <v>#DIV/0!</v>
      </c>
      <c r="O330" s="310" t="e">
        <f t="shared" si="33"/>
        <v>#DIV/0!</v>
      </c>
      <c r="P330" s="310" t="e">
        <f t="shared" si="34"/>
        <v>#DIV/0!</v>
      </c>
      <c r="Q330" s="311">
        <f t="shared" si="35"/>
        <v>0</v>
      </c>
      <c r="V330" s="312" t="str">
        <f>PE_aug!AP319</f>
        <v>Flussproben</v>
      </c>
    </row>
    <row r="331" spans="1:22">
      <c r="A331" s="251" t="s">
        <v>378</v>
      </c>
      <c r="H331">
        <v>1.087</v>
      </c>
      <c r="I331">
        <v>4.5999999999999999E-2</v>
      </c>
      <c r="J331">
        <v>6.2082499999999996</v>
      </c>
      <c r="K331">
        <v>0.81</v>
      </c>
      <c r="L331" s="308">
        <f t="shared" si="30"/>
        <v>0.33</v>
      </c>
      <c r="M331" s="309">
        <f t="shared" si="31"/>
        <v>0.57000000000000006</v>
      </c>
      <c r="N331" s="310" t="e">
        <f t="shared" si="32"/>
        <v>#DIV/0!</v>
      </c>
      <c r="O331" s="310" t="e">
        <f t="shared" si="33"/>
        <v>#DIV/0!</v>
      </c>
      <c r="P331" s="310" t="e">
        <f t="shared" si="34"/>
        <v>#DIV/0!</v>
      </c>
      <c r="Q331" s="311">
        <f t="shared" si="35"/>
        <v>0</v>
      </c>
      <c r="V331" s="312" t="str">
        <f>PE_aug!AP320</f>
        <v>Flussproben</v>
      </c>
    </row>
    <row r="332" spans="1:22">
      <c r="A332" s="251" t="s">
        <v>379</v>
      </c>
      <c r="J332">
        <v>3.4387300000000003E-2</v>
      </c>
      <c r="K332">
        <v>0.5</v>
      </c>
      <c r="L332" s="308">
        <f t="shared" si="30"/>
        <v>0.33</v>
      </c>
      <c r="M332" s="309">
        <f t="shared" si="31"/>
        <v>0.41500000000000004</v>
      </c>
      <c r="N332" s="310" t="e">
        <f t="shared" si="32"/>
        <v>#DIV/0!</v>
      </c>
      <c r="O332" s="310" t="e">
        <f t="shared" si="33"/>
        <v>#DIV/0!</v>
      </c>
      <c r="P332" s="310" t="e">
        <f t="shared" si="34"/>
        <v>#DIV/0!</v>
      </c>
      <c r="Q332" s="311">
        <f t="shared" si="35"/>
        <v>0</v>
      </c>
      <c r="V332" s="312" t="str">
        <f>PE_aug!AP321</f>
        <v>Methode</v>
      </c>
    </row>
    <row r="333" spans="1:22">
      <c r="A333" s="251" t="s">
        <v>380</v>
      </c>
      <c r="H333">
        <v>0.70699999999999996</v>
      </c>
      <c r="I333">
        <v>1.1599999999999999</v>
      </c>
      <c r="J333">
        <v>42.268900000000002</v>
      </c>
      <c r="K333">
        <v>0.69</v>
      </c>
      <c r="L333" s="308">
        <f t="shared" si="30"/>
        <v>0.33</v>
      </c>
      <c r="M333" s="309">
        <f t="shared" si="31"/>
        <v>0.51</v>
      </c>
      <c r="N333" s="310" t="e">
        <f t="shared" si="32"/>
        <v>#DIV/0!</v>
      </c>
      <c r="O333" s="310" t="e">
        <f t="shared" si="33"/>
        <v>#DIV/0!</v>
      </c>
      <c r="P333" s="310" t="e">
        <f t="shared" si="34"/>
        <v>#DIV/0!</v>
      </c>
      <c r="Q333" s="311">
        <f t="shared" si="35"/>
        <v>0</v>
      </c>
      <c r="V333" s="312" t="str">
        <f>PE_aug!AP322</f>
        <v>Straßenabfluss</v>
      </c>
    </row>
    <row r="334" spans="1:22">
      <c r="A334" s="251" t="s">
        <v>382</v>
      </c>
      <c r="H334">
        <v>0.70699999999999996</v>
      </c>
      <c r="I334">
        <v>1.1599999999999999</v>
      </c>
      <c r="J334">
        <v>8.3740100000000002</v>
      </c>
      <c r="K334">
        <v>0.69</v>
      </c>
      <c r="L334" s="308">
        <f t="shared" si="30"/>
        <v>0.33</v>
      </c>
      <c r="M334" s="309">
        <f t="shared" si="31"/>
        <v>0.51</v>
      </c>
      <c r="N334" s="310" t="e">
        <f t="shared" si="32"/>
        <v>#DIV/0!</v>
      </c>
      <c r="O334" s="310" t="e">
        <f t="shared" si="33"/>
        <v>#DIV/0!</v>
      </c>
      <c r="P334" s="310" t="e">
        <f t="shared" si="34"/>
        <v>#DIV/0!</v>
      </c>
      <c r="Q334" s="311">
        <f t="shared" si="35"/>
        <v>0</v>
      </c>
      <c r="V334" s="312" t="str">
        <f>PE_aug!AP323</f>
        <v>Straßenabfluss</v>
      </c>
    </row>
    <row r="335" spans="1:22">
      <c r="A335" s="251" t="s">
        <v>383</v>
      </c>
      <c r="H335">
        <v>0.878</v>
      </c>
      <c r="I335">
        <v>5.1999999999999998E-2</v>
      </c>
      <c r="J335">
        <v>10.1844</v>
      </c>
      <c r="K335">
        <v>0.44</v>
      </c>
      <c r="L335" s="308">
        <f t="shared" si="30"/>
        <v>0.33</v>
      </c>
      <c r="M335" s="309">
        <f t="shared" si="31"/>
        <v>0.38500000000000001</v>
      </c>
      <c r="N335" s="310" t="e">
        <f t="shared" si="32"/>
        <v>#DIV/0!</v>
      </c>
      <c r="O335" s="310" t="e">
        <f t="shared" si="33"/>
        <v>#DIV/0!</v>
      </c>
      <c r="P335" s="310" t="e">
        <f t="shared" si="34"/>
        <v>#DIV/0!</v>
      </c>
      <c r="Q335" s="311">
        <f t="shared" si="35"/>
        <v>0</v>
      </c>
      <c r="V335" s="312" t="str">
        <f>PE_aug!AP324</f>
        <v>Kläranlagen</v>
      </c>
    </row>
    <row r="336" spans="1:22">
      <c r="A336" s="251" t="s">
        <v>384</v>
      </c>
      <c r="H336">
        <v>0.90200000000000002</v>
      </c>
      <c r="I336">
        <v>5.1999999999999998E-2</v>
      </c>
      <c r="J336">
        <v>6.6312749999999996</v>
      </c>
      <c r="K336">
        <v>0.69</v>
      </c>
      <c r="L336" s="308">
        <f t="shared" si="30"/>
        <v>0.33</v>
      </c>
      <c r="M336" s="309">
        <f t="shared" si="31"/>
        <v>0.51</v>
      </c>
      <c r="N336" s="310" t="e">
        <f t="shared" si="32"/>
        <v>#DIV/0!</v>
      </c>
      <c r="O336" s="310" t="e">
        <f t="shared" si="33"/>
        <v>#DIV/0!</v>
      </c>
      <c r="P336" s="310" t="e">
        <f t="shared" si="34"/>
        <v>#DIV/0!</v>
      </c>
      <c r="Q336" s="311">
        <f t="shared" si="35"/>
        <v>0</v>
      </c>
      <c r="V336" s="312" t="str">
        <f>PE_aug!AP325</f>
        <v>Kläranlagen</v>
      </c>
    </row>
    <row r="337" spans="1:22">
      <c r="A337" s="251" t="s">
        <v>385</v>
      </c>
      <c r="H337">
        <v>0.44700000000000001</v>
      </c>
      <c r="I337">
        <v>5.1999999999999998E-2</v>
      </c>
      <c r="J337">
        <v>7.7322649999999999</v>
      </c>
      <c r="K337">
        <v>0.44</v>
      </c>
      <c r="L337" s="308">
        <f t="shared" si="30"/>
        <v>0.33</v>
      </c>
      <c r="M337" s="309">
        <f t="shared" si="31"/>
        <v>0.38500000000000001</v>
      </c>
      <c r="N337" s="310" t="e">
        <f t="shared" si="32"/>
        <v>#DIV/0!</v>
      </c>
      <c r="O337" s="310" t="e">
        <f t="shared" si="33"/>
        <v>#DIV/0!</v>
      </c>
      <c r="P337" s="310" t="e">
        <f t="shared" si="34"/>
        <v>#DIV/0!</v>
      </c>
      <c r="Q337" s="311">
        <f t="shared" si="35"/>
        <v>0</v>
      </c>
      <c r="V337" s="312" t="str">
        <f>PE_aug!AP326</f>
        <v>Kläranlagen</v>
      </c>
    </row>
    <row r="338" spans="1:22">
      <c r="A338" s="255" t="s">
        <v>386</v>
      </c>
      <c r="J338">
        <v>6.8653399999999998</v>
      </c>
      <c r="K338">
        <v>0.44</v>
      </c>
      <c r="L338" s="308">
        <f t="shared" si="30"/>
        <v>0.33</v>
      </c>
      <c r="M338" s="309">
        <f t="shared" si="31"/>
        <v>0.38500000000000001</v>
      </c>
      <c r="N338" s="310" t="e">
        <f t="shared" si="32"/>
        <v>#DIV/0!</v>
      </c>
      <c r="O338" s="310" t="e">
        <f t="shared" si="33"/>
        <v>#DIV/0!</v>
      </c>
      <c r="P338" s="310" t="e">
        <f t="shared" si="34"/>
        <v>#DIV/0!</v>
      </c>
      <c r="Q338" s="311">
        <f t="shared" si="35"/>
        <v>0</v>
      </c>
      <c r="V338" s="312" t="str">
        <f>PE_aug!AP327</f>
        <v>Ringversuch</v>
      </c>
    </row>
    <row r="339" spans="1:22">
      <c r="A339" s="255" t="s">
        <v>387</v>
      </c>
      <c r="J339">
        <v>5.2691300000000014</v>
      </c>
      <c r="L339" s="308">
        <f t="shared" si="30"/>
        <v>0.33</v>
      </c>
      <c r="M339" s="309">
        <f t="shared" si="31"/>
        <v>0.33</v>
      </c>
      <c r="N339" s="310" t="e">
        <f t="shared" si="32"/>
        <v>#DIV/0!</v>
      </c>
      <c r="O339" s="310" t="e">
        <f t="shared" si="33"/>
        <v>#DIV/0!</v>
      </c>
      <c r="P339" s="310" t="e">
        <f t="shared" si="34"/>
        <v>#DIV/0!</v>
      </c>
      <c r="Q339" s="311">
        <f t="shared" si="35"/>
        <v>0</v>
      </c>
      <c r="V339" s="312" t="str">
        <f>PE_aug!AP328</f>
        <v>Kläranlagen, Methode</v>
      </c>
    </row>
    <row r="340" spans="1:22">
      <c r="A340" s="255" t="s">
        <v>388</v>
      </c>
      <c r="H340">
        <v>0.70699999999999996</v>
      </c>
      <c r="I340">
        <v>0.09</v>
      </c>
      <c r="J340">
        <v>7.6058300000000001</v>
      </c>
      <c r="K340">
        <v>0.56000000000000005</v>
      </c>
      <c r="L340" s="308">
        <f t="shared" si="30"/>
        <v>0.33</v>
      </c>
      <c r="M340" s="309">
        <f t="shared" si="31"/>
        <v>0.44500000000000006</v>
      </c>
      <c r="N340" s="310" t="e">
        <f t="shared" si="32"/>
        <v>#DIV/0!</v>
      </c>
      <c r="O340" s="310" t="e">
        <f t="shared" si="33"/>
        <v>#DIV/0!</v>
      </c>
      <c r="P340" s="310" t="e">
        <f t="shared" si="34"/>
        <v>#DIV/0!</v>
      </c>
      <c r="Q340" s="311">
        <f t="shared" si="35"/>
        <v>0</v>
      </c>
      <c r="V340" s="312" t="str">
        <f>PE_aug!AP329</f>
        <v>Kläranlagen</v>
      </c>
    </row>
    <row r="341" spans="1:22">
      <c r="A341" s="255" t="s">
        <v>389</v>
      </c>
      <c r="H341">
        <v>0.70699999999999996</v>
      </c>
      <c r="I341">
        <v>0.09</v>
      </c>
      <c r="J341">
        <v>7.6572449999999996</v>
      </c>
      <c r="K341">
        <v>0.56000000000000005</v>
      </c>
      <c r="L341" s="308">
        <f t="shared" si="30"/>
        <v>0.33</v>
      </c>
      <c r="M341" s="309">
        <f t="shared" si="31"/>
        <v>0.44500000000000006</v>
      </c>
      <c r="N341" s="310" t="e">
        <f t="shared" si="32"/>
        <v>#DIV/0!</v>
      </c>
      <c r="O341" s="310" t="e">
        <f t="shared" si="33"/>
        <v>#DIV/0!</v>
      </c>
      <c r="P341" s="310" t="e">
        <f t="shared" si="34"/>
        <v>#DIV/0!</v>
      </c>
      <c r="Q341" s="311">
        <f t="shared" si="35"/>
        <v>0</v>
      </c>
      <c r="V341" s="312" t="str">
        <f>PE_aug!AP330</f>
        <v>Kläranlagen</v>
      </c>
    </row>
    <row r="342" spans="1:22">
      <c r="A342" s="265" t="s">
        <v>390</v>
      </c>
      <c r="C342">
        <v>3.99</v>
      </c>
      <c r="F342">
        <v>3.99</v>
      </c>
      <c r="H342">
        <v>0.67300000000000004</v>
      </c>
      <c r="I342">
        <v>3.9E-2</v>
      </c>
      <c r="J342">
        <v>8.7565600000000003</v>
      </c>
      <c r="K342">
        <v>0.89</v>
      </c>
      <c r="L342" s="308">
        <f t="shared" si="30"/>
        <v>0.75</v>
      </c>
      <c r="M342" s="309">
        <f t="shared" si="31"/>
        <v>0.82000000000000006</v>
      </c>
      <c r="N342" s="310">
        <f t="shared" si="32"/>
        <v>3.99</v>
      </c>
      <c r="O342" s="310">
        <f t="shared" si="33"/>
        <v>3.99</v>
      </c>
      <c r="P342" s="310">
        <f t="shared" si="34"/>
        <v>0</v>
      </c>
      <c r="Q342" s="311">
        <f t="shared" si="35"/>
        <v>0.45565838639831169</v>
      </c>
      <c r="V342" s="312" t="str">
        <f>PE_aug!AP331</f>
        <v>KWS, Schlamm</v>
      </c>
    </row>
    <row r="343" spans="1:22">
      <c r="A343" s="265" t="s">
        <v>391</v>
      </c>
      <c r="C343">
        <v>3.88</v>
      </c>
      <c r="F343">
        <v>3.88</v>
      </c>
      <c r="H343">
        <v>0.89800000000000002</v>
      </c>
      <c r="I343">
        <v>3.9E-2</v>
      </c>
      <c r="J343">
        <v>9.4032400000000003</v>
      </c>
      <c r="K343">
        <v>0.89</v>
      </c>
      <c r="L343" s="308">
        <f t="shared" si="30"/>
        <v>0.75</v>
      </c>
      <c r="M343" s="309">
        <f t="shared" si="31"/>
        <v>0.82000000000000006</v>
      </c>
      <c r="N343" s="310">
        <f t="shared" si="32"/>
        <v>3.88</v>
      </c>
      <c r="O343" s="310">
        <f t="shared" si="33"/>
        <v>3.88</v>
      </c>
      <c r="P343" s="310">
        <f t="shared" si="34"/>
        <v>0</v>
      </c>
      <c r="Q343" s="311">
        <f t="shared" si="35"/>
        <v>0.41262373394702251</v>
      </c>
      <c r="V343" s="312" t="str">
        <f>PE_aug!AP332</f>
        <v>KWS, Schlamm</v>
      </c>
    </row>
    <row r="344" spans="1:22">
      <c r="A344" s="265" t="s">
        <v>392</v>
      </c>
      <c r="C344">
        <v>4.01</v>
      </c>
      <c r="F344">
        <v>4.01</v>
      </c>
      <c r="H344">
        <v>0.65100000000000002</v>
      </c>
      <c r="I344">
        <v>3.9E-2</v>
      </c>
      <c r="J344">
        <v>8.4645399999999995</v>
      </c>
      <c r="K344">
        <v>0.94</v>
      </c>
      <c r="L344" s="308">
        <f t="shared" si="30"/>
        <v>0.75</v>
      </c>
      <c r="M344" s="309">
        <f t="shared" si="31"/>
        <v>0.84499999999999997</v>
      </c>
      <c r="N344" s="310">
        <f t="shared" si="32"/>
        <v>4.01</v>
      </c>
      <c r="O344" s="310">
        <f t="shared" si="33"/>
        <v>4.01</v>
      </c>
      <c r="P344" s="310">
        <f t="shared" si="34"/>
        <v>0</v>
      </c>
      <c r="Q344" s="311">
        <f t="shared" si="35"/>
        <v>0.47374104204126866</v>
      </c>
      <c r="V344" s="312" t="str">
        <f>PE_aug!AP333</f>
        <v>KWS, Schlamm</v>
      </c>
    </row>
    <row r="345" spans="1:22">
      <c r="A345" s="272" t="s">
        <v>393</v>
      </c>
      <c r="J345">
        <v>0.15474299999999999</v>
      </c>
      <c r="K345">
        <v>0.25</v>
      </c>
      <c r="L345" s="308">
        <f t="shared" si="30"/>
        <v>0.33</v>
      </c>
      <c r="M345" s="309">
        <f t="shared" si="31"/>
        <v>0.29000000000000004</v>
      </c>
      <c r="N345" s="310" t="e">
        <f t="shared" si="32"/>
        <v>#DIV/0!</v>
      </c>
      <c r="O345" s="310" t="e">
        <f t="shared" si="33"/>
        <v>#DIV/0!</v>
      </c>
      <c r="P345" s="310" t="e">
        <f t="shared" si="34"/>
        <v>#DIV/0!</v>
      </c>
      <c r="Q345" s="311">
        <f t="shared" si="35"/>
        <v>0</v>
      </c>
      <c r="V345" s="312" t="str">
        <f>PE_aug!AP334</f>
        <v>Sickerwasser</v>
      </c>
    </row>
    <row r="346" spans="1:22">
      <c r="A346" s="272" t="s">
        <v>394</v>
      </c>
      <c r="J346">
        <v>0.34290399999999999</v>
      </c>
      <c r="L346" s="308">
        <f t="shared" si="30"/>
        <v>0.33</v>
      </c>
      <c r="M346" s="309">
        <f t="shared" si="31"/>
        <v>0.33</v>
      </c>
      <c r="N346" s="310" t="e">
        <f t="shared" si="32"/>
        <v>#DIV/0!</v>
      </c>
      <c r="O346" s="310" t="e">
        <f t="shared" si="33"/>
        <v>#DIV/0!</v>
      </c>
      <c r="P346" s="310" t="e">
        <f t="shared" si="34"/>
        <v>#DIV/0!</v>
      </c>
      <c r="Q346" s="311">
        <f t="shared" si="35"/>
        <v>0</v>
      </c>
      <c r="V346" s="312" t="str">
        <f>PE_aug!AP335</f>
        <v>Sickerwasser</v>
      </c>
    </row>
    <row r="347" spans="1:22">
      <c r="A347" s="272" t="s">
        <v>395</v>
      </c>
      <c r="J347">
        <v>-4.0199999999999818</v>
      </c>
      <c r="L347" s="308">
        <f t="shared" si="30"/>
        <v>0.33</v>
      </c>
      <c r="M347" s="309">
        <f t="shared" si="31"/>
        <v>0.33</v>
      </c>
      <c r="N347" s="310" t="e">
        <f t="shared" si="32"/>
        <v>#DIV/0!</v>
      </c>
      <c r="O347" s="310" t="e">
        <f t="shared" si="33"/>
        <v>#DIV/0!</v>
      </c>
      <c r="P347" s="310" t="e">
        <f t="shared" si="34"/>
        <v>#DIV/0!</v>
      </c>
      <c r="Q347" s="311">
        <f t="shared" si="35"/>
        <v>0</v>
      </c>
      <c r="V347" s="312" t="str">
        <f>PE_aug!AP336</f>
        <v>Sickerwasser</v>
      </c>
    </row>
    <row r="348" spans="1:22">
      <c r="A348" s="272" t="s">
        <v>396</v>
      </c>
      <c r="J348">
        <v>0.50999999999999091</v>
      </c>
      <c r="K348">
        <v>0.25</v>
      </c>
      <c r="L348" s="308">
        <f t="shared" si="30"/>
        <v>0.33</v>
      </c>
      <c r="M348" s="309">
        <f t="shared" si="31"/>
        <v>0.29000000000000004</v>
      </c>
      <c r="N348" s="310" t="e">
        <f t="shared" si="32"/>
        <v>#DIV/0!</v>
      </c>
      <c r="O348" s="310" t="e">
        <f t="shared" si="33"/>
        <v>#DIV/0!</v>
      </c>
      <c r="P348" s="310" t="e">
        <f t="shared" si="34"/>
        <v>#DIV/0!</v>
      </c>
      <c r="Q348" s="311">
        <f t="shared" si="35"/>
        <v>0</v>
      </c>
      <c r="V348" s="312" t="str">
        <f>PE_aug!AP337</f>
        <v>Sickerwasser</v>
      </c>
    </row>
    <row r="349" spans="1:22">
      <c r="A349" s="272" t="s">
        <v>397</v>
      </c>
      <c r="J349">
        <v>0.98000000000001819</v>
      </c>
      <c r="L349" s="308">
        <f t="shared" si="30"/>
        <v>0.33</v>
      </c>
      <c r="M349" s="309">
        <f t="shared" si="31"/>
        <v>0.33</v>
      </c>
      <c r="N349" s="310" t="e">
        <f t="shared" si="32"/>
        <v>#DIV/0!</v>
      </c>
      <c r="O349" s="310" t="e">
        <f t="shared" si="33"/>
        <v>#DIV/0!</v>
      </c>
      <c r="P349" s="310" t="e">
        <f t="shared" si="34"/>
        <v>#DIV/0!</v>
      </c>
      <c r="Q349" s="311">
        <f t="shared" si="35"/>
        <v>0</v>
      </c>
      <c r="V349" s="312" t="str">
        <f>PE_aug!AP338</f>
        <v>Sickerwasser</v>
      </c>
    </row>
    <row r="350" spans="1:22">
      <c r="A350" s="272" t="s">
        <v>398</v>
      </c>
      <c r="C350">
        <v>4.07</v>
      </c>
      <c r="F350">
        <v>4.07</v>
      </c>
      <c r="J350">
        <v>11.670000000000069</v>
      </c>
      <c r="K350">
        <v>0.76</v>
      </c>
      <c r="L350" s="308">
        <f t="shared" si="30"/>
        <v>0.75</v>
      </c>
      <c r="M350" s="309">
        <f t="shared" si="31"/>
        <v>0.755</v>
      </c>
      <c r="N350" s="310">
        <f t="shared" si="32"/>
        <v>4.07</v>
      </c>
      <c r="O350" s="310">
        <f t="shared" si="33"/>
        <v>4.07</v>
      </c>
      <c r="P350" s="310">
        <f t="shared" si="34"/>
        <v>0</v>
      </c>
      <c r="Q350" s="311">
        <f t="shared" si="35"/>
        <v>0.3487574978577529</v>
      </c>
      <c r="V350" s="312" t="str">
        <f>PE_aug!AP339</f>
        <v>Sickerwasser</v>
      </c>
    </row>
    <row r="351" spans="1:22">
      <c r="A351" s="272" t="s">
        <v>399</v>
      </c>
      <c r="J351">
        <v>0.98000000000001819</v>
      </c>
      <c r="K351">
        <v>0.25</v>
      </c>
      <c r="L351" s="308">
        <f t="shared" si="30"/>
        <v>0.33</v>
      </c>
      <c r="M351" s="309">
        <f t="shared" si="31"/>
        <v>0.29000000000000004</v>
      </c>
      <c r="N351" s="310" t="e">
        <f t="shared" si="32"/>
        <v>#DIV/0!</v>
      </c>
      <c r="O351" s="310" t="e">
        <f t="shared" si="33"/>
        <v>#DIV/0!</v>
      </c>
      <c r="P351" s="310" t="e">
        <f t="shared" si="34"/>
        <v>#DIV/0!</v>
      </c>
      <c r="Q351" s="311">
        <f t="shared" si="35"/>
        <v>0</v>
      </c>
      <c r="V351" s="312" t="str">
        <f>PE_aug!AP340</f>
        <v>Sickerwasser</v>
      </c>
    </row>
    <row r="352" spans="1:22">
      <c r="A352" s="274" t="s">
        <v>400</v>
      </c>
      <c r="H352">
        <v>0.56200000000000006</v>
      </c>
      <c r="I352">
        <v>5.6000000000000001E-2</v>
      </c>
      <c r="J352">
        <v>5.7561650000000002</v>
      </c>
      <c r="K352">
        <v>0.81</v>
      </c>
      <c r="L352" s="308">
        <f t="shared" si="30"/>
        <v>0.33</v>
      </c>
      <c r="M352" s="309">
        <f t="shared" si="31"/>
        <v>0.57000000000000006</v>
      </c>
      <c r="N352" s="310" t="e">
        <f t="shared" si="32"/>
        <v>#DIV/0!</v>
      </c>
      <c r="O352" s="310" t="e">
        <f t="shared" si="33"/>
        <v>#DIV/0!</v>
      </c>
      <c r="P352" s="310" t="e">
        <f t="shared" si="34"/>
        <v>#DIV/0!</v>
      </c>
      <c r="Q352" s="311">
        <f t="shared" si="35"/>
        <v>0</v>
      </c>
      <c r="V352" s="312" t="str">
        <f>PE_aug!AP341</f>
        <v>KWS, Schlamm</v>
      </c>
    </row>
    <row r="353" spans="1:22">
      <c r="A353" s="274" t="s">
        <v>401</v>
      </c>
      <c r="H353">
        <v>0.85599999999999998</v>
      </c>
      <c r="I353">
        <v>5.6000000000000001E-2</v>
      </c>
      <c r="J353">
        <v>4.7628300000000001</v>
      </c>
      <c r="K353">
        <v>0.94</v>
      </c>
      <c r="L353" s="308">
        <f t="shared" si="30"/>
        <v>0.33</v>
      </c>
      <c r="M353" s="309">
        <f t="shared" si="31"/>
        <v>0.63500000000000001</v>
      </c>
      <c r="N353" s="310" t="e">
        <f t="shared" si="32"/>
        <v>#DIV/0!</v>
      </c>
      <c r="O353" s="310" t="e">
        <f t="shared" si="33"/>
        <v>#DIV/0!</v>
      </c>
      <c r="P353" s="310" t="e">
        <f t="shared" si="34"/>
        <v>#DIV/0!</v>
      </c>
      <c r="Q353" s="311">
        <f t="shared" si="35"/>
        <v>0</v>
      </c>
      <c r="V353" s="312" t="str">
        <f>PE_aug!AP342</f>
        <v>KWS, Schlamm</v>
      </c>
    </row>
    <row r="354" spans="1:22">
      <c r="A354" s="274" t="s">
        <v>402</v>
      </c>
      <c r="H354">
        <v>0.76500000000000001</v>
      </c>
      <c r="I354">
        <v>5.6000000000000001E-2</v>
      </c>
      <c r="J354">
        <v>6.4529300000000003</v>
      </c>
      <c r="K354">
        <v>0.69</v>
      </c>
      <c r="L354" s="308">
        <f t="shared" si="30"/>
        <v>0.33</v>
      </c>
      <c r="M354" s="309">
        <f t="shared" si="31"/>
        <v>0.51</v>
      </c>
      <c r="N354" s="310" t="e">
        <f t="shared" si="32"/>
        <v>#DIV/0!</v>
      </c>
      <c r="O354" s="310" t="e">
        <f t="shared" si="33"/>
        <v>#DIV/0!</v>
      </c>
      <c r="P354" s="310" t="e">
        <f t="shared" si="34"/>
        <v>#DIV/0!</v>
      </c>
      <c r="Q354" s="311">
        <f t="shared" si="35"/>
        <v>0</v>
      </c>
      <c r="V354" s="312" t="str">
        <f>PE_aug!AP343</f>
        <v>KWS, Schlamm</v>
      </c>
    </row>
    <row r="355" spans="1:22">
      <c r="A355" s="274" t="s">
        <v>403</v>
      </c>
      <c r="H355">
        <v>1.071</v>
      </c>
      <c r="I355">
        <v>2.4E-2</v>
      </c>
      <c r="J355">
        <v>10.1638</v>
      </c>
      <c r="K355">
        <v>0.94</v>
      </c>
      <c r="L355" s="308">
        <f t="shared" si="30"/>
        <v>0.33</v>
      </c>
      <c r="M355" s="309">
        <f t="shared" si="31"/>
        <v>0.63500000000000001</v>
      </c>
      <c r="N355" s="310" t="e">
        <f t="shared" si="32"/>
        <v>#DIV/0!</v>
      </c>
      <c r="O355" s="310" t="e">
        <f t="shared" si="33"/>
        <v>#DIV/0!</v>
      </c>
      <c r="P355" s="310" t="e">
        <f t="shared" si="34"/>
        <v>#DIV/0!</v>
      </c>
      <c r="Q355" s="311">
        <f t="shared" si="35"/>
        <v>0</v>
      </c>
      <c r="V355" s="312" t="str">
        <f>PE_aug!AP344</f>
        <v>Flussproben</v>
      </c>
    </row>
    <row r="356" spans="1:22">
      <c r="A356" s="274" t="s">
        <v>404</v>
      </c>
      <c r="H356">
        <v>0.83</v>
      </c>
      <c r="I356">
        <v>2.4E-2</v>
      </c>
      <c r="J356">
        <v>9.1895349999999993</v>
      </c>
      <c r="K356">
        <v>0.94</v>
      </c>
      <c r="L356" s="308">
        <f t="shared" si="30"/>
        <v>0.33</v>
      </c>
      <c r="M356" s="309">
        <f t="shared" si="31"/>
        <v>0.63500000000000001</v>
      </c>
      <c r="N356" s="310" t="e">
        <f t="shared" si="32"/>
        <v>#DIV/0!</v>
      </c>
      <c r="O356" s="310" t="e">
        <f t="shared" si="33"/>
        <v>#DIV/0!</v>
      </c>
      <c r="P356" s="310" t="e">
        <f t="shared" si="34"/>
        <v>#DIV/0!</v>
      </c>
      <c r="Q356" s="311">
        <f t="shared" si="35"/>
        <v>0</v>
      </c>
      <c r="V356" s="312" t="str">
        <f>PE_aug!AP345</f>
        <v>Flussproben</v>
      </c>
    </row>
    <row r="357" spans="1:22">
      <c r="A357" s="274" t="s">
        <v>405</v>
      </c>
      <c r="H357">
        <v>1.127</v>
      </c>
      <c r="I357">
        <v>0.122</v>
      </c>
      <c r="J357">
        <v>8.6095749999999995</v>
      </c>
      <c r="K357">
        <v>0.67</v>
      </c>
      <c r="L357" s="308">
        <f t="shared" si="30"/>
        <v>0.33</v>
      </c>
      <c r="M357" s="309">
        <f t="shared" si="31"/>
        <v>0.5</v>
      </c>
      <c r="N357" s="310" t="e">
        <f t="shared" si="32"/>
        <v>#DIV/0!</v>
      </c>
      <c r="O357" s="310" t="e">
        <f t="shared" si="33"/>
        <v>#DIV/0!</v>
      </c>
      <c r="P357" s="310" t="e">
        <f t="shared" si="34"/>
        <v>#DIV/0!</v>
      </c>
      <c r="Q357" s="311">
        <f t="shared" si="35"/>
        <v>0</v>
      </c>
      <c r="V357" s="312" t="str">
        <f>PE_aug!AP346</f>
        <v>Flussproben</v>
      </c>
    </row>
    <row r="358" spans="1:22">
      <c r="A358" s="274" t="s">
        <v>406</v>
      </c>
      <c r="H358">
        <v>0.71899999999999997</v>
      </c>
      <c r="I358">
        <v>0.122</v>
      </c>
      <c r="J358">
        <v>5.6536</v>
      </c>
      <c r="K358">
        <v>0.69</v>
      </c>
      <c r="L358" s="308">
        <f t="shared" si="30"/>
        <v>0.33</v>
      </c>
      <c r="M358" s="309">
        <f t="shared" si="31"/>
        <v>0.51</v>
      </c>
      <c r="N358" s="310" t="e">
        <f t="shared" si="32"/>
        <v>#DIV/0!</v>
      </c>
      <c r="O358" s="310" t="e">
        <f t="shared" si="33"/>
        <v>#DIV/0!</v>
      </c>
      <c r="P358" s="310" t="e">
        <f t="shared" si="34"/>
        <v>#DIV/0!</v>
      </c>
      <c r="Q358" s="311">
        <f t="shared" si="35"/>
        <v>0</v>
      </c>
      <c r="V358" s="312" t="str">
        <f>PE_aug!AP347</f>
        <v>Flussproben</v>
      </c>
    </row>
    <row r="359" spans="1:22">
      <c r="A359" s="274" t="s">
        <v>407</v>
      </c>
      <c r="H359">
        <v>0.41699999999999998</v>
      </c>
      <c r="I359">
        <v>0.122</v>
      </c>
      <c r="J359">
        <v>7.3856149999999996</v>
      </c>
      <c r="K359">
        <v>0.69</v>
      </c>
      <c r="L359" s="308">
        <f t="shared" si="30"/>
        <v>0.33</v>
      </c>
      <c r="M359" s="309">
        <f t="shared" si="31"/>
        <v>0.51</v>
      </c>
      <c r="N359" s="310" t="e">
        <f t="shared" si="32"/>
        <v>#DIV/0!</v>
      </c>
      <c r="O359" s="310" t="e">
        <f t="shared" si="33"/>
        <v>#DIV/0!</v>
      </c>
      <c r="P359" s="310" t="e">
        <f t="shared" si="34"/>
        <v>#DIV/0!</v>
      </c>
      <c r="Q359" s="311">
        <f t="shared" si="35"/>
        <v>0</v>
      </c>
      <c r="V359" s="312" t="str">
        <f>PE_aug!AP348</f>
        <v>Flussproben</v>
      </c>
    </row>
    <row r="360" spans="1:22">
      <c r="A360" s="274" t="s">
        <v>408</v>
      </c>
      <c r="H360">
        <v>0.34599999999999997</v>
      </c>
      <c r="I360">
        <v>8.4000000000000005E-2</v>
      </c>
      <c r="J360">
        <v>5.9841899999999999</v>
      </c>
      <c r="K360">
        <v>0.56000000000000005</v>
      </c>
      <c r="L360" s="308">
        <f t="shared" si="30"/>
        <v>0.33</v>
      </c>
      <c r="M360" s="309">
        <f t="shared" si="31"/>
        <v>0.44500000000000006</v>
      </c>
      <c r="N360" s="310" t="e">
        <f t="shared" si="32"/>
        <v>#DIV/0!</v>
      </c>
      <c r="O360" s="310" t="e">
        <f t="shared" si="33"/>
        <v>#DIV/0!</v>
      </c>
      <c r="P360" s="310" t="e">
        <f t="shared" si="34"/>
        <v>#DIV/0!</v>
      </c>
      <c r="Q360" s="311">
        <f t="shared" si="35"/>
        <v>0</v>
      </c>
      <c r="V360" s="312" t="str">
        <f>PE_aug!AP349</f>
        <v>RÜB</v>
      </c>
    </row>
    <row r="361" spans="1:22">
      <c r="A361" s="274" t="s">
        <v>410</v>
      </c>
      <c r="H361">
        <v>0.79300000000000004</v>
      </c>
      <c r="I361">
        <v>8.4000000000000005E-2</v>
      </c>
      <c r="J361">
        <v>5.4765100000000002</v>
      </c>
      <c r="K361">
        <v>0.56000000000000005</v>
      </c>
      <c r="L361" s="308">
        <f t="shared" si="30"/>
        <v>0.33</v>
      </c>
      <c r="M361" s="309">
        <f t="shared" si="31"/>
        <v>0.44500000000000006</v>
      </c>
      <c r="N361" s="310" t="e">
        <f t="shared" si="32"/>
        <v>#DIV/0!</v>
      </c>
      <c r="O361" s="310" t="e">
        <f t="shared" si="33"/>
        <v>#DIV/0!</v>
      </c>
      <c r="P361" s="310" t="e">
        <f t="shared" si="34"/>
        <v>#DIV/0!</v>
      </c>
      <c r="Q361" s="311">
        <f t="shared" si="35"/>
        <v>0</v>
      </c>
      <c r="V361" s="312" t="str">
        <f>PE_aug!AP350</f>
        <v>RÜB</v>
      </c>
    </row>
    <row r="362" spans="1:22">
      <c r="A362" s="274" t="s">
        <v>411</v>
      </c>
      <c r="H362">
        <v>1.1040000000000001</v>
      </c>
      <c r="I362">
        <v>8.4000000000000005E-2</v>
      </c>
      <c r="J362">
        <v>10.23</v>
      </c>
      <c r="K362">
        <v>0.69</v>
      </c>
      <c r="L362" s="308">
        <f t="shared" si="30"/>
        <v>0.33</v>
      </c>
      <c r="M362" s="309">
        <f t="shared" si="31"/>
        <v>0.51</v>
      </c>
      <c r="N362" s="310" t="e">
        <f t="shared" si="32"/>
        <v>#DIV/0!</v>
      </c>
      <c r="O362" s="310" t="e">
        <f t="shared" si="33"/>
        <v>#DIV/0!</v>
      </c>
      <c r="P362" s="310" t="e">
        <f t="shared" si="34"/>
        <v>#DIV/0!</v>
      </c>
      <c r="Q362" s="311">
        <f t="shared" si="35"/>
        <v>0</v>
      </c>
      <c r="V362" s="312" t="str">
        <f>PE_aug!AP351</f>
        <v>RÜB</v>
      </c>
    </row>
    <row r="363" spans="1:22">
      <c r="A363" s="280" t="s">
        <v>412</v>
      </c>
      <c r="H363">
        <v>0.90100000000000002</v>
      </c>
      <c r="I363">
        <v>7.0999999999999994E-2</v>
      </c>
      <c r="J363">
        <v>6.1057800000000002</v>
      </c>
      <c r="K363">
        <v>0.69</v>
      </c>
      <c r="L363" s="308">
        <f t="shared" si="30"/>
        <v>0.33</v>
      </c>
      <c r="M363" s="309">
        <f t="shared" si="31"/>
        <v>0.51</v>
      </c>
      <c r="N363" s="310" t="e">
        <f t="shared" si="32"/>
        <v>#DIV/0!</v>
      </c>
      <c r="O363" s="310" t="e">
        <f t="shared" si="33"/>
        <v>#DIV/0!</v>
      </c>
      <c r="P363" s="310" t="e">
        <f t="shared" si="34"/>
        <v>#DIV/0!</v>
      </c>
      <c r="Q363" s="311">
        <f t="shared" si="35"/>
        <v>0</v>
      </c>
      <c r="V363" s="312" t="str">
        <f>PE_aug!AP352</f>
        <v>KWS</v>
      </c>
    </row>
    <row r="364" spans="1:22">
      <c r="A364" s="280" t="s">
        <v>413</v>
      </c>
      <c r="H364">
        <v>0.878</v>
      </c>
      <c r="I364">
        <v>7.0999999999999994E-2</v>
      </c>
      <c r="J364">
        <v>4.3622800000000002</v>
      </c>
      <c r="K364">
        <v>0.94</v>
      </c>
      <c r="L364" s="308">
        <f t="shared" si="30"/>
        <v>0.33</v>
      </c>
      <c r="M364" s="309">
        <f t="shared" si="31"/>
        <v>0.63500000000000001</v>
      </c>
      <c r="N364" s="310" t="e">
        <f t="shared" si="32"/>
        <v>#DIV/0!</v>
      </c>
      <c r="O364" s="310" t="e">
        <f t="shared" si="33"/>
        <v>#DIV/0!</v>
      </c>
      <c r="P364" s="310" t="e">
        <f t="shared" si="34"/>
        <v>#DIV/0!</v>
      </c>
      <c r="Q364" s="311">
        <f t="shared" si="35"/>
        <v>0</v>
      </c>
      <c r="V364" s="312" t="str">
        <f>PE_aug!AP353</f>
        <v>KWS</v>
      </c>
    </row>
    <row r="365" spans="1:22">
      <c r="A365" s="280" t="s">
        <v>414</v>
      </c>
      <c r="H365">
        <v>0.44</v>
      </c>
      <c r="I365">
        <v>7.0999999999999994E-2</v>
      </c>
      <c r="J365">
        <v>5.0663900000000002</v>
      </c>
      <c r="K365">
        <v>0.69</v>
      </c>
      <c r="L365" s="308">
        <f t="shared" si="30"/>
        <v>0.33</v>
      </c>
      <c r="M365" s="309">
        <f t="shared" si="31"/>
        <v>0.51</v>
      </c>
      <c r="N365" s="310" t="e">
        <f t="shared" si="32"/>
        <v>#DIV/0!</v>
      </c>
      <c r="O365" s="310" t="e">
        <f t="shared" si="33"/>
        <v>#DIV/0!</v>
      </c>
      <c r="P365" s="310" t="e">
        <f t="shared" si="34"/>
        <v>#DIV/0!</v>
      </c>
      <c r="Q365" s="311">
        <f t="shared" si="35"/>
        <v>0</v>
      </c>
      <c r="V365" s="312" t="str">
        <f>PE_aug!AP354</f>
        <v>KWS</v>
      </c>
    </row>
    <row r="366" spans="1:22">
      <c r="A366" s="280" t="s">
        <v>415</v>
      </c>
      <c r="B366">
        <v>19.45</v>
      </c>
      <c r="C366">
        <v>24.6</v>
      </c>
      <c r="D366">
        <v>13.25</v>
      </c>
      <c r="E366" s="306">
        <v>19.45</v>
      </c>
      <c r="F366">
        <v>24.6</v>
      </c>
      <c r="G366" s="307">
        <v>13.25</v>
      </c>
      <c r="J366">
        <v>1.5123</v>
      </c>
      <c r="K366">
        <v>0.89</v>
      </c>
      <c r="L366" s="308">
        <f t="shared" si="30"/>
        <v>0.75</v>
      </c>
      <c r="M366" s="309">
        <f t="shared" si="31"/>
        <v>0.82000000000000006</v>
      </c>
      <c r="N366" s="310">
        <f t="shared" si="32"/>
        <v>19.099999999999998</v>
      </c>
      <c r="O366" s="310">
        <f t="shared" si="33"/>
        <v>18.925000000000001</v>
      </c>
      <c r="P366" s="310">
        <f t="shared" si="34"/>
        <v>59.973579920739773</v>
      </c>
      <c r="Q366" s="311">
        <f t="shared" si="35"/>
        <v>12.514051444819151</v>
      </c>
      <c r="S366">
        <v>3.8391099999999997E-2</v>
      </c>
      <c r="T366" s="203">
        <f>100*N366/(1000*S366)</f>
        <v>49.751114190528533</v>
      </c>
      <c r="U366" s="203">
        <f>100*O366/(1000*S366)</f>
        <v>49.295279374646732</v>
      </c>
      <c r="V366" s="312" t="str">
        <f>PE_aug!AP355</f>
        <v>KWS, Methode</v>
      </c>
    </row>
    <row r="367" spans="1:22">
      <c r="A367" s="280" t="s">
        <v>416</v>
      </c>
      <c r="H367">
        <v>0.52600000000000002</v>
      </c>
      <c r="I367">
        <v>0.10299999999999999</v>
      </c>
      <c r="J367">
        <v>9.3551099999999998</v>
      </c>
      <c r="K367">
        <v>0.69</v>
      </c>
      <c r="L367" s="308">
        <f t="shared" si="30"/>
        <v>0.33</v>
      </c>
      <c r="M367" s="309">
        <f t="shared" si="31"/>
        <v>0.51</v>
      </c>
      <c r="N367" s="310" t="e">
        <f t="shared" si="32"/>
        <v>#DIV/0!</v>
      </c>
      <c r="O367" s="310" t="e">
        <f t="shared" si="33"/>
        <v>#DIV/0!</v>
      </c>
      <c r="P367" s="310" t="e">
        <f t="shared" si="34"/>
        <v>#DIV/0!</v>
      </c>
      <c r="Q367" s="311">
        <f t="shared" si="35"/>
        <v>0</v>
      </c>
      <c r="V367" s="312" t="str">
        <f>PE_aug!AP356</f>
        <v>Flussproben</v>
      </c>
    </row>
    <row r="368" spans="1:22">
      <c r="A368" s="280" t="s">
        <v>417</v>
      </c>
      <c r="H368">
        <v>1.1419999999999999</v>
      </c>
      <c r="I368">
        <v>0.10299999999999999</v>
      </c>
      <c r="J368">
        <v>4.7532649999999999</v>
      </c>
      <c r="K368">
        <v>0.81</v>
      </c>
      <c r="L368" s="308">
        <f t="shared" si="30"/>
        <v>0.33</v>
      </c>
      <c r="M368" s="309">
        <f t="shared" si="31"/>
        <v>0.57000000000000006</v>
      </c>
      <c r="N368" s="310" t="e">
        <f t="shared" si="32"/>
        <v>#DIV/0!</v>
      </c>
      <c r="O368" s="310" t="e">
        <f t="shared" si="33"/>
        <v>#DIV/0!</v>
      </c>
      <c r="P368" s="310" t="e">
        <f t="shared" si="34"/>
        <v>#DIV/0!</v>
      </c>
      <c r="Q368" s="311">
        <f t="shared" si="35"/>
        <v>0</v>
      </c>
      <c r="V368" s="312" t="str">
        <f>PE_aug!AP357</f>
        <v>Flussproben</v>
      </c>
    </row>
    <row r="369" spans="1:22">
      <c r="A369" s="280" t="s">
        <v>418</v>
      </c>
      <c r="H369">
        <v>0.622</v>
      </c>
      <c r="I369">
        <v>0.10299999999999999</v>
      </c>
      <c r="J369">
        <v>11.220549999999999</v>
      </c>
      <c r="K369">
        <v>0.44</v>
      </c>
      <c r="L369" s="308">
        <f t="shared" si="30"/>
        <v>0.33</v>
      </c>
      <c r="M369" s="309">
        <f t="shared" si="31"/>
        <v>0.38500000000000001</v>
      </c>
      <c r="N369" s="310" t="e">
        <f t="shared" si="32"/>
        <v>#DIV/0!</v>
      </c>
      <c r="O369" s="310" t="e">
        <f t="shared" si="33"/>
        <v>#DIV/0!</v>
      </c>
      <c r="P369" s="310" t="e">
        <f t="shared" si="34"/>
        <v>#DIV/0!</v>
      </c>
      <c r="Q369" s="311">
        <f t="shared" si="35"/>
        <v>0</v>
      </c>
      <c r="V369" s="312" t="str">
        <f>PE_aug!AP358</f>
        <v>Flussproben</v>
      </c>
    </row>
    <row r="370" spans="1:22">
      <c r="A370" s="280" t="s">
        <v>419</v>
      </c>
      <c r="H370">
        <v>0.57799999999999996</v>
      </c>
      <c r="I370">
        <v>22.041</v>
      </c>
      <c r="J370">
        <v>9.23292</v>
      </c>
      <c r="K370">
        <v>0.44</v>
      </c>
      <c r="L370" s="308">
        <f t="shared" si="30"/>
        <v>0.33</v>
      </c>
      <c r="M370" s="309">
        <f t="shared" si="31"/>
        <v>0.38500000000000001</v>
      </c>
      <c r="N370" s="310" t="e">
        <f t="shared" si="32"/>
        <v>#DIV/0!</v>
      </c>
      <c r="O370" s="310" t="e">
        <f t="shared" si="33"/>
        <v>#DIV/0!</v>
      </c>
      <c r="P370" s="310" t="e">
        <f t="shared" si="34"/>
        <v>#DIV/0!</v>
      </c>
      <c r="Q370" s="311">
        <f t="shared" si="35"/>
        <v>0</v>
      </c>
      <c r="V370" s="312" t="str">
        <f>PE_aug!AP359</f>
        <v>Kläranlagen</v>
      </c>
    </row>
    <row r="371" spans="1:22">
      <c r="A371" s="280" t="s">
        <v>420</v>
      </c>
      <c r="H371">
        <v>1.1539999999999999</v>
      </c>
      <c r="I371">
        <v>22.041</v>
      </c>
      <c r="J371">
        <v>-99.239099999999993</v>
      </c>
      <c r="K371">
        <v>0.44</v>
      </c>
      <c r="L371" s="308">
        <f t="shared" si="30"/>
        <v>0.33</v>
      </c>
      <c r="M371" s="309">
        <f t="shared" si="31"/>
        <v>0.38500000000000001</v>
      </c>
      <c r="N371" s="310" t="e">
        <f t="shared" si="32"/>
        <v>#DIV/0!</v>
      </c>
      <c r="O371" s="310" t="e">
        <f t="shared" si="33"/>
        <v>#DIV/0!</v>
      </c>
      <c r="P371" s="310" t="e">
        <f t="shared" si="34"/>
        <v>#DIV/0!</v>
      </c>
      <c r="Q371" s="311">
        <f t="shared" si="35"/>
        <v>0</v>
      </c>
      <c r="V371" s="312" t="str">
        <f>PE_aug!AP360</f>
        <v>Kläranlagen</v>
      </c>
    </row>
    <row r="372" spans="1:22">
      <c r="A372" s="280" t="s">
        <v>421</v>
      </c>
      <c r="H372">
        <v>0.57699999999999996</v>
      </c>
      <c r="I372">
        <v>22.041</v>
      </c>
      <c r="J372">
        <v>8.4308049999999994</v>
      </c>
      <c r="K372">
        <v>0.44</v>
      </c>
      <c r="L372" s="308">
        <f t="shared" si="30"/>
        <v>0.33</v>
      </c>
      <c r="M372" s="309">
        <f t="shared" si="31"/>
        <v>0.38500000000000001</v>
      </c>
      <c r="N372" s="310" t="e">
        <f t="shared" si="32"/>
        <v>#DIV/0!</v>
      </c>
      <c r="O372" s="310" t="e">
        <f t="shared" si="33"/>
        <v>#DIV/0!</v>
      </c>
      <c r="P372" s="310" t="e">
        <f t="shared" si="34"/>
        <v>#DIV/0!</v>
      </c>
      <c r="Q372" s="311">
        <f t="shared" si="35"/>
        <v>0</v>
      </c>
      <c r="V372" s="312" t="str">
        <f>PE_aug!AP361</f>
        <v>Kläranlagen</v>
      </c>
    </row>
    <row r="373" spans="1:22">
      <c r="A373" s="280" t="s">
        <v>422</v>
      </c>
      <c r="H373">
        <v>0.67400000000000004</v>
      </c>
      <c r="I373">
        <v>5.5E-2</v>
      </c>
      <c r="J373">
        <v>11.3706</v>
      </c>
      <c r="K373">
        <v>0.44</v>
      </c>
      <c r="L373" s="308">
        <f t="shared" si="30"/>
        <v>0.33</v>
      </c>
      <c r="M373" s="309">
        <f t="shared" si="31"/>
        <v>0.38500000000000001</v>
      </c>
      <c r="N373" s="310" t="e">
        <f t="shared" si="32"/>
        <v>#DIV/0!</v>
      </c>
      <c r="O373" s="310" t="e">
        <f t="shared" si="33"/>
        <v>#DIV/0!</v>
      </c>
      <c r="P373" s="310" t="e">
        <f t="shared" si="34"/>
        <v>#DIV/0!</v>
      </c>
      <c r="Q373" s="311">
        <f t="shared" si="35"/>
        <v>0</v>
      </c>
      <c r="V373" s="312" t="str">
        <f>PE_aug!AP362</f>
        <v>Münchehofe</v>
      </c>
    </row>
    <row r="374" spans="1:22">
      <c r="A374" s="280" t="s">
        <v>423</v>
      </c>
      <c r="H374">
        <v>0.98299999999999998</v>
      </c>
      <c r="I374">
        <v>5.5E-2</v>
      </c>
      <c r="J374">
        <v>13.849550000000001</v>
      </c>
      <c r="K374">
        <v>0.44</v>
      </c>
      <c r="L374" s="308">
        <f t="shared" si="30"/>
        <v>0.33</v>
      </c>
      <c r="M374" s="309">
        <f t="shared" si="31"/>
        <v>0.38500000000000001</v>
      </c>
      <c r="N374" s="310" t="e">
        <f t="shared" si="32"/>
        <v>#DIV/0!</v>
      </c>
      <c r="O374" s="310" t="e">
        <f t="shared" si="33"/>
        <v>#DIV/0!</v>
      </c>
      <c r="P374" s="310" t="e">
        <f t="shared" si="34"/>
        <v>#DIV/0!</v>
      </c>
      <c r="Q374" s="311">
        <f t="shared" si="35"/>
        <v>0</v>
      </c>
      <c r="V374" s="312" t="str">
        <f>PE_aug!AP363</f>
        <v>Münchehofe</v>
      </c>
    </row>
    <row r="375" spans="1:22">
      <c r="A375" s="280" t="s">
        <v>424</v>
      </c>
      <c r="H375">
        <v>0.56200000000000006</v>
      </c>
      <c r="I375">
        <v>5.5E-2</v>
      </c>
      <c r="J375">
        <v>11.058949999999999</v>
      </c>
      <c r="K375">
        <v>0.44</v>
      </c>
      <c r="L375" s="308">
        <f t="shared" si="30"/>
        <v>0.33</v>
      </c>
      <c r="M375" s="309">
        <f t="shared" si="31"/>
        <v>0.38500000000000001</v>
      </c>
      <c r="N375" s="310" t="e">
        <f t="shared" si="32"/>
        <v>#DIV/0!</v>
      </c>
      <c r="O375" s="310" t="e">
        <f t="shared" si="33"/>
        <v>#DIV/0!</v>
      </c>
      <c r="P375" s="310" t="e">
        <f t="shared" si="34"/>
        <v>#DIV/0!</v>
      </c>
      <c r="Q375" s="311">
        <f t="shared" si="35"/>
        <v>0</v>
      </c>
      <c r="V375" s="312" t="str">
        <f>PE_aug!AP364</f>
        <v>Münchehofe</v>
      </c>
    </row>
    <row r="376" spans="1:22">
      <c r="A376" s="280" t="s">
        <v>425</v>
      </c>
      <c r="H376">
        <v>0.52800000000000002</v>
      </c>
      <c r="I376">
        <v>4.5999999999999999E-2</v>
      </c>
      <c r="J376">
        <v>5.7891599999999999</v>
      </c>
      <c r="K376">
        <v>0.44</v>
      </c>
      <c r="L376" s="308">
        <f t="shared" si="30"/>
        <v>0.33</v>
      </c>
      <c r="M376" s="309">
        <f t="shared" si="31"/>
        <v>0.38500000000000001</v>
      </c>
      <c r="N376" s="310" t="e">
        <f t="shared" si="32"/>
        <v>#DIV/0!</v>
      </c>
      <c r="O376" s="310" t="e">
        <f t="shared" si="33"/>
        <v>#DIV/0!</v>
      </c>
      <c r="P376" s="310" t="e">
        <f t="shared" si="34"/>
        <v>#DIV/0!</v>
      </c>
      <c r="Q376" s="311">
        <f t="shared" si="35"/>
        <v>0</v>
      </c>
      <c r="V376" s="312" t="str">
        <f>PE_aug!AP365</f>
        <v>Münchehofe</v>
      </c>
    </row>
    <row r="377" spans="1:22">
      <c r="A377" s="280" t="s">
        <v>426</v>
      </c>
      <c r="H377">
        <v>0.86</v>
      </c>
      <c r="I377">
        <v>4.5999999999999999E-2</v>
      </c>
      <c r="J377">
        <v>6.0298299999999996</v>
      </c>
      <c r="K377">
        <v>0.44</v>
      </c>
      <c r="L377" s="308">
        <f t="shared" si="30"/>
        <v>0.33</v>
      </c>
      <c r="M377" s="309">
        <f t="shared" si="31"/>
        <v>0.38500000000000001</v>
      </c>
      <c r="N377" s="310" t="e">
        <f t="shared" si="32"/>
        <v>#DIV/0!</v>
      </c>
      <c r="O377" s="310" t="e">
        <f t="shared" si="33"/>
        <v>#DIV/0!</v>
      </c>
      <c r="P377" s="310" t="e">
        <f t="shared" si="34"/>
        <v>#DIV/0!</v>
      </c>
      <c r="Q377" s="311">
        <f t="shared" si="35"/>
        <v>0</v>
      </c>
      <c r="V377" s="312" t="str">
        <f>PE_aug!AP366</f>
        <v>Münchehofe</v>
      </c>
    </row>
    <row r="378" spans="1:22">
      <c r="A378" s="280" t="s">
        <v>427</v>
      </c>
      <c r="H378">
        <v>0.80300000000000005</v>
      </c>
      <c r="I378">
        <v>4.5999999999999999E-2</v>
      </c>
      <c r="J378">
        <v>6.4604200000000001</v>
      </c>
      <c r="K378">
        <v>0.44</v>
      </c>
      <c r="L378" s="308">
        <f t="shared" si="30"/>
        <v>0.33</v>
      </c>
      <c r="M378" s="309">
        <f t="shared" si="31"/>
        <v>0.38500000000000001</v>
      </c>
      <c r="N378" s="310" t="e">
        <f t="shared" si="32"/>
        <v>#DIV/0!</v>
      </c>
      <c r="O378" s="310" t="e">
        <f t="shared" si="33"/>
        <v>#DIV/0!</v>
      </c>
      <c r="P378" s="310" t="e">
        <f t="shared" si="34"/>
        <v>#DIV/0!</v>
      </c>
      <c r="Q378" s="311">
        <f t="shared" si="35"/>
        <v>0</v>
      </c>
      <c r="V378" s="312" t="str">
        <f>PE_aug!AP367</f>
        <v>Münchehofe</v>
      </c>
    </row>
    <row r="379" spans="1:22">
      <c r="A379" s="280" t="s">
        <v>428</v>
      </c>
      <c r="J379">
        <v>9.5863199999999996E-2</v>
      </c>
      <c r="L379" s="308">
        <f t="shared" si="30"/>
        <v>0.33</v>
      </c>
      <c r="M379" s="309">
        <f t="shared" si="31"/>
        <v>0.33</v>
      </c>
      <c r="N379" s="310" t="e">
        <f t="shared" si="32"/>
        <v>#DIV/0!</v>
      </c>
      <c r="O379" s="310" t="e">
        <f t="shared" si="33"/>
        <v>#DIV/0!</v>
      </c>
      <c r="P379" s="310" t="e">
        <f t="shared" si="34"/>
        <v>#DIV/0!</v>
      </c>
      <c r="Q379" s="311">
        <f t="shared" si="35"/>
        <v>0</v>
      </c>
      <c r="V379" s="312" t="str">
        <f>PE_aug!AP368</f>
        <v>RBF</v>
      </c>
    </row>
    <row r="380" spans="1:22">
      <c r="A380" s="280" t="s">
        <v>430</v>
      </c>
      <c r="C380">
        <v>14.88</v>
      </c>
      <c r="D380">
        <v>44.29</v>
      </c>
      <c r="F380">
        <v>14.88</v>
      </c>
      <c r="G380" s="307">
        <v>44.29</v>
      </c>
      <c r="J380">
        <v>3.9970099999999988E-2</v>
      </c>
      <c r="K380">
        <v>0.89</v>
      </c>
      <c r="L380" s="308">
        <f t="shared" si="30"/>
        <v>0.5</v>
      </c>
      <c r="M380" s="309">
        <f t="shared" si="31"/>
        <v>0.69500000000000006</v>
      </c>
      <c r="N380" s="310">
        <f t="shared" si="32"/>
        <v>29.585000000000001</v>
      </c>
      <c r="O380" s="310">
        <f t="shared" si="33"/>
        <v>29.585000000000001</v>
      </c>
      <c r="P380" s="310">
        <f t="shared" si="34"/>
        <v>99.408484029068774</v>
      </c>
      <c r="Q380" s="311">
        <f t="shared" si="35"/>
        <v>740.17828326674214</v>
      </c>
      <c r="V380" s="312" t="str">
        <f>PE_aug!AP369</f>
        <v>Methode</v>
      </c>
    </row>
    <row r="381" spans="1:22">
      <c r="A381" s="280" t="s">
        <v>431</v>
      </c>
      <c r="C381">
        <v>3.33</v>
      </c>
      <c r="F381">
        <v>3.33</v>
      </c>
      <c r="H381">
        <v>0.70699999999999996</v>
      </c>
      <c r="I381">
        <v>4.1000000000000002E-2</v>
      </c>
      <c r="J381">
        <v>12.188499999999999</v>
      </c>
      <c r="K381">
        <v>0.81</v>
      </c>
      <c r="L381" s="308">
        <f t="shared" si="30"/>
        <v>0.75</v>
      </c>
      <c r="M381" s="309">
        <f t="shared" si="31"/>
        <v>0.78</v>
      </c>
      <c r="N381" s="310">
        <f t="shared" si="32"/>
        <v>3.33</v>
      </c>
      <c r="O381" s="310">
        <f t="shared" si="33"/>
        <v>3.33</v>
      </c>
      <c r="P381" s="310">
        <f t="shared" si="34"/>
        <v>0</v>
      </c>
      <c r="Q381" s="311">
        <f t="shared" si="35"/>
        <v>0.27320835213520944</v>
      </c>
      <c r="V381" s="312" t="str">
        <f>PE_aug!AP370</f>
        <v>Straßenabfluss</v>
      </c>
    </row>
    <row r="382" spans="1:22">
      <c r="A382" s="280" t="s">
        <v>432</v>
      </c>
      <c r="H382">
        <v>0.70699999999999996</v>
      </c>
      <c r="I382">
        <v>4.1000000000000002E-2</v>
      </c>
      <c r="J382">
        <v>17.268799999999999</v>
      </c>
      <c r="K382">
        <v>0.81</v>
      </c>
      <c r="L382" s="308">
        <f t="shared" si="30"/>
        <v>0.33</v>
      </c>
      <c r="M382" s="309">
        <f t="shared" si="31"/>
        <v>0.57000000000000006</v>
      </c>
      <c r="N382" s="310" t="e">
        <f t="shared" si="32"/>
        <v>#DIV/0!</v>
      </c>
      <c r="O382" s="310" t="e">
        <f t="shared" si="33"/>
        <v>#DIV/0!</v>
      </c>
      <c r="P382" s="310" t="e">
        <f t="shared" si="34"/>
        <v>#DIV/0!</v>
      </c>
      <c r="Q382" s="311">
        <f t="shared" si="35"/>
        <v>0</v>
      </c>
      <c r="V382" s="312" t="str">
        <f>PE_aug!AP371</f>
        <v>Straßenabfluss</v>
      </c>
    </row>
    <row r="383" spans="1:22">
      <c r="A383" s="280" t="s">
        <v>433</v>
      </c>
      <c r="H383">
        <v>0.70699999999999996</v>
      </c>
      <c r="I383">
        <v>6.3E-2</v>
      </c>
      <c r="J383">
        <v>6.0078950000000004</v>
      </c>
      <c r="K383">
        <v>0.69</v>
      </c>
      <c r="L383" s="308">
        <f t="shared" si="30"/>
        <v>0.33</v>
      </c>
      <c r="M383" s="309">
        <f t="shared" si="31"/>
        <v>0.51</v>
      </c>
      <c r="N383" s="310" t="e">
        <f t="shared" si="32"/>
        <v>#DIV/0!</v>
      </c>
      <c r="O383" s="310" t="e">
        <f t="shared" si="33"/>
        <v>#DIV/0!</v>
      </c>
      <c r="P383" s="310" t="e">
        <f t="shared" si="34"/>
        <v>#DIV/0!</v>
      </c>
      <c r="Q383" s="311">
        <f t="shared" si="35"/>
        <v>0</v>
      </c>
      <c r="V383" s="312" t="str">
        <f>PE_aug!AP372</f>
        <v>Kläranlagen</v>
      </c>
    </row>
    <row r="384" spans="1:22">
      <c r="A384" s="280" t="s">
        <v>434</v>
      </c>
      <c r="H384">
        <v>0.70699999999999996</v>
      </c>
      <c r="I384">
        <v>6.3E-2</v>
      </c>
      <c r="J384">
        <v>5.5313149999999993</v>
      </c>
      <c r="K384">
        <v>0.81</v>
      </c>
      <c r="L384" s="308">
        <f t="shared" si="30"/>
        <v>0.33</v>
      </c>
      <c r="M384" s="309">
        <f t="shared" si="31"/>
        <v>0.57000000000000006</v>
      </c>
      <c r="N384" s="310" t="e">
        <f t="shared" si="32"/>
        <v>#DIV/0!</v>
      </c>
      <c r="O384" s="310" t="e">
        <f t="shared" si="33"/>
        <v>#DIV/0!</v>
      </c>
      <c r="P384" s="310" t="e">
        <f t="shared" si="34"/>
        <v>#DIV/0!</v>
      </c>
      <c r="Q384" s="311">
        <f t="shared" si="35"/>
        <v>0</v>
      </c>
      <c r="V384" s="312" t="str">
        <f>PE_aug!AP373</f>
        <v>Kläranlagen</v>
      </c>
    </row>
    <row r="385" spans="1:22">
      <c r="A385" s="282" t="s">
        <v>435</v>
      </c>
      <c r="H385">
        <v>0.14699999999999999</v>
      </c>
      <c r="I385">
        <v>0.29299999999999998</v>
      </c>
      <c r="J385">
        <v>26.531649999999999</v>
      </c>
      <c r="K385">
        <v>0.69</v>
      </c>
      <c r="L385" s="308">
        <f t="shared" si="30"/>
        <v>0.33</v>
      </c>
      <c r="M385" s="309">
        <f t="shared" si="31"/>
        <v>0.51</v>
      </c>
      <c r="N385" s="310" t="e">
        <f t="shared" si="32"/>
        <v>#DIV/0!</v>
      </c>
      <c r="O385" s="310" t="e">
        <f t="shared" si="33"/>
        <v>#DIV/0!</v>
      </c>
      <c r="P385" s="310" t="e">
        <f t="shared" si="34"/>
        <v>#DIV/0!</v>
      </c>
      <c r="Q385" s="311">
        <f t="shared" si="35"/>
        <v>0</v>
      </c>
      <c r="V385" s="312" t="str">
        <f>PE_aug!AP374</f>
        <v>KWS</v>
      </c>
    </row>
    <row r="386" spans="1:22">
      <c r="A386" s="282" t="s">
        <v>436</v>
      </c>
      <c r="H386">
        <v>0.92200000000000004</v>
      </c>
      <c r="I386">
        <v>0.29299999999999998</v>
      </c>
      <c r="J386">
        <v>29.1462</v>
      </c>
      <c r="K386">
        <v>0.69</v>
      </c>
      <c r="L386" s="308">
        <f t="shared" ref="L386:L449" si="36">IF(COUNT(F386:G386)&lt;1,0.33,((COUNT(F386:G386)*(1/(COUNT(F386:G386)+COUNTBLANK(F386:G386)))+(IF(P386&lt;35,1,IF(P386&lt;70,0.5,IF(P386&gt;70,0)))))/2))</f>
        <v>0.33</v>
      </c>
      <c r="M386" s="309">
        <f t="shared" ref="M386:M449" si="37">AVERAGE(K386:L386)</f>
        <v>0.51</v>
      </c>
      <c r="N386" s="310" t="e">
        <f t="shared" ref="N386:N449" si="38">AVERAGE(E386:G386)</f>
        <v>#DIV/0!</v>
      </c>
      <c r="O386" s="310" t="e">
        <f t="shared" ref="O386:O449" si="39">AVERAGE(F386:G386)</f>
        <v>#DIV/0!</v>
      </c>
      <c r="P386" s="310" t="e">
        <f t="shared" ref="P386:P449" si="40">(MAX(F386:G386)-MIN(F386:G386))/O386*100</f>
        <v>#DIV/0!</v>
      </c>
      <c r="Q386" s="311">
        <f t="shared" ref="Q386:Q398" si="41">IFERROR(O386/J386,0)</f>
        <v>0</v>
      </c>
      <c r="V386" s="312" t="str">
        <f>PE_aug!AP375</f>
        <v>KWS</v>
      </c>
    </row>
    <row r="387" spans="1:22">
      <c r="A387" s="282" t="s">
        <v>437</v>
      </c>
      <c r="H387">
        <v>1.0509999999999999</v>
      </c>
      <c r="I387">
        <v>0.29299999999999998</v>
      </c>
      <c r="J387">
        <v>16.288900000000002</v>
      </c>
      <c r="K387">
        <v>0.56000000000000005</v>
      </c>
      <c r="L387" s="308">
        <f t="shared" si="36"/>
        <v>0.33</v>
      </c>
      <c r="M387" s="309">
        <f t="shared" si="37"/>
        <v>0.44500000000000006</v>
      </c>
      <c r="N387" s="310" t="e">
        <f t="shared" si="38"/>
        <v>#DIV/0!</v>
      </c>
      <c r="O387" s="310" t="e">
        <f t="shared" si="39"/>
        <v>#DIV/0!</v>
      </c>
      <c r="P387" s="310" t="e">
        <f t="shared" si="40"/>
        <v>#DIV/0!</v>
      </c>
      <c r="Q387" s="311">
        <f t="shared" si="41"/>
        <v>0</v>
      </c>
      <c r="V387" s="312" t="str">
        <f>PE_aug!AP376</f>
        <v>KWS</v>
      </c>
    </row>
    <row r="388" spans="1:22">
      <c r="A388" s="282" t="s">
        <v>438</v>
      </c>
      <c r="H388">
        <v>0.998</v>
      </c>
      <c r="I388">
        <v>0.246</v>
      </c>
      <c r="J388">
        <v>3.7278199999999999</v>
      </c>
      <c r="K388">
        <v>0.39</v>
      </c>
      <c r="L388" s="308">
        <f t="shared" si="36"/>
        <v>0.33</v>
      </c>
      <c r="M388" s="309">
        <f t="shared" si="37"/>
        <v>0.36</v>
      </c>
      <c r="N388" s="310" t="e">
        <f t="shared" si="38"/>
        <v>#DIV/0!</v>
      </c>
      <c r="O388" s="310" t="e">
        <f t="shared" si="39"/>
        <v>#DIV/0!</v>
      </c>
      <c r="P388" s="310" t="e">
        <f t="shared" si="40"/>
        <v>#DIV/0!</v>
      </c>
      <c r="Q388" s="311">
        <f t="shared" si="41"/>
        <v>0</v>
      </c>
      <c r="V388" s="312" t="str">
        <f>PE_aug!AP377</f>
        <v>KWS</v>
      </c>
    </row>
    <row r="389" spans="1:22">
      <c r="A389" s="282" t="s">
        <v>439</v>
      </c>
      <c r="H389">
        <v>0.65900000000000003</v>
      </c>
      <c r="I389">
        <v>0.246</v>
      </c>
      <c r="J389">
        <v>6.7965999999999998</v>
      </c>
      <c r="K389">
        <v>0.44</v>
      </c>
      <c r="L389" s="308">
        <f t="shared" si="36"/>
        <v>0.33</v>
      </c>
      <c r="M389" s="309">
        <f t="shared" si="37"/>
        <v>0.38500000000000001</v>
      </c>
      <c r="N389" s="310" t="e">
        <f t="shared" si="38"/>
        <v>#DIV/0!</v>
      </c>
      <c r="O389" s="310" t="e">
        <f t="shared" si="39"/>
        <v>#DIV/0!</v>
      </c>
      <c r="P389" s="310" t="e">
        <f t="shared" si="40"/>
        <v>#DIV/0!</v>
      </c>
      <c r="Q389" s="311">
        <f t="shared" si="41"/>
        <v>0</v>
      </c>
      <c r="V389" s="312" t="str">
        <f>PE_aug!AP378</f>
        <v>KWS</v>
      </c>
    </row>
    <row r="390" spans="1:22">
      <c r="A390" s="282" t="s">
        <v>440</v>
      </c>
      <c r="H390">
        <v>0.51400000000000001</v>
      </c>
      <c r="I390">
        <v>0.246</v>
      </c>
      <c r="J390">
        <v>5.0972499999999998</v>
      </c>
      <c r="K390">
        <v>0.44</v>
      </c>
      <c r="L390" s="308">
        <f t="shared" si="36"/>
        <v>0.33</v>
      </c>
      <c r="M390" s="309">
        <f t="shared" si="37"/>
        <v>0.38500000000000001</v>
      </c>
      <c r="N390" s="310" t="e">
        <f t="shared" si="38"/>
        <v>#DIV/0!</v>
      </c>
      <c r="O390" s="310" t="e">
        <f t="shared" si="39"/>
        <v>#DIV/0!</v>
      </c>
      <c r="P390" s="310" t="e">
        <f t="shared" si="40"/>
        <v>#DIV/0!</v>
      </c>
      <c r="Q390" s="311">
        <f t="shared" si="41"/>
        <v>0</v>
      </c>
      <c r="V390" s="312" t="str">
        <f>PE_aug!AP379</f>
        <v>KWS</v>
      </c>
    </row>
    <row r="391" spans="1:22">
      <c r="A391" s="282" t="s">
        <v>441</v>
      </c>
      <c r="H391">
        <v>0.51400000000000001</v>
      </c>
      <c r="I391">
        <v>6.4000000000000001E-2</v>
      </c>
      <c r="J391">
        <v>10.3285</v>
      </c>
      <c r="K391">
        <v>0.69</v>
      </c>
      <c r="L391" s="308">
        <f t="shared" si="36"/>
        <v>0.33</v>
      </c>
      <c r="M391" s="309">
        <f t="shared" si="37"/>
        <v>0.51</v>
      </c>
      <c r="N391" s="310" t="e">
        <f t="shared" si="38"/>
        <v>#DIV/0!</v>
      </c>
      <c r="O391" s="310" t="e">
        <f t="shared" si="39"/>
        <v>#DIV/0!</v>
      </c>
      <c r="P391" s="310" t="e">
        <f t="shared" si="40"/>
        <v>#DIV/0!</v>
      </c>
      <c r="Q391" s="311">
        <f t="shared" si="41"/>
        <v>0</v>
      </c>
      <c r="V391" s="312" t="str">
        <f>PE_aug!AP380</f>
        <v>Flussproben</v>
      </c>
    </row>
    <row r="392" spans="1:22">
      <c r="A392" s="282" t="s">
        <v>442</v>
      </c>
      <c r="H392">
        <v>0.63700000000000001</v>
      </c>
      <c r="I392">
        <v>6.4000000000000001E-2</v>
      </c>
      <c r="J392">
        <v>9.8335849999999994</v>
      </c>
      <c r="K392">
        <v>0.56000000000000005</v>
      </c>
      <c r="L392" s="308">
        <f t="shared" si="36"/>
        <v>0.33</v>
      </c>
      <c r="M392" s="309">
        <f t="shared" si="37"/>
        <v>0.44500000000000006</v>
      </c>
      <c r="N392" s="310" t="e">
        <f t="shared" si="38"/>
        <v>#DIV/0!</v>
      </c>
      <c r="O392" s="310" t="e">
        <f t="shared" si="39"/>
        <v>#DIV/0!</v>
      </c>
      <c r="P392" s="310" t="e">
        <f t="shared" si="40"/>
        <v>#DIV/0!</v>
      </c>
      <c r="Q392" s="311">
        <f t="shared" si="41"/>
        <v>0</v>
      </c>
      <c r="V392" s="312" t="str">
        <f>PE_aug!AP381</f>
        <v>Flussproben</v>
      </c>
    </row>
    <row r="393" spans="1:22">
      <c r="A393" s="282" t="s">
        <v>443</v>
      </c>
      <c r="H393">
        <v>1.1459999999999999</v>
      </c>
      <c r="I393">
        <v>6.4000000000000001E-2</v>
      </c>
      <c r="J393">
        <v>16.5566</v>
      </c>
      <c r="K393">
        <v>0.44</v>
      </c>
      <c r="L393" s="308">
        <f t="shared" si="36"/>
        <v>0.33</v>
      </c>
      <c r="M393" s="309">
        <f t="shared" si="37"/>
        <v>0.38500000000000001</v>
      </c>
      <c r="N393" s="310" t="e">
        <f t="shared" si="38"/>
        <v>#DIV/0!</v>
      </c>
      <c r="O393" s="310" t="e">
        <f t="shared" si="39"/>
        <v>#DIV/0!</v>
      </c>
      <c r="P393" s="310" t="e">
        <f t="shared" si="40"/>
        <v>#DIV/0!</v>
      </c>
      <c r="Q393" s="311">
        <f t="shared" si="41"/>
        <v>0</v>
      </c>
      <c r="V393" s="312" t="str">
        <f>PE_aug!AP382</f>
        <v>Flussproben</v>
      </c>
    </row>
    <row r="394" spans="1:22">
      <c r="A394" s="282" t="s">
        <v>444</v>
      </c>
      <c r="J394">
        <v>10.1968</v>
      </c>
      <c r="K394">
        <v>0.44</v>
      </c>
      <c r="L394" s="308">
        <f t="shared" si="36"/>
        <v>0.33</v>
      </c>
      <c r="M394" s="309">
        <f t="shared" si="37"/>
        <v>0.38500000000000001</v>
      </c>
      <c r="N394" s="310" t="e">
        <f t="shared" si="38"/>
        <v>#DIV/0!</v>
      </c>
      <c r="O394" s="310" t="e">
        <f t="shared" si="39"/>
        <v>#DIV/0!</v>
      </c>
      <c r="P394" s="310" t="e">
        <f t="shared" si="40"/>
        <v>#DIV/0!</v>
      </c>
      <c r="Q394" s="311">
        <f t="shared" si="41"/>
        <v>0</v>
      </c>
      <c r="V394" s="312" t="str">
        <f>PE_aug!AP383</f>
        <v>Flussproben, Methode</v>
      </c>
    </row>
    <row r="395" spans="1:22">
      <c r="A395" s="282" t="s">
        <v>445</v>
      </c>
      <c r="D395">
        <v>8.82</v>
      </c>
      <c r="G395">
        <v>8.82</v>
      </c>
      <c r="J395">
        <v>0.53195800000000004</v>
      </c>
      <c r="K395">
        <v>0.5</v>
      </c>
      <c r="L395" s="308">
        <f t="shared" si="36"/>
        <v>0.75</v>
      </c>
      <c r="M395" s="309">
        <f t="shared" si="37"/>
        <v>0.625</v>
      </c>
      <c r="N395" s="310">
        <f t="shared" si="38"/>
        <v>8.82</v>
      </c>
      <c r="O395" s="310">
        <f t="shared" si="39"/>
        <v>8.82</v>
      </c>
      <c r="P395" s="310">
        <f t="shared" si="40"/>
        <v>0</v>
      </c>
      <c r="Q395" s="311">
        <f t="shared" si="41"/>
        <v>16.580256336026526</v>
      </c>
      <c r="V395" s="312" t="str">
        <f>PE_aug!AP384</f>
        <v>Methode</v>
      </c>
    </row>
    <row r="396" spans="1:22">
      <c r="A396" s="282" t="s">
        <v>446</v>
      </c>
      <c r="D396">
        <v>9.44</v>
      </c>
      <c r="G396">
        <v>9.44</v>
      </c>
      <c r="J396">
        <v>0.137437</v>
      </c>
      <c r="K396">
        <v>0.5</v>
      </c>
      <c r="L396" s="308">
        <f t="shared" si="36"/>
        <v>0.75</v>
      </c>
      <c r="M396" s="309">
        <f t="shared" si="37"/>
        <v>0.625</v>
      </c>
      <c r="N396" s="310">
        <f t="shared" si="38"/>
        <v>9.44</v>
      </c>
      <c r="O396" s="310">
        <f t="shared" si="39"/>
        <v>9.44</v>
      </c>
      <c r="P396" s="310">
        <f t="shared" si="40"/>
        <v>0</v>
      </c>
      <c r="Q396" s="311">
        <f t="shared" si="41"/>
        <v>68.686016138303359</v>
      </c>
      <c r="V396" s="312" t="str">
        <f>PE_aug!AP385</f>
        <v>Methode</v>
      </c>
    </row>
    <row r="397" spans="1:22">
      <c r="A397" s="282" t="s">
        <v>447</v>
      </c>
      <c r="H397">
        <v>0.70699999999999996</v>
      </c>
      <c r="I397">
        <v>1.056</v>
      </c>
      <c r="J397">
        <v>35.156500000000001</v>
      </c>
      <c r="K397">
        <v>0.81</v>
      </c>
      <c r="L397" s="308">
        <f t="shared" si="36"/>
        <v>0.33</v>
      </c>
      <c r="M397" s="309">
        <f t="shared" si="37"/>
        <v>0.57000000000000006</v>
      </c>
      <c r="N397" s="310" t="e">
        <f t="shared" si="38"/>
        <v>#DIV/0!</v>
      </c>
      <c r="O397" s="310" t="e">
        <f t="shared" si="39"/>
        <v>#DIV/0!</v>
      </c>
      <c r="P397" s="310" t="e">
        <f t="shared" si="40"/>
        <v>#DIV/0!</v>
      </c>
      <c r="Q397" s="311">
        <f t="shared" si="41"/>
        <v>0</v>
      </c>
      <c r="V397" s="312" t="str">
        <f>PE_aug!AP386</f>
        <v>Straßenabfluss</v>
      </c>
    </row>
    <row r="398" spans="1:22">
      <c r="A398" s="282" t="s">
        <v>448</v>
      </c>
      <c r="C398">
        <v>3.1</v>
      </c>
      <c r="F398">
        <v>3.1</v>
      </c>
      <c r="H398">
        <v>0.70699999999999996</v>
      </c>
      <c r="I398">
        <v>1.056</v>
      </c>
      <c r="J398">
        <v>42.128500000000003</v>
      </c>
      <c r="K398">
        <v>0.81</v>
      </c>
      <c r="L398" s="308">
        <f t="shared" si="36"/>
        <v>0.75</v>
      </c>
      <c r="M398" s="309">
        <f t="shared" si="37"/>
        <v>0.78</v>
      </c>
      <c r="N398" s="310">
        <f t="shared" si="38"/>
        <v>3.1</v>
      </c>
      <c r="O398" s="310">
        <f t="shared" si="39"/>
        <v>3.1</v>
      </c>
      <c r="P398" s="310">
        <f t="shared" si="40"/>
        <v>0</v>
      </c>
      <c r="Q398" s="311">
        <f t="shared" si="41"/>
        <v>7.3584390614429659E-2</v>
      </c>
      <c r="V398" s="312" t="str">
        <f>PE_aug!AP387</f>
        <v>Straßenabfluss</v>
      </c>
    </row>
    <row r="399" spans="1:22">
      <c r="A399" s="290" t="s">
        <v>449</v>
      </c>
      <c r="B399">
        <v>93.05</v>
      </c>
      <c r="C399">
        <v>38.869999999999997</v>
      </c>
      <c r="E399">
        <v>93.05</v>
      </c>
      <c r="F399">
        <v>38.869999999999997</v>
      </c>
      <c r="H399">
        <v>1.069</v>
      </c>
      <c r="I399">
        <v>0.15</v>
      </c>
      <c r="J399">
        <v>18.248699999999999</v>
      </c>
      <c r="K399">
        <v>0.74</v>
      </c>
      <c r="L399" s="308">
        <f t="shared" si="36"/>
        <v>0.75</v>
      </c>
      <c r="M399" s="309">
        <f t="shared" si="37"/>
        <v>0.745</v>
      </c>
      <c r="N399" s="310">
        <f t="shared" si="38"/>
        <v>65.959999999999994</v>
      </c>
      <c r="O399" s="310">
        <f t="shared" si="39"/>
        <v>38.869999999999997</v>
      </c>
      <c r="P399" s="310">
        <f t="shared" si="40"/>
        <v>0</v>
      </c>
      <c r="Q399" s="311">
        <f t="shared" ref="Q399:Q406" si="42">IFERROR(N399/J399,0)</f>
        <v>3.6145040468636118</v>
      </c>
      <c r="V399" s="312" t="str">
        <f>PE_aug!AP388</f>
        <v>KWS, Methode</v>
      </c>
    </row>
    <row r="400" spans="1:22">
      <c r="A400" s="290" t="s">
        <v>450</v>
      </c>
      <c r="B400">
        <v>48.51</v>
      </c>
      <c r="C400">
        <v>31.15</v>
      </c>
      <c r="E400">
        <v>48.51</v>
      </c>
      <c r="F400">
        <v>31.15</v>
      </c>
      <c r="H400">
        <v>0.439</v>
      </c>
      <c r="I400">
        <v>0.15</v>
      </c>
      <c r="J400">
        <v>10.1747</v>
      </c>
      <c r="K400">
        <v>0.69</v>
      </c>
      <c r="L400" s="308">
        <f t="shared" si="36"/>
        <v>0.75</v>
      </c>
      <c r="M400" s="309">
        <f t="shared" si="37"/>
        <v>0.72</v>
      </c>
      <c r="N400" s="310">
        <f t="shared" si="38"/>
        <v>39.83</v>
      </c>
      <c r="O400" s="310">
        <f t="shared" si="39"/>
        <v>31.15</v>
      </c>
      <c r="P400" s="310">
        <f t="shared" si="40"/>
        <v>0</v>
      </c>
      <c r="Q400" s="311">
        <f t="shared" si="42"/>
        <v>3.9146117330240693</v>
      </c>
      <c r="V400" s="312" t="str">
        <f>PE_aug!AP389</f>
        <v>KWS, Methode</v>
      </c>
    </row>
    <row r="401" spans="1:22">
      <c r="A401" s="290" t="s">
        <v>451</v>
      </c>
      <c r="B401">
        <v>72.14</v>
      </c>
      <c r="C401">
        <v>34.04</v>
      </c>
      <c r="E401">
        <v>72.14</v>
      </c>
      <c r="F401">
        <v>34.04</v>
      </c>
      <c r="H401">
        <v>0.30099999999999999</v>
      </c>
      <c r="I401">
        <v>9.7000000000000003E-2</v>
      </c>
      <c r="J401">
        <v>10.7644</v>
      </c>
      <c r="K401">
        <v>0.64</v>
      </c>
      <c r="L401" s="308">
        <f t="shared" si="36"/>
        <v>0.75</v>
      </c>
      <c r="M401" s="309">
        <f t="shared" si="37"/>
        <v>0.69500000000000006</v>
      </c>
      <c r="N401" s="310">
        <f t="shared" si="38"/>
        <v>53.09</v>
      </c>
      <c r="O401" s="310">
        <f t="shared" si="39"/>
        <v>34.04</v>
      </c>
      <c r="P401" s="310">
        <f t="shared" si="40"/>
        <v>0</v>
      </c>
      <c r="Q401" s="311">
        <f t="shared" si="42"/>
        <v>4.9319980677046562</v>
      </c>
      <c r="V401" s="312" t="str">
        <f>PE_aug!AP390</f>
        <v>KWS, Methode</v>
      </c>
    </row>
    <row r="402" spans="1:22">
      <c r="A402" s="290" t="s">
        <v>452</v>
      </c>
      <c r="B402">
        <v>55.59</v>
      </c>
      <c r="C402">
        <v>31.82</v>
      </c>
      <c r="E402">
        <v>55.59</v>
      </c>
      <c r="F402">
        <v>31.82</v>
      </c>
      <c r="H402">
        <v>0.95299999999999996</v>
      </c>
      <c r="I402">
        <v>9.7000000000000003E-2</v>
      </c>
      <c r="J402">
        <v>8.0693900000000003</v>
      </c>
      <c r="K402">
        <v>0.69</v>
      </c>
      <c r="L402" s="308">
        <f t="shared" si="36"/>
        <v>0.75</v>
      </c>
      <c r="M402" s="309">
        <f t="shared" si="37"/>
        <v>0.72</v>
      </c>
      <c r="N402" s="310">
        <f t="shared" si="38"/>
        <v>43.704999999999998</v>
      </c>
      <c r="O402" s="310">
        <f t="shared" si="39"/>
        <v>31.82</v>
      </c>
      <c r="P402" s="310">
        <f t="shared" si="40"/>
        <v>0</v>
      </c>
      <c r="Q402" s="311">
        <f t="shared" si="42"/>
        <v>5.4161466975818486</v>
      </c>
      <c r="V402" s="312" t="str">
        <f>PE_aug!AP391</f>
        <v>KWS, Methode</v>
      </c>
    </row>
    <row r="403" spans="1:22">
      <c r="A403" s="290" t="s">
        <v>453</v>
      </c>
      <c r="B403">
        <v>91.84</v>
      </c>
      <c r="C403">
        <v>43.63</v>
      </c>
      <c r="E403">
        <v>91.84</v>
      </c>
      <c r="F403">
        <v>43.63</v>
      </c>
      <c r="H403">
        <v>0.93</v>
      </c>
      <c r="I403">
        <v>9.7000000000000003E-2</v>
      </c>
      <c r="J403">
        <v>12.1059</v>
      </c>
      <c r="K403">
        <v>0.74</v>
      </c>
      <c r="L403" s="308">
        <f t="shared" si="36"/>
        <v>0.75</v>
      </c>
      <c r="M403" s="309">
        <f t="shared" si="37"/>
        <v>0.745</v>
      </c>
      <c r="N403" s="310">
        <f t="shared" si="38"/>
        <v>67.734999999999999</v>
      </c>
      <c r="O403" s="310">
        <f t="shared" si="39"/>
        <v>43.63</v>
      </c>
      <c r="P403" s="310">
        <f t="shared" si="40"/>
        <v>0</v>
      </c>
      <c r="Q403" s="311">
        <f t="shared" si="42"/>
        <v>5.5952056435291881</v>
      </c>
      <c r="V403" s="312" t="str">
        <f>PE_aug!AP392</f>
        <v>KWS, Methode</v>
      </c>
    </row>
    <row r="404" spans="1:22">
      <c r="A404" s="290" t="s">
        <v>454</v>
      </c>
      <c r="B404">
        <v>62.37</v>
      </c>
      <c r="C404">
        <v>23.9</v>
      </c>
      <c r="D404">
        <v>3.83</v>
      </c>
      <c r="E404">
        <v>62.37</v>
      </c>
      <c r="F404">
        <v>23.9</v>
      </c>
      <c r="G404">
        <v>3.83</v>
      </c>
      <c r="H404">
        <v>0.315</v>
      </c>
      <c r="I404">
        <v>0.109</v>
      </c>
      <c r="J404">
        <v>8.1649600000000007</v>
      </c>
      <c r="K404">
        <v>0.69</v>
      </c>
      <c r="L404" s="308">
        <f t="shared" si="36"/>
        <v>0.5</v>
      </c>
      <c r="M404" s="309">
        <f t="shared" si="37"/>
        <v>0.59499999999999997</v>
      </c>
      <c r="N404" s="310">
        <f t="shared" si="38"/>
        <v>30.033333333333331</v>
      </c>
      <c r="O404" s="310">
        <f t="shared" si="39"/>
        <v>13.864999999999998</v>
      </c>
      <c r="P404" s="310">
        <f t="shared" si="40"/>
        <v>144.7529751172016</v>
      </c>
      <c r="Q404" s="311">
        <f t="shared" si="42"/>
        <v>3.6783197141606729</v>
      </c>
      <c r="V404" s="312" t="str">
        <f>PE_aug!AP393</f>
        <v>KWS, Methode</v>
      </c>
    </row>
    <row r="405" spans="1:22">
      <c r="A405" s="290" t="s">
        <v>455</v>
      </c>
      <c r="B405">
        <v>46.75</v>
      </c>
      <c r="C405">
        <v>13.15</v>
      </c>
      <c r="E405">
        <v>46.75</v>
      </c>
      <c r="F405">
        <v>13.15</v>
      </c>
      <c r="H405">
        <v>0.83199999999999996</v>
      </c>
      <c r="I405">
        <v>0.109</v>
      </c>
      <c r="J405">
        <v>7.0769650000000004</v>
      </c>
      <c r="K405">
        <v>0.69</v>
      </c>
      <c r="L405" s="308">
        <f t="shared" si="36"/>
        <v>0.75</v>
      </c>
      <c r="M405" s="309">
        <f t="shared" si="37"/>
        <v>0.72</v>
      </c>
      <c r="N405" s="310">
        <f t="shared" si="38"/>
        <v>29.95</v>
      </c>
      <c r="O405" s="310">
        <f t="shared" si="39"/>
        <v>13.15</v>
      </c>
      <c r="P405" s="310">
        <f t="shared" si="40"/>
        <v>0</v>
      </c>
      <c r="Q405" s="311">
        <f t="shared" si="42"/>
        <v>4.2320401471534757</v>
      </c>
      <c r="V405" s="312" t="str">
        <f>PE_aug!AP394</f>
        <v>KWS, Methode</v>
      </c>
    </row>
    <row r="406" spans="1:22">
      <c r="A406" s="290" t="s">
        <v>456</v>
      </c>
      <c r="B406">
        <v>76.540000000000006</v>
      </c>
      <c r="C406">
        <v>29.09</v>
      </c>
      <c r="E406">
        <v>76.540000000000006</v>
      </c>
      <c r="F406">
        <v>29.09</v>
      </c>
      <c r="H406">
        <v>1.042</v>
      </c>
      <c r="I406">
        <v>0.109</v>
      </c>
      <c r="J406">
        <v>10.223549999999999</v>
      </c>
      <c r="K406">
        <v>0.74</v>
      </c>
      <c r="L406" s="308">
        <f t="shared" si="36"/>
        <v>0.75</v>
      </c>
      <c r="M406" s="309">
        <f t="shared" si="37"/>
        <v>0.745</v>
      </c>
      <c r="N406" s="310">
        <f t="shared" si="38"/>
        <v>52.815000000000005</v>
      </c>
      <c r="O406" s="310">
        <f t="shared" si="39"/>
        <v>29.09</v>
      </c>
      <c r="P406" s="310">
        <f t="shared" si="40"/>
        <v>0</v>
      </c>
      <c r="Q406" s="311">
        <f t="shared" si="42"/>
        <v>5.1660137623428266</v>
      </c>
      <c r="V406" s="312" t="str">
        <f>PE_aug!AP395</f>
        <v>KWS, Methode</v>
      </c>
    </row>
    <row r="407" spans="1:22">
      <c r="A407" s="290" t="s">
        <v>457</v>
      </c>
      <c r="H407">
        <v>0.38100000000000001</v>
      </c>
      <c r="I407">
        <v>0.55100000000000005</v>
      </c>
      <c r="J407">
        <v>10.453200000000001</v>
      </c>
      <c r="K407">
        <v>0.44</v>
      </c>
      <c r="L407" s="308">
        <f t="shared" si="36"/>
        <v>0.33</v>
      </c>
      <c r="M407" s="309">
        <f t="shared" si="37"/>
        <v>0.38500000000000001</v>
      </c>
      <c r="N407" s="310" t="e">
        <f t="shared" si="38"/>
        <v>#DIV/0!</v>
      </c>
      <c r="O407" s="310" t="e">
        <f t="shared" si="39"/>
        <v>#DIV/0!</v>
      </c>
      <c r="P407" s="310" t="e">
        <f t="shared" si="40"/>
        <v>#DIV/0!</v>
      </c>
      <c r="Q407" s="311">
        <f t="shared" ref="Q407:Q438" si="43">IFERROR(O407/J407,0)</f>
        <v>0</v>
      </c>
      <c r="V407" s="312" t="str">
        <f>PE_aug!AP396</f>
        <v>Kläranlagen</v>
      </c>
    </row>
    <row r="408" spans="1:22">
      <c r="A408" s="290" t="s">
        <v>458</v>
      </c>
      <c r="H408">
        <v>0.95099999999999996</v>
      </c>
      <c r="I408">
        <v>0.55100000000000005</v>
      </c>
      <c r="J408">
        <v>8.8926250000000007</v>
      </c>
      <c r="K408">
        <v>0.56000000000000005</v>
      </c>
      <c r="L408" s="308">
        <f t="shared" si="36"/>
        <v>0.33</v>
      </c>
      <c r="M408" s="309">
        <f t="shared" si="37"/>
        <v>0.44500000000000006</v>
      </c>
      <c r="N408" s="310" t="e">
        <f t="shared" si="38"/>
        <v>#DIV/0!</v>
      </c>
      <c r="O408" s="310" t="e">
        <f t="shared" si="39"/>
        <v>#DIV/0!</v>
      </c>
      <c r="P408" s="310" t="e">
        <f t="shared" si="40"/>
        <v>#DIV/0!</v>
      </c>
      <c r="Q408" s="311">
        <f t="shared" si="43"/>
        <v>0</v>
      </c>
      <c r="V408" s="312" t="str">
        <f>PE_aug!AP397</f>
        <v>Kläranlagen</v>
      </c>
    </row>
    <row r="409" spans="1:22">
      <c r="A409" s="290" t="s">
        <v>459</v>
      </c>
      <c r="H409">
        <v>0.79900000000000004</v>
      </c>
      <c r="I409">
        <v>0.55100000000000005</v>
      </c>
      <c r="J409">
        <v>10.5664</v>
      </c>
      <c r="K409">
        <v>0.44</v>
      </c>
      <c r="L409" s="308">
        <f t="shared" si="36"/>
        <v>0.33</v>
      </c>
      <c r="M409" s="309">
        <f t="shared" si="37"/>
        <v>0.38500000000000001</v>
      </c>
      <c r="N409" s="310" t="e">
        <f t="shared" si="38"/>
        <v>#DIV/0!</v>
      </c>
      <c r="O409" s="310" t="e">
        <f t="shared" si="39"/>
        <v>#DIV/0!</v>
      </c>
      <c r="P409" s="310" t="e">
        <f t="shared" si="40"/>
        <v>#DIV/0!</v>
      </c>
      <c r="Q409" s="311">
        <f t="shared" si="43"/>
        <v>0</v>
      </c>
      <c r="V409" s="312" t="str">
        <f>PE_aug!AP398</f>
        <v>Kläranlagen</v>
      </c>
    </row>
    <row r="410" spans="1:22">
      <c r="A410" s="290" t="s">
        <v>460</v>
      </c>
      <c r="C410">
        <v>3.49</v>
      </c>
      <c r="F410">
        <v>3.49</v>
      </c>
      <c r="H410">
        <v>0.41199999999999998</v>
      </c>
      <c r="I410">
        <v>7.2999999999999995E-2</v>
      </c>
      <c r="J410">
        <v>12.769600000000001</v>
      </c>
      <c r="K410">
        <v>0.69</v>
      </c>
      <c r="L410" s="308">
        <f t="shared" si="36"/>
        <v>0.75</v>
      </c>
      <c r="M410" s="309">
        <f t="shared" si="37"/>
        <v>0.72</v>
      </c>
      <c r="N410" s="310">
        <f t="shared" si="38"/>
        <v>3.49</v>
      </c>
      <c r="O410" s="310">
        <f t="shared" si="39"/>
        <v>3.49</v>
      </c>
      <c r="P410" s="310">
        <f t="shared" si="40"/>
        <v>0</v>
      </c>
      <c r="Q410" s="311">
        <f t="shared" si="43"/>
        <v>0.27330535020674102</v>
      </c>
      <c r="V410" s="312" t="str">
        <f>PE_aug!AP399</f>
        <v>Straßenabfluss</v>
      </c>
    </row>
    <row r="411" spans="1:22">
      <c r="A411" s="290" t="s">
        <v>461</v>
      </c>
      <c r="H411">
        <v>1.075</v>
      </c>
      <c r="I411">
        <v>7.2999999999999995E-2</v>
      </c>
      <c r="J411">
        <v>9.5862499999999997</v>
      </c>
      <c r="K411">
        <v>0.81</v>
      </c>
      <c r="L411" s="308">
        <f t="shared" si="36"/>
        <v>0.33</v>
      </c>
      <c r="M411" s="309">
        <f t="shared" si="37"/>
        <v>0.57000000000000006</v>
      </c>
      <c r="N411" s="310" t="e">
        <f t="shared" si="38"/>
        <v>#DIV/0!</v>
      </c>
      <c r="O411" s="310" t="e">
        <f t="shared" si="39"/>
        <v>#DIV/0!</v>
      </c>
      <c r="P411" s="310" t="e">
        <f t="shared" si="40"/>
        <v>#DIV/0!</v>
      </c>
      <c r="Q411" s="311">
        <f t="shared" si="43"/>
        <v>0</v>
      </c>
      <c r="V411" s="312" t="str">
        <f>PE_aug!AP400</f>
        <v>Straßenabfluss</v>
      </c>
    </row>
    <row r="412" spans="1:22">
      <c r="A412" s="290" t="s">
        <v>462</v>
      </c>
      <c r="C412">
        <v>3.29</v>
      </c>
      <c r="F412">
        <v>3.29</v>
      </c>
      <c r="H412">
        <v>0.74</v>
      </c>
      <c r="I412">
        <v>7.2999999999999995E-2</v>
      </c>
      <c r="J412">
        <v>13.754300000000001</v>
      </c>
      <c r="K412">
        <v>0.81</v>
      </c>
      <c r="L412" s="308">
        <f t="shared" si="36"/>
        <v>0.75</v>
      </c>
      <c r="M412" s="309">
        <f t="shared" si="37"/>
        <v>0.78</v>
      </c>
      <c r="N412" s="310">
        <f t="shared" si="38"/>
        <v>3.29</v>
      </c>
      <c r="O412" s="310">
        <f t="shared" si="39"/>
        <v>3.29</v>
      </c>
      <c r="P412" s="310">
        <f t="shared" si="40"/>
        <v>0</v>
      </c>
      <c r="Q412" s="311">
        <f t="shared" si="43"/>
        <v>0.23919792355845079</v>
      </c>
      <c r="V412" s="312" t="str">
        <f>PE_aug!AP401</f>
        <v>Straßenabfluss</v>
      </c>
    </row>
    <row r="413" spans="1:22">
      <c r="A413" s="294" t="s">
        <v>463</v>
      </c>
      <c r="H413">
        <v>0.70699999999999996</v>
      </c>
      <c r="I413">
        <v>0.129</v>
      </c>
      <c r="J413">
        <v>5.9239199999999999</v>
      </c>
      <c r="L413" s="308">
        <f t="shared" si="36"/>
        <v>0.33</v>
      </c>
      <c r="M413" s="309">
        <f t="shared" si="37"/>
        <v>0.33</v>
      </c>
      <c r="N413" s="310" t="e">
        <f t="shared" si="38"/>
        <v>#DIV/0!</v>
      </c>
      <c r="O413" s="310" t="e">
        <f t="shared" si="39"/>
        <v>#DIV/0!</v>
      </c>
      <c r="P413" s="310" t="e">
        <f t="shared" si="40"/>
        <v>#DIV/0!</v>
      </c>
      <c r="Q413" s="311">
        <f t="shared" si="43"/>
        <v>0</v>
      </c>
      <c r="V413" s="312" t="str">
        <f>PE_aug!AP402</f>
        <v>Bodenproben</v>
      </c>
    </row>
    <row r="414" spans="1:22">
      <c r="A414" s="294" t="s">
        <v>464</v>
      </c>
      <c r="H414">
        <v>0.70699999999999996</v>
      </c>
      <c r="I414">
        <v>0.129</v>
      </c>
      <c r="J414">
        <v>11.6953</v>
      </c>
      <c r="L414" s="308">
        <f t="shared" si="36"/>
        <v>0.33</v>
      </c>
      <c r="M414" s="309">
        <f t="shared" si="37"/>
        <v>0.33</v>
      </c>
      <c r="N414" s="310" t="e">
        <f t="shared" si="38"/>
        <v>#DIV/0!</v>
      </c>
      <c r="O414" s="310" t="e">
        <f t="shared" si="39"/>
        <v>#DIV/0!</v>
      </c>
      <c r="P414" s="310" t="e">
        <f t="shared" si="40"/>
        <v>#DIV/0!</v>
      </c>
      <c r="Q414" s="311">
        <f t="shared" si="43"/>
        <v>0</v>
      </c>
      <c r="V414" s="312" t="str">
        <f>PE_aug!AP403</f>
        <v>Bodenproben</v>
      </c>
    </row>
    <row r="415" spans="1:22">
      <c r="A415" s="294" t="s">
        <v>465</v>
      </c>
      <c r="H415">
        <v>0.70699999999999996</v>
      </c>
      <c r="I415">
        <v>8.4000000000000005E-2</v>
      </c>
      <c r="J415">
        <v>5.3761700000000001</v>
      </c>
      <c r="K415">
        <v>0.25</v>
      </c>
      <c r="L415" s="308">
        <f t="shared" si="36"/>
        <v>0.33</v>
      </c>
      <c r="M415" s="309">
        <f t="shared" si="37"/>
        <v>0.29000000000000004</v>
      </c>
      <c r="N415" s="310" t="e">
        <f t="shared" si="38"/>
        <v>#DIV/0!</v>
      </c>
      <c r="O415" s="310" t="e">
        <f t="shared" si="39"/>
        <v>#DIV/0!</v>
      </c>
      <c r="P415" s="310" t="e">
        <f t="shared" si="40"/>
        <v>#DIV/0!</v>
      </c>
      <c r="Q415" s="311">
        <f t="shared" si="43"/>
        <v>0</v>
      </c>
      <c r="V415" s="312" t="str">
        <f>PE_aug!AP404</f>
        <v>Bodenproben</v>
      </c>
    </row>
    <row r="416" spans="1:22">
      <c r="A416" s="294" t="s">
        <v>466</v>
      </c>
      <c r="H416">
        <v>0.70699999999999996</v>
      </c>
      <c r="I416">
        <v>8.4000000000000005E-2</v>
      </c>
      <c r="J416">
        <v>9.5681949999999993</v>
      </c>
      <c r="K416">
        <v>0.25</v>
      </c>
      <c r="L416" s="308">
        <f t="shared" si="36"/>
        <v>0.33</v>
      </c>
      <c r="M416" s="309">
        <f t="shared" si="37"/>
        <v>0.29000000000000004</v>
      </c>
      <c r="N416" s="310" t="e">
        <f t="shared" si="38"/>
        <v>#DIV/0!</v>
      </c>
      <c r="O416" s="310" t="e">
        <f t="shared" si="39"/>
        <v>#DIV/0!</v>
      </c>
      <c r="P416" s="310" t="e">
        <f t="shared" si="40"/>
        <v>#DIV/0!</v>
      </c>
      <c r="Q416" s="311">
        <f t="shared" si="43"/>
        <v>0</v>
      </c>
      <c r="V416" s="312" t="str">
        <f>PE_aug!AP405</f>
        <v>Bodenproben</v>
      </c>
    </row>
    <row r="417" spans="1:22">
      <c r="A417" s="294" t="s">
        <v>467</v>
      </c>
      <c r="H417">
        <v>0.70699999999999996</v>
      </c>
      <c r="I417">
        <v>2.7E-2</v>
      </c>
      <c r="J417">
        <v>7.2167450000000004</v>
      </c>
      <c r="L417" s="308">
        <f t="shared" si="36"/>
        <v>0.33</v>
      </c>
      <c r="M417" s="309">
        <f t="shared" si="37"/>
        <v>0.33</v>
      </c>
      <c r="N417" s="310" t="e">
        <f t="shared" si="38"/>
        <v>#DIV/0!</v>
      </c>
      <c r="O417" s="310" t="e">
        <f t="shared" si="39"/>
        <v>#DIV/0!</v>
      </c>
      <c r="P417" s="310" t="e">
        <f t="shared" si="40"/>
        <v>#DIV/0!</v>
      </c>
      <c r="Q417" s="311">
        <f t="shared" si="43"/>
        <v>0</v>
      </c>
      <c r="V417" s="312" t="str">
        <f>PE_aug!AP406</f>
        <v>Bodenproben</v>
      </c>
    </row>
    <row r="418" spans="1:22">
      <c r="A418" s="294" t="s">
        <v>468</v>
      </c>
      <c r="H418">
        <v>0.70699999999999996</v>
      </c>
      <c r="I418">
        <v>2.7E-2</v>
      </c>
      <c r="J418">
        <v>6.6940000000000008</v>
      </c>
      <c r="K418">
        <v>0.25</v>
      </c>
      <c r="L418" s="308">
        <f t="shared" si="36"/>
        <v>0.33</v>
      </c>
      <c r="M418" s="309">
        <f t="shared" si="37"/>
        <v>0.29000000000000004</v>
      </c>
      <c r="N418" s="310" t="e">
        <f t="shared" si="38"/>
        <v>#DIV/0!</v>
      </c>
      <c r="O418" s="310" t="e">
        <f t="shared" si="39"/>
        <v>#DIV/0!</v>
      </c>
      <c r="P418" s="310" t="e">
        <f t="shared" si="40"/>
        <v>#DIV/0!</v>
      </c>
      <c r="Q418" s="311">
        <f t="shared" si="43"/>
        <v>0</v>
      </c>
      <c r="V418" s="312" t="str">
        <f>PE_aug!AP407</f>
        <v>Bodenproben</v>
      </c>
    </row>
    <row r="419" spans="1:22">
      <c r="A419" s="294" t="s">
        <v>469</v>
      </c>
      <c r="H419">
        <v>0.70699999999999996</v>
      </c>
      <c r="I419">
        <v>7.4999999999999997E-2</v>
      </c>
      <c r="J419">
        <v>9.5514899999999994</v>
      </c>
      <c r="L419" s="308">
        <f t="shared" si="36"/>
        <v>0.33</v>
      </c>
      <c r="M419" s="309">
        <f t="shared" si="37"/>
        <v>0.33</v>
      </c>
      <c r="N419" s="310" t="e">
        <f t="shared" si="38"/>
        <v>#DIV/0!</v>
      </c>
      <c r="O419" s="310" t="e">
        <f t="shared" si="39"/>
        <v>#DIV/0!</v>
      </c>
      <c r="P419" s="310" t="e">
        <f t="shared" si="40"/>
        <v>#DIV/0!</v>
      </c>
      <c r="Q419" s="311">
        <f t="shared" si="43"/>
        <v>0</v>
      </c>
      <c r="V419" s="312" t="str">
        <f>PE_aug!AP408</f>
        <v>Bodenproben</v>
      </c>
    </row>
    <row r="420" spans="1:22">
      <c r="A420" s="294" t="s">
        <v>470</v>
      </c>
      <c r="H420">
        <v>0.70699999999999996</v>
      </c>
      <c r="I420">
        <v>0.13500000000000001</v>
      </c>
      <c r="J420">
        <v>10.0252</v>
      </c>
      <c r="L420" s="308">
        <f t="shared" si="36"/>
        <v>0.33</v>
      </c>
      <c r="M420" s="309">
        <f t="shared" si="37"/>
        <v>0.33</v>
      </c>
      <c r="N420" s="310" t="e">
        <f t="shared" si="38"/>
        <v>#DIV/0!</v>
      </c>
      <c r="O420" s="310" t="e">
        <f t="shared" si="39"/>
        <v>#DIV/0!</v>
      </c>
      <c r="P420" s="310" t="e">
        <f t="shared" si="40"/>
        <v>#DIV/0!</v>
      </c>
      <c r="Q420" s="311">
        <f t="shared" si="43"/>
        <v>0</v>
      </c>
      <c r="V420" s="312" t="str">
        <f>PE_aug!AP409</f>
        <v>Bodenproben</v>
      </c>
    </row>
    <row r="421" spans="1:22">
      <c r="A421" s="294" t="s">
        <v>471</v>
      </c>
      <c r="H421">
        <v>0.70699999999999996</v>
      </c>
      <c r="I421">
        <v>0.104</v>
      </c>
      <c r="J421">
        <v>9.7563600000000008</v>
      </c>
      <c r="L421" s="308">
        <f t="shared" si="36"/>
        <v>0.33</v>
      </c>
      <c r="M421" s="309">
        <f t="shared" si="37"/>
        <v>0.33</v>
      </c>
      <c r="N421" s="310" t="e">
        <f t="shared" si="38"/>
        <v>#DIV/0!</v>
      </c>
      <c r="O421" s="310" t="e">
        <f t="shared" si="39"/>
        <v>#DIV/0!</v>
      </c>
      <c r="P421" s="310" t="e">
        <f t="shared" si="40"/>
        <v>#DIV/0!</v>
      </c>
      <c r="Q421" s="311">
        <f t="shared" si="43"/>
        <v>0</v>
      </c>
      <c r="V421" s="312" t="str">
        <f>PE_aug!AP410</f>
        <v>Bodenproben</v>
      </c>
    </row>
    <row r="422" spans="1:22">
      <c r="A422" s="294" t="s">
        <v>472</v>
      </c>
      <c r="H422">
        <v>0.70699999999999996</v>
      </c>
      <c r="I422">
        <v>0.104</v>
      </c>
      <c r="J422">
        <v>6.7526899999999994</v>
      </c>
      <c r="L422" s="308">
        <f t="shared" si="36"/>
        <v>0.33</v>
      </c>
      <c r="M422" s="309">
        <f t="shared" si="37"/>
        <v>0.33</v>
      </c>
      <c r="N422" s="310" t="e">
        <f t="shared" si="38"/>
        <v>#DIV/0!</v>
      </c>
      <c r="O422" s="310" t="e">
        <f t="shared" si="39"/>
        <v>#DIV/0!</v>
      </c>
      <c r="P422" s="310" t="e">
        <f t="shared" si="40"/>
        <v>#DIV/0!</v>
      </c>
      <c r="Q422" s="311">
        <f t="shared" si="43"/>
        <v>0</v>
      </c>
      <c r="V422" s="312" t="str">
        <f>PE_aug!AP411</f>
        <v>Bodenproben</v>
      </c>
    </row>
    <row r="423" spans="1:22">
      <c r="A423" s="294" t="s">
        <v>473</v>
      </c>
      <c r="H423">
        <v>0.70699999999999996</v>
      </c>
      <c r="I423">
        <v>7.4999999999999997E-2</v>
      </c>
      <c r="J423">
        <v>6.7782600000000004</v>
      </c>
      <c r="L423" s="308">
        <f t="shared" si="36"/>
        <v>0.33</v>
      </c>
      <c r="M423" s="309">
        <f t="shared" si="37"/>
        <v>0.33</v>
      </c>
      <c r="N423" s="310" t="e">
        <f t="shared" si="38"/>
        <v>#DIV/0!</v>
      </c>
      <c r="O423" s="310" t="e">
        <f t="shared" si="39"/>
        <v>#DIV/0!</v>
      </c>
      <c r="P423" s="310" t="e">
        <f t="shared" si="40"/>
        <v>#DIV/0!</v>
      </c>
      <c r="Q423" s="311">
        <f t="shared" si="43"/>
        <v>0</v>
      </c>
      <c r="V423" s="312" t="str">
        <f>PE_aug!AP412</f>
        <v>Bodenproben</v>
      </c>
    </row>
    <row r="424" spans="1:22">
      <c r="A424" s="297" t="s">
        <v>474</v>
      </c>
      <c r="H424">
        <v>0.70699999999999996</v>
      </c>
      <c r="I424">
        <v>0.13500000000000001</v>
      </c>
      <c r="J424">
        <v>4.1185499999999999</v>
      </c>
      <c r="L424" s="308">
        <f t="shared" si="36"/>
        <v>0.33</v>
      </c>
      <c r="M424" s="309">
        <f t="shared" si="37"/>
        <v>0.33</v>
      </c>
      <c r="N424" s="310" t="e">
        <f t="shared" si="38"/>
        <v>#DIV/0!</v>
      </c>
      <c r="O424" s="310" t="e">
        <f t="shared" si="39"/>
        <v>#DIV/0!</v>
      </c>
      <c r="P424" s="310" t="e">
        <f t="shared" si="40"/>
        <v>#DIV/0!</v>
      </c>
      <c r="Q424" s="311">
        <f t="shared" si="43"/>
        <v>0</v>
      </c>
      <c r="V424" s="312" t="str">
        <f>PE_aug!AP413</f>
        <v>Bodenproben</v>
      </c>
    </row>
    <row r="425" spans="1:22" s="51" customFormat="1">
      <c r="A425" s="324" t="s">
        <v>475</v>
      </c>
      <c r="J425" s="51">
        <v>18.433900000000001</v>
      </c>
      <c r="L425" s="58">
        <f t="shared" si="36"/>
        <v>0.33</v>
      </c>
      <c r="M425" s="94">
        <f t="shared" si="37"/>
        <v>0.33</v>
      </c>
      <c r="N425" s="94" t="e">
        <f t="shared" si="38"/>
        <v>#DIV/0!</v>
      </c>
      <c r="O425" s="94" t="e">
        <f t="shared" si="39"/>
        <v>#DIV/0!</v>
      </c>
      <c r="P425" s="94" t="e">
        <f t="shared" si="40"/>
        <v>#DIV/0!</v>
      </c>
      <c r="Q425" s="68">
        <f t="shared" si="43"/>
        <v>0</v>
      </c>
      <c r="T425" s="83"/>
      <c r="U425" s="83"/>
      <c r="V425" s="83" t="str">
        <f>PE_aug!AP414</f>
        <v>Bodenproben</v>
      </c>
    </row>
    <row r="426" spans="1:22">
      <c r="A426" s="325" t="s">
        <v>476</v>
      </c>
      <c r="J426">
        <v>16.974799999999998</v>
      </c>
      <c r="L426" s="308">
        <f t="shared" si="36"/>
        <v>0.33</v>
      </c>
      <c r="M426" s="309">
        <f t="shared" si="37"/>
        <v>0.33</v>
      </c>
      <c r="N426" s="310" t="e">
        <f t="shared" si="38"/>
        <v>#DIV/0!</v>
      </c>
      <c r="O426" s="310" t="e">
        <f t="shared" si="39"/>
        <v>#DIV/0!</v>
      </c>
      <c r="P426" s="310" t="e">
        <f t="shared" si="40"/>
        <v>#DIV/0!</v>
      </c>
      <c r="Q426" s="311">
        <f t="shared" si="43"/>
        <v>0</v>
      </c>
      <c r="T426" s="312"/>
      <c r="U426" s="312"/>
      <c r="V426" s="312" t="str">
        <f>PE_aug!AP415</f>
        <v>Bodenproben</v>
      </c>
    </row>
    <row r="427" spans="1:22">
      <c r="A427" s="305" t="s">
        <v>477</v>
      </c>
      <c r="B427">
        <v>8.11</v>
      </c>
      <c r="C427">
        <v>21.66</v>
      </c>
      <c r="D427">
        <v>5.51</v>
      </c>
      <c r="E427" s="306">
        <v>8.11</v>
      </c>
      <c r="F427">
        <v>21.66</v>
      </c>
      <c r="G427" s="307">
        <v>5.51</v>
      </c>
      <c r="J427">
        <v>2.40835</v>
      </c>
      <c r="K427">
        <v>0.74</v>
      </c>
      <c r="L427" s="308">
        <f t="shared" si="36"/>
        <v>0.5</v>
      </c>
      <c r="M427" s="309">
        <f t="shared" si="37"/>
        <v>0.62</v>
      </c>
      <c r="N427" s="310">
        <f t="shared" si="38"/>
        <v>11.76</v>
      </c>
      <c r="O427" s="310">
        <f t="shared" si="39"/>
        <v>13.585000000000001</v>
      </c>
      <c r="P427" s="310">
        <f t="shared" si="40"/>
        <v>118.88111888111885</v>
      </c>
      <c r="Q427" s="311">
        <f t="shared" si="43"/>
        <v>5.6407914132082135</v>
      </c>
      <c r="S427">
        <v>20</v>
      </c>
      <c r="T427" s="1">
        <f>N427/S427*100</f>
        <v>58.8</v>
      </c>
      <c r="U427" s="1">
        <f>O427/S427*100</f>
        <v>67.924999999999997</v>
      </c>
      <c r="V427" s="312" t="str">
        <f>PE_aug!AP416</f>
        <v>KWS, Methode</v>
      </c>
    </row>
    <row r="428" spans="1:22">
      <c r="A428" s="305" t="s">
        <v>478</v>
      </c>
      <c r="B428">
        <v>31.52</v>
      </c>
      <c r="C428">
        <v>25.57</v>
      </c>
      <c r="E428" s="306">
        <v>31.52</v>
      </c>
      <c r="F428">
        <v>25.57</v>
      </c>
      <c r="H428">
        <v>0.81699999999999995</v>
      </c>
      <c r="I428">
        <v>9.4E-2</v>
      </c>
      <c r="J428">
        <v>7.2383749999999996</v>
      </c>
      <c r="K428">
        <v>0.89</v>
      </c>
      <c r="L428" s="308">
        <f t="shared" si="36"/>
        <v>0.75</v>
      </c>
      <c r="M428" s="309">
        <f t="shared" si="37"/>
        <v>0.82000000000000006</v>
      </c>
      <c r="N428" s="310">
        <f t="shared" si="38"/>
        <v>28.545000000000002</v>
      </c>
      <c r="O428" s="310">
        <f t="shared" si="39"/>
        <v>25.57</v>
      </c>
      <c r="P428" s="310">
        <f t="shared" si="40"/>
        <v>0</v>
      </c>
      <c r="Q428" s="311">
        <f t="shared" si="43"/>
        <v>3.5325608302968554</v>
      </c>
      <c r="T428" s="1"/>
      <c r="U428" s="1"/>
      <c r="V428" s="312" t="str">
        <f>PE_aug!AP417</f>
        <v>KWS, Methode</v>
      </c>
    </row>
    <row r="429" spans="1:22">
      <c r="A429" s="305" t="s">
        <v>479</v>
      </c>
      <c r="B429">
        <v>38.090000000000003</v>
      </c>
      <c r="C429">
        <v>23.89</v>
      </c>
      <c r="E429" s="306">
        <v>38.090000000000003</v>
      </c>
      <c r="F429">
        <v>23.89</v>
      </c>
      <c r="H429">
        <v>0.72399999999999998</v>
      </c>
      <c r="I429">
        <v>9.4E-2</v>
      </c>
      <c r="J429">
        <v>10.759</v>
      </c>
      <c r="K429">
        <v>0.69</v>
      </c>
      <c r="L429" s="308">
        <f t="shared" si="36"/>
        <v>0.75</v>
      </c>
      <c r="M429" s="309">
        <f t="shared" si="37"/>
        <v>0.72</v>
      </c>
      <c r="N429" s="310">
        <f t="shared" si="38"/>
        <v>30.990000000000002</v>
      </c>
      <c r="O429" s="310">
        <f t="shared" si="39"/>
        <v>23.89</v>
      </c>
      <c r="P429" s="310">
        <f t="shared" si="40"/>
        <v>0</v>
      </c>
      <c r="Q429" s="311">
        <f t="shared" si="43"/>
        <v>2.2204665861139512</v>
      </c>
      <c r="T429" s="1"/>
      <c r="U429" s="1"/>
      <c r="V429" s="312" t="str">
        <f>PE_aug!AP418</f>
        <v>KWS, Methode</v>
      </c>
    </row>
    <row r="430" spans="1:22">
      <c r="A430" s="305" t="s">
        <v>480</v>
      </c>
      <c r="B430">
        <v>22.25</v>
      </c>
      <c r="C430">
        <v>15.45</v>
      </c>
      <c r="E430" s="306">
        <v>22.25</v>
      </c>
      <c r="F430">
        <v>15.45</v>
      </c>
      <c r="J430">
        <v>6.9593999999999996</v>
      </c>
      <c r="K430">
        <v>0.69</v>
      </c>
      <c r="L430" s="308">
        <f t="shared" si="36"/>
        <v>0.75</v>
      </c>
      <c r="M430" s="309">
        <f t="shared" si="37"/>
        <v>0.72</v>
      </c>
      <c r="N430" s="310">
        <f t="shared" si="38"/>
        <v>18.850000000000001</v>
      </c>
      <c r="O430" s="310">
        <f t="shared" si="39"/>
        <v>15.45</v>
      </c>
      <c r="P430" s="310">
        <f t="shared" si="40"/>
        <v>0</v>
      </c>
      <c r="Q430" s="311">
        <f t="shared" si="43"/>
        <v>2.2200189671523409</v>
      </c>
      <c r="T430" s="1"/>
      <c r="U430" s="1"/>
      <c r="V430" s="312" t="str">
        <f>PE_aug!AP419</f>
        <v>KWS, Methode</v>
      </c>
    </row>
    <row r="431" spans="1:22">
      <c r="A431" s="316" t="s">
        <v>578</v>
      </c>
      <c r="C431">
        <v>15.72</v>
      </c>
      <c r="F431">
        <v>15.72</v>
      </c>
      <c r="J431">
        <v>6.5583899999999993</v>
      </c>
      <c r="K431">
        <v>0.69</v>
      </c>
      <c r="L431" s="308">
        <f t="shared" si="36"/>
        <v>0.75</v>
      </c>
      <c r="M431" s="309">
        <f t="shared" si="37"/>
        <v>0.72</v>
      </c>
      <c r="N431" s="310">
        <f t="shared" si="38"/>
        <v>15.72</v>
      </c>
      <c r="O431" s="310">
        <f t="shared" si="39"/>
        <v>15.72</v>
      </c>
      <c r="P431" s="310">
        <f t="shared" si="40"/>
        <v>0</v>
      </c>
      <c r="Q431" s="311">
        <f t="shared" si="43"/>
        <v>2.3969297342792975</v>
      </c>
      <c r="S431">
        <v>10</v>
      </c>
      <c r="T431" s="1">
        <f>N431/S431*100</f>
        <v>157.20000000000002</v>
      </c>
      <c r="U431" s="1">
        <f>O431/S431*100</f>
        <v>157.20000000000002</v>
      </c>
      <c r="V431" s="312" t="str">
        <f>PE_aug!AP420</f>
        <v>Flussproben, Methode</v>
      </c>
    </row>
    <row r="432" spans="1:22">
      <c r="A432" s="305" t="s">
        <v>482</v>
      </c>
      <c r="B432">
        <v>12.06</v>
      </c>
      <c r="C432">
        <v>32.75</v>
      </c>
      <c r="D432">
        <v>178.59</v>
      </c>
      <c r="E432" s="306">
        <v>12.06</v>
      </c>
      <c r="F432">
        <v>32.75</v>
      </c>
      <c r="J432" s="313">
        <v>5.7743099999999999E-2</v>
      </c>
      <c r="K432">
        <v>0.74</v>
      </c>
      <c r="L432" s="308">
        <f t="shared" si="36"/>
        <v>0.75</v>
      </c>
      <c r="M432" s="309">
        <f t="shared" si="37"/>
        <v>0.745</v>
      </c>
      <c r="N432" s="310">
        <f t="shared" si="38"/>
        <v>22.405000000000001</v>
      </c>
      <c r="O432" s="310">
        <f t="shared" si="39"/>
        <v>32.75</v>
      </c>
      <c r="P432" s="310">
        <f t="shared" si="40"/>
        <v>0</v>
      </c>
      <c r="Q432" s="311">
        <f t="shared" si="43"/>
        <v>567.1673325470922</v>
      </c>
      <c r="S432">
        <v>20</v>
      </c>
      <c r="T432" s="1">
        <f>N432/S432*100</f>
        <v>112.02499999999999</v>
      </c>
      <c r="U432" s="1">
        <f>O432/S432*100</f>
        <v>163.75</v>
      </c>
      <c r="V432" s="312" t="str">
        <f>PE_aug!AP421</f>
        <v>Methode</v>
      </c>
    </row>
    <row r="433" spans="1:22">
      <c r="A433" s="305" t="s">
        <v>483</v>
      </c>
      <c r="B433">
        <v>22.36</v>
      </c>
      <c r="C433">
        <v>30.48</v>
      </c>
      <c r="D433">
        <v>76.09</v>
      </c>
      <c r="E433" s="306">
        <v>22.36</v>
      </c>
      <c r="F433">
        <v>30.48</v>
      </c>
      <c r="J433">
        <v>0.1338</v>
      </c>
      <c r="K433">
        <v>0.69</v>
      </c>
      <c r="L433" s="308">
        <f t="shared" si="36"/>
        <v>0.75</v>
      </c>
      <c r="M433" s="309">
        <f t="shared" si="37"/>
        <v>0.72</v>
      </c>
      <c r="N433" s="310">
        <f t="shared" si="38"/>
        <v>26.42</v>
      </c>
      <c r="O433" s="310">
        <f t="shared" si="39"/>
        <v>30.48</v>
      </c>
      <c r="P433" s="310">
        <f t="shared" si="40"/>
        <v>0</v>
      </c>
      <c r="Q433" s="311">
        <f t="shared" si="43"/>
        <v>227.80269058295963</v>
      </c>
      <c r="S433">
        <v>20</v>
      </c>
      <c r="T433" s="1">
        <f>N433/S433*100</f>
        <v>132.10000000000002</v>
      </c>
      <c r="U433" s="1">
        <f>O433/S433*100</f>
        <v>152.4</v>
      </c>
      <c r="V433" s="312" t="str">
        <f>PE_aug!AP422</f>
        <v>Methode</v>
      </c>
    </row>
    <row r="434" spans="1:22">
      <c r="A434" s="305" t="s">
        <v>484</v>
      </c>
      <c r="B434">
        <v>9.43</v>
      </c>
      <c r="C434">
        <v>15.14</v>
      </c>
      <c r="E434" s="306">
        <v>9.43</v>
      </c>
      <c r="F434">
        <v>15.14</v>
      </c>
      <c r="J434">
        <v>4.8291000000000004</v>
      </c>
      <c r="K434">
        <v>0.94</v>
      </c>
      <c r="L434" s="308">
        <f t="shared" si="36"/>
        <v>0.75</v>
      </c>
      <c r="M434" s="309">
        <f t="shared" si="37"/>
        <v>0.84499999999999997</v>
      </c>
      <c r="N434" s="310">
        <f t="shared" si="38"/>
        <v>12.285</v>
      </c>
      <c r="O434" s="310">
        <f t="shared" si="39"/>
        <v>15.14</v>
      </c>
      <c r="P434" s="310">
        <f t="shared" si="40"/>
        <v>0</v>
      </c>
      <c r="Q434" s="311">
        <f t="shared" si="43"/>
        <v>3.1351597606179205</v>
      </c>
      <c r="S434">
        <v>10</v>
      </c>
      <c r="T434" s="1">
        <f>N434/S434*100</f>
        <v>122.85</v>
      </c>
      <c r="U434" s="1">
        <f>O434/S434*100</f>
        <v>151.4</v>
      </c>
      <c r="V434" s="312" t="str">
        <f>PE_aug!AP423</f>
        <v>Straßenabfluss, Methode</v>
      </c>
    </row>
    <row r="435" spans="1:22">
      <c r="A435" s="305" t="s">
        <v>486</v>
      </c>
      <c r="H435">
        <v>0.70699999999999996</v>
      </c>
      <c r="I435">
        <v>5.2999999999999999E-2</v>
      </c>
      <c r="J435">
        <v>13.0227</v>
      </c>
      <c r="K435">
        <v>0.69</v>
      </c>
      <c r="L435" s="308">
        <f t="shared" si="36"/>
        <v>0.33</v>
      </c>
      <c r="M435" s="309">
        <f t="shared" si="37"/>
        <v>0.51</v>
      </c>
      <c r="N435" s="310" t="e">
        <f t="shared" si="38"/>
        <v>#DIV/0!</v>
      </c>
      <c r="O435" s="310" t="e">
        <f t="shared" si="39"/>
        <v>#DIV/0!</v>
      </c>
      <c r="P435" s="310" t="e">
        <f t="shared" si="40"/>
        <v>#DIV/0!</v>
      </c>
      <c r="Q435" s="311">
        <f t="shared" si="43"/>
        <v>0</v>
      </c>
      <c r="T435" s="1"/>
      <c r="U435" s="1"/>
      <c r="V435" s="312" t="str">
        <f>PE_aug!AP424</f>
        <v>Straßenabfluss</v>
      </c>
    </row>
    <row r="436" spans="1:22">
      <c r="A436" s="305" t="s">
        <v>487</v>
      </c>
      <c r="H436">
        <v>0.70699999999999996</v>
      </c>
      <c r="I436">
        <v>5.2999999999999999E-2</v>
      </c>
      <c r="J436">
        <v>10.6518</v>
      </c>
      <c r="K436">
        <v>0.44</v>
      </c>
      <c r="L436" s="308">
        <f t="shared" si="36"/>
        <v>0.33</v>
      </c>
      <c r="M436" s="309">
        <f t="shared" si="37"/>
        <v>0.38500000000000001</v>
      </c>
      <c r="N436" s="310" t="e">
        <f t="shared" si="38"/>
        <v>#DIV/0!</v>
      </c>
      <c r="O436" s="310" t="e">
        <f t="shared" si="39"/>
        <v>#DIV/0!</v>
      </c>
      <c r="P436" s="310" t="e">
        <f t="shared" si="40"/>
        <v>#DIV/0!</v>
      </c>
      <c r="Q436" s="311">
        <f t="shared" si="43"/>
        <v>0</v>
      </c>
      <c r="T436" s="1"/>
      <c r="U436" s="1"/>
      <c r="V436" s="312" t="str">
        <f>PE_aug!AP425</f>
        <v>Straßenabfluss</v>
      </c>
    </row>
    <row r="437" spans="1:22">
      <c r="A437" s="305" t="s">
        <v>488</v>
      </c>
      <c r="H437">
        <v>0.70699999999999996</v>
      </c>
      <c r="I437">
        <v>0.01</v>
      </c>
      <c r="J437">
        <v>11.817399999999999</v>
      </c>
      <c r="K437">
        <v>0.69</v>
      </c>
      <c r="L437" s="308">
        <f t="shared" si="36"/>
        <v>0.33</v>
      </c>
      <c r="M437" s="309">
        <f t="shared" si="37"/>
        <v>0.51</v>
      </c>
      <c r="N437" s="310" t="e">
        <f t="shared" si="38"/>
        <v>#DIV/0!</v>
      </c>
      <c r="O437" s="310" t="e">
        <f t="shared" si="39"/>
        <v>#DIV/0!</v>
      </c>
      <c r="P437" s="310" t="e">
        <f t="shared" si="40"/>
        <v>#DIV/0!</v>
      </c>
      <c r="Q437" s="311">
        <f t="shared" si="43"/>
        <v>0</v>
      </c>
      <c r="T437" s="1"/>
      <c r="U437" s="1"/>
      <c r="V437" s="312" t="str">
        <f>PE_aug!AP426</f>
        <v>Straßenabfluss</v>
      </c>
    </row>
    <row r="438" spans="1:22">
      <c r="A438" s="305" t="s">
        <v>489</v>
      </c>
      <c r="H438">
        <v>0.70699999999999996</v>
      </c>
      <c r="I438">
        <v>0.01</v>
      </c>
      <c r="J438">
        <v>11.172000000000001</v>
      </c>
      <c r="K438">
        <v>0.56000000000000005</v>
      </c>
      <c r="L438" s="308">
        <f t="shared" si="36"/>
        <v>0.33</v>
      </c>
      <c r="M438" s="309">
        <f t="shared" si="37"/>
        <v>0.44500000000000006</v>
      </c>
      <c r="N438" s="310" t="e">
        <f t="shared" si="38"/>
        <v>#DIV/0!</v>
      </c>
      <c r="O438" s="310" t="e">
        <f t="shared" si="39"/>
        <v>#DIV/0!</v>
      </c>
      <c r="P438" s="310" t="e">
        <f t="shared" si="40"/>
        <v>#DIV/0!</v>
      </c>
      <c r="Q438" s="311">
        <f t="shared" si="43"/>
        <v>0</v>
      </c>
      <c r="T438" s="1"/>
      <c r="U438" s="1"/>
      <c r="V438" s="312" t="str">
        <f>PE_aug!AP427</f>
        <v>Straßenabfluss</v>
      </c>
    </row>
    <row r="439" spans="1:22">
      <c r="A439" s="305" t="s">
        <v>568</v>
      </c>
      <c r="B439">
        <v>12.73</v>
      </c>
      <c r="C439">
        <v>12.17</v>
      </c>
      <c r="E439" s="306">
        <v>12.73</v>
      </c>
      <c r="F439">
        <v>12.17</v>
      </c>
      <c r="J439">
        <v>5.7991000000000001</v>
      </c>
      <c r="K439">
        <v>0.69</v>
      </c>
      <c r="L439" s="308">
        <f t="shared" si="36"/>
        <v>0.75</v>
      </c>
      <c r="M439" s="309">
        <f t="shared" si="37"/>
        <v>0.72</v>
      </c>
      <c r="N439" s="310">
        <f t="shared" si="38"/>
        <v>12.45</v>
      </c>
      <c r="O439" s="310">
        <f t="shared" si="39"/>
        <v>12.17</v>
      </c>
      <c r="P439" s="310">
        <f t="shared" si="40"/>
        <v>0</v>
      </c>
      <c r="Q439" s="311">
        <f t="shared" ref="Q439:Q466" si="44">IFERROR(O439/J439,0)</f>
        <v>2.0986015071304167</v>
      </c>
      <c r="S439">
        <v>10</v>
      </c>
      <c r="T439" s="1">
        <f>N439/S439*100</f>
        <v>124.49999999999999</v>
      </c>
      <c r="U439" s="1">
        <f>O439/S439*100</f>
        <v>121.7</v>
      </c>
      <c r="V439" s="312" t="str">
        <f>PE_aug!AP428</f>
        <v>Straßenabfluss, Methode</v>
      </c>
    </row>
    <row r="440" spans="1:22">
      <c r="A440" s="305" t="s">
        <v>491</v>
      </c>
      <c r="H440">
        <v>0.70699999999999996</v>
      </c>
      <c r="I440">
        <v>3.7999999999999999E-2</v>
      </c>
      <c r="J440">
        <v>9.7790800000000004</v>
      </c>
      <c r="K440">
        <v>0.69</v>
      </c>
      <c r="L440" s="308">
        <f t="shared" si="36"/>
        <v>0.33</v>
      </c>
      <c r="M440" s="309">
        <f t="shared" si="37"/>
        <v>0.51</v>
      </c>
      <c r="N440" s="310" t="e">
        <f t="shared" si="38"/>
        <v>#DIV/0!</v>
      </c>
      <c r="O440" s="310" t="e">
        <f t="shared" si="39"/>
        <v>#DIV/0!</v>
      </c>
      <c r="P440" s="310" t="e">
        <f t="shared" si="40"/>
        <v>#DIV/0!</v>
      </c>
      <c r="Q440" s="311">
        <f t="shared" si="44"/>
        <v>0</v>
      </c>
      <c r="T440" s="312"/>
      <c r="U440" s="312"/>
      <c r="V440" s="312" t="str">
        <f>PE_aug!AP429</f>
        <v>Straßenabfluss</v>
      </c>
    </row>
    <row r="441" spans="1:22">
      <c r="A441" s="305" t="s">
        <v>492</v>
      </c>
      <c r="H441">
        <v>0.70699999999999996</v>
      </c>
      <c r="I441">
        <v>3.7999999999999999E-2</v>
      </c>
      <c r="J441">
        <v>11.240500000000001</v>
      </c>
      <c r="K441">
        <v>0.81</v>
      </c>
      <c r="L441" s="308">
        <f t="shared" si="36"/>
        <v>0.33</v>
      </c>
      <c r="M441" s="309">
        <f t="shared" si="37"/>
        <v>0.57000000000000006</v>
      </c>
      <c r="N441" s="310" t="e">
        <f t="shared" si="38"/>
        <v>#DIV/0!</v>
      </c>
      <c r="O441" s="310" t="e">
        <f t="shared" si="39"/>
        <v>#DIV/0!</v>
      </c>
      <c r="P441" s="310" t="e">
        <f t="shared" si="40"/>
        <v>#DIV/0!</v>
      </c>
      <c r="Q441" s="311">
        <f t="shared" si="44"/>
        <v>0</v>
      </c>
      <c r="T441" s="312"/>
      <c r="U441" s="312"/>
      <c r="V441" s="312" t="str">
        <f>PE_aug!AP430</f>
        <v>Straßenabfluss</v>
      </c>
    </row>
    <row r="442" spans="1:22">
      <c r="A442" s="305" t="s">
        <v>493</v>
      </c>
      <c r="H442">
        <v>0.70699999999999996</v>
      </c>
      <c r="I442">
        <v>0.114</v>
      </c>
      <c r="J442">
        <v>8.0438550000000006</v>
      </c>
      <c r="K442">
        <v>0.25</v>
      </c>
      <c r="L442" s="308">
        <f t="shared" si="36"/>
        <v>0.33</v>
      </c>
      <c r="M442" s="309">
        <f t="shared" si="37"/>
        <v>0.29000000000000004</v>
      </c>
      <c r="N442" s="310" t="e">
        <f t="shared" si="38"/>
        <v>#DIV/0!</v>
      </c>
      <c r="O442" s="310" t="e">
        <f t="shared" si="39"/>
        <v>#DIV/0!</v>
      </c>
      <c r="P442" s="310" t="e">
        <f t="shared" si="40"/>
        <v>#DIV/0!</v>
      </c>
      <c r="Q442" s="311">
        <f t="shared" si="44"/>
        <v>0</v>
      </c>
      <c r="T442" s="312"/>
      <c r="U442" s="312"/>
      <c r="V442" s="312" t="str">
        <f>PE_aug!AP431</f>
        <v>Straßenabfluss</v>
      </c>
    </row>
    <row r="443" spans="1:22">
      <c r="A443" s="305" t="s">
        <v>494</v>
      </c>
      <c r="H443">
        <v>0.70699999999999996</v>
      </c>
      <c r="I443">
        <v>0.114</v>
      </c>
      <c r="J443">
        <v>12.492749999999999</v>
      </c>
      <c r="K443">
        <v>0.5</v>
      </c>
      <c r="L443" s="308">
        <f t="shared" si="36"/>
        <v>0.33</v>
      </c>
      <c r="M443" s="309">
        <f t="shared" si="37"/>
        <v>0.41500000000000004</v>
      </c>
      <c r="N443" s="310" t="e">
        <f t="shared" si="38"/>
        <v>#DIV/0!</v>
      </c>
      <c r="O443" s="310" t="e">
        <f t="shared" si="39"/>
        <v>#DIV/0!</v>
      </c>
      <c r="P443" s="310" t="e">
        <f t="shared" si="40"/>
        <v>#DIV/0!</v>
      </c>
      <c r="Q443" s="311">
        <f t="shared" si="44"/>
        <v>0</v>
      </c>
      <c r="V443" s="312" t="str">
        <f>PE_aug!AP432</f>
        <v>Straßenabfluss</v>
      </c>
    </row>
    <row r="444" spans="1:22">
      <c r="A444" s="305" t="s">
        <v>495</v>
      </c>
      <c r="H444">
        <v>0.70699999999999996</v>
      </c>
      <c r="I444">
        <v>0.46899999999999997</v>
      </c>
      <c r="J444">
        <v>9.6039899999999996</v>
      </c>
      <c r="K444">
        <v>0.5</v>
      </c>
      <c r="L444" s="308">
        <f t="shared" si="36"/>
        <v>0.33</v>
      </c>
      <c r="M444" s="309">
        <f t="shared" si="37"/>
        <v>0.41500000000000004</v>
      </c>
      <c r="N444" s="310" t="e">
        <f t="shared" si="38"/>
        <v>#DIV/0!</v>
      </c>
      <c r="O444" s="310" t="e">
        <f t="shared" si="39"/>
        <v>#DIV/0!</v>
      </c>
      <c r="P444" s="310" t="e">
        <f t="shared" si="40"/>
        <v>#DIV/0!</v>
      </c>
      <c r="Q444" s="311">
        <f t="shared" si="44"/>
        <v>0</v>
      </c>
      <c r="V444" s="312" t="str">
        <f>PE_aug!AP433</f>
        <v>Straßenabfluss</v>
      </c>
    </row>
    <row r="445" spans="1:22">
      <c r="A445" s="305" t="s">
        <v>496</v>
      </c>
      <c r="C445">
        <v>3.25</v>
      </c>
      <c r="F445">
        <v>3.25</v>
      </c>
      <c r="H445">
        <v>0.70699999999999996</v>
      </c>
      <c r="I445">
        <v>0.46899999999999997</v>
      </c>
      <c r="J445">
        <v>12.9993</v>
      </c>
      <c r="K445">
        <v>0.64</v>
      </c>
      <c r="L445" s="308">
        <f t="shared" si="36"/>
        <v>0.75</v>
      </c>
      <c r="M445" s="309">
        <f t="shared" si="37"/>
        <v>0.69500000000000006</v>
      </c>
      <c r="N445" s="310">
        <f t="shared" si="38"/>
        <v>3.25</v>
      </c>
      <c r="O445" s="310">
        <f t="shared" si="39"/>
        <v>3.25</v>
      </c>
      <c r="P445" s="310">
        <f t="shared" si="40"/>
        <v>0</v>
      </c>
      <c r="Q445" s="311">
        <f t="shared" si="44"/>
        <v>0.25001346226335264</v>
      </c>
      <c r="V445" s="312" t="str">
        <f>PE_aug!AP434</f>
        <v>Straßenabfluss</v>
      </c>
    </row>
    <row r="446" spans="1:22">
      <c r="A446" s="305" t="s">
        <v>497</v>
      </c>
      <c r="H446">
        <v>0.70699999999999996</v>
      </c>
      <c r="I446">
        <v>0.17399999999999999</v>
      </c>
      <c r="J446">
        <v>8.3272600000000008</v>
      </c>
      <c r="L446" s="308">
        <f t="shared" si="36"/>
        <v>0.33</v>
      </c>
      <c r="M446" s="309">
        <f t="shared" si="37"/>
        <v>0.33</v>
      </c>
      <c r="N446" s="310" t="e">
        <f t="shared" si="38"/>
        <v>#DIV/0!</v>
      </c>
      <c r="O446" s="310" t="e">
        <f t="shared" si="39"/>
        <v>#DIV/0!</v>
      </c>
      <c r="P446" s="310" t="e">
        <f t="shared" si="40"/>
        <v>#DIV/0!</v>
      </c>
      <c r="Q446" s="311">
        <f t="shared" si="44"/>
        <v>0</v>
      </c>
      <c r="V446" s="312" t="str">
        <f>PE_aug!AP435</f>
        <v>Straßenabfluss</v>
      </c>
    </row>
    <row r="447" spans="1:22">
      <c r="A447" s="305" t="s">
        <v>498</v>
      </c>
      <c r="H447">
        <v>0.70699999999999996</v>
      </c>
      <c r="I447">
        <v>0.17399999999999999</v>
      </c>
      <c r="J447">
        <v>5.5668749999999996</v>
      </c>
      <c r="L447" s="308">
        <f t="shared" si="36"/>
        <v>0.33</v>
      </c>
      <c r="M447" s="309">
        <f t="shared" si="37"/>
        <v>0.33</v>
      </c>
      <c r="N447" s="310" t="e">
        <f t="shared" si="38"/>
        <v>#DIV/0!</v>
      </c>
      <c r="O447" s="310" t="e">
        <f t="shared" si="39"/>
        <v>#DIV/0!</v>
      </c>
      <c r="P447" s="310" t="e">
        <f t="shared" si="40"/>
        <v>#DIV/0!</v>
      </c>
      <c r="Q447" s="311">
        <f t="shared" si="44"/>
        <v>0</v>
      </c>
      <c r="V447" s="312" t="str">
        <f>PE_aug!AP436</f>
        <v>Straßenabfluss</v>
      </c>
    </row>
    <row r="448" spans="1:22">
      <c r="A448" s="305" t="s">
        <v>499</v>
      </c>
      <c r="H448">
        <v>0.70699999999999996</v>
      </c>
      <c r="I448">
        <v>0.12</v>
      </c>
      <c r="J448">
        <v>10.570399999999999</v>
      </c>
      <c r="L448" s="308">
        <f t="shared" si="36"/>
        <v>0.33</v>
      </c>
      <c r="M448" s="309">
        <f t="shared" si="37"/>
        <v>0.33</v>
      </c>
      <c r="N448" s="310" t="e">
        <f t="shared" si="38"/>
        <v>#DIV/0!</v>
      </c>
      <c r="O448" s="310" t="e">
        <f t="shared" si="39"/>
        <v>#DIV/0!</v>
      </c>
      <c r="P448" s="310" t="e">
        <f t="shared" si="40"/>
        <v>#DIV/0!</v>
      </c>
      <c r="Q448" s="311">
        <f t="shared" si="44"/>
        <v>0</v>
      </c>
      <c r="V448" s="312" t="str">
        <f>PE_aug!AP437</f>
        <v>Straßenabfluss</v>
      </c>
    </row>
    <row r="449" spans="1:22">
      <c r="A449" s="305" t="s">
        <v>500</v>
      </c>
      <c r="H449">
        <v>0.70699999999999996</v>
      </c>
      <c r="I449">
        <v>0.12</v>
      </c>
      <c r="J449">
        <v>7.1077349999999999</v>
      </c>
      <c r="L449" s="308">
        <f t="shared" si="36"/>
        <v>0.33</v>
      </c>
      <c r="M449" s="309">
        <f t="shared" si="37"/>
        <v>0.33</v>
      </c>
      <c r="N449" s="310" t="e">
        <f t="shared" si="38"/>
        <v>#DIV/0!</v>
      </c>
      <c r="O449" s="310" t="e">
        <f t="shared" si="39"/>
        <v>#DIV/0!</v>
      </c>
      <c r="P449" s="310" t="e">
        <f t="shared" si="40"/>
        <v>#DIV/0!</v>
      </c>
      <c r="Q449" s="311">
        <f t="shared" si="44"/>
        <v>0</v>
      </c>
      <c r="V449" s="312" t="str">
        <f>PE_aug!AP438</f>
        <v>Straßenabfluss</v>
      </c>
    </row>
    <row r="450" spans="1:22">
      <c r="A450" s="320" t="s">
        <v>501</v>
      </c>
      <c r="J450">
        <v>8.5403399999999987</v>
      </c>
      <c r="K450">
        <v>0.81</v>
      </c>
      <c r="L450" s="308">
        <f t="shared" ref="L450:L466" si="45">IF(COUNT(F450:G450)&lt;1,0.33,((COUNT(F450:G450)*(1/(COUNT(F450:G450)+COUNTBLANK(F450:G450)))+(IF(P450&lt;35,1,IF(P450&lt;70,0.5,IF(P450&gt;70,0)))))/2))</f>
        <v>0.33</v>
      </c>
      <c r="M450" s="309">
        <f t="shared" ref="M450:M513" si="46">AVERAGE(K450:L450)</f>
        <v>0.57000000000000006</v>
      </c>
      <c r="N450" s="310" t="e">
        <f t="shared" ref="N450:N466" si="47">AVERAGE(E450:G450)</f>
        <v>#DIV/0!</v>
      </c>
      <c r="O450" s="310" t="e">
        <f t="shared" ref="O450:O466" si="48">AVERAGE(F450:G450)</f>
        <v>#DIV/0!</v>
      </c>
      <c r="P450" s="310" t="e">
        <f t="shared" ref="P450:P513" si="49">(MAX(F450:G450)-MIN(F450:G450))/O450*100</f>
        <v>#DIV/0!</v>
      </c>
      <c r="Q450" s="311">
        <f t="shared" si="44"/>
        <v>0</v>
      </c>
      <c r="V450" s="312" t="str">
        <f>PE_aug!AP439</f>
        <v>KWS, Methode</v>
      </c>
    </row>
    <row r="451" spans="1:22">
      <c r="A451" s="320" t="s">
        <v>502</v>
      </c>
      <c r="J451">
        <v>5.9147600000000002E-2</v>
      </c>
      <c r="L451" s="308">
        <f t="shared" si="45"/>
        <v>0.33</v>
      </c>
      <c r="M451" s="309">
        <f t="shared" si="46"/>
        <v>0.33</v>
      </c>
      <c r="N451" s="310" t="e">
        <f t="shared" si="47"/>
        <v>#DIV/0!</v>
      </c>
      <c r="O451" s="310" t="e">
        <f t="shared" si="48"/>
        <v>#DIV/0!</v>
      </c>
      <c r="P451" s="310" t="e">
        <f t="shared" si="49"/>
        <v>#DIV/0!</v>
      </c>
      <c r="Q451" s="311">
        <f t="shared" si="44"/>
        <v>0</v>
      </c>
      <c r="V451" s="312" t="str">
        <f>PE_aug!AP440</f>
        <v>Methode</v>
      </c>
    </row>
    <row r="452" spans="1:22">
      <c r="A452" s="320" t="s">
        <v>503</v>
      </c>
      <c r="H452">
        <v>0.70699999999999996</v>
      </c>
      <c r="I452">
        <v>0.152</v>
      </c>
      <c r="J452">
        <v>9.0048200000000005</v>
      </c>
      <c r="K452">
        <v>0.5</v>
      </c>
      <c r="L452" s="308">
        <f t="shared" si="45"/>
        <v>0.33</v>
      </c>
      <c r="M452" s="309">
        <f t="shared" si="46"/>
        <v>0.41500000000000004</v>
      </c>
      <c r="N452" s="310" t="e">
        <f t="shared" si="47"/>
        <v>#DIV/0!</v>
      </c>
      <c r="O452" s="310" t="e">
        <f t="shared" si="48"/>
        <v>#DIV/0!</v>
      </c>
      <c r="P452" s="310" t="e">
        <f t="shared" si="49"/>
        <v>#DIV/0!</v>
      </c>
      <c r="Q452" s="311">
        <f t="shared" si="44"/>
        <v>0</v>
      </c>
      <c r="V452" s="312" t="str">
        <f>PE_aug!AP441</f>
        <v>Straßenabfluss</v>
      </c>
    </row>
    <row r="453" spans="1:22">
      <c r="A453" s="320" t="s">
        <v>504</v>
      </c>
      <c r="H453">
        <v>0.70699999999999996</v>
      </c>
      <c r="I453">
        <v>0.152</v>
      </c>
      <c r="J453">
        <v>7.3795650000000004</v>
      </c>
      <c r="K453">
        <v>0.4</v>
      </c>
      <c r="L453" s="308">
        <f t="shared" si="45"/>
        <v>0.33</v>
      </c>
      <c r="M453" s="309">
        <f t="shared" si="46"/>
        <v>0.36499999999999999</v>
      </c>
      <c r="N453" s="310" t="e">
        <f t="shared" si="47"/>
        <v>#DIV/0!</v>
      </c>
      <c r="O453" s="310" t="e">
        <f t="shared" si="48"/>
        <v>#DIV/0!</v>
      </c>
      <c r="P453" s="310" t="e">
        <f t="shared" si="49"/>
        <v>#DIV/0!</v>
      </c>
      <c r="Q453" s="311">
        <f t="shared" si="44"/>
        <v>0</v>
      </c>
      <c r="V453" s="312" t="str">
        <f>PE_aug!AP442</f>
        <v>Straßenabfluss</v>
      </c>
    </row>
    <row r="454" spans="1:22">
      <c r="A454" s="320" t="s">
        <v>505</v>
      </c>
      <c r="J454">
        <v>4.4695199999999993</v>
      </c>
      <c r="K454">
        <v>0.25</v>
      </c>
      <c r="L454" s="308">
        <f t="shared" si="45"/>
        <v>0.33</v>
      </c>
      <c r="M454" s="309">
        <f t="shared" si="46"/>
        <v>0.29000000000000004</v>
      </c>
      <c r="N454" s="310" t="e">
        <f t="shared" si="47"/>
        <v>#DIV/0!</v>
      </c>
      <c r="O454" s="310" t="e">
        <f t="shared" si="48"/>
        <v>#DIV/0!</v>
      </c>
      <c r="P454" s="310" t="e">
        <f t="shared" si="49"/>
        <v>#DIV/0!</v>
      </c>
      <c r="Q454" s="311">
        <f t="shared" si="44"/>
        <v>0</v>
      </c>
      <c r="V454" s="312" t="str">
        <f>PE_aug!AP443</f>
        <v>Straßenabfluss</v>
      </c>
    </row>
    <row r="455" spans="1:22">
      <c r="A455" s="320" t="s">
        <v>506</v>
      </c>
      <c r="H455">
        <v>0.70699999999999996</v>
      </c>
      <c r="I455">
        <v>0.16500000000000001</v>
      </c>
      <c r="J455">
        <v>7.4709699999999986</v>
      </c>
      <c r="K455">
        <v>0.25</v>
      </c>
      <c r="L455" s="308">
        <f t="shared" si="45"/>
        <v>0.33</v>
      </c>
      <c r="M455" s="309">
        <f t="shared" si="46"/>
        <v>0.29000000000000004</v>
      </c>
      <c r="N455" s="310" t="e">
        <f t="shared" si="47"/>
        <v>#DIV/0!</v>
      </c>
      <c r="O455" s="310" t="e">
        <f t="shared" si="48"/>
        <v>#DIV/0!</v>
      </c>
      <c r="P455" s="310" t="e">
        <f t="shared" si="49"/>
        <v>#DIV/0!</v>
      </c>
      <c r="Q455" s="311">
        <f t="shared" si="44"/>
        <v>0</v>
      </c>
      <c r="V455" s="312" t="str">
        <f>PE_aug!AP444</f>
        <v>Straßenabfluss</v>
      </c>
    </row>
    <row r="456" spans="1:22">
      <c r="A456" s="320" t="s">
        <v>507</v>
      </c>
      <c r="H456">
        <v>0.70699999999999996</v>
      </c>
      <c r="I456">
        <v>0.16500000000000001</v>
      </c>
      <c r="J456">
        <v>5.5076400000000003</v>
      </c>
      <c r="K456">
        <v>0.25</v>
      </c>
      <c r="L456" s="308">
        <f t="shared" si="45"/>
        <v>0.33</v>
      </c>
      <c r="M456" s="309">
        <f t="shared" si="46"/>
        <v>0.29000000000000004</v>
      </c>
      <c r="N456" s="310" t="e">
        <f t="shared" si="47"/>
        <v>#DIV/0!</v>
      </c>
      <c r="O456" s="310" t="e">
        <f t="shared" si="48"/>
        <v>#DIV/0!</v>
      </c>
      <c r="P456" s="310" t="e">
        <f t="shared" si="49"/>
        <v>#DIV/0!</v>
      </c>
      <c r="Q456" s="311">
        <f t="shared" si="44"/>
        <v>0</v>
      </c>
      <c r="V456" s="312" t="str">
        <f>PE_aug!AP445</f>
        <v>Straßenabfluss</v>
      </c>
    </row>
    <row r="457" spans="1:22">
      <c r="A457" s="320" t="s">
        <v>508</v>
      </c>
      <c r="H457">
        <v>0.70699999999999996</v>
      </c>
      <c r="I457">
        <v>0.20300000000000001</v>
      </c>
      <c r="J457">
        <v>5.2079999999999993</v>
      </c>
      <c r="K457">
        <v>0.25</v>
      </c>
      <c r="L457" s="308">
        <f t="shared" si="45"/>
        <v>0.33</v>
      </c>
      <c r="M457" s="309">
        <f t="shared" si="46"/>
        <v>0.29000000000000004</v>
      </c>
      <c r="N457" s="310" t="e">
        <f t="shared" si="47"/>
        <v>#DIV/0!</v>
      </c>
      <c r="O457" s="310" t="e">
        <f t="shared" si="48"/>
        <v>#DIV/0!</v>
      </c>
      <c r="P457" s="310" t="e">
        <f t="shared" si="49"/>
        <v>#DIV/0!</v>
      </c>
      <c r="Q457" s="311">
        <f t="shared" si="44"/>
        <v>0</v>
      </c>
      <c r="V457" s="312" t="str">
        <f>PE_aug!AP446</f>
        <v>Straßenabfluss</v>
      </c>
    </row>
    <row r="458" spans="1:22">
      <c r="A458" s="320" t="s">
        <v>509</v>
      </c>
      <c r="H458">
        <v>0.70699999999999996</v>
      </c>
      <c r="I458">
        <v>0.20300000000000001</v>
      </c>
      <c r="J458">
        <v>7.9878200000000001</v>
      </c>
      <c r="K458">
        <v>0.25</v>
      </c>
      <c r="L458" s="308">
        <f t="shared" si="45"/>
        <v>0.33</v>
      </c>
      <c r="M458" s="309">
        <f t="shared" si="46"/>
        <v>0.29000000000000004</v>
      </c>
      <c r="N458" s="310" t="e">
        <f t="shared" si="47"/>
        <v>#DIV/0!</v>
      </c>
      <c r="O458" s="310" t="e">
        <f t="shared" si="48"/>
        <v>#DIV/0!</v>
      </c>
      <c r="P458" s="310" t="e">
        <f t="shared" si="49"/>
        <v>#DIV/0!</v>
      </c>
      <c r="Q458" s="311">
        <f t="shared" si="44"/>
        <v>0</v>
      </c>
      <c r="V458" s="312" t="str">
        <f>PE_aug!AP447</f>
        <v>Straßenabfluss</v>
      </c>
    </row>
    <row r="459" spans="1:22">
      <c r="A459" s="320" t="s">
        <v>510</v>
      </c>
      <c r="H459">
        <v>0.70699999999999996</v>
      </c>
      <c r="I459">
        <v>0.42699999999999999</v>
      </c>
      <c r="J459">
        <v>5.3934150000000001</v>
      </c>
      <c r="K459">
        <v>0.25</v>
      </c>
      <c r="L459" s="308">
        <f t="shared" si="45"/>
        <v>0.33</v>
      </c>
      <c r="M459" s="309">
        <f t="shared" si="46"/>
        <v>0.29000000000000004</v>
      </c>
      <c r="N459" s="310" t="e">
        <f t="shared" si="47"/>
        <v>#DIV/0!</v>
      </c>
      <c r="O459" s="310" t="e">
        <f t="shared" si="48"/>
        <v>#DIV/0!</v>
      </c>
      <c r="P459" s="310" t="e">
        <f t="shared" si="49"/>
        <v>#DIV/0!</v>
      </c>
      <c r="Q459" s="311">
        <f t="shared" si="44"/>
        <v>0</v>
      </c>
      <c r="V459" s="312" t="str">
        <f>PE_aug!AP448</f>
        <v>Straßenabfluss</v>
      </c>
    </row>
    <row r="460" spans="1:22">
      <c r="A460" s="320" t="s">
        <v>511</v>
      </c>
      <c r="H460">
        <v>0.70699999999999996</v>
      </c>
      <c r="I460">
        <v>0.42699999999999999</v>
      </c>
      <c r="J460">
        <v>8.8179449999999999</v>
      </c>
      <c r="K460">
        <v>0.25</v>
      </c>
      <c r="L460" s="308">
        <f t="shared" si="45"/>
        <v>0.33</v>
      </c>
      <c r="M460" s="309">
        <f t="shared" si="46"/>
        <v>0.29000000000000004</v>
      </c>
      <c r="N460" s="310" t="e">
        <f t="shared" si="47"/>
        <v>#DIV/0!</v>
      </c>
      <c r="O460" s="310" t="e">
        <f t="shared" si="48"/>
        <v>#DIV/0!</v>
      </c>
      <c r="P460" s="310" t="e">
        <f t="shared" si="49"/>
        <v>#DIV/0!</v>
      </c>
      <c r="Q460" s="311">
        <f t="shared" si="44"/>
        <v>0</v>
      </c>
      <c r="V460" s="312" t="str">
        <f>PE_aug!AP449</f>
        <v>Straßenabfluss</v>
      </c>
    </row>
    <row r="461" spans="1:22">
      <c r="A461" s="320" t="s">
        <v>512</v>
      </c>
      <c r="H461">
        <v>0.70699999999999996</v>
      </c>
      <c r="I461">
        <v>0.22</v>
      </c>
      <c r="J461">
        <v>20.2043</v>
      </c>
      <c r="K461">
        <v>0.43</v>
      </c>
      <c r="L461" s="308">
        <f t="shared" si="45"/>
        <v>0.33</v>
      </c>
      <c r="M461" s="309">
        <f t="shared" si="46"/>
        <v>0.38</v>
      </c>
      <c r="N461" s="310" t="e">
        <f t="shared" si="47"/>
        <v>#DIV/0!</v>
      </c>
      <c r="O461" s="310" t="e">
        <f t="shared" si="48"/>
        <v>#DIV/0!</v>
      </c>
      <c r="P461" s="310" t="e">
        <f t="shared" si="49"/>
        <v>#DIV/0!</v>
      </c>
      <c r="Q461" s="311">
        <f t="shared" si="44"/>
        <v>0</v>
      </c>
      <c r="V461" s="312" t="str">
        <f>PE_aug!AP450</f>
        <v>Straßenabfluss</v>
      </c>
    </row>
    <row r="462" spans="1:22">
      <c r="A462" s="320" t="s">
        <v>513</v>
      </c>
      <c r="H462">
        <v>0.70699999999999996</v>
      </c>
      <c r="I462">
        <v>0.22</v>
      </c>
      <c r="J462">
        <v>29.867599999999999</v>
      </c>
      <c r="K462">
        <v>0.64</v>
      </c>
      <c r="L462" s="308">
        <f t="shared" si="45"/>
        <v>0.33</v>
      </c>
      <c r="M462" s="309">
        <f t="shared" si="46"/>
        <v>0.48499999999999999</v>
      </c>
      <c r="N462" s="310" t="e">
        <f t="shared" si="47"/>
        <v>#DIV/0!</v>
      </c>
      <c r="O462" s="310" t="e">
        <f t="shared" si="48"/>
        <v>#DIV/0!</v>
      </c>
      <c r="P462" s="310" t="e">
        <f t="shared" si="49"/>
        <v>#DIV/0!</v>
      </c>
      <c r="Q462" s="311">
        <f t="shared" si="44"/>
        <v>0</v>
      </c>
      <c r="V462" s="312" t="str">
        <f>PE_aug!AP451</f>
        <v>Straßenabfluss</v>
      </c>
    </row>
    <row r="463" spans="1:22">
      <c r="A463" s="320" t="s">
        <v>514</v>
      </c>
      <c r="H463">
        <v>0.70699999999999996</v>
      </c>
      <c r="I463">
        <v>0.34499999999999997</v>
      </c>
      <c r="J463">
        <v>2.8785050000000001</v>
      </c>
      <c r="L463" s="308">
        <f t="shared" si="45"/>
        <v>0.33</v>
      </c>
      <c r="M463" s="309">
        <f t="shared" si="46"/>
        <v>0.33</v>
      </c>
      <c r="N463" s="310" t="e">
        <f t="shared" si="47"/>
        <v>#DIV/0!</v>
      </c>
      <c r="O463" s="310" t="e">
        <f t="shared" si="48"/>
        <v>#DIV/0!</v>
      </c>
      <c r="P463" s="310" t="e">
        <f t="shared" si="49"/>
        <v>#DIV/0!</v>
      </c>
      <c r="Q463" s="311">
        <f t="shared" si="44"/>
        <v>0</v>
      </c>
      <c r="V463" s="312" t="str">
        <f>PE_aug!AP452</f>
        <v>Straßenabfluss</v>
      </c>
    </row>
    <row r="464" spans="1:22">
      <c r="A464" s="320" t="s">
        <v>515</v>
      </c>
      <c r="H464">
        <v>0.70699999999999996</v>
      </c>
      <c r="I464">
        <v>0.34499999999999997</v>
      </c>
      <c r="J464">
        <v>2.8527499999999999</v>
      </c>
      <c r="L464" s="308">
        <f t="shared" si="45"/>
        <v>0.33</v>
      </c>
      <c r="M464" s="309">
        <f t="shared" si="46"/>
        <v>0.33</v>
      </c>
      <c r="N464" s="310" t="e">
        <f t="shared" si="47"/>
        <v>#DIV/0!</v>
      </c>
      <c r="O464" s="310" t="e">
        <f t="shared" si="48"/>
        <v>#DIV/0!</v>
      </c>
      <c r="P464" s="310" t="e">
        <f t="shared" si="49"/>
        <v>#DIV/0!</v>
      </c>
      <c r="Q464" s="311">
        <f t="shared" si="44"/>
        <v>0</v>
      </c>
      <c r="V464" s="312" t="str">
        <f>PE_aug!AP453</f>
        <v>Straßenabfluss</v>
      </c>
    </row>
    <row r="465" spans="1:22">
      <c r="A465" s="320" t="s">
        <v>516</v>
      </c>
      <c r="H465">
        <v>0.70699999999999996</v>
      </c>
      <c r="I465">
        <v>3.5000000000000003E-2</v>
      </c>
      <c r="J465">
        <v>3.5029300000000001</v>
      </c>
      <c r="L465" s="308">
        <f t="shared" si="45"/>
        <v>0.33</v>
      </c>
      <c r="M465" s="309">
        <f t="shared" si="46"/>
        <v>0.33</v>
      </c>
      <c r="N465" s="310" t="e">
        <f t="shared" si="47"/>
        <v>#DIV/0!</v>
      </c>
      <c r="O465" s="310" t="e">
        <f t="shared" si="48"/>
        <v>#DIV/0!</v>
      </c>
      <c r="P465" s="310" t="e">
        <f t="shared" si="49"/>
        <v>#DIV/0!</v>
      </c>
      <c r="Q465" s="311">
        <f t="shared" si="44"/>
        <v>0</v>
      </c>
      <c r="V465" s="312" t="str">
        <f>PE_aug!AP454</f>
        <v>Straßenabfluss</v>
      </c>
    </row>
    <row r="466" spans="1:22">
      <c r="A466" s="320" t="s">
        <v>517</v>
      </c>
      <c r="H466">
        <v>0.70699999999999996</v>
      </c>
      <c r="I466">
        <v>3.5000000000000003E-2</v>
      </c>
      <c r="J466">
        <v>3.8363700000000001</v>
      </c>
      <c r="L466" s="308">
        <f t="shared" si="45"/>
        <v>0.33</v>
      </c>
      <c r="M466" s="309">
        <f t="shared" si="46"/>
        <v>0.33</v>
      </c>
      <c r="N466" s="310" t="e">
        <f t="shared" si="47"/>
        <v>#DIV/0!</v>
      </c>
      <c r="O466" s="310" t="e">
        <f t="shared" si="48"/>
        <v>#DIV/0!</v>
      </c>
      <c r="P466" s="310" t="e">
        <f t="shared" si="49"/>
        <v>#DIV/0!</v>
      </c>
      <c r="Q466" s="311">
        <f t="shared" si="44"/>
        <v>0</v>
      </c>
      <c r="V466" s="312" t="str">
        <f>PE_aug!AP455</f>
        <v>Straßenabfluss</v>
      </c>
    </row>
    <row r="467" spans="1:22">
      <c r="A467" s="327" t="s">
        <v>518</v>
      </c>
      <c r="E467"/>
      <c r="F467"/>
      <c r="G467"/>
      <c r="H467">
        <v>1.077</v>
      </c>
      <c r="I467">
        <v>0.317</v>
      </c>
      <c r="J467">
        <v>10.067399999999999</v>
      </c>
    </row>
    <row r="468" spans="1:22">
      <c r="A468" s="327" t="s">
        <v>519</v>
      </c>
      <c r="E468"/>
      <c r="F468"/>
      <c r="G468"/>
      <c r="H468">
        <v>0.191</v>
      </c>
      <c r="I468">
        <v>0.317</v>
      </c>
      <c r="J468">
        <v>16.639399999999998</v>
      </c>
      <c r="K468">
        <v>0.5</v>
      </c>
    </row>
    <row r="469" spans="1:22">
      <c r="A469" s="327" t="s">
        <v>520</v>
      </c>
      <c r="C469">
        <v>3.11</v>
      </c>
      <c r="E469"/>
      <c r="F469">
        <v>3.11</v>
      </c>
      <c r="G469"/>
      <c r="H469">
        <v>0.89200000000000002</v>
      </c>
      <c r="I469">
        <v>0.317</v>
      </c>
      <c r="J469">
        <v>22.4757</v>
      </c>
      <c r="K469">
        <v>0.44</v>
      </c>
    </row>
    <row r="470" spans="1:22">
      <c r="A470" s="327" t="s">
        <v>521</v>
      </c>
      <c r="E470"/>
      <c r="F470"/>
      <c r="G470"/>
      <c r="H470">
        <v>0.51300000000000001</v>
      </c>
      <c r="I470">
        <v>6.6000000000000003E-2</v>
      </c>
      <c r="J470">
        <v>15.794600000000001</v>
      </c>
    </row>
    <row r="471" spans="1:22">
      <c r="A471" s="327" t="s">
        <v>522</v>
      </c>
      <c r="E471"/>
      <c r="F471"/>
      <c r="G471"/>
      <c r="H471">
        <v>1.075</v>
      </c>
      <c r="I471">
        <v>6.6000000000000003E-2</v>
      </c>
      <c r="J471">
        <v>9.8204600000000006</v>
      </c>
    </row>
    <row r="472" spans="1:22">
      <c r="A472" s="327" t="s">
        <v>523</v>
      </c>
      <c r="E472"/>
      <c r="F472"/>
      <c r="G472"/>
      <c r="H472">
        <v>0.66700000000000004</v>
      </c>
      <c r="I472">
        <v>6.6000000000000003E-2</v>
      </c>
      <c r="J472">
        <v>22.010100000000001</v>
      </c>
    </row>
    <row r="473" spans="1:22">
      <c r="A473" s="327" t="s">
        <v>524</v>
      </c>
      <c r="E473"/>
      <c r="F473"/>
      <c r="G473"/>
      <c r="H473">
        <v>0.79500000000000004</v>
      </c>
      <c r="I473">
        <v>0.19</v>
      </c>
      <c r="J473">
        <v>7.557525</v>
      </c>
    </row>
    <row r="474" spans="1:22">
      <c r="A474" s="327" t="s">
        <v>525</v>
      </c>
      <c r="E474"/>
      <c r="F474"/>
      <c r="G474"/>
      <c r="H474">
        <v>0.315</v>
      </c>
      <c r="I474">
        <v>0.19</v>
      </c>
      <c r="J474">
        <v>12.8439</v>
      </c>
      <c r="K474">
        <v>0.25</v>
      </c>
    </row>
    <row r="475" spans="1:22">
      <c r="A475" s="327" t="s">
        <v>526</v>
      </c>
      <c r="C475">
        <v>3.14</v>
      </c>
      <c r="E475"/>
      <c r="F475">
        <v>3.14</v>
      </c>
      <c r="G475"/>
      <c r="H475">
        <v>1.105</v>
      </c>
      <c r="I475">
        <v>0.19</v>
      </c>
      <c r="J475">
        <v>19.5275</v>
      </c>
      <c r="K475">
        <v>0.39</v>
      </c>
    </row>
    <row r="476" spans="1:22">
      <c r="A476" s="327" t="s">
        <v>527</v>
      </c>
      <c r="E476"/>
      <c r="F476"/>
      <c r="G476"/>
      <c r="H476">
        <v>1.0509999999999999</v>
      </c>
      <c r="I476">
        <v>5.2999999999999999E-2</v>
      </c>
      <c r="J476">
        <v>11.5001</v>
      </c>
      <c r="K476">
        <v>0.25</v>
      </c>
    </row>
    <row r="477" spans="1:22">
      <c r="A477" s="327" t="s">
        <v>528</v>
      </c>
      <c r="E477"/>
      <c r="F477"/>
      <c r="G477"/>
      <c r="H477">
        <v>0.20499999999999999</v>
      </c>
      <c r="I477">
        <v>5.2999999999999999E-2</v>
      </c>
      <c r="J477">
        <v>14.7828</v>
      </c>
      <c r="K477">
        <v>0.25</v>
      </c>
    </row>
    <row r="478" spans="1:22">
      <c r="A478" s="327" t="s">
        <v>529</v>
      </c>
      <c r="E478"/>
      <c r="F478"/>
      <c r="G478"/>
      <c r="H478">
        <v>0.90200000000000002</v>
      </c>
      <c r="I478">
        <v>5.2999999999999999E-2</v>
      </c>
      <c r="J478">
        <v>15.0672</v>
      </c>
      <c r="K478">
        <v>0.25</v>
      </c>
    </row>
    <row r="479" spans="1:22">
      <c r="A479" s="327" t="s">
        <v>530</v>
      </c>
      <c r="E479"/>
      <c r="F479"/>
      <c r="G479"/>
      <c r="H479">
        <v>0.79700000000000004</v>
      </c>
      <c r="I479">
        <v>2.7E-2</v>
      </c>
      <c r="J479">
        <v>10.63255</v>
      </c>
    </row>
    <row r="480" spans="1:22">
      <c r="A480" s="327" t="s">
        <v>531</v>
      </c>
      <c r="E480"/>
      <c r="F480"/>
      <c r="G480"/>
      <c r="H480">
        <v>0.626</v>
      </c>
      <c r="I480">
        <v>2.7E-2</v>
      </c>
      <c r="J480">
        <v>10.5519</v>
      </c>
      <c r="K480">
        <v>0.25</v>
      </c>
    </row>
    <row r="481" spans="1:11">
      <c r="A481" s="327" t="s">
        <v>532</v>
      </c>
      <c r="E481"/>
      <c r="F481"/>
      <c r="G481"/>
      <c r="H481">
        <v>0.80500000000000005</v>
      </c>
      <c r="I481">
        <v>2.7E-2</v>
      </c>
      <c r="J481">
        <v>8.6896950000000004</v>
      </c>
    </row>
    <row r="482" spans="1:11">
      <c r="A482" s="327" t="s">
        <v>533</v>
      </c>
      <c r="E482"/>
      <c r="F482"/>
      <c r="G482"/>
      <c r="H482"/>
      <c r="I482"/>
      <c r="J482">
        <v>9.8886500000000002</v>
      </c>
      <c r="K482">
        <v>0.25</v>
      </c>
    </row>
  </sheetData>
  <autoFilter ref="A1:W217" xr:uid="{00000000-0009-0000-0000-000003000000}"/>
  <conditionalFormatting sqref="P2:P466">
    <cfRule type="colorScale" priority="16">
      <colorScale>
        <cfvo type="num" val="0"/>
        <cfvo type="percentile" val="20"/>
        <cfvo type="num" val="100"/>
        <color rgb="FFF8696B"/>
        <color rgb="FFFFEB84"/>
        <color rgb="FF63BE7B"/>
      </colorScale>
    </cfRule>
  </conditionalFormatting>
  <conditionalFormatting sqref="G1">
    <cfRule type="cellIs" dxfId="2" priority="9" operator="lessThan">
      <formula>#REF!</formula>
    </cfRule>
  </conditionalFormatting>
  <conditionalFormatting sqref="F1">
    <cfRule type="cellIs" dxfId="1" priority="10" operator="lessThan">
      <formula>#REF!</formula>
    </cfRule>
  </conditionalFormatting>
  <conditionalFormatting sqref="E1">
    <cfRule type="cellIs" dxfId="0" priority="11" operator="lessThan">
      <formula>#REF!</formula>
    </cfRule>
  </conditionalFormatting>
  <conditionalFormatting sqref="P1:P1048576">
    <cfRule type="colorScale" priority="1">
      <colorScale>
        <cfvo type="num" val="0"/>
        <cfvo type="num" val="50"/>
        <cfvo type="num" val="100"/>
        <color rgb="FF63BE7B"/>
        <color rgb="FFFFEB84"/>
        <color rgb="FFF8696B"/>
      </colorScale>
    </cfRule>
  </conditionalFormatting>
  <conditionalFormatting sqref="P1:P4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82"/>
  <sheetViews>
    <sheetView topLeftCell="A430" zoomScale="80" zoomScaleNormal="80" workbookViewId="0">
      <selection activeCell="E471" sqref="E471"/>
    </sheetView>
  </sheetViews>
  <sheetFormatPr baseColWidth="10" defaultRowHeight="15"/>
  <cols>
    <col min="1" max="1" width="57.5703125" style="323" bestFit="1" customWidth="1"/>
    <col min="2" max="2" width="11.42578125" style="323" customWidth="1"/>
    <col min="3" max="3" width="11.42578125" style="306" customWidth="1"/>
    <col min="4" max="5" width="11.42578125" style="323" customWidth="1"/>
    <col min="10" max="10" width="33" style="323" bestFit="1" customWidth="1"/>
  </cols>
  <sheetData>
    <row r="1" spans="1:11" ht="42" customHeight="1">
      <c r="A1" s="150" t="s">
        <v>0</v>
      </c>
      <c r="B1" s="53" t="s">
        <v>579</v>
      </c>
      <c r="C1" s="43" t="s">
        <v>13</v>
      </c>
      <c r="D1" s="101" t="s">
        <v>14</v>
      </c>
      <c r="E1" s="101" t="s">
        <v>15</v>
      </c>
      <c r="F1" s="40" t="s">
        <v>16</v>
      </c>
      <c r="G1" s="37" t="s">
        <v>25</v>
      </c>
      <c r="H1" s="44" t="s">
        <v>580</v>
      </c>
      <c r="I1" s="44" t="s">
        <v>28</v>
      </c>
      <c r="J1" s="45" t="s">
        <v>29</v>
      </c>
      <c r="K1" s="59" t="s">
        <v>581</v>
      </c>
    </row>
    <row r="2" spans="1:11" s="51" customFormat="1">
      <c r="A2" s="151" t="s">
        <v>32</v>
      </c>
      <c r="C2" s="63"/>
      <c r="E2" s="117">
        <v>8.8879999999999999</v>
      </c>
      <c r="G2" s="310">
        <f t="shared" ref="G2:G65" si="0">IFERROR(B2/E2,0)</f>
        <v>0</v>
      </c>
      <c r="J2" s="319" t="str">
        <f>PE_aug!AP2</f>
        <v>Massenbilanz KWS</v>
      </c>
    </row>
    <row r="3" spans="1:11">
      <c r="A3" s="151" t="s">
        <v>36</v>
      </c>
      <c r="E3" s="115">
        <v>8.9664000000000001</v>
      </c>
      <c r="G3" s="310">
        <f t="shared" si="0"/>
        <v>0</v>
      </c>
      <c r="J3" s="319" t="str">
        <f>PE_aug!AP3</f>
        <v>Massenbilanz KWS</v>
      </c>
    </row>
    <row r="4" spans="1:11">
      <c r="A4" s="151" t="s">
        <v>37</v>
      </c>
      <c r="E4" s="115">
        <v>4.3002000000000002</v>
      </c>
      <c r="G4" s="310">
        <f t="shared" si="0"/>
        <v>0</v>
      </c>
      <c r="J4" s="319" t="str">
        <f>PE_aug!AP4</f>
        <v>Massenbilanz KWS</v>
      </c>
    </row>
    <row r="5" spans="1:11">
      <c r="A5" s="151" t="s">
        <v>38</v>
      </c>
      <c r="E5" s="115">
        <v>7.8087999999999997</v>
      </c>
      <c r="G5" s="310">
        <f t="shared" si="0"/>
        <v>0</v>
      </c>
      <c r="J5" s="319" t="str">
        <f>PE_aug!AP5</f>
        <v>Massenbilanz KWS</v>
      </c>
    </row>
    <row r="6" spans="1:11">
      <c r="A6" s="151" t="s">
        <v>39</v>
      </c>
      <c r="E6" s="115">
        <v>6.5256999999999996</v>
      </c>
      <c r="G6" s="310">
        <f t="shared" si="0"/>
        <v>0</v>
      </c>
      <c r="J6" s="319" t="str">
        <f>PE_aug!AP6</f>
        <v>Massenbilanz KWS</v>
      </c>
    </row>
    <row r="7" spans="1:11">
      <c r="A7" s="151" t="s">
        <v>40</v>
      </c>
      <c r="E7" s="115">
        <v>8.0249000000000006</v>
      </c>
      <c r="G7" s="310">
        <f t="shared" si="0"/>
        <v>0</v>
      </c>
      <c r="J7" s="319" t="str">
        <f>PE_aug!AP7</f>
        <v>Massenbilanz KWS</v>
      </c>
    </row>
    <row r="8" spans="1:11">
      <c r="A8" s="151" t="s">
        <v>41</v>
      </c>
      <c r="E8" s="115">
        <v>7.6868999999999996</v>
      </c>
      <c r="F8">
        <v>0.5</v>
      </c>
      <c r="G8" s="310">
        <f t="shared" si="0"/>
        <v>0</v>
      </c>
      <c r="J8" s="319" t="str">
        <f>PE_aug!AP8</f>
        <v>Kläranlage</v>
      </c>
    </row>
    <row r="9" spans="1:11">
      <c r="A9" s="151" t="s">
        <v>43</v>
      </c>
      <c r="E9" s="115">
        <v>7.1997</v>
      </c>
      <c r="F9">
        <v>0.5</v>
      </c>
      <c r="G9" s="310">
        <f t="shared" si="0"/>
        <v>0</v>
      </c>
      <c r="J9" s="319" t="str">
        <f>PE_aug!AP9</f>
        <v>Kläranlage</v>
      </c>
    </row>
    <row r="10" spans="1:11">
      <c r="A10" s="151" t="s">
        <v>44</v>
      </c>
      <c r="E10" s="115">
        <v>5.3699000000000003</v>
      </c>
      <c r="F10">
        <v>0.5</v>
      </c>
      <c r="G10" s="310">
        <f t="shared" si="0"/>
        <v>0</v>
      </c>
      <c r="J10" s="319" t="str">
        <f>PE_aug!AP10</f>
        <v>Kläranlage</v>
      </c>
    </row>
    <row r="11" spans="1:11">
      <c r="A11" s="151" t="s">
        <v>45</v>
      </c>
      <c r="E11" s="115">
        <v>5.4539999999999997</v>
      </c>
      <c r="G11" s="310">
        <f t="shared" si="0"/>
        <v>0</v>
      </c>
      <c r="J11" s="319" t="str">
        <f>PE_aug!AP11</f>
        <v>Referenzmessung BS</v>
      </c>
    </row>
    <row r="12" spans="1:11">
      <c r="A12" s="151" t="s">
        <v>47</v>
      </c>
      <c r="E12" s="115">
        <v>10.198399999999999</v>
      </c>
      <c r="G12" s="310">
        <f t="shared" si="0"/>
        <v>0</v>
      </c>
      <c r="J12" s="319" t="str">
        <f>PE_aug!AP12</f>
        <v>Referenzmessung BS</v>
      </c>
    </row>
    <row r="13" spans="1:11">
      <c r="A13" s="152" t="s">
        <v>48</v>
      </c>
      <c r="C13" s="63"/>
      <c r="D13" s="51"/>
      <c r="E13" s="117">
        <v>8.5540000000000003</v>
      </c>
      <c r="F13">
        <v>0.5</v>
      </c>
      <c r="G13" s="310">
        <f t="shared" si="0"/>
        <v>0</v>
      </c>
      <c r="J13" s="319" t="str">
        <f>PE_aug!AP13</f>
        <v>KWS, Methode</v>
      </c>
    </row>
    <row r="14" spans="1:11">
      <c r="A14" s="152" t="s">
        <v>50</v>
      </c>
      <c r="E14" s="115">
        <v>7.1116999999999999</v>
      </c>
      <c r="F14">
        <v>0.5</v>
      </c>
      <c r="G14" s="310">
        <f t="shared" si="0"/>
        <v>0</v>
      </c>
      <c r="J14" s="319" t="str">
        <f>PE_aug!AP14</f>
        <v>KWS, Methode</v>
      </c>
    </row>
    <row r="15" spans="1:11">
      <c r="A15" s="152" t="s">
        <v>51</v>
      </c>
      <c r="E15" s="115">
        <v>7.8148999999999997</v>
      </c>
      <c r="F15">
        <v>0.5</v>
      </c>
      <c r="G15" s="310">
        <f t="shared" si="0"/>
        <v>0</v>
      </c>
      <c r="J15" s="319" t="str">
        <f>PE_aug!AP15</f>
        <v>KWS, Methode</v>
      </c>
    </row>
    <row r="16" spans="1:11">
      <c r="A16" s="153" t="s">
        <v>554</v>
      </c>
      <c r="C16" s="63"/>
      <c r="D16" s="51"/>
      <c r="E16" s="117">
        <v>5.2794999999999996</v>
      </c>
      <c r="F16">
        <v>0.5</v>
      </c>
      <c r="G16" s="310">
        <f t="shared" si="0"/>
        <v>0</v>
      </c>
      <c r="J16" s="319" t="str">
        <f>PE_aug!AP16</f>
        <v>Referenzmessung BS</v>
      </c>
    </row>
    <row r="17" spans="1:10">
      <c r="A17" s="153" t="s">
        <v>555</v>
      </c>
      <c r="E17" s="115">
        <v>4.8700999999999999</v>
      </c>
      <c r="F17">
        <v>0.5</v>
      </c>
      <c r="G17" s="310">
        <f t="shared" si="0"/>
        <v>0</v>
      </c>
      <c r="J17" s="319" t="str">
        <f>PE_aug!AP17</f>
        <v>Referenzmessung BS</v>
      </c>
    </row>
    <row r="18" spans="1:10">
      <c r="A18" s="153" t="s">
        <v>556</v>
      </c>
      <c r="C18" s="10"/>
      <c r="D18" s="85"/>
      <c r="E18" s="118">
        <v>9.1433999999999997</v>
      </c>
      <c r="F18">
        <v>0.5</v>
      </c>
      <c r="G18" s="310">
        <f t="shared" si="0"/>
        <v>0</v>
      </c>
      <c r="J18" s="319" t="str">
        <f>PE_aug!AP18</f>
        <v>Referenzmessung BS</v>
      </c>
    </row>
    <row r="19" spans="1:10">
      <c r="A19" s="153" t="s">
        <v>55</v>
      </c>
      <c r="C19" s="63"/>
      <c r="D19" s="51"/>
      <c r="E19" s="117">
        <v>8.1303000000000001</v>
      </c>
      <c r="F19">
        <v>0.5</v>
      </c>
      <c r="G19" s="310">
        <f t="shared" si="0"/>
        <v>0</v>
      </c>
      <c r="J19" s="319" t="str">
        <f>PE_aug!AP19</f>
        <v>Massenbilanz KWS</v>
      </c>
    </row>
    <row r="20" spans="1:10">
      <c r="A20" s="153" t="s">
        <v>56</v>
      </c>
      <c r="E20" s="115">
        <v>7.2693000000000003</v>
      </c>
      <c r="G20" s="310">
        <f t="shared" si="0"/>
        <v>0</v>
      </c>
      <c r="J20" s="319" t="str">
        <f>PE_aug!AP20</f>
        <v>Massenbilanz KWS</v>
      </c>
    </row>
    <row r="21" spans="1:10">
      <c r="A21" s="153" t="s">
        <v>57</v>
      </c>
      <c r="C21" s="10"/>
      <c r="D21" s="85"/>
      <c r="E21" s="118">
        <v>9.1760999999999999</v>
      </c>
      <c r="F21">
        <v>0.5</v>
      </c>
      <c r="G21" s="310">
        <f t="shared" si="0"/>
        <v>0</v>
      </c>
      <c r="J21" s="319" t="str">
        <f>PE_aug!AP21</f>
        <v>Massenbilanz KWS</v>
      </c>
    </row>
    <row r="22" spans="1:10">
      <c r="A22" s="153" t="s">
        <v>58</v>
      </c>
      <c r="C22" s="63"/>
      <c r="D22" s="51"/>
      <c r="E22" s="117">
        <v>2.7290999999999999</v>
      </c>
      <c r="G22" s="310">
        <f t="shared" si="0"/>
        <v>0</v>
      </c>
      <c r="J22" s="319" t="str">
        <f>PE_aug!AP22</f>
        <v>Massenbilanz KWS</v>
      </c>
    </row>
    <row r="23" spans="1:10">
      <c r="A23" s="153" t="s">
        <v>59</v>
      </c>
      <c r="E23" s="115">
        <v>3.5952000000000002</v>
      </c>
      <c r="G23" s="310">
        <f t="shared" si="0"/>
        <v>0</v>
      </c>
      <c r="J23" s="319" t="str">
        <f>PE_aug!AP23</f>
        <v>Massenbilanz KWS</v>
      </c>
    </row>
    <row r="24" spans="1:10">
      <c r="A24" s="153" t="s">
        <v>60</v>
      </c>
      <c r="C24" s="10"/>
      <c r="D24" s="85"/>
      <c r="E24" s="118">
        <v>9.2985000000000007</v>
      </c>
      <c r="G24" s="310">
        <f t="shared" si="0"/>
        <v>0</v>
      </c>
      <c r="J24" s="319" t="str">
        <f>PE_aug!AP24</f>
        <v>Massenbilanz KWS</v>
      </c>
    </row>
    <row r="25" spans="1:10">
      <c r="A25" s="153" t="s">
        <v>61</v>
      </c>
      <c r="E25" s="115">
        <v>2.0716999999999999</v>
      </c>
      <c r="G25" s="310">
        <f t="shared" si="0"/>
        <v>0</v>
      </c>
      <c r="J25" s="319" t="str">
        <f>PE_aug!AP25</f>
        <v>Referenzmessung BS</v>
      </c>
    </row>
    <row r="26" spans="1:10">
      <c r="A26" s="153" t="s">
        <v>62</v>
      </c>
      <c r="E26" s="115">
        <v>0.66539999999999999</v>
      </c>
      <c r="G26" s="310">
        <f t="shared" si="0"/>
        <v>0</v>
      </c>
      <c r="J26" s="319" t="str">
        <f>PE_aug!AP26</f>
        <v>Referenzmessung BS</v>
      </c>
    </row>
    <row r="27" spans="1:10">
      <c r="A27" s="153" t="s">
        <v>63</v>
      </c>
      <c r="E27" s="115">
        <v>211.9</v>
      </c>
      <c r="G27" s="310">
        <f t="shared" si="0"/>
        <v>0</v>
      </c>
      <c r="J27" s="319" t="str">
        <f>PE_aug!AP27</f>
        <v>Methode</v>
      </c>
    </row>
    <row r="28" spans="1:10">
      <c r="A28" s="153" t="s">
        <v>65</v>
      </c>
      <c r="E28" s="115">
        <v>47.3</v>
      </c>
      <c r="G28" s="310">
        <f t="shared" si="0"/>
        <v>0</v>
      </c>
      <c r="J28" s="319" t="str">
        <f>PE_aug!AP28</f>
        <v>Methode</v>
      </c>
    </row>
    <row r="29" spans="1:10">
      <c r="A29" s="155" t="s">
        <v>66</v>
      </c>
      <c r="C29" s="63"/>
      <c r="D29" s="51"/>
      <c r="E29" s="117">
        <v>2.4357000000000002</v>
      </c>
      <c r="G29" s="310">
        <f t="shared" si="0"/>
        <v>0</v>
      </c>
      <c r="J29" s="319" t="str">
        <f>PE_aug!AP29</f>
        <v>Methodenvergleich</v>
      </c>
    </row>
    <row r="30" spans="1:10">
      <c r="A30" s="155" t="s">
        <v>68</v>
      </c>
      <c r="E30" s="115">
        <v>4.8849</v>
      </c>
      <c r="G30" s="310">
        <f t="shared" si="0"/>
        <v>0</v>
      </c>
      <c r="J30" s="319" t="str">
        <f>PE_aug!AP30</f>
        <v>Methode</v>
      </c>
    </row>
    <row r="31" spans="1:10">
      <c r="A31" s="155" t="s">
        <v>69</v>
      </c>
      <c r="E31" s="115"/>
      <c r="G31" s="310">
        <f t="shared" si="0"/>
        <v>0</v>
      </c>
      <c r="J31" s="319" t="str">
        <f>PE_aug!AP31</f>
        <v>KWS, neue Schlammbehandlung</v>
      </c>
    </row>
    <row r="32" spans="1:10">
      <c r="A32" s="155" t="s">
        <v>71</v>
      </c>
      <c r="E32" s="115">
        <v>8.4742072000000004</v>
      </c>
      <c r="F32">
        <v>0.5</v>
      </c>
      <c r="G32" s="310">
        <f t="shared" si="0"/>
        <v>0</v>
      </c>
      <c r="J32" s="319" t="str">
        <f>PE_aug!AP32</f>
        <v>Methode</v>
      </c>
    </row>
    <row r="33" spans="1:10">
      <c r="A33" s="155" t="s">
        <v>72</v>
      </c>
      <c r="E33" s="115">
        <v>9.5027999999999988</v>
      </c>
      <c r="G33" s="310">
        <f t="shared" si="0"/>
        <v>0</v>
      </c>
      <c r="J33" s="319" t="str">
        <f>PE_aug!AP33</f>
        <v>Methode</v>
      </c>
    </row>
    <row r="34" spans="1:10">
      <c r="A34" s="155" t="s">
        <v>73</v>
      </c>
      <c r="E34" s="115">
        <v>6.3264996</v>
      </c>
      <c r="G34" s="310">
        <f t="shared" si="0"/>
        <v>0</v>
      </c>
      <c r="J34" s="319" t="str">
        <f>PE_aug!AP34</f>
        <v>Methode</v>
      </c>
    </row>
    <row r="35" spans="1:10">
      <c r="A35" s="155" t="s">
        <v>74</v>
      </c>
      <c r="E35" s="115">
        <v>20.927900000000001</v>
      </c>
      <c r="F35">
        <v>0.5</v>
      </c>
      <c r="G35" s="310">
        <f t="shared" si="0"/>
        <v>0</v>
      </c>
      <c r="J35" s="319" t="str">
        <f>PE_aug!AP35</f>
        <v>GWI Algen</v>
      </c>
    </row>
    <row r="36" spans="1:10">
      <c r="A36" s="155" t="s">
        <v>76</v>
      </c>
      <c r="E36" s="115">
        <v>5.5827999999999998</v>
      </c>
      <c r="G36" s="310">
        <f t="shared" si="0"/>
        <v>0</v>
      </c>
      <c r="J36" s="319" t="str">
        <f>PE_aug!AP36</f>
        <v>KWS, neue Schlammbehandlung</v>
      </c>
    </row>
    <row r="37" spans="1:10">
      <c r="A37" s="155" t="s">
        <v>77</v>
      </c>
      <c r="E37" s="115">
        <v>9.077</v>
      </c>
      <c r="G37" s="310">
        <f t="shared" si="0"/>
        <v>0</v>
      </c>
      <c r="J37" s="319" t="str">
        <f>PE_aug!AP37</f>
        <v>KWS, neue Schlammbehandlung</v>
      </c>
    </row>
    <row r="38" spans="1:10">
      <c r="A38" s="155" t="s">
        <v>78</v>
      </c>
      <c r="E38" s="115">
        <v>4.5395000000000003</v>
      </c>
      <c r="G38" s="310">
        <f t="shared" si="0"/>
        <v>0</v>
      </c>
      <c r="J38" s="319" t="str">
        <f>PE_aug!AP38</f>
        <v>KWS, neue Schlammbehandlung</v>
      </c>
    </row>
    <row r="39" spans="1:10">
      <c r="A39" s="155" t="s">
        <v>79</v>
      </c>
      <c r="E39" s="115">
        <v>11.981299999999999</v>
      </c>
      <c r="G39" s="310">
        <f t="shared" si="0"/>
        <v>0</v>
      </c>
      <c r="J39" s="319" t="str">
        <f>PE_aug!AP39</f>
        <v>KWS, neue Schlammbehandlung</v>
      </c>
    </row>
    <row r="40" spans="1:10">
      <c r="A40" s="155" t="s">
        <v>80</v>
      </c>
      <c r="E40" s="115">
        <v>22.0534</v>
      </c>
      <c r="G40" s="310">
        <f t="shared" si="0"/>
        <v>0</v>
      </c>
      <c r="J40" s="319" t="str">
        <f>PE_aug!AP40</f>
        <v>KWS, neue Schlammbehandlung</v>
      </c>
    </row>
    <row r="41" spans="1:10">
      <c r="A41" s="155" t="s">
        <v>81</v>
      </c>
      <c r="E41" s="115">
        <v>14.983700000000001</v>
      </c>
      <c r="G41" s="310">
        <f t="shared" si="0"/>
        <v>0</v>
      </c>
      <c r="J41" s="319" t="str">
        <f>PE_aug!AP41</f>
        <v>KWS, neue Schlammbehandlung</v>
      </c>
    </row>
    <row r="42" spans="1:10">
      <c r="A42" s="155" t="s">
        <v>82</v>
      </c>
      <c r="E42" s="115">
        <v>2.3340000000000001</v>
      </c>
      <c r="G42" s="310">
        <f t="shared" si="0"/>
        <v>0</v>
      </c>
      <c r="J42" s="319" t="str">
        <f>PE_aug!AP42</f>
        <v>Methodenvergleich</v>
      </c>
    </row>
    <row r="43" spans="1:10">
      <c r="A43" s="155" t="s">
        <v>83</v>
      </c>
      <c r="E43" s="115">
        <v>5.1288999999999998</v>
      </c>
      <c r="F43">
        <v>0.5</v>
      </c>
      <c r="G43" s="310">
        <f t="shared" si="0"/>
        <v>0</v>
      </c>
      <c r="J43" s="319" t="str">
        <f>PE_aug!AP43</f>
        <v>Methodenvergleich</v>
      </c>
    </row>
    <row r="44" spans="1:10">
      <c r="A44" s="155" t="s">
        <v>84</v>
      </c>
      <c r="E44" s="115">
        <v>2.7223000000000002</v>
      </c>
      <c r="G44" s="310">
        <f t="shared" si="0"/>
        <v>0</v>
      </c>
      <c r="J44" s="319" t="str">
        <f>PE_aug!AP44</f>
        <v>Methodenvergleich</v>
      </c>
    </row>
    <row r="45" spans="1:10">
      <c r="A45" s="155" t="s">
        <v>85</v>
      </c>
      <c r="E45" s="115">
        <v>2.6141000000000001</v>
      </c>
      <c r="G45" s="310">
        <f t="shared" si="0"/>
        <v>0</v>
      </c>
      <c r="J45" s="319" t="str">
        <f>PE_aug!AP45</f>
        <v>Methodenvergleich</v>
      </c>
    </row>
    <row r="46" spans="1:10">
      <c r="A46" s="155" t="s">
        <v>86</v>
      </c>
      <c r="E46" s="115">
        <v>3.3165</v>
      </c>
      <c r="G46" s="310">
        <f t="shared" si="0"/>
        <v>0</v>
      </c>
      <c r="J46" s="319" t="str">
        <f>PE_aug!AP46</f>
        <v>Methodenvergleich</v>
      </c>
    </row>
    <row r="47" spans="1:10">
      <c r="A47" s="155" t="s">
        <v>87</v>
      </c>
      <c r="E47" s="115">
        <v>2.6827000000000001</v>
      </c>
      <c r="G47" s="310">
        <f t="shared" si="0"/>
        <v>0</v>
      </c>
      <c r="J47" s="319" t="str">
        <f>PE_aug!AP47</f>
        <v>Methodenvergleich</v>
      </c>
    </row>
    <row r="48" spans="1:10">
      <c r="A48" s="155" t="s">
        <v>88</v>
      </c>
      <c r="E48" s="115">
        <v>4.9345999999999997</v>
      </c>
      <c r="G48" s="310">
        <f t="shared" si="0"/>
        <v>0</v>
      </c>
      <c r="J48" s="319" t="str">
        <f>PE_aug!AP48</f>
        <v>Methodenvergleich</v>
      </c>
    </row>
    <row r="49" spans="1:10">
      <c r="A49" s="155" t="s">
        <v>89</v>
      </c>
      <c r="E49" s="115">
        <v>5.2786</v>
      </c>
      <c r="G49" s="310">
        <f t="shared" si="0"/>
        <v>0</v>
      </c>
      <c r="J49" s="319" t="str">
        <f>PE_aug!AP49</f>
        <v>Methodenvergleich</v>
      </c>
    </row>
    <row r="50" spans="1:10">
      <c r="A50" s="156" t="s">
        <v>90</v>
      </c>
      <c r="B50">
        <v>233.65</v>
      </c>
      <c r="C50" s="63"/>
      <c r="D50" s="51"/>
      <c r="E50" s="117">
        <v>6.4586099999999994E-2</v>
      </c>
      <c r="F50">
        <v>0.4</v>
      </c>
      <c r="G50" s="310">
        <f t="shared" si="0"/>
        <v>3617.6514760916052</v>
      </c>
      <c r="I50" s="203">
        <f>B50/(E50*1000)</f>
        <v>3.6176514760916056</v>
      </c>
      <c r="J50" s="319" t="str">
        <f>PE_aug!AP50</f>
        <v>Methode</v>
      </c>
    </row>
    <row r="51" spans="1:10">
      <c r="A51" s="156" t="s">
        <v>91</v>
      </c>
      <c r="E51" s="115">
        <v>9.7091999999999992</v>
      </c>
      <c r="G51" s="310">
        <f t="shared" si="0"/>
        <v>0</v>
      </c>
      <c r="J51" s="319" t="str">
        <f>PE_aug!AP51</f>
        <v>Referenzmessung BS</v>
      </c>
    </row>
    <row r="52" spans="1:10">
      <c r="A52" s="156" t="s">
        <v>92</v>
      </c>
      <c r="E52" s="115">
        <v>13.1975</v>
      </c>
      <c r="F52">
        <v>0.5</v>
      </c>
      <c r="G52" s="310">
        <f t="shared" si="0"/>
        <v>0</v>
      </c>
      <c r="J52" s="319" t="str">
        <f>PE_aug!AP52</f>
        <v>Referenzmessung BS</v>
      </c>
    </row>
    <row r="53" spans="1:10">
      <c r="A53" s="156" t="s">
        <v>93</v>
      </c>
      <c r="E53" s="115">
        <v>13.651300000000001</v>
      </c>
      <c r="F53">
        <v>0.5</v>
      </c>
      <c r="G53" s="310">
        <f t="shared" si="0"/>
        <v>0</v>
      </c>
      <c r="J53" s="319" t="str">
        <f>PE_aug!AP53</f>
        <v>Referenzmessung BS</v>
      </c>
    </row>
    <row r="54" spans="1:10">
      <c r="A54" s="156" t="s">
        <v>94</v>
      </c>
      <c r="E54" s="115">
        <v>12.703900000000001</v>
      </c>
      <c r="F54">
        <v>0.5</v>
      </c>
      <c r="G54" s="310">
        <f t="shared" si="0"/>
        <v>0</v>
      </c>
      <c r="J54" s="319" t="str">
        <f>PE_aug!AP54</f>
        <v>Referenzmessung BS</v>
      </c>
    </row>
    <row r="55" spans="1:10">
      <c r="A55" s="156" t="s">
        <v>95</v>
      </c>
      <c r="E55" s="115">
        <v>7.2664999999999997</v>
      </c>
      <c r="G55" s="310">
        <f t="shared" si="0"/>
        <v>0</v>
      </c>
      <c r="J55" s="319" t="str">
        <f>PE_aug!AP55</f>
        <v>Referenzmessung BS</v>
      </c>
    </row>
    <row r="56" spans="1:10">
      <c r="A56" s="156" t="s">
        <v>96</v>
      </c>
      <c r="E56" s="115">
        <v>10.364800000000001</v>
      </c>
      <c r="G56" s="310">
        <f t="shared" si="0"/>
        <v>0</v>
      </c>
      <c r="J56" s="319" t="str">
        <f>PE_aug!AP56</f>
        <v>Referenzmessung BS</v>
      </c>
    </row>
    <row r="57" spans="1:10">
      <c r="A57" s="156" t="s">
        <v>97</v>
      </c>
      <c r="E57" s="115">
        <v>10.887700000000001</v>
      </c>
      <c r="F57">
        <v>0.5</v>
      </c>
      <c r="G57" s="310">
        <f t="shared" si="0"/>
        <v>0</v>
      </c>
      <c r="J57" s="319" t="str">
        <f>PE_aug!AP57</f>
        <v>Referenzmessung BS</v>
      </c>
    </row>
    <row r="58" spans="1:10">
      <c r="A58" s="156" t="s">
        <v>98</v>
      </c>
      <c r="E58" s="115">
        <v>8.7660999999999998</v>
      </c>
      <c r="F58">
        <v>0.5</v>
      </c>
      <c r="G58" s="310">
        <f t="shared" si="0"/>
        <v>0</v>
      </c>
      <c r="J58" s="319" t="str">
        <f>PE_aug!AP58</f>
        <v>Referenzmessung BS</v>
      </c>
    </row>
    <row r="59" spans="1:10">
      <c r="A59" s="156" t="s">
        <v>99</v>
      </c>
      <c r="E59" s="115">
        <v>11.4666</v>
      </c>
      <c r="F59">
        <v>0.5</v>
      </c>
      <c r="G59" s="310">
        <f t="shared" si="0"/>
        <v>0</v>
      </c>
      <c r="J59" s="319" t="str">
        <f>PE_aug!AP59</f>
        <v>Referenzmessung BS</v>
      </c>
    </row>
    <row r="60" spans="1:10">
      <c r="A60" s="156" t="s">
        <v>100</v>
      </c>
      <c r="E60" s="115">
        <v>8.7931000000000008</v>
      </c>
      <c r="G60" s="310">
        <f t="shared" si="0"/>
        <v>0</v>
      </c>
      <c r="J60" s="319" t="str">
        <f>PE_aug!AP60</f>
        <v>Referenzmessung BS</v>
      </c>
    </row>
    <row r="61" spans="1:10">
      <c r="A61" s="156" t="s">
        <v>101</v>
      </c>
      <c r="E61" s="115">
        <v>7.7481</v>
      </c>
      <c r="G61" s="310">
        <f t="shared" si="0"/>
        <v>0</v>
      </c>
      <c r="J61" s="319" t="str">
        <f>PE_aug!AP61</f>
        <v>Referenzmessung BS</v>
      </c>
    </row>
    <row r="62" spans="1:10">
      <c r="A62" s="156" t="s">
        <v>102</v>
      </c>
      <c r="E62" s="115">
        <v>9.3953000000000007</v>
      </c>
      <c r="G62" s="310">
        <f t="shared" si="0"/>
        <v>0</v>
      </c>
      <c r="J62" s="319" t="str">
        <f>PE_aug!AP62</f>
        <v>Referenzmessung BS</v>
      </c>
    </row>
    <row r="63" spans="1:10">
      <c r="A63" s="156" t="s">
        <v>103</v>
      </c>
      <c r="E63" s="115">
        <v>10.911199999999999</v>
      </c>
      <c r="F63">
        <v>0.5</v>
      </c>
      <c r="G63" s="310">
        <f t="shared" si="0"/>
        <v>0</v>
      </c>
      <c r="J63" s="319" t="str">
        <f>PE_aug!AP63</f>
        <v>Referenzmessung BS</v>
      </c>
    </row>
    <row r="64" spans="1:10">
      <c r="A64" s="156" t="s">
        <v>104</v>
      </c>
      <c r="E64" s="115">
        <v>9.3252000000000006</v>
      </c>
      <c r="F64">
        <v>0.5</v>
      </c>
      <c r="G64" s="310">
        <f t="shared" si="0"/>
        <v>0</v>
      </c>
      <c r="J64" s="319" t="str">
        <f>PE_aug!AP64</f>
        <v>Referenzmessung BS</v>
      </c>
    </row>
    <row r="65" spans="1:10">
      <c r="A65" s="156" t="s">
        <v>105</v>
      </c>
      <c r="E65" s="115">
        <v>10.133599999999999</v>
      </c>
      <c r="F65">
        <v>0.5</v>
      </c>
      <c r="G65" s="310">
        <f t="shared" si="0"/>
        <v>0</v>
      </c>
      <c r="J65" s="319" t="str">
        <f>PE_aug!AP65</f>
        <v>Referenzmessung BS</v>
      </c>
    </row>
    <row r="66" spans="1:10">
      <c r="A66" s="156" t="s">
        <v>106</v>
      </c>
      <c r="E66" s="115">
        <v>5.3752000000000004</v>
      </c>
      <c r="G66" s="310">
        <f t="shared" ref="G66:G129" si="1">IFERROR(B66/E66,0)</f>
        <v>0</v>
      </c>
      <c r="J66" s="319" t="str">
        <f>PE_aug!AP66</f>
        <v>Massenbilanz KWS, Methode</v>
      </c>
    </row>
    <row r="67" spans="1:10">
      <c r="A67" s="156" t="s">
        <v>108</v>
      </c>
      <c r="E67" s="115">
        <v>3.4369000000000001</v>
      </c>
      <c r="G67" s="310">
        <f t="shared" si="1"/>
        <v>0</v>
      </c>
      <c r="J67" s="319" t="str">
        <f>PE_aug!AP67</f>
        <v>Massenbilanz KWS, Methode</v>
      </c>
    </row>
    <row r="68" spans="1:10">
      <c r="A68" s="157" t="s">
        <v>109</v>
      </c>
      <c r="C68" s="105">
        <v>0.72500766269002093</v>
      </c>
      <c r="D68" s="227">
        <v>2.3223591542813038</v>
      </c>
      <c r="E68">
        <v>24.244299999999999</v>
      </c>
      <c r="G68" s="310">
        <f t="shared" si="1"/>
        <v>0</v>
      </c>
      <c r="J68" s="319" t="str">
        <f>PE_aug!AP68</f>
        <v>Mischwasserüberlauf</v>
      </c>
    </row>
    <row r="69" spans="1:10">
      <c r="A69" s="157" t="s">
        <v>111</v>
      </c>
      <c r="B69">
        <v>9.7200000000000006</v>
      </c>
      <c r="C69" s="105">
        <v>1.1387065290790079</v>
      </c>
      <c r="D69" s="227">
        <v>2.3223591542813038</v>
      </c>
      <c r="E69">
        <v>21.4099</v>
      </c>
      <c r="F69">
        <v>0.7</v>
      </c>
      <c r="G69" s="310">
        <f t="shared" si="1"/>
        <v>0.45399558148333252</v>
      </c>
      <c r="J69" s="319" t="str">
        <f>PE_aug!AP69</f>
        <v>Mischwasserüberlauf</v>
      </c>
    </row>
    <row r="70" spans="1:10">
      <c r="A70" s="157" t="s">
        <v>112</v>
      </c>
      <c r="B70">
        <v>8.5</v>
      </c>
      <c r="C70" s="105">
        <v>0.41413423453421311</v>
      </c>
      <c r="D70" s="227">
        <v>2.3223591542813038</v>
      </c>
      <c r="E70">
        <v>19.963000000000001</v>
      </c>
      <c r="F70">
        <v>0.5</v>
      </c>
      <c r="G70" s="310">
        <f t="shared" si="1"/>
        <v>0.42578770725842807</v>
      </c>
      <c r="J70" s="319" t="str">
        <f>PE_aug!AP70</f>
        <v>Mischwasserüberlauf</v>
      </c>
    </row>
    <row r="71" spans="1:10">
      <c r="A71" s="157" t="s">
        <v>113</v>
      </c>
      <c r="B71">
        <v>11.77</v>
      </c>
      <c r="C71" s="105">
        <v>0.62561317936058813</v>
      </c>
      <c r="D71" s="227">
        <v>0.28260061430444122</v>
      </c>
      <c r="E71">
        <v>22.075199999999999</v>
      </c>
      <c r="F71">
        <v>0.9</v>
      </c>
      <c r="G71" s="310">
        <f t="shared" si="1"/>
        <v>0.53317750235558459</v>
      </c>
      <c r="J71" s="319" t="str">
        <f>PE_aug!AP71</f>
        <v>Mischwasserüberlauf</v>
      </c>
    </row>
    <row r="72" spans="1:10">
      <c r="A72" s="157" t="s">
        <v>114</v>
      </c>
      <c r="B72">
        <v>11.14</v>
      </c>
      <c r="C72" s="105">
        <v>0.52425544744513741</v>
      </c>
      <c r="D72" s="227">
        <v>0.28260061430444122</v>
      </c>
      <c r="E72">
        <v>19.199200000000001</v>
      </c>
      <c r="F72">
        <v>0.5</v>
      </c>
      <c r="G72" s="310">
        <f t="shared" si="1"/>
        <v>0.58023250968790363</v>
      </c>
      <c r="J72" s="319" t="str">
        <f>PE_aug!AP72</f>
        <v>Mischwasserüberlauf</v>
      </c>
    </row>
    <row r="73" spans="1:10">
      <c r="A73" s="157" t="s">
        <v>115</v>
      </c>
      <c r="B73">
        <v>11.76</v>
      </c>
      <c r="C73" s="105">
        <v>1.138537379406299</v>
      </c>
      <c r="D73" s="227">
        <v>0.28260061430444122</v>
      </c>
      <c r="E73">
        <v>32.165999999999997</v>
      </c>
      <c r="F73">
        <v>0.6</v>
      </c>
      <c r="G73" s="310">
        <f t="shared" si="1"/>
        <v>0.36560343219548597</v>
      </c>
      <c r="J73" s="319" t="str">
        <f>PE_aug!AP73</f>
        <v>Mischwasserüberlauf</v>
      </c>
    </row>
    <row r="74" spans="1:10">
      <c r="A74" s="157" t="s">
        <v>116</v>
      </c>
      <c r="B74">
        <v>35.15</v>
      </c>
      <c r="C74" s="105"/>
      <c r="D74" s="227"/>
      <c r="E74">
        <v>0.48601299999999997</v>
      </c>
      <c r="F74">
        <v>0.7</v>
      </c>
      <c r="G74" s="310">
        <f t="shared" si="1"/>
        <v>72.323168310312681</v>
      </c>
      <c r="H74" s="65">
        <f>0.0114*1000</f>
        <v>11.4</v>
      </c>
      <c r="I74" s="309">
        <f>100*B74/H74</f>
        <v>308.33333333333331</v>
      </c>
      <c r="J74" s="319" t="str">
        <f>PE_aug!AP74</f>
        <v>Methode</v>
      </c>
    </row>
    <row r="75" spans="1:10">
      <c r="A75" s="157" t="s">
        <v>117</v>
      </c>
      <c r="C75" s="105"/>
      <c r="D75" s="227"/>
      <c r="E75">
        <v>31.152699999999999</v>
      </c>
      <c r="G75" s="310">
        <f t="shared" si="1"/>
        <v>0</v>
      </c>
      <c r="I75" s="309"/>
      <c r="J75" s="319" t="str">
        <f>PE_aug!AP75</f>
        <v>KWS, Methode</v>
      </c>
    </row>
    <row r="76" spans="1:10">
      <c r="A76" s="157" t="s">
        <v>118</v>
      </c>
      <c r="C76" s="105">
        <v>0.92741006348580879</v>
      </c>
      <c r="D76" s="227">
        <v>0.93563404694108665</v>
      </c>
      <c r="E76">
        <v>10.7529</v>
      </c>
      <c r="G76" s="310">
        <f t="shared" si="1"/>
        <v>0</v>
      </c>
      <c r="I76" s="309"/>
      <c r="J76" s="319" t="str">
        <f>PE_aug!AP76</f>
        <v>KWS, neue Schlammbehandlung</v>
      </c>
    </row>
    <row r="77" spans="1:10">
      <c r="A77" s="157" t="s">
        <v>119</v>
      </c>
      <c r="C77" s="105">
        <v>0.6165271278721236</v>
      </c>
      <c r="D77" s="227">
        <v>0.93563404694108665</v>
      </c>
      <c r="E77">
        <v>24.845700000000001</v>
      </c>
      <c r="G77" s="310">
        <f t="shared" si="1"/>
        <v>0</v>
      </c>
      <c r="I77" s="309"/>
      <c r="J77" s="319" t="str">
        <f>PE_aug!AP77</f>
        <v>KWS, neue Schlammbehandlung</v>
      </c>
    </row>
    <row r="78" spans="1:10">
      <c r="A78" s="157" t="s">
        <v>120</v>
      </c>
      <c r="C78" s="105">
        <v>0.69209679096893473</v>
      </c>
      <c r="D78" s="227">
        <v>0.93563404694108665</v>
      </c>
      <c r="E78">
        <v>8.3593499999999992</v>
      </c>
      <c r="G78" s="310">
        <f t="shared" si="1"/>
        <v>0</v>
      </c>
      <c r="I78" s="309"/>
      <c r="J78" s="319" t="str">
        <f>PE_aug!AP78</f>
        <v>KWS, neue Schlammbehandlung</v>
      </c>
    </row>
    <row r="79" spans="1:10">
      <c r="A79" s="157" t="s">
        <v>121</v>
      </c>
      <c r="C79" s="105"/>
      <c r="D79" s="227"/>
      <c r="E79">
        <v>22.5444</v>
      </c>
      <c r="G79" s="310">
        <f t="shared" si="1"/>
        <v>0</v>
      </c>
      <c r="I79" s="309"/>
      <c r="J79" s="319" t="str">
        <f>PE_aug!AP79</f>
        <v>KWS, neue Schlammbehandlung</v>
      </c>
    </row>
    <row r="80" spans="1:10">
      <c r="A80" s="157" t="s">
        <v>122</v>
      </c>
      <c r="C80" s="105">
        <v>0.59884540222007288</v>
      </c>
      <c r="D80" s="227">
        <v>0.72751809830295933</v>
      </c>
      <c r="E80">
        <v>4.5157999999999996</v>
      </c>
      <c r="F80">
        <v>0.5</v>
      </c>
      <c r="G80" s="310">
        <f t="shared" si="1"/>
        <v>0</v>
      </c>
      <c r="I80" s="309"/>
      <c r="J80" s="319" t="str">
        <f>PE_aug!AP80</f>
        <v>Flussproben</v>
      </c>
    </row>
    <row r="81" spans="1:10">
      <c r="A81" s="157" t="s">
        <v>124</v>
      </c>
      <c r="C81" s="105">
        <v>0.61625653571817318</v>
      </c>
      <c r="D81" s="227">
        <v>0.72751809830295933</v>
      </c>
      <c r="E81">
        <v>10.894500000000001</v>
      </c>
      <c r="F81">
        <v>0.5</v>
      </c>
      <c r="G81" s="310">
        <f t="shared" si="1"/>
        <v>0</v>
      </c>
      <c r="I81" s="309"/>
      <c r="J81" s="319" t="str">
        <f>PE_aug!AP81</f>
        <v>Flussproben</v>
      </c>
    </row>
    <row r="82" spans="1:10">
      <c r="A82" s="157" t="s">
        <v>125</v>
      </c>
      <c r="C82" s="105">
        <v>0.57667479250297526</v>
      </c>
      <c r="D82" s="227">
        <v>0.72751809830295933</v>
      </c>
      <c r="E82">
        <v>10.5124</v>
      </c>
      <c r="F82">
        <v>0.5</v>
      </c>
      <c r="G82" s="310">
        <f t="shared" si="1"/>
        <v>0</v>
      </c>
      <c r="I82" s="309"/>
      <c r="J82" s="319" t="str">
        <f>PE_aug!AP82</f>
        <v>Flussproben</v>
      </c>
    </row>
    <row r="83" spans="1:10">
      <c r="A83" s="157" t="s">
        <v>126</v>
      </c>
      <c r="C83" s="105">
        <v>1.3019092601025839</v>
      </c>
      <c r="D83" s="227">
        <v>0.72751809830295933</v>
      </c>
      <c r="E83">
        <v>7.32599</v>
      </c>
      <c r="F83">
        <v>0.25</v>
      </c>
      <c r="G83" s="310">
        <f t="shared" si="1"/>
        <v>0</v>
      </c>
      <c r="I83" s="309"/>
      <c r="J83" s="319" t="str">
        <f>PE_aug!AP83</f>
        <v>Flussproben, Methode</v>
      </c>
    </row>
    <row r="84" spans="1:10">
      <c r="A84" s="157" t="s">
        <v>128</v>
      </c>
      <c r="B84">
        <v>8.93</v>
      </c>
      <c r="C84" s="105">
        <v>0.58906099485757879</v>
      </c>
      <c r="D84" s="227">
        <v>0.99528059171618266</v>
      </c>
      <c r="E84">
        <v>13.3148</v>
      </c>
      <c r="F84">
        <v>0.5</v>
      </c>
      <c r="G84" s="310">
        <f t="shared" si="1"/>
        <v>0.67068224832517198</v>
      </c>
      <c r="I84" s="309"/>
      <c r="J84" s="319" t="str">
        <f>PE_aug!AP84</f>
        <v>Flussproben</v>
      </c>
    </row>
    <row r="85" spans="1:10">
      <c r="A85" s="157" t="s">
        <v>129</v>
      </c>
      <c r="B85">
        <v>8.93</v>
      </c>
      <c r="C85" s="105">
        <v>0.51486739662881298</v>
      </c>
      <c r="D85" s="227">
        <v>0.99528059171618266</v>
      </c>
      <c r="E85">
        <v>11.510199999999999</v>
      </c>
      <c r="F85">
        <v>0.5</v>
      </c>
      <c r="G85" s="310">
        <f t="shared" si="1"/>
        <v>0.77583360845163418</v>
      </c>
      <c r="I85" s="309"/>
      <c r="J85" s="319" t="str">
        <f>PE_aug!AP85</f>
        <v>Flussproben</v>
      </c>
    </row>
    <row r="86" spans="1:10">
      <c r="A86" s="157" t="s">
        <v>130</v>
      </c>
      <c r="B86">
        <v>9.18</v>
      </c>
      <c r="C86" s="105">
        <v>0.43495871571275968</v>
      </c>
      <c r="D86" s="227">
        <v>0.99528059171618266</v>
      </c>
      <c r="E86">
        <v>13.69835</v>
      </c>
      <c r="F86">
        <v>0.4</v>
      </c>
      <c r="G86" s="310">
        <f t="shared" si="1"/>
        <v>0.67015370464325996</v>
      </c>
      <c r="I86" s="309"/>
      <c r="J86" s="319" t="str">
        <f>PE_aug!AP86</f>
        <v>Flussproben</v>
      </c>
    </row>
    <row r="87" spans="1:10">
      <c r="A87" s="157" t="s">
        <v>131</v>
      </c>
      <c r="B87">
        <v>8.25</v>
      </c>
      <c r="C87" s="105">
        <v>1.463439595231159</v>
      </c>
      <c r="D87" s="227">
        <v>0.99528059171618266</v>
      </c>
      <c r="E87">
        <v>4.7008900000000002</v>
      </c>
      <c r="F87">
        <v>0.5</v>
      </c>
      <c r="G87" s="310">
        <f t="shared" si="1"/>
        <v>1.754986821644412</v>
      </c>
      <c r="I87" s="309"/>
      <c r="J87" s="319" t="str">
        <f>PE_aug!AP87</f>
        <v>Flussproben, Methode</v>
      </c>
    </row>
    <row r="88" spans="1:10">
      <c r="A88" s="157" t="s">
        <v>557</v>
      </c>
      <c r="B88">
        <v>8.56</v>
      </c>
      <c r="C88" s="105">
        <v>0.44252277258406802</v>
      </c>
      <c r="D88" s="227">
        <v>0.56732019691233859</v>
      </c>
      <c r="E88">
        <v>7.9326249999999998</v>
      </c>
      <c r="F88">
        <v>0.5</v>
      </c>
      <c r="G88" s="310">
        <f t="shared" si="1"/>
        <v>1.0790879437764926</v>
      </c>
      <c r="I88" s="309"/>
      <c r="J88" s="319" t="str">
        <f>PE_aug!AP88</f>
        <v>Mischwasserüberlauf</v>
      </c>
    </row>
    <row r="89" spans="1:10">
      <c r="A89" s="157" t="s">
        <v>558</v>
      </c>
      <c r="B89">
        <v>8.1199999999999992</v>
      </c>
      <c r="C89" s="105">
        <v>0.70058927453223541</v>
      </c>
      <c r="D89" s="227">
        <v>0.56732019691233859</v>
      </c>
      <c r="E89">
        <v>5.5930400000000002</v>
      </c>
      <c r="F89">
        <v>0.5</v>
      </c>
      <c r="G89" s="310">
        <f t="shared" si="1"/>
        <v>1.4518043854504883</v>
      </c>
      <c r="I89" s="309"/>
      <c r="J89" s="319" t="str">
        <f>PE_aug!AP89</f>
        <v>Mischwasserüberlauf</v>
      </c>
    </row>
    <row r="90" spans="1:10">
      <c r="A90" s="157" t="s">
        <v>559</v>
      </c>
      <c r="C90" s="105">
        <v>1.1131218618954</v>
      </c>
      <c r="D90" s="227">
        <v>0.56732019691233859</v>
      </c>
      <c r="E90">
        <v>4.9848800000000004</v>
      </c>
      <c r="F90">
        <v>0.5</v>
      </c>
      <c r="G90" s="310">
        <f t="shared" si="1"/>
        <v>0</v>
      </c>
      <c r="I90" s="309"/>
      <c r="J90" s="319" t="str">
        <f>PE_aug!AP90</f>
        <v>Mischwasserüberlauf</v>
      </c>
    </row>
    <row r="91" spans="1:10">
      <c r="A91" s="157" t="s">
        <v>135</v>
      </c>
      <c r="C91" s="105">
        <v>0.95520554433141691</v>
      </c>
      <c r="D91" s="227">
        <v>0.15301122576532269</v>
      </c>
      <c r="E91">
        <v>9.8550500000000003</v>
      </c>
      <c r="G91" s="310">
        <f t="shared" si="1"/>
        <v>0</v>
      </c>
      <c r="I91" s="309"/>
      <c r="J91" s="319" t="str">
        <f>PE_aug!AP91</f>
        <v>KWS, neue Schlammbehandlung</v>
      </c>
    </row>
    <row r="92" spans="1:10">
      <c r="A92" s="157" t="s">
        <v>136</v>
      </c>
      <c r="C92" s="105">
        <v>8.1601885331415172E-2</v>
      </c>
      <c r="D92" s="227">
        <v>0.15301122576532269</v>
      </c>
      <c r="E92">
        <v>8.9800300000000011</v>
      </c>
      <c r="G92" s="310">
        <f t="shared" si="1"/>
        <v>0</v>
      </c>
      <c r="I92" s="309"/>
      <c r="J92" s="319" t="str">
        <f>PE_aug!AP92</f>
        <v>KWS, neue Schlammbehandlung</v>
      </c>
    </row>
    <row r="93" spans="1:10">
      <c r="A93" s="157" t="s">
        <v>137</v>
      </c>
      <c r="C93" s="105">
        <v>1.0305923510445369</v>
      </c>
      <c r="D93" s="227">
        <v>0.15301122576532269</v>
      </c>
      <c r="E93">
        <v>8.0890199999999997</v>
      </c>
      <c r="G93" s="310">
        <f t="shared" si="1"/>
        <v>0</v>
      </c>
      <c r="I93" s="309"/>
      <c r="J93" s="319" t="str">
        <f>PE_aug!AP93</f>
        <v>KWS, neue Schlammbehandlung</v>
      </c>
    </row>
    <row r="94" spans="1:10">
      <c r="A94" s="157" t="s">
        <v>138</v>
      </c>
      <c r="C94" s="105"/>
      <c r="D94" s="227"/>
      <c r="E94">
        <v>1.39551</v>
      </c>
      <c r="G94" s="310">
        <f t="shared" si="1"/>
        <v>0</v>
      </c>
      <c r="I94" s="309"/>
      <c r="J94" s="319" t="str">
        <f>PE_aug!AP94</f>
        <v>Methode</v>
      </c>
    </row>
    <row r="95" spans="1:10">
      <c r="A95" s="158" t="s">
        <v>139</v>
      </c>
      <c r="E95">
        <v>3.2955000000000001</v>
      </c>
      <c r="G95" s="310">
        <f t="shared" si="1"/>
        <v>0</v>
      </c>
      <c r="I95" s="309"/>
      <c r="J95" s="319" t="str">
        <f>PE_aug!AP95</f>
        <v>Methode</v>
      </c>
    </row>
    <row r="96" spans="1:10">
      <c r="A96" s="158" t="s">
        <v>140</v>
      </c>
      <c r="C96" s="306">
        <v>0.70699999999999996</v>
      </c>
      <c r="D96">
        <v>1.143</v>
      </c>
      <c r="E96">
        <v>5.1746699999999999</v>
      </c>
      <c r="G96" s="310">
        <f t="shared" si="1"/>
        <v>0</v>
      </c>
      <c r="I96" s="309"/>
      <c r="J96" s="319" t="str">
        <f>PE_aug!AP96</f>
        <v>Algen</v>
      </c>
    </row>
    <row r="97" spans="1:10">
      <c r="A97" s="158" t="s">
        <v>142</v>
      </c>
      <c r="C97" s="306">
        <v>0.70699999999999996</v>
      </c>
      <c r="D97">
        <v>1.143</v>
      </c>
      <c r="E97">
        <v>8.3862100000000002</v>
      </c>
      <c r="G97" s="310">
        <f t="shared" si="1"/>
        <v>0</v>
      </c>
      <c r="I97" s="309"/>
      <c r="J97" s="319" t="str">
        <f>PE_aug!AP97</f>
        <v>Algen</v>
      </c>
    </row>
    <row r="98" spans="1:10">
      <c r="A98" s="158" t="s">
        <v>143</v>
      </c>
      <c r="C98" s="306">
        <v>0.70699999999999996</v>
      </c>
      <c r="D98">
        <v>0.104</v>
      </c>
      <c r="E98">
        <v>19.356549999999999</v>
      </c>
      <c r="G98" s="310">
        <f t="shared" si="1"/>
        <v>0</v>
      </c>
      <c r="I98" s="309"/>
      <c r="J98" s="319" t="str">
        <f>PE_aug!AP98</f>
        <v>Algen</v>
      </c>
    </row>
    <row r="99" spans="1:10">
      <c r="A99" s="158" t="s">
        <v>144</v>
      </c>
      <c r="C99" s="306">
        <v>0.70699999999999996</v>
      </c>
      <c r="D99">
        <v>0.104</v>
      </c>
      <c r="E99">
        <v>14.0021</v>
      </c>
      <c r="F99">
        <v>0.5</v>
      </c>
      <c r="G99" s="310">
        <f t="shared" si="1"/>
        <v>0</v>
      </c>
      <c r="I99" s="309"/>
      <c r="J99" s="319" t="str">
        <f>PE_aug!AP99</f>
        <v>Algen</v>
      </c>
    </row>
    <row r="100" spans="1:10">
      <c r="A100" s="158" t="s">
        <v>145</v>
      </c>
      <c r="E100">
        <v>3.68384</v>
      </c>
      <c r="G100" s="310">
        <f t="shared" si="1"/>
        <v>0</v>
      </c>
      <c r="I100" s="309"/>
      <c r="J100" s="319" t="str">
        <f>PE_aug!AP100</f>
        <v>KWS</v>
      </c>
    </row>
    <row r="101" spans="1:10">
      <c r="A101" s="158" t="s">
        <v>147</v>
      </c>
      <c r="C101" s="306">
        <v>0.70699999999999996</v>
      </c>
      <c r="D101">
        <v>4.2000000000000003E-2</v>
      </c>
      <c r="E101">
        <v>4.4491899999999998</v>
      </c>
      <c r="G101" s="310">
        <f t="shared" si="1"/>
        <v>0</v>
      </c>
      <c r="I101" s="309"/>
      <c r="J101" s="319" t="str">
        <f>PE_aug!AP101</f>
        <v>KWS</v>
      </c>
    </row>
    <row r="102" spans="1:10">
      <c r="A102" s="158" t="s">
        <v>148</v>
      </c>
      <c r="C102" s="306">
        <v>0.70699999999999996</v>
      </c>
      <c r="D102">
        <v>4.2000000000000003E-2</v>
      </c>
      <c r="E102">
        <v>4.2668999999999997</v>
      </c>
      <c r="G102" s="310">
        <f t="shared" si="1"/>
        <v>0</v>
      </c>
      <c r="I102" s="309"/>
      <c r="J102" s="319" t="str">
        <f>PE_aug!AP102</f>
        <v>KWS</v>
      </c>
    </row>
    <row r="103" spans="1:10">
      <c r="A103" s="158" t="s">
        <v>149</v>
      </c>
      <c r="C103" s="306">
        <v>0.70699999999999996</v>
      </c>
      <c r="D103">
        <v>0.16900000000000001</v>
      </c>
      <c r="E103">
        <v>8.0275499999999997</v>
      </c>
      <c r="G103" s="310">
        <f t="shared" si="1"/>
        <v>0</v>
      </c>
      <c r="I103" s="309"/>
      <c r="J103" s="319" t="str">
        <f>PE_aug!AP103</f>
        <v>Münchehofe</v>
      </c>
    </row>
    <row r="104" spans="1:10">
      <c r="A104" s="158" t="s">
        <v>151</v>
      </c>
      <c r="C104" s="306">
        <v>0.70699999999999996</v>
      </c>
      <c r="D104">
        <v>0.16900000000000001</v>
      </c>
      <c r="E104">
        <v>5.2789650000000004</v>
      </c>
      <c r="G104" s="310">
        <f t="shared" si="1"/>
        <v>0</v>
      </c>
      <c r="I104" s="309"/>
      <c r="J104" s="319" t="str">
        <f>PE_aug!AP104</f>
        <v>Münchehofe</v>
      </c>
    </row>
    <row r="105" spans="1:10">
      <c r="A105" s="158" t="s">
        <v>152</v>
      </c>
      <c r="C105" s="306">
        <v>0.42299999999999999</v>
      </c>
      <c r="D105">
        <v>1.327</v>
      </c>
      <c r="E105">
        <v>8.4861800000000009</v>
      </c>
      <c r="G105" s="310">
        <f t="shared" si="1"/>
        <v>0</v>
      </c>
      <c r="I105" s="309"/>
      <c r="J105" s="319" t="str">
        <f>PE_aug!AP105</f>
        <v>Flussproben Spree</v>
      </c>
    </row>
    <row r="106" spans="1:10">
      <c r="A106" s="158" t="s">
        <v>154</v>
      </c>
      <c r="C106" s="306">
        <v>0.71199999999999997</v>
      </c>
      <c r="D106">
        <v>1.327</v>
      </c>
      <c r="E106">
        <v>10.4887</v>
      </c>
      <c r="G106" s="310">
        <f t="shared" si="1"/>
        <v>0</v>
      </c>
      <c r="I106" s="309"/>
      <c r="J106" s="319" t="str">
        <f>PE_aug!AP106</f>
        <v>Flussproben Spree</v>
      </c>
    </row>
    <row r="107" spans="1:10">
      <c r="A107" s="158" t="s">
        <v>155</v>
      </c>
      <c r="C107" s="306">
        <v>1.1220000000000001</v>
      </c>
      <c r="D107">
        <v>1.327</v>
      </c>
      <c r="E107">
        <v>5.2791800000000002</v>
      </c>
      <c r="G107" s="310">
        <f t="shared" si="1"/>
        <v>0</v>
      </c>
      <c r="I107" s="309"/>
      <c r="J107" s="319" t="str">
        <f>PE_aug!AP107</f>
        <v>Methode</v>
      </c>
    </row>
    <row r="108" spans="1:10">
      <c r="A108" s="158" t="s">
        <v>156</v>
      </c>
      <c r="C108" s="306">
        <v>0.70699999999999996</v>
      </c>
      <c r="D108">
        <v>6.7000000000000004E-2</v>
      </c>
      <c r="E108">
        <v>12.811</v>
      </c>
      <c r="G108" s="310">
        <f t="shared" si="1"/>
        <v>0</v>
      </c>
      <c r="I108" s="309"/>
      <c r="J108" s="319" t="str">
        <f>PE_aug!AP108</f>
        <v>Flussproben Spree</v>
      </c>
    </row>
    <row r="109" spans="1:10">
      <c r="A109" s="158" t="s">
        <v>157</v>
      </c>
      <c r="C109" s="306">
        <v>0.70699999999999996</v>
      </c>
      <c r="D109">
        <v>6.7000000000000004E-2</v>
      </c>
      <c r="E109">
        <v>9.2412299999999998</v>
      </c>
      <c r="F109">
        <v>0.5</v>
      </c>
      <c r="G109" s="310">
        <f t="shared" si="1"/>
        <v>0</v>
      </c>
      <c r="I109" s="309"/>
      <c r="J109" s="319" t="str">
        <f>PE_aug!AP109</f>
        <v>Flussproben Spree</v>
      </c>
    </row>
    <row r="110" spans="1:10">
      <c r="A110" s="159" t="s">
        <v>158</v>
      </c>
      <c r="C110" s="306">
        <v>1.0109999999999999</v>
      </c>
      <c r="D110">
        <v>0.113</v>
      </c>
      <c r="E110">
        <v>9.0289600000000014</v>
      </c>
      <c r="G110" s="310">
        <f t="shared" si="1"/>
        <v>0</v>
      </c>
      <c r="I110" s="309"/>
      <c r="J110" s="319" t="str">
        <f>PE_aug!AP110</f>
        <v>Kläranlage</v>
      </c>
    </row>
    <row r="111" spans="1:10">
      <c r="A111" s="159" t="s">
        <v>159</v>
      </c>
      <c r="C111" s="306">
        <v>0.60199999999999998</v>
      </c>
      <c r="D111">
        <v>0.113</v>
      </c>
      <c r="E111">
        <v>9.4451499999999999</v>
      </c>
      <c r="G111" s="310">
        <f t="shared" si="1"/>
        <v>0</v>
      </c>
      <c r="I111" s="309"/>
      <c r="J111" s="319" t="str">
        <f>PE_aug!AP111</f>
        <v>Kläranlage</v>
      </c>
    </row>
    <row r="112" spans="1:10">
      <c r="A112" s="159" t="s">
        <v>160</v>
      </c>
      <c r="C112" s="306">
        <v>0.63600000000000001</v>
      </c>
      <c r="D112">
        <v>0.113</v>
      </c>
      <c r="E112">
        <v>8.1411800000000003</v>
      </c>
      <c r="G112" s="310">
        <f t="shared" si="1"/>
        <v>0</v>
      </c>
      <c r="I112" s="309"/>
      <c r="J112" s="319" t="str">
        <f>PE_aug!AP112</f>
        <v>Kläranlage</v>
      </c>
    </row>
    <row r="113" spans="1:10">
      <c r="A113" s="159" t="s">
        <v>161</v>
      </c>
      <c r="C113" s="306">
        <v>0.60099999999999998</v>
      </c>
      <c r="D113">
        <v>0.121</v>
      </c>
      <c r="E113">
        <v>7.5561999999999996</v>
      </c>
      <c r="G113" s="310">
        <f t="shared" si="1"/>
        <v>0</v>
      </c>
      <c r="I113" s="309"/>
      <c r="J113" s="319" t="str">
        <f>PE_aug!AP113</f>
        <v>Kläranlage</v>
      </c>
    </row>
    <row r="114" spans="1:10">
      <c r="A114" s="159" t="s">
        <v>162</v>
      </c>
      <c r="C114" s="306">
        <v>0.873</v>
      </c>
      <c r="D114">
        <v>0.121</v>
      </c>
      <c r="E114">
        <v>4.8253199999999996</v>
      </c>
      <c r="G114" s="310">
        <f t="shared" si="1"/>
        <v>0</v>
      </c>
      <c r="I114" s="309"/>
      <c r="J114" s="319" t="str">
        <f>PE_aug!AP114</f>
        <v>Kläranlage</v>
      </c>
    </row>
    <row r="115" spans="1:10">
      <c r="A115" s="159" t="s">
        <v>163</v>
      </c>
      <c r="C115" s="306">
        <v>0.76100000000000001</v>
      </c>
      <c r="D115">
        <v>0.121</v>
      </c>
      <c r="E115">
        <v>6.5425250000000004</v>
      </c>
      <c r="G115" s="310">
        <f t="shared" si="1"/>
        <v>0</v>
      </c>
      <c r="I115" s="309"/>
      <c r="J115" s="319" t="str">
        <f>PE_aug!AP115</f>
        <v>Kläranlage</v>
      </c>
    </row>
    <row r="116" spans="1:10">
      <c r="A116" s="159" t="s">
        <v>164</v>
      </c>
      <c r="C116" s="306">
        <v>0.93300000000000005</v>
      </c>
      <c r="D116">
        <v>0.16900000000000001</v>
      </c>
      <c r="E116">
        <v>10.150700000000001</v>
      </c>
      <c r="G116" s="310">
        <f t="shared" si="1"/>
        <v>0</v>
      </c>
      <c r="I116" s="309"/>
      <c r="J116" s="319" t="str">
        <f>PE_aug!AP116</f>
        <v>Kläranlage</v>
      </c>
    </row>
    <row r="117" spans="1:10">
      <c r="A117" s="159" t="s">
        <v>165</v>
      </c>
      <c r="C117" s="306">
        <v>0.48299999999999998</v>
      </c>
      <c r="D117">
        <v>0.16900000000000001</v>
      </c>
      <c r="E117">
        <v>8.5572100000000013</v>
      </c>
      <c r="G117" s="310">
        <f t="shared" si="1"/>
        <v>0</v>
      </c>
      <c r="I117" s="309"/>
      <c r="J117" s="319" t="str">
        <f>PE_aug!AP117</f>
        <v>Kläranlage</v>
      </c>
    </row>
    <row r="118" spans="1:10">
      <c r="A118" s="159" t="s">
        <v>166</v>
      </c>
      <c r="C118" s="306">
        <v>0.752</v>
      </c>
      <c r="D118">
        <v>0.16900000000000001</v>
      </c>
      <c r="E118">
        <v>10.0943</v>
      </c>
      <c r="G118" s="310">
        <f t="shared" si="1"/>
        <v>0</v>
      </c>
      <c r="I118" s="309"/>
      <c r="J118" s="319" t="str">
        <f>PE_aug!AP118</f>
        <v>Kläranlage</v>
      </c>
    </row>
    <row r="119" spans="1:10">
      <c r="A119" s="159" t="s">
        <v>167</v>
      </c>
      <c r="C119" s="306">
        <v>0.70699999999999996</v>
      </c>
      <c r="D119">
        <v>8.1000000000000003E-2</v>
      </c>
      <c r="E119">
        <v>11.9978</v>
      </c>
      <c r="F119">
        <v>0.5</v>
      </c>
      <c r="G119" s="310">
        <f t="shared" si="1"/>
        <v>0</v>
      </c>
      <c r="I119" s="309"/>
      <c r="J119" s="319" t="str">
        <f>PE_aug!AP119</f>
        <v>Flussproben</v>
      </c>
    </row>
    <row r="120" spans="1:10">
      <c r="A120" s="159" t="s">
        <v>168</v>
      </c>
      <c r="C120" s="306">
        <v>0.70699999999999996</v>
      </c>
      <c r="D120">
        <v>8.1000000000000003E-2</v>
      </c>
      <c r="E120">
        <v>18.2178</v>
      </c>
      <c r="F120">
        <v>0.5</v>
      </c>
      <c r="G120" s="310">
        <f t="shared" si="1"/>
        <v>0</v>
      </c>
      <c r="I120" s="309"/>
      <c r="J120" s="319" t="str">
        <f>PE_aug!AP120</f>
        <v>Flussproben</v>
      </c>
    </row>
    <row r="121" spans="1:10">
      <c r="A121" s="159" t="s">
        <v>169</v>
      </c>
      <c r="E121">
        <v>14.882400000000001</v>
      </c>
      <c r="F121">
        <v>0.5</v>
      </c>
      <c r="G121" s="310">
        <f t="shared" si="1"/>
        <v>0</v>
      </c>
      <c r="I121" s="309"/>
      <c r="J121" s="319" t="str">
        <f>PE_aug!AP121</f>
        <v>Flussproben, Methode</v>
      </c>
    </row>
    <row r="122" spans="1:10">
      <c r="A122" s="159" t="s">
        <v>170</v>
      </c>
      <c r="B122">
        <v>72.77</v>
      </c>
      <c r="E122">
        <v>11.2957</v>
      </c>
      <c r="F122">
        <v>0.6</v>
      </c>
      <c r="G122" s="310">
        <f t="shared" si="1"/>
        <v>6.4422744938339367</v>
      </c>
      <c r="H122">
        <f>1000*0.2566</f>
        <v>256.60000000000002</v>
      </c>
      <c r="I122" s="309">
        <f>100*B122/H122</f>
        <v>28.359314107560404</v>
      </c>
      <c r="J122" s="319" t="str">
        <f>PE_aug!AP122</f>
        <v>Flussproben, Methode</v>
      </c>
    </row>
    <row r="123" spans="1:10">
      <c r="A123" s="159" t="s">
        <v>171</v>
      </c>
      <c r="E123">
        <v>8.4538799999999998</v>
      </c>
      <c r="F123">
        <v>0.5</v>
      </c>
      <c r="G123" s="310">
        <f t="shared" si="1"/>
        <v>0</v>
      </c>
      <c r="J123" s="319" t="str">
        <f>PE_aug!AP123</f>
        <v>Flussproben, Methode</v>
      </c>
    </row>
    <row r="124" spans="1:10">
      <c r="A124" s="159" t="s">
        <v>172</v>
      </c>
      <c r="E124">
        <v>13.7104</v>
      </c>
      <c r="F124">
        <v>0.5</v>
      </c>
      <c r="G124" s="310">
        <f t="shared" si="1"/>
        <v>0</v>
      </c>
      <c r="J124" s="319" t="str">
        <f>PE_aug!AP124</f>
        <v>Flussproben, Methode</v>
      </c>
    </row>
    <row r="125" spans="1:10">
      <c r="A125" s="159" t="s">
        <v>173</v>
      </c>
      <c r="C125" s="306">
        <v>1.0009999999999999</v>
      </c>
      <c r="D125">
        <v>0.155</v>
      </c>
      <c r="E125">
        <v>10.5603</v>
      </c>
      <c r="G125" s="310">
        <f t="shared" si="1"/>
        <v>0</v>
      </c>
      <c r="J125" s="319" t="str">
        <f>PE_aug!AP125</f>
        <v>Flussproben</v>
      </c>
    </row>
    <row r="126" spans="1:10">
      <c r="A126" s="159" t="s">
        <v>174</v>
      </c>
      <c r="C126" s="306">
        <v>0.25800000000000001</v>
      </c>
      <c r="D126">
        <v>0.155</v>
      </c>
      <c r="E126">
        <v>11.7896</v>
      </c>
      <c r="G126" s="310">
        <f t="shared" si="1"/>
        <v>0</v>
      </c>
      <c r="J126" s="319" t="str">
        <f>PE_aug!AP126</f>
        <v>Flussproben</v>
      </c>
    </row>
    <row r="127" spans="1:10">
      <c r="A127" s="159" t="s">
        <v>175</v>
      </c>
      <c r="C127" s="306">
        <v>0.93400000000000005</v>
      </c>
      <c r="D127">
        <v>0.155</v>
      </c>
      <c r="E127">
        <v>12.7499</v>
      </c>
      <c r="G127" s="310">
        <f t="shared" si="1"/>
        <v>0</v>
      </c>
      <c r="J127" s="319" t="str">
        <f>PE_aug!AP127</f>
        <v>Flussproben</v>
      </c>
    </row>
    <row r="128" spans="1:10">
      <c r="A128" s="159" t="s">
        <v>176</v>
      </c>
      <c r="C128" s="306">
        <v>0.64800000000000002</v>
      </c>
      <c r="D128">
        <v>0.41199999999999998</v>
      </c>
      <c r="E128">
        <v>8.2120499999999996</v>
      </c>
      <c r="G128" s="310">
        <f t="shared" si="1"/>
        <v>0</v>
      </c>
      <c r="J128" s="319" t="str">
        <f>PE_aug!AP128</f>
        <v>Mischwasserüberlauf</v>
      </c>
    </row>
    <row r="129" spans="1:10">
      <c r="A129" s="159" t="s">
        <v>177</v>
      </c>
      <c r="C129" s="306">
        <v>0.73</v>
      </c>
      <c r="D129">
        <v>0.41199999999999998</v>
      </c>
      <c r="E129">
        <v>11.8268</v>
      </c>
      <c r="G129" s="310">
        <f t="shared" si="1"/>
        <v>0</v>
      </c>
      <c r="J129" s="319" t="str">
        <f>PE_aug!AP129</f>
        <v>Mischwasserüberlauf</v>
      </c>
    </row>
    <row r="130" spans="1:10">
      <c r="A130" s="159" t="s">
        <v>178</v>
      </c>
      <c r="C130" s="306">
        <v>0.83599999999999997</v>
      </c>
      <c r="D130">
        <v>0.41199999999999998</v>
      </c>
      <c r="E130">
        <v>6.7368800000000002</v>
      </c>
      <c r="G130" s="310">
        <f t="shared" ref="G130:G193" si="2">IFERROR(B130/E130,0)</f>
        <v>0</v>
      </c>
      <c r="J130" s="319" t="str">
        <f>PE_aug!AP130</f>
        <v>Mischwasserüberlauf</v>
      </c>
    </row>
    <row r="131" spans="1:10">
      <c r="A131" s="159" t="s">
        <v>179</v>
      </c>
      <c r="C131" s="306">
        <v>0.31900000000000001</v>
      </c>
      <c r="D131">
        <v>6.6000000000000003E-2</v>
      </c>
      <c r="E131">
        <v>9.8973499999999994</v>
      </c>
      <c r="G131" s="310">
        <f t="shared" si="2"/>
        <v>0</v>
      </c>
      <c r="J131" s="319" t="str">
        <f>PE_aug!AP131</f>
        <v>Mischwasserüberlauf</v>
      </c>
    </row>
    <row r="132" spans="1:10">
      <c r="A132" s="159" t="s">
        <v>180</v>
      </c>
      <c r="C132" s="306">
        <v>0.98799999999999999</v>
      </c>
      <c r="D132">
        <v>6.6000000000000003E-2</v>
      </c>
      <c r="E132">
        <v>7.9930649999999996</v>
      </c>
      <c r="G132" s="310">
        <f t="shared" si="2"/>
        <v>0</v>
      </c>
      <c r="J132" s="319" t="str">
        <f>PE_aug!AP132</f>
        <v>Mischwasserüberlauf</v>
      </c>
    </row>
    <row r="133" spans="1:10">
      <c r="A133" s="159" t="s">
        <v>181</v>
      </c>
      <c r="C133" s="306">
        <v>0.86799999999999999</v>
      </c>
      <c r="D133">
        <v>6.6000000000000003E-2</v>
      </c>
      <c r="E133">
        <v>12.607849999999999</v>
      </c>
      <c r="G133" s="310">
        <f t="shared" si="2"/>
        <v>0</v>
      </c>
      <c r="J133" s="319" t="str">
        <f>PE_aug!AP133</f>
        <v>Mischwasserüberlauf</v>
      </c>
    </row>
    <row r="134" spans="1:10">
      <c r="A134" s="159" t="s">
        <v>182</v>
      </c>
      <c r="C134" s="306">
        <v>0.75</v>
      </c>
      <c r="D134">
        <v>5.2999999999999999E-2</v>
      </c>
      <c r="E134">
        <v>13.6172</v>
      </c>
      <c r="G134" s="310">
        <f t="shared" si="2"/>
        <v>0</v>
      </c>
      <c r="J134" s="319" t="str">
        <f>PE_aug!AP134</f>
        <v>Mischwasserüberlauf</v>
      </c>
    </row>
    <row r="135" spans="1:10">
      <c r="A135" s="159" t="s">
        <v>183</v>
      </c>
      <c r="C135" s="306">
        <v>0.89700000000000002</v>
      </c>
      <c r="D135">
        <v>5.2999999999999999E-2</v>
      </c>
      <c r="E135">
        <v>7.6774300000000002</v>
      </c>
      <c r="G135" s="310">
        <f t="shared" si="2"/>
        <v>0</v>
      </c>
      <c r="J135" s="319" t="str">
        <f>PE_aug!AP135</f>
        <v>Mischwasserüberlauf</v>
      </c>
    </row>
    <row r="136" spans="1:10">
      <c r="A136" s="159" t="s">
        <v>184</v>
      </c>
      <c r="C136" s="306">
        <v>0.59099999999999997</v>
      </c>
      <c r="D136">
        <v>5.2999999999999999E-2</v>
      </c>
      <c r="E136">
        <v>12.9139</v>
      </c>
      <c r="G136" s="310">
        <f t="shared" si="2"/>
        <v>0</v>
      </c>
      <c r="J136" s="319" t="str">
        <f>PE_aug!AP136</f>
        <v>Mischwasserüberlauf</v>
      </c>
    </row>
    <row r="137" spans="1:10">
      <c r="A137" s="159" t="s">
        <v>185</v>
      </c>
      <c r="G137" s="310">
        <f t="shared" si="2"/>
        <v>0</v>
      </c>
      <c r="J137" s="319" t="str">
        <f>PE_aug!AP137</f>
        <v>Sickerwasser</v>
      </c>
    </row>
    <row r="138" spans="1:10">
      <c r="A138" s="159" t="s">
        <v>187</v>
      </c>
      <c r="G138" s="310">
        <f t="shared" si="2"/>
        <v>0</v>
      </c>
      <c r="J138" s="319" t="str">
        <f>PE_aug!AP138</f>
        <v>Sickerwasser</v>
      </c>
    </row>
    <row r="139" spans="1:10">
      <c r="A139" s="159" t="s">
        <v>188</v>
      </c>
      <c r="G139" s="310">
        <f t="shared" si="2"/>
        <v>0</v>
      </c>
      <c r="J139" s="319" t="str">
        <f>PE_aug!AP139</f>
        <v>Sickerwasser</v>
      </c>
    </row>
    <row r="140" spans="1:10">
      <c r="A140" s="159" t="s">
        <v>189</v>
      </c>
      <c r="G140" s="310">
        <f t="shared" si="2"/>
        <v>0</v>
      </c>
      <c r="J140" s="319" t="str">
        <f>PE_aug!AP140</f>
        <v>Sickerwasser</v>
      </c>
    </row>
    <row r="141" spans="1:10">
      <c r="A141" s="159" t="s">
        <v>190</v>
      </c>
      <c r="E141">
        <v>0.61838899999999997</v>
      </c>
      <c r="G141" s="310">
        <f t="shared" si="2"/>
        <v>0</v>
      </c>
      <c r="J141" s="319" t="str">
        <f>PE_aug!AP141</f>
        <v>Bodenretentionsfilter</v>
      </c>
    </row>
    <row r="142" spans="1:10">
      <c r="A142" s="159" t="s">
        <v>192</v>
      </c>
      <c r="E142">
        <v>0.122319</v>
      </c>
      <c r="G142" s="310">
        <f t="shared" si="2"/>
        <v>0</v>
      </c>
      <c r="J142" s="319" t="str">
        <f>PE_aug!AP142</f>
        <v>Bodenretentionsfilter</v>
      </c>
    </row>
    <row r="143" spans="1:10">
      <c r="A143" s="160" t="s">
        <v>193</v>
      </c>
      <c r="C143" s="306">
        <v>1.093</v>
      </c>
      <c r="D143">
        <v>0.10100000000000001</v>
      </c>
      <c r="E143">
        <v>5.5792199999999994</v>
      </c>
      <c r="G143" s="310">
        <f t="shared" si="2"/>
        <v>0</v>
      </c>
      <c r="J143" s="319" t="str">
        <f>PE_aug!AP143</f>
        <v>Kläranlage</v>
      </c>
    </row>
    <row r="144" spans="1:10">
      <c r="A144" s="160" t="s">
        <v>194</v>
      </c>
      <c r="C144" s="306">
        <v>0.40500000000000003</v>
      </c>
      <c r="D144">
        <v>0.10100000000000001</v>
      </c>
      <c r="E144">
        <v>9.1932700000000001</v>
      </c>
      <c r="G144" s="310">
        <f t="shared" si="2"/>
        <v>0</v>
      </c>
      <c r="J144" s="319" t="str">
        <f>PE_aug!AP144</f>
        <v>Kläranlage</v>
      </c>
    </row>
    <row r="145" spans="1:10">
      <c r="A145" s="160" t="s">
        <v>195</v>
      </c>
      <c r="C145" s="306">
        <v>0.74</v>
      </c>
      <c r="D145">
        <v>0.10100000000000001</v>
      </c>
      <c r="E145">
        <v>9.9659200000000006</v>
      </c>
      <c r="G145" s="310">
        <f t="shared" si="2"/>
        <v>0</v>
      </c>
      <c r="J145" s="319" t="str">
        <f>PE_aug!AP145</f>
        <v>Kläranlage</v>
      </c>
    </row>
    <row r="146" spans="1:10">
      <c r="A146" s="160" t="s">
        <v>196</v>
      </c>
      <c r="C146" s="306">
        <v>0.41599999999999998</v>
      </c>
      <c r="D146">
        <v>0.19</v>
      </c>
      <c r="E146">
        <v>7.4657300000000006</v>
      </c>
      <c r="G146" s="310">
        <f t="shared" si="2"/>
        <v>0</v>
      </c>
      <c r="J146" s="319" t="str">
        <f>PE_aug!AP146</f>
        <v>KWS</v>
      </c>
    </row>
    <row r="147" spans="1:10">
      <c r="A147" s="160" t="s">
        <v>197</v>
      </c>
      <c r="C147" s="306">
        <v>1.0229999999999999</v>
      </c>
      <c r="D147">
        <v>0.19</v>
      </c>
      <c r="E147">
        <v>6.9106949999999996</v>
      </c>
      <c r="G147" s="310">
        <f t="shared" si="2"/>
        <v>0</v>
      </c>
      <c r="J147" s="319" t="str">
        <f>PE_aug!AP147</f>
        <v>KWS</v>
      </c>
    </row>
    <row r="148" spans="1:10">
      <c r="A148" s="160" t="s">
        <v>198</v>
      </c>
      <c r="C148" s="306">
        <v>0.80500000000000005</v>
      </c>
      <c r="D148">
        <v>0.19</v>
      </c>
      <c r="E148">
        <v>6.5458299999999996</v>
      </c>
      <c r="G148" s="310">
        <f t="shared" si="2"/>
        <v>0</v>
      </c>
      <c r="J148" s="319" t="str">
        <f>PE_aug!AP148</f>
        <v>KWS</v>
      </c>
    </row>
    <row r="149" spans="1:10">
      <c r="A149" s="160" t="s">
        <v>199</v>
      </c>
      <c r="C149" s="306">
        <v>0.79200000000000004</v>
      </c>
      <c r="D149">
        <v>8.5999999999999993E-2</v>
      </c>
      <c r="E149">
        <v>11.9077</v>
      </c>
      <c r="G149" s="310">
        <f t="shared" si="2"/>
        <v>0</v>
      </c>
      <c r="J149" s="319" t="str">
        <f>PE_aug!AP149</f>
        <v>KWS</v>
      </c>
    </row>
    <row r="150" spans="1:10">
      <c r="A150" s="160" t="s">
        <v>200</v>
      </c>
      <c r="C150" s="306">
        <v>0.34799999999999998</v>
      </c>
      <c r="D150">
        <v>8.5999999999999993E-2</v>
      </c>
      <c r="E150">
        <v>8.1406600000000005</v>
      </c>
      <c r="G150" s="310">
        <f t="shared" si="2"/>
        <v>0</v>
      </c>
      <c r="J150" s="319" t="str">
        <f>PE_aug!AP150</f>
        <v>KWS</v>
      </c>
    </row>
    <row r="151" spans="1:10">
      <c r="A151" s="160" t="s">
        <v>201</v>
      </c>
      <c r="C151" s="306">
        <v>1.0620000000000001</v>
      </c>
      <c r="D151">
        <v>8.5999999999999993E-2</v>
      </c>
      <c r="E151">
        <v>9.8009899999999988</v>
      </c>
      <c r="G151" s="310">
        <f t="shared" si="2"/>
        <v>0</v>
      </c>
      <c r="J151" s="319" t="str">
        <f>PE_aug!AP151</f>
        <v>KWS</v>
      </c>
    </row>
    <row r="152" spans="1:10">
      <c r="A152" s="160" t="s">
        <v>202</v>
      </c>
      <c r="C152" s="306">
        <v>0.191</v>
      </c>
      <c r="D152">
        <v>0.17599999999999999</v>
      </c>
      <c r="E152">
        <v>8.4228899999999989</v>
      </c>
      <c r="G152" s="310">
        <f t="shared" si="2"/>
        <v>0</v>
      </c>
      <c r="J152" s="319" t="str">
        <f>PE_aug!AP152</f>
        <v>KWS, Schlamm</v>
      </c>
    </row>
    <row r="153" spans="1:10">
      <c r="A153" s="160" t="s">
        <v>204</v>
      </c>
      <c r="C153" s="306">
        <v>0.95699999999999996</v>
      </c>
      <c r="D153">
        <v>0.17599999999999999</v>
      </c>
      <c r="E153">
        <v>5.5259049999999998</v>
      </c>
      <c r="G153" s="310">
        <f t="shared" si="2"/>
        <v>0</v>
      </c>
      <c r="J153" s="319" t="str">
        <f>PE_aug!AP153</f>
        <v>KWS, Schlamm</v>
      </c>
    </row>
    <row r="154" spans="1:10">
      <c r="A154" s="160" t="s">
        <v>205</v>
      </c>
      <c r="C154" s="306">
        <v>0.97</v>
      </c>
      <c r="D154">
        <v>0.17599999999999999</v>
      </c>
      <c r="E154">
        <v>12.773300000000001</v>
      </c>
      <c r="G154" s="310">
        <f t="shared" si="2"/>
        <v>0</v>
      </c>
      <c r="J154" s="319" t="str">
        <f>PE_aug!AP154</f>
        <v>KWS, Schlamm</v>
      </c>
    </row>
    <row r="155" spans="1:10">
      <c r="A155" s="160" t="s">
        <v>206</v>
      </c>
      <c r="C155" s="306">
        <v>0.34399999999999997</v>
      </c>
      <c r="D155">
        <v>2.3E-2</v>
      </c>
      <c r="E155">
        <v>6.3905200000000004</v>
      </c>
      <c r="G155" s="310">
        <f t="shared" si="2"/>
        <v>0</v>
      </c>
      <c r="J155" s="319" t="str">
        <f>PE_aug!AP155</f>
        <v>Flussproben, Lippe</v>
      </c>
    </row>
    <row r="156" spans="1:10">
      <c r="A156" s="160" t="s">
        <v>208</v>
      </c>
      <c r="C156" s="306">
        <v>0.86199999999999999</v>
      </c>
      <c r="D156">
        <v>2.3E-2</v>
      </c>
      <c r="E156">
        <v>7.3049899999999992</v>
      </c>
      <c r="G156" s="310">
        <f t="shared" si="2"/>
        <v>0</v>
      </c>
      <c r="J156" s="319" t="str">
        <f>PE_aug!AP156</f>
        <v>Flussproben, Lippe</v>
      </c>
    </row>
    <row r="157" spans="1:10">
      <c r="A157" s="160" t="s">
        <v>209</v>
      </c>
      <c r="C157" s="306">
        <v>1.0049999999999999</v>
      </c>
      <c r="D157">
        <v>2.3E-2</v>
      </c>
      <c r="E157">
        <v>8.3328150000000001</v>
      </c>
      <c r="G157" s="310">
        <f t="shared" si="2"/>
        <v>0</v>
      </c>
      <c r="J157" s="319" t="str">
        <f>PE_aug!AP157</f>
        <v>Flussproben, Lippe</v>
      </c>
    </row>
    <row r="158" spans="1:10">
      <c r="A158" s="160" t="s">
        <v>210</v>
      </c>
      <c r="C158" s="306">
        <v>0.44400000000000001</v>
      </c>
      <c r="D158">
        <v>5.8999999999999997E-2</v>
      </c>
      <c r="E158">
        <v>5.7549900000000003</v>
      </c>
      <c r="G158" s="310">
        <f t="shared" si="2"/>
        <v>0</v>
      </c>
      <c r="J158" s="319" t="str">
        <f>PE_aug!AP158</f>
        <v>Flussproben, Lippe</v>
      </c>
    </row>
    <row r="159" spans="1:10">
      <c r="A159" s="160" t="s">
        <v>211</v>
      </c>
      <c r="C159" s="306">
        <v>1.101</v>
      </c>
      <c r="D159">
        <v>5.8999999999999997E-2</v>
      </c>
      <c r="E159">
        <v>9.8056399999999986</v>
      </c>
      <c r="G159" s="310">
        <f t="shared" si="2"/>
        <v>0</v>
      </c>
      <c r="J159" s="319" t="str">
        <f>PE_aug!AP159</f>
        <v>Flussproben, Lippe</v>
      </c>
    </row>
    <row r="160" spans="1:10">
      <c r="A160" s="160" t="s">
        <v>212</v>
      </c>
      <c r="C160" s="306">
        <v>0.71799999999999997</v>
      </c>
      <c r="D160">
        <v>5.8999999999999997E-2</v>
      </c>
      <c r="E160">
        <v>5.9145799999999999</v>
      </c>
      <c r="G160" s="310">
        <f t="shared" si="2"/>
        <v>0</v>
      </c>
      <c r="J160" s="319" t="str">
        <f>PE_aug!AP160</f>
        <v>Flussproben, Lippe</v>
      </c>
    </row>
    <row r="161" spans="1:10">
      <c r="A161" s="160" t="s">
        <v>213</v>
      </c>
      <c r="C161" s="306">
        <v>0.51400000000000001</v>
      </c>
      <c r="D161">
        <v>6.0999999999999999E-2</v>
      </c>
      <c r="E161">
        <v>7.65665</v>
      </c>
      <c r="G161" s="310">
        <f t="shared" si="2"/>
        <v>0</v>
      </c>
      <c r="J161" s="319" t="str">
        <f>PE_aug!AP161</f>
        <v>Flussproben, Lippe</v>
      </c>
    </row>
    <row r="162" spans="1:10">
      <c r="A162" s="160" t="s">
        <v>214</v>
      </c>
      <c r="C162" s="306">
        <v>0.621</v>
      </c>
      <c r="D162">
        <v>6.0999999999999999E-2</v>
      </c>
      <c r="E162">
        <v>8.9807000000000006</v>
      </c>
      <c r="G162" s="310">
        <f t="shared" si="2"/>
        <v>0</v>
      </c>
      <c r="J162" s="319" t="str">
        <f>PE_aug!AP162</f>
        <v>Flussproben, Lippe</v>
      </c>
    </row>
    <row r="163" spans="1:10">
      <c r="A163" s="160" t="s">
        <v>215</v>
      </c>
      <c r="C163" s="306">
        <v>1.1120000000000001</v>
      </c>
      <c r="D163">
        <v>6.0999999999999999E-2</v>
      </c>
      <c r="E163">
        <v>5.3088700000000006</v>
      </c>
      <c r="G163" s="310">
        <f t="shared" si="2"/>
        <v>0</v>
      </c>
      <c r="J163" s="319" t="str">
        <f>PE_aug!AP163</f>
        <v>Flussproben, Lippe</v>
      </c>
    </row>
    <row r="164" spans="1:10">
      <c r="A164" s="160" t="s">
        <v>216</v>
      </c>
      <c r="C164" s="306">
        <v>0.42699999999999999</v>
      </c>
      <c r="D164">
        <v>0.17699999999999999</v>
      </c>
      <c r="E164">
        <v>9.4334749999999996</v>
      </c>
      <c r="G164" s="310">
        <f t="shared" si="2"/>
        <v>0</v>
      </c>
      <c r="J164" s="319" t="str">
        <f>PE_aug!AP164</f>
        <v>Kläranlage</v>
      </c>
    </row>
    <row r="165" spans="1:10">
      <c r="A165" s="160" t="s">
        <v>217</v>
      </c>
      <c r="C165" s="306">
        <v>1.0229999999999999</v>
      </c>
      <c r="D165">
        <v>0.17699999999999999</v>
      </c>
      <c r="E165">
        <v>12.192550000000001</v>
      </c>
      <c r="G165" s="310">
        <f t="shared" si="2"/>
        <v>0</v>
      </c>
      <c r="J165" s="319" t="str">
        <f>PE_aug!AP165</f>
        <v>Kläranlage</v>
      </c>
    </row>
    <row r="166" spans="1:10">
      <c r="A166" s="160" t="s">
        <v>218</v>
      </c>
      <c r="C166" s="306">
        <v>0.74</v>
      </c>
      <c r="D166">
        <v>0.17699999999999999</v>
      </c>
      <c r="E166">
        <v>7.2366899999999994</v>
      </c>
      <c r="G166" s="310">
        <f t="shared" si="2"/>
        <v>0</v>
      </c>
      <c r="J166" s="319" t="str">
        <f>PE_aug!AP166</f>
        <v>Kläranlage</v>
      </c>
    </row>
    <row r="167" spans="1:10">
      <c r="A167" s="160" t="s">
        <v>219</v>
      </c>
      <c r="B167">
        <v>217.44</v>
      </c>
      <c r="E167">
        <v>0.28799999999999998</v>
      </c>
      <c r="F167">
        <v>0.7</v>
      </c>
      <c r="G167" s="310">
        <f t="shared" si="2"/>
        <v>755</v>
      </c>
      <c r="H167">
        <f>1000*0.0664978</f>
        <v>66.497799999999998</v>
      </c>
      <c r="I167" s="203">
        <f>100*B167/H167</f>
        <v>326.98826126578626</v>
      </c>
      <c r="J167" s="319" t="str">
        <f>PE_aug!AP167</f>
        <v>Methode</v>
      </c>
    </row>
    <row r="168" spans="1:10">
      <c r="A168" s="160" t="s">
        <v>220</v>
      </c>
      <c r="E168">
        <v>0.15598200000000001</v>
      </c>
      <c r="F168">
        <v>0.25</v>
      </c>
      <c r="G168" s="310">
        <f t="shared" si="2"/>
        <v>0</v>
      </c>
      <c r="J168" s="319" t="str">
        <f>PE_aug!AP168</f>
        <v>Methode</v>
      </c>
    </row>
    <row r="169" spans="1:10">
      <c r="A169" s="160" t="s">
        <v>221</v>
      </c>
      <c r="E169">
        <v>0.40368500000000002</v>
      </c>
      <c r="G169" s="310">
        <f t="shared" si="2"/>
        <v>0</v>
      </c>
      <c r="J169" s="319" t="str">
        <f>PE_aug!AP169</f>
        <v>Methode</v>
      </c>
    </row>
    <row r="170" spans="1:10">
      <c r="A170" s="161" t="s">
        <v>222</v>
      </c>
      <c r="C170" s="306">
        <v>0.93100000000000005</v>
      </c>
      <c r="D170">
        <v>0.15</v>
      </c>
      <c r="E170">
        <v>6.3953800000000003</v>
      </c>
      <c r="G170" s="310">
        <f t="shared" si="2"/>
        <v>0</v>
      </c>
      <c r="J170" s="319" t="str">
        <f>PE_aug!AP170</f>
        <v>Kläranlage</v>
      </c>
    </row>
    <row r="171" spans="1:10">
      <c r="A171" s="161" t="s">
        <v>223</v>
      </c>
      <c r="C171" s="306">
        <v>0.98199999999999998</v>
      </c>
      <c r="D171">
        <v>0.15</v>
      </c>
      <c r="E171">
        <v>14.388500000000001</v>
      </c>
      <c r="G171" s="310">
        <f t="shared" si="2"/>
        <v>0</v>
      </c>
      <c r="J171" s="319" t="str">
        <f>PE_aug!AP171</f>
        <v>Kläranlage</v>
      </c>
    </row>
    <row r="172" spans="1:10">
      <c r="A172" s="161" t="s">
        <v>224</v>
      </c>
      <c r="C172" s="306">
        <v>0.24199999999999999</v>
      </c>
      <c r="D172">
        <v>0.15</v>
      </c>
      <c r="E172">
        <v>9.6715149999999994</v>
      </c>
      <c r="G172" s="310">
        <f t="shared" si="2"/>
        <v>0</v>
      </c>
      <c r="J172" s="319" t="str">
        <f>PE_aug!AP172</f>
        <v>Kläranlage</v>
      </c>
    </row>
    <row r="173" spans="1:10">
      <c r="A173" s="161" t="s">
        <v>225</v>
      </c>
      <c r="E173">
        <v>8.4091399999999989</v>
      </c>
      <c r="G173" s="310">
        <f t="shared" si="2"/>
        <v>0</v>
      </c>
      <c r="J173" s="319" t="str">
        <f>PE_aug!AP173</f>
        <v>Kläranlage, Methode</v>
      </c>
    </row>
    <row r="174" spans="1:10">
      <c r="A174" s="161" t="s">
        <v>227</v>
      </c>
      <c r="E174">
        <v>11.4796</v>
      </c>
      <c r="G174" s="310">
        <f t="shared" si="2"/>
        <v>0</v>
      </c>
      <c r="J174" s="319" t="str">
        <f>PE_aug!AP174</f>
        <v>Kläranlage, Methode</v>
      </c>
    </row>
    <row r="175" spans="1:10">
      <c r="A175" s="161" t="s">
        <v>228</v>
      </c>
      <c r="E175">
        <v>6.8967000000000001</v>
      </c>
      <c r="G175" s="310">
        <f t="shared" si="2"/>
        <v>0</v>
      </c>
      <c r="J175" s="319" t="str">
        <f>PE_aug!AP175</f>
        <v>Kläranlage, Methode</v>
      </c>
    </row>
    <row r="176" spans="1:10">
      <c r="A176" s="161" t="s">
        <v>229</v>
      </c>
      <c r="C176" s="306">
        <v>0.70699999999999996</v>
      </c>
      <c r="D176">
        <v>0.122</v>
      </c>
      <c r="E176">
        <v>8.6541700000000006</v>
      </c>
      <c r="G176" s="310">
        <f t="shared" si="2"/>
        <v>0</v>
      </c>
      <c r="J176" s="319" t="str">
        <f>PE_aug!AP176</f>
        <v>Kläranlage</v>
      </c>
    </row>
    <row r="177" spans="1:10">
      <c r="A177" s="161" t="s">
        <v>230</v>
      </c>
      <c r="C177" s="306">
        <v>0.70699999999999996</v>
      </c>
      <c r="D177">
        <v>0.122</v>
      </c>
      <c r="E177">
        <v>7.3876200000000001</v>
      </c>
      <c r="G177" s="310">
        <f t="shared" si="2"/>
        <v>0</v>
      </c>
      <c r="J177" s="319" t="str">
        <f>PE_aug!AP177</f>
        <v>Kläranlage</v>
      </c>
    </row>
    <row r="178" spans="1:10">
      <c r="A178" s="161" t="s">
        <v>231</v>
      </c>
      <c r="C178" s="306">
        <v>0.81799999999999995</v>
      </c>
      <c r="D178">
        <v>3.5000000000000003E-2</v>
      </c>
      <c r="E178">
        <v>7.5310050000000004</v>
      </c>
      <c r="G178" s="310">
        <f t="shared" si="2"/>
        <v>0</v>
      </c>
      <c r="J178" s="319" t="str">
        <f>PE_aug!AP178</f>
        <v>Kläranlage</v>
      </c>
    </row>
    <row r="179" spans="1:10">
      <c r="A179" s="161" t="s">
        <v>232</v>
      </c>
      <c r="C179" s="306">
        <v>0.50800000000000001</v>
      </c>
      <c r="D179">
        <v>3.5000000000000003E-2</v>
      </c>
      <c r="E179">
        <v>7.2204149999999991</v>
      </c>
      <c r="G179" s="310">
        <f t="shared" si="2"/>
        <v>0</v>
      </c>
      <c r="J179" s="319" t="str">
        <f>PE_aug!AP179</f>
        <v>Kläranlage</v>
      </c>
    </row>
    <row r="180" spans="1:10">
      <c r="A180" s="161" t="s">
        <v>233</v>
      </c>
      <c r="C180" s="306">
        <v>0.86099999999999999</v>
      </c>
      <c r="D180">
        <v>3.5000000000000003E-2</v>
      </c>
      <c r="E180">
        <v>6.5432199999999998</v>
      </c>
      <c r="G180" s="310">
        <f t="shared" si="2"/>
        <v>0</v>
      </c>
      <c r="J180" s="319" t="str">
        <f>PE_aug!AP180</f>
        <v>Kläranlage</v>
      </c>
    </row>
    <row r="181" spans="1:10">
      <c r="A181" s="161" t="s">
        <v>234</v>
      </c>
      <c r="E181">
        <v>6.5395599999999998</v>
      </c>
      <c r="G181" s="310">
        <f t="shared" si="2"/>
        <v>0</v>
      </c>
      <c r="J181" s="319" t="str">
        <f>PE_aug!AP181</f>
        <v>Kläranlage, Methode</v>
      </c>
    </row>
    <row r="182" spans="1:10">
      <c r="A182" s="161" t="s">
        <v>235</v>
      </c>
      <c r="C182" s="306">
        <v>0.70699999999999996</v>
      </c>
      <c r="D182">
        <v>0.14799999999999999</v>
      </c>
      <c r="E182">
        <v>12.27675</v>
      </c>
      <c r="G182" s="310">
        <f t="shared" si="2"/>
        <v>0</v>
      </c>
      <c r="J182" s="319" t="str">
        <f>PE_aug!AP182</f>
        <v>Kläranlage</v>
      </c>
    </row>
    <row r="183" spans="1:10">
      <c r="A183" s="161" t="s">
        <v>236</v>
      </c>
      <c r="C183" s="306">
        <v>0.70699999999999996</v>
      </c>
      <c r="D183">
        <v>0.14799999999999999</v>
      </c>
      <c r="E183">
        <v>6.5768300000000002</v>
      </c>
      <c r="G183" s="310">
        <f t="shared" si="2"/>
        <v>0</v>
      </c>
      <c r="J183" s="319" t="str">
        <f>PE_aug!AP183</f>
        <v>Kläranlage</v>
      </c>
    </row>
    <row r="184" spans="1:10">
      <c r="A184" s="161" t="s">
        <v>237</v>
      </c>
      <c r="C184" s="306">
        <v>0.70699999999999996</v>
      </c>
      <c r="D184">
        <v>0.34799999999999998</v>
      </c>
      <c r="E184">
        <v>4.1054899999999996</v>
      </c>
      <c r="G184" s="310">
        <f t="shared" si="2"/>
        <v>0</v>
      </c>
      <c r="J184" s="319" t="str">
        <f>PE_aug!AP184</f>
        <v>Kläranlage</v>
      </c>
    </row>
    <row r="185" spans="1:10">
      <c r="A185" s="161" t="s">
        <v>238</v>
      </c>
      <c r="C185" s="306">
        <v>0.70699999999999996</v>
      </c>
      <c r="D185">
        <v>0.34799999999999998</v>
      </c>
      <c r="E185">
        <v>7.0180100000000003</v>
      </c>
      <c r="G185" s="310">
        <f t="shared" si="2"/>
        <v>0</v>
      </c>
      <c r="J185" s="319" t="str">
        <f>PE_aug!AP185</f>
        <v>Kläranlage</v>
      </c>
    </row>
    <row r="186" spans="1:10">
      <c r="A186" s="161" t="s">
        <v>239</v>
      </c>
      <c r="B186">
        <v>9.08</v>
      </c>
      <c r="E186">
        <v>7.1787899999999988E-2</v>
      </c>
      <c r="F186">
        <v>0.5</v>
      </c>
      <c r="G186" s="310">
        <f t="shared" si="2"/>
        <v>126.48371104322597</v>
      </c>
      <c r="J186" s="319" t="str">
        <f>PE_aug!AP186</f>
        <v>Methode</v>
      </c>
    </row>
    <row r="187" spans="1:10">
      <c r="A187" s="162" t="s">
        <v>240</v>
      </c>
      <c r="C187" s="306">
        <v>0.71699999999999997</v>
      </c>
      <c r="D187">
        <v>0.308</v>
      </c>
      <c r="E187">
        <v>5.5142600000000002</v>
      </c>
      <c r="G187" s="310">
        <f t="shared" si="2"/>
        <v>0</v>
      </c>
      <c r="J187" s="319" t="str">
        <f>PE_aug!AP187</f>
        <v>KWS</v>
      </c>
    </row>
    <row r="188" spans="1:10">
      <c r="A188" s="162" t="s">
        <v>241</v>
      </c>
      <c r="C188" s="306">
        <v>0.63600000000000001</v>
      </c>
      <c r="D188">
        <v>0.308</v>
      </c>
      <c r="E188">
        <v>8.6348099999999999</v>
      </c>
      <c r="G188" s="310">
        <f t="shared" si="2"/>
        <v>0</v>
      </c>
      <c r="J188" s="319" t="str">
        <f>PE_aug!AP188</f>
        <v>KWS</v>
      </c>
    </row>
    <row r="189" spans="1:10">
      <c r="A189" s="162" t="s">
        <v>242</v>
      </c>
      <c r="C189" s="306">
        <v>0.86399999999999999</v>
      </c>
      <c r="D189">
        <v>0.308</v>
      </c>
      <c r="E189">
        <v>9.2441649999999989</v>
      </c>
      <c r="G189" s="310">
        <f t="shared" si="2"/>
        <v>0</v>
      </c>
      <c r="J189" s="319" t="str">
        <f>PE_aug!AP189</f>
        <v>KWS</v>
      </c>
    </row>
    <row r="190" spans="1:10">
      <c r="A190" s="162" t="s">
        <v>243</v>
      </c>
      <c r="C190" s="306">
        <v>0.52</v>
      </c>
      <c r="D190">
        <v>5.7000000000000002E-2</v>
      </c>
      <c r="E190">
        <v>8.5557249999999989</v>
      </c>
      <c r="G190" s="310">
        <f t="shared" si="2"/>
        <v>0</v>
      </c>
      <c r="J190" s="319" t="str">
        <f>PE_aug!AP190</f>
        <v>Kläranlagen</v>
      </c>
    </row>
    <row r="191" spans="1:10">
      <c r="A191" s="162" t="s">
        <v>245</v>
      </c>
      <c r="C191" s="306">
        <v>0.77600000000000002</v>
      </c>
      <c r="D191">
        <v>5.7000000000000002E-2</v>
      </c>
      <c r="E191">
        <v>12.1275</v>
      </c>
      <c r="G191" s="310">
        <f t="shared" si="2"/>
        <v>0</v>
      </c>
      <c r="J191" s="319" t="str">
        <f>PE_aug!AP191</f>
        <v>Kläranlagen</v>
      </c>
    </row>
    <row r="192" spans="1:10">
      <c r="A192" s="162" t="s">
        <v>246</v>
      </c>
      <c r="C192" s="306">
        <v>0.91</v>
      </c>
      <c r="D192">
        <v>5.7000000000000002E-2</v>
      </c>
      <c r="E192">
        <v>7.9963800000000003</v>
      </c>
      <c r="G192" s="310">
        <f t="shared" si="2"/>
        <v>0</v>
      </c>
      <c r="J192" s="319" t="str">
        <f>PE_aug!AP192</f>
        <v>Kläranlagen</v>
      </c>
    </row>
    <row r="193" spans="1:10">
      <c r="A193" s="162" t="s">
        <v>247</v>
      </c>
      <c r="C193" s="306">
        <v>0.70699999999999996</v>
      </c>
      <c r="D193">
        <v>4.3999999999999997E-2</v>
      </c>
      <c r="E193">
        <v>9.1964899999999989</v>
      </c>
      <c r="G193" s="310">
        <f t="shared" si="2"/>
        <v>0</v>
      </c>
      <c r="J193" s="319" t="str">
        <f>PE_aug!AP193</f>
        <v>Kläranlagen</v>
      </c>
    </row>
    <row r="194" spans="1:10">
      <c r="A194" s="162" t="s">
        <v>248</v>
      </c>
      <c r="C194" s="306">
        <v>0.70699999999999996</v>
      </c>
      <c r="D194">
        <v>4.3999999999999997E-2</v>
      </c>
      <c r="E194">
        <v>7.59185</v>
      </c>
      <c r="G194" s="310">
        <f t="shared" ref="G194:G257" si="3">IFERROR(B194/E194,0)</f>
        <v>0</v>
      </c>
      <c r="J194" s="319" t="str">
        <f>PE_aug!AP194</f>
        <v>Kläranlagen</v>
      </c>
    </row>
    <row r="195" spans="1:10">
      <c r="A195" s="162" t="s">
        <v>249</v>
      </c>
      <c r="C195" s="306">
        <v>0.70699999999999996</v>
      </c>
      <c r="D195">
        <v>0.17599999999999999</v>
      </c>
      <c r="E195">
        <v>9.1481399999999997</v>
      </c>
      <c r="G195" s="310">
        <f t="shared" si="3"/>
        <v>0</v>
      </c>
      <c r="J195" s="319" t="str">
        <f>PE_aug!AP195</f>
        <v>Kläranlagen</v>
      </c>
    </row>
    <row r="196" spans="1:10">
      <c r="A196" s="162" t="s">
        <v>250</v>
      </c>
      <c r="C196" s="306">
        <v>0.70699999999999996</v>
      </c>
      <c r="D196">
        <v>0.17599999999999999</v>
      </c>
      <c r="E196">
        <v>5.17957</v>
      </c>
      <c r="G196" s="310">
        <f t="shared" si="3"/>
        <v>0</v>
      </c>
      <c r="J196" s="319" t="str">
        <f>PE_aug!AP196</f>
        <v>Kläranlagen</v>
      </c>
    </row>
    <row r="197" spans="1:10">
      <c r="A197" s="162" t="s">
        <v>251</v>
      </c>
      <c r="C197" s="306">
        <v>0.70699999999999996</v>
      </c>
      <c r="D197">
        <v>5.2999999999999999E-2</v>
      </c>
      <c r="E197">
        <v>9.0249299999999995</v>
      </c>
      <c r="G197" s="310">
        <f t="shared" si="3"/>
        <v>0</v>
      </c>
      <c r="J197" s="319" t="str">
        <f>PE_aug!AP197</f>
        <v>Kläranlagen</v>
      </c>
    </row>
    <row r="198" spans="1:10">
      <c r="A198" s="162" t="s">
        <v>252</v>
      </c>
      <c r="C198" s="306">
        <v>0.70699999999999996</v>
      </c>
      <c r="D198">
        <v>5.2999999999999999E-2</v>
      </c>
      <c r="E198">
        <v>8.3660199999999989</v>
      </c>
      <c r="G198" s="310">
        <f t="shared" si="3"/>
        <v>0</v>
      </c>
      <c r="J198" s="319" t="str">
        <f>PE_aug!AP198</f>
        <v>Kläranlagen</v>
      </c>
    </row>
    <row r="199" spans="1:10">
      <c r="A199" s="162" t="s">
        <v>253</v>
      </c>
      <c r="C199" s="306">
        <v>0.67700000000000005</v>
      </c>
      <c r="D199">
        <v>4.8000000000000001E-2</v>
      </c>
      <c r="E199">
        <v>8.8748400000000007</v>
      </c>
      <c r="G199" s="310">
        <f t="shared" si="3"/>
        <v>0</v>
      </c>
      <c r="J199" s="319" t="str">
        <f>PE_aug!AP199</f>
        <v>Kläranlagen</v>
      </c>
    </row>
    <row r="200" spans="1:10">
      <c r="A200" s="162" t="s">
        <v>254</v>
      </c>
      <c r="C200" s="306">
        <v>0.87</v>
      </c>
      <c r="D200">
        <v>4.8000000000000001E-2</v>
      </c>
      <c r="E200">
        <v>10.6442</v>
      </c>
      <c r="G200" s="310">
        <f t="shared" si="3"/>
        <v>0</v>
      </c>
      <c r="J200" s="319" t="str">
        <f>PE_aug!AP200</f>
        <v>Kläranlagen</v>
      </c>
    </row>
    <row r="201" spans="1:10">
      <c r="A201" s="162" t="s">
        <v>255</v>
      </c>
      <c r="C201" s="306">
        <v>0.626</v>
      </c>
      <c r="D201">
        <v>4.8000000000000001E-2</v>
      </c>
      <c r="E201">
        <v>8.4144699999999997</v>
      </c>
      <c r="G201" s="310">
        <f t="shared" si="3"/>
        <v>0</v>
      </c>
      <c r="J201" s="319" t="str">
        <f>PE_aug!AP201</f>
        <v>Kläranlagen</v>
      </c>
    </row>
    <row r="202" spans="1:10">
      <c r="A202" s="214" t="s">
        <v>256</v>
      </c>
      <c r="C202" s="306">
        <v>0.70699999999999996</v>
      </c>
      <c r="D202">
        <v>0.113</v>
      </c>
      <c r="E202">
        <v>4.5994950000000001</v>
      </c>
      <c r="G202" s="310">
        <f t="shared" si="3"/>
        <v>0</v>
      </c>
      <c r="J202" s="319" t="str">
        <f>PE_aug!AP202</f>
        <v>KWS</v>
      </c>
    </row>
    <row r="203" spans="1:10">
      <c r="A203" s="214" t="s">
        <v>257</v>
      </c>
      <c r="C203" s="306">
        <v>0.70699999999999996</v>
      </c>
      <c r="D203">
        <v>0.113</v>
      </c>
      <c r="E203">
        <v>6.10121</v>
      </c>
      <c r="G203" s="310">
        <f t="shared" si="3"/>
        <v>0</v>
      </c>
      <c r="J203" s="319" t="str">
        <f>PE_aug!AP203</f>
        <v>KWS</v>
      </c>
    </row>
    <row r="204" spans="1:10">
      <c r="A204" s="214" t="s">
        <v>258</v>
      </c>
      <c r="C204" s="306">
        <v>0.70699999999999996</v>
      </c>
      <c r="D204">
        <v>9.7000000000000003E-2</v>
      </c>
      <c r="E204">
        <v>4.843</v>
      </c>
      <c r="G204" s="310">
        <f t="shared" si="3"/>
        <v>0</v>
      </c>
      <c r="J204" s="319" t="str">
        <f>PE_aug!AP204</f>
        <v>KWS</v>
      </c>
    </row>
    <row r="205" spans="1:10">
      <c r="A205" s="214" t="s">
        <v>259</v>
      </c>
      <c r="C205" s="306">
        <v>0.70699999999999996</v>
      </c>
      <c r="D205">
        <v>9.7000000000000003E-2</v>
      </c>
      <c r="E205">
        <v>6.6468399999999992</v>
      </c>
      <c r="G205" s="310">
        <f t="shared" si="3"/>
        <v>0</v>
      </c>
      <c r="J205" s="319" t="str">
        <f>PE_aug!AP205</f>
        <v>KWS</v>
      </c>
    </row>
    <row r="206" spans="1:10">
      <c r="A206" s="214" t="s">
        <v>260</v>
      </c>
      <c r="E206">
        <v>-84.199200000000005</v>
      </c>
      <c r="G206" s="310">
        <f t="shared" si="3"/>
        <v>0</v>
      </c>
      <c r="J206" s="319" t="str">
        <f>PE_aug!AP206</f>
        <v>Methode</v>
      </c>
    </row>
    <row r="207" spans="1:10">
      <c r="A207" s="214" t="s">
        <v>261</v>
      </c>
      <c r="E207">
        <v>5.4117899999999999</v>
      </c>
      <c r="G207" s="310">
        <f t="shared" si="3"/>
        <v>0</v>
      </c>
      <c r="J207" s="319" t="str">
        <f>PE_aug!AP207</f>
        <v>KWS, Methode</v>
      </c>
    </row>
    <row r="208" spans="1:10">
      <c r="A208" s="214" t="s">
        <v>262</v>
      </c>
      <c r="B208">
        <v>14.44</v>
      </c>
      <c r="E208">
        <v>5.4577400000000003</v>
      </c>
      <c r="F208">
        <v>0.8</v>
      </c>
      <c r="G208" s="310">
        <f t="shared" si="3"/>
        <v>2.6457837859626876</v>
      </c>
      <c r="H208">
        <v>1.84E-2</v>
      </c>
      <c r="I208" s="203">
        <f>100*B208/(H208*1000)</f>
        <v>78.478260869565219</v>
      </c>
      <c r="J208" s="319" t="str">
        <f>PE_aug!AP208</f>
        <v>KWS, Methode</v>
      </c>
    </row>
    <row r="209" spans="1:10">
      <c r="A209" s="214" t="s">
        <v>263</v>
      </c>
      <c r="G209" s="310">
        <f t="shared" si="3"/>
        <v>0</v>
      </c>
      <c r="I209" s="203"/>
      <c r="J209" s="319" t="str">
        <f>PE_aug!AP209</f>
        <v>KWS, Methode</v>
      </c>
    </row>
    <row r="210" spans="1:10">
      <c r="A210" s="214" t="s">
        <v>264</v>
      </c>
      <c r="C210" s="306">
        <v>0.70699999999999996</v>
      </c>
      <c r="D210">
        <v>0.10199999999999999</v>
      </c>
      <c r="E210">
        <v>10.235150000000001</v>
      </c>
      <c r="G210" s="310">
        <f t="shared" si="3"/>
        <v>0</v>
      </c>
      <c r="I210" s="203"/>
      <c r="J210" s="319" t="str">
        <f>PE_aug!AP210</f>
        <v>Kläranlagen</v>
      </c>
    </row>
    <row r="211" spans="1:10">
      <c r="A211" s="214" t="s">
        <v>265</v>
      </c>
      <c r="C211" s="306">
        <v>0.70699999999999996</v>
      </c>
      <c r="D211">
        <v>0.10199999999999999</v>
      </c>
      <c r="E211">
        <v>8.9477550000000008</v>
      </c>
      <c r="G211" s="310">
        <f t="shared" si="3"/>
        <v>0</v>
      </c>
      <c r="I211" s="203"/>
      <c r="J211" s="319" t="str">
        <f>PE_aug!AP211</f>
        <v>Kläranlagen</v>
      </c>
    </row>
    <row r="212" spans="1:10">
      <c r="A212" s="214" t="s">
        <v>266</v>
      </c>
      <c r="C212" s="306">
        <v>0.70699999999999996</v>
      </c>
      <c r="D212">
        <v>0.96399999999999997</v>
      </c>
      <c r="E212">
        <v>10.384600000000001</v>
      </c>
      <c r="G212" s="310">
        <f t="shared" si="3"/>
        <v>0</v>
      </c>
      <c r="I212" s="203"/>
      <c r="J212" s="319" t="str">
        <f>PE_aug!AP212</f>
        <v>Kläranlagen</v>
      </c>
    </row>
    <row r="213" spans="1:10">
      <c r="A213" s="214" t="s">
        <v>267</v>
      </c>
      <c r="C213" s="306">
        <v>0.70699999999999996</v>
      </c>
      <c r="D213">
        <v>0.96399999999999997</v>
      </c>
      <c r="E213">
        <v>9.8753700000000002</v>
      </c>
      <c r="G213" s="310">
        <f t="shared" si="3"/>
        <v>0</v>
      </c>
      <c r="I213" s="203"/>
      <c r="J213" s="319" t="str">
        <f>PE_aug!AP213</f>
        <v>Kläranlagen</v>
      </c>
    </row>
    <row r="214" spans="1:10">
      <c r="A214" s="214" t="s">
        <v>268</v>
      </c>
      <c r="E214">
        <v>6.4336500000000001</v>
      </c>
      <c r="G214" s="310">
        <f t="shared" si="3"/>
        <v>0</v>
      </c>
      <c r="I214" s="203"/>
      <c r="J214" s="319" t="str">
        <f>PE_aug!AP214</f>
        <v>Kläranlagen, Methode</v>
      </c>
    </row>
    <row r="215" spans="1:10">
      <c r="A215" s="214" t="s">
        <v>270</v>
      </c>
      <c r="E215">
        <v>0.232761</v>
      </c>
      <c r="G215" s="310">
        <f t="shared" si="3"/>
        <v>0</v>
      </c>
      <c r="I215" s="203"/>
      <c r="J215" s="319" t="str">
        <f>PE_aug!AP215</f>
        <v>Methode</v>
      </c>
    </row>
    <row r="216" spans="1:10">
      <c r="A216" s="214" t="s">
        <v>271</v>
      </c>
      <c r="G216" s="310">
        <f t="shared" si="3"/>
        <v>0</v>
      </c>
      <c r="I216" s="203"/>
      <c r="J216" s="319" t="str">
        <f>PE_aug!AP216</f>
        <v>Methode</v>
      </c>
    </row>
    <row r="217" spans="1:10">
      <c r="A217" s="214" t="s">
        <v>272</v>
      </c>
      <c r="B217">
        <v>164.58</v>
      </c>
      <c r="E217">
        <v>0.18177399999999999</v>
      </c>
      <c r="F217">
        <v>0.6</v>
      </c>
      <c r="G217" s="310">
        <f t="shared" si="3"/>
        <v>905.4100146335561</v>
      </c>
      <c r="H217">
        <v>4.3400000000000001E-2</v>
      </c>
      <c r="I217" s="203">
        <f>100*B217/(H217*1000)</f>
        <v>379.21658986175117</v>
      </c>
      <c r="J217" s="319" t="str">
        <f>PE_aug!AP217</f>
        <v>Methode</v>
      </c>
    </row>
    <row r="218" spans="1:10">
      <c r="A218" s="217" t="s">
        <v>534</v>
      </c>
      <c r="C218" s="306">
        <v>1.133</v>
      </c>
      <c r="D218">
        <v>0.12</v>
      </c>
      <c r="E218">
        <v>11.5961</v>
      </c>
      <c r="G218" s="310">
        <f t="shared" si="3"/>
        <v>0</v>
      </c>
      <c r="J218" t="str">
        <f>PE_may!AH218</f>
        <v>Methodenvergleich</v>
      </c>
    </row>
    <row r="219" spans="1:10">
      <c r="A219" s="217" t="s">
        <v>535</v>
      </c>
      <c r="C219" s="306">
        <v>0.622</v>
      </c>
      <c r="D219">
        <v>0.12</v>
      </c>
      <c r="E219">
        <v>7.643110000000001</v>
      </c>
      <c r="G219" s="310">
        <f t="shared" si="3"/>
        <v>0</v>
      </c>
      <c r="J219" t="str">
        <f>PE_may!AH219</f>
        <v>Methodenvergleich</v>
      </c>
    </row>
    <row r="220" spans="1:10">
      <c r="A220" s="217" t="s">
        <v>536</v>
      </c>
      <c r="C220" s="306">
        <v>0.52700000000000002</v>
      </c>
      <c r="D220">
        <v>0.12</v>
      </c>
      <c r="E220">
        <v>7.9017200000000001</v>
      </c>
      <c r="G220" s="310">
        <f t="shared" si="3"/>
        <v>0</v>
      </c>
      <c r="J220" t="str">
        <f>PE_may!AH220</f>
        <v>Methodenvergleich</v>
      </c>
    </row>
    <row r="221" spans="1:10">
      <c r="A221" s="217" t="s">
        <v>537</v>
      </c>
      <c r="B221">
        <v>8.59</v>
      </c>
      <c r="F221">
        <v>0.25</v>
      </c>
      <c r="G221" s="310">
        <f t="shared" si="3"/>
        <v>0</v>
      </c>
      <c r="J221" t="str">
        <f>PE_may!AH221</f>
        <v>Methode</v>
      </c>
    </row>
    <row r="222" spans="1:10">
      <c r="A222" s="217" t="s">
        <v>538</v>
      </c>
      <c r="C222" s="306">
        <v>0.878</v>
      </c>
      <c r="D222">
        <v>9.5000000000000001E-2</v>
      </c>
      <c r="E222">
        <v>11.2964</v>
      </c>
      <c r="G222" s="310">
        <f t="shared" si="3"/>
        <v>0</v>
      </c>
      <c r="J222" t="str">
        <f>PE_may!AH222</f>
        <v>Kläranlagen</v>
      </c>
    </row>
    <row r="223" spans="1:10">
      <c r="A223" s="217" t="s">
        <v>539</v>
      </c>
      <c r="C223" s="306">
        <v>1.008</v>
      </c>
      <c r="D223">
        <v>9.5000000000000001E-2</v>
      </c>
      <c r="E223">
        <v>14.131</v>
      </c>
      <c r="F223">
        <v>0.5</v>
      </c>
      <c r="G223" s="310">
        <f t="shared" si="3"/>
        <v>0</v>
      </c>
      <c r="J223" t="str">
        <f>PE_may!AH223</f>
        <v>Kläranlagen</v>
      </c>
    </row>
    <row r="224" spans="1:10">
      <c r="A224" s="217" t="s">
        <v>540</v>
      </c>
      <c r="C224" s="306">
        <v>0.317</v>
      </c>
      <c r="D224">
        <v>9.5000000000000001E-2</v>
      </c>
      <c r="E224">
        <v>11.628</v>
      </c>
      <c r="G224" s="310">
        <f t="shared" si="3"/>
        <v>0</v>
      </c>
      <c r="J224" t="str">
        <f>PE_may!AH224</f>
        <v>Kläranlagen</v>
      </c>
    </row>
    <row r="225" spans="1:10">
      <c r="A225" s="217" t="s">
        <v>541</v>
      </c>
      <c r="C225" s="306">
        <v>1.0489999999999999</v>
      </c>
      <c r="D225">
        <v>6.2E-2</v>
      </c>
      <c r="E225">
        <v>7.5634450000000006</v>
      </c>
      <c r="G225" s="310">
        <f t="shared" si="3"/>
        <v>0</v>
      </c>
      <c r="J225" t="str">
        <f>PE_may!AH225</f>
        <v>Kläranlagen</v>
      </c>
    </row>
    <row r="226" spans="1:10">
      <c r="A226" s="217" t="s">
        <v>542</v>
      </c>
      <c r="C226" s="306">
        <v>0.53800000000000003</v>
      </c>
      <c r="D226">
        <v>6.2E-2</v>
      </c>
      <c r="E226">
        <v>9.8938349999999993</v>
      </c>
      <c r="G226" s="310">
        <f t="shared" si="3"/>
        <v>0</v>
      </c>
      <c r="J226" t="str">
        <f>PE_may!AH226</f>
        <v>Kläranlagen</v>
      </c>
    </row>
    <row r="227" spans="1:10">
      <c r="A227" s="217" t="s">
        <v>543</v>
      </c>
      <c r="C227" s="306">
        <v>0.65200000000000002</v>
      </c>
      <c r="D227">
        <v>6.2E-2</v>
      </c>
      <c r="E227">
        <v>10.473699999999999</v>
      </c>
      <c r="G227" s="310">
        <f t="shared" si="3"/>
        <v>0</v>
      </c>
      <c r="J227" t="str">
        <f>PE_may!AH227</f>
        <v>Kläranlagen</v>
      </c>
    </row>
    <row r="228" spans="1:10">
      <c r="A228" s="217" t="s">
        <v>544</v>
      </c>
      <c r="E228">
        <v>2.2444700000000002</v>
      </c>
      <c r="G228" s="310">
        <f t="shared" si="3"/>
        <v>0</v>
      </c>
      <c r="J228" t="str">
        <f>PE_may!AH228</f>
        <v>Kläranlagen</v>
      </c>
    </row>
    <row r="229" spans="1:10">
      <c r="A229" s="215" t="s">
        <v>273</v>
      </c>
      <c r="B229">
        <v>13.85</v>
      </c>
      <c r="F229">
        <v>1</v>
      </c>
      <c r="G229" s="310">
        <f t="shared" si="3"/>
        <v>0</v>
      </c>
      <c r="J229">
        <f>PE_aug!AP218</f>
        <v>0</v>
      </c>
    </row>
    <row r="230" spans="1:10">
      <c r="A230" s="215" t="s">
        <v>274</v>
      </c>
      <c r="B230">
        <v>20.78</v>
      </c>
      <c r="F230">
        <v>1</v>
      </c>
      <c r="G230" s="310">
        <f t="shared" si="3"/>
        <v>0</v>
      </c>
      <c r="J230">
        <f>PE_aug!AP219</f>
        <v>0</v>
      </c>
    </row>
    <row r="231" spans="1:10">
      <c r="A231" s="215" t="s">
        <v>275</v>
      </c>
      <c r="C231" s="306">
        <v>0.747</v>
      </c>
      <c r="D231">
        <v>0.02</v>
      </c>
      <c r="E231">
        <v>9.4741699999999991</v>
      </c>
      <c r="G231" s="310">
        <f t="shared" si="3"/>
        <v>0</v>
      </c>
      <c r="J231" t="str">
        <f>PE_aug!AP220</f>
        <v>Kläranlagen</v>
      </c>
    </row>
    <row r="232" spans="1:10">
      <c r="A232" s="215" t="s">
        <v>276</v>
      </c>
      <c r="C232" s="306">
        <v>0.64</v>
      </c>
      <c r="D232">
        <v>0.02</v>
      </c>
      <c r="E232">
        <v>8.9339700000000004</v>
      </c>
      <c r="G232" s="310">
        <f t="shared" si="3"/>
        <v>0</v>
      </c>
      <c r="J232" t="str">
        <f>PE_aug!AP221</f>
        <v>Kläranlagen</v>
      </c>
    </row>
    <row r="233" spans="1:10">
      <c r="A233" s="215" t="s">
        <v>277</v>
      </c>
      <c r="C233" s="306">
        <v>0.82199999999999995</v>
      </c>
      <c r="D233">
        <v>0.02</v>
      </c>
      <c r="E233">
        <v>10.4704</v>
      </c>
      <c r="G233" s="310">
        <f t="shared" si="3"/>
        <v>0</v>
      </c>
      <c r="J233" t="str">
        <f>PE_aug!AP222</f>
        <v>Kläranlagen</v>
      </c>
    </row>
    <row r="234" spans="1:10">
      <c r="A234" s="215" t="s">
        <v>278</v>
      </c>
      <c r="C234" s="306">
        <v>0.83099999999999996</v>
      </c>
      <c r="D234">
        <v>0.13600000000000001</v>
      </c>
      <c r="E234">
        <v>8.854280000000001</v>
      </c>
      <c r="G234" s="310">
        <f t="shared" si="3"/>
        <v>0</v>
      </c>
      <c r="J234" t="str">
        <f>PE_aug!AP223</f>
        <v>Kläranlagen</v>
      </c>
    </row>
    <row r="235" spans="1:10">
      <c r="A235" s="215" t="s">
        <v>279</v>
      </c>
      <c r="C235" s="306">
        <v>0.29799999999999999</v>
      </c>
      <c r="D235">
        <v>0.13600000000000001</v>
      </c>
      <c r="E235">
        <v>8.9194449999999996</v>
      </c>
      <c r="G235" s="310">
        <f t="shared" si="3"/>
        <v>0</v>
      </c>
      <c r="J235" t="str">
        <f>PE_aug!AP224</f>
        <v>Kläranlagen</v>
      </c>
    </row>
    <row r="236" spans="1:10">
      <c r="A236" s="215" t="s">
        <v>280</v>
      </c>
      <c r="C236" s="306">
        <v>1.038</v>
      </c>
      <c r="D236">
        <v>0.13600000000000001</v>
      </c>
      <c r="E236">
        <v>9.8315149999999996</v>
      </c>
      <c r="G236" s="310">
        <f t="shared" si="3"/>
        <v>0</v>
      </c>
      <c r="J236" t="str">
        <f>PE_aug!AP225</f>
        <v>Kläranlagen</v>
      </c>
    </row>
    <row r="237" spans="1:10">
      <c r="A237" s="215" t="s">
        <v>281</v>
      </c>
      <c r="C237" s="306">
        <v>0.92</v>
      </c>
      <c r="D237">
        <v>0.113</v>
      </c>
      <c r="E237">
        <v>8.5098400000000005</v>
      </c>
      <c r="G237" s="310">
        <f t="shared" si="3"/>
        <v>0</v>
      </c>
      <c r="J237" t="str">
        <f>PE_aug!AP226</f>
        <v>Kläranlagen</v>
      </c>
    </row>
    <row r="238" spans="1:10">
      <c r="A238" s="215" t="s">
        <v>282</v>
      </c>
      <c r="C238" s="306">
        <v>0.78100000000000003</v>
      </c>
      <c r="D238">
        <v>0.113</v>
      </c>
      <c r="E238">
        <v>8.9350749999999994</v>
      </c>
      <c r="G238" s="310">
        <f t="shared" si="3"/>
        <v>0</v>
      </c>
      <c r="J238" t="str">
        <f>PE_aug!AP227</f>
        <v>Kläranlagen</v>
      </c>
    </row>
    <row r="239" spans="1:10">
      <c r="A239" s="215" t="s">
        <v>283</v>
      </c>
      <c r="C239" s="306">
        <v>0.502</v>
      </c>
      <c r="D239">
        <v>0.113</v>
      </c>
      <c r="E239">
        <v>8.0010499999999993</v>
      </c>
      <c r="G239" s="310">
        <f t="shared" si="3"/>
        <v>0</v>
      </c>
      <c r="J239" t="str">
        <f>PE_aug!AP228</f>
        <v>Kläranlagen</v>
      </c>
    </row>
    <row r="240" spans="1:10">
      <c r="A240" s="215" t="s">
        <v>284</v>
      </c>
      <c r="C240" s="306">
        <v>0.70699999999999996</v>
      </c>
      <c r="D240">
        <v>3.2000000000000001E-2</v>
      </c>
      <c r="E240">
        <v>9.4548300000000012</v>
      </c>
      <c r="G240" s="310">
        <f t="shared" si="3"/>
        <v>0</v>
      </c>
      <c r="J240" t="str">
        <f>PE_aug!AP229</f>
        <v>Kläranlagen</v>
      </c>
    </row>
    <row r="241" spans="1:10">
      <c r="A241" s="215" t="s">
        <v>285</v>
      </c>
      <c r="C241" s="306">
        <v>0.70699999999999996</v>
      </c>
      <c r="D241">
        <v>3.2000000000000001E-2</v>
      </c>
      <c r="E241">
        <v>9.7220899999999997</v>
      </c>
      <c r="G241" s="310">
        <f t="shared" si="3"/>
        <v>0</v>
      </c>
      <c r="J241" t="str">
        <f>PE_aug!AP230</f>
        <v>Kläranlagen</v>
      </c>
    </row>
    <row r="242" spans="1:10">
      <c r="A242" s="215" t="s">
        <v>286</v>
      </c>
      <c r="C242" s="306">
        <v>1.1419999999999999</v>
      </c>
      <c r="D242">
        <v>5.5E-2</v>
      </c>
      <c r="E242">
        <v>6.5427799999999996</v>
      </c>
      <c r="G242" s="310">
        <f t="shared" si="3"/>
        <v>0</v>
      </c>
      <c r="J242" t="str">
        <f>PE_aug!AP231</f>
        <v>Kläranlagen</v>
      </c>
    </row>
    <row r="243" spans="1:10">
      <c r="A243" s="215" t="s">
        <v>287</v>
      </c>
      <c r="C243" s="306">
        <v>0.49399999999999999</v>
      </c>
      <c r="D243">
        <v>5.5E-2</v>
      </c>
      <c r="E243">
        <v>9.3765300000000007</v>
      </c>
      <c r="G243" s="310">
        <f t="shared" si="3"/>
        <v>0</v>
      </c>
      <c r="J243" t="str">
        <f>PE_aug!AP232</f>
        <v>Kläranlagen</v>
      </c>
    </row>
    <row r="244" spans="1:10">
      <c r="A244" s="215" t="s">
        <v>288</v>
      </c>
      <c r="C244" s="306">
        <v>0.65</v>
      </c>
      <c r="D244">
        <v>5.5E-2</v>
      </c>
      <c r="E244">
        <v>9.4145599999999998</v>
      </c>
      <c r="G244" s="310">
        <f t="shared" si="3"/>
        <v>0</v>
      </c>
      <c r="J244" t="str">
        <f>PE_aug!AP233</f>
        <v>Kläranlagen</v>
      </c>
    </row>
    <row r="245" spans="1:10">
      <c r="A245" s="215" t="s">
        <v>289</v>
      </c>
      <c r="C245" s="306">
        <v>0.54800000000000004</v>
      </c>
      <c r="D245">
        <v>0.16400000000000001</v>
      </c>
      <c r="E245">
        <v>4.9484750000000002</v>
      </c>
      <c r="G245" s="310">
        <f t="shared" si="3"/>
        <v>0</v>
      </c>
      <c r="J245" t="str">
        <f>PE_aug!AP234</f>
        <v>Kläranlagen</v>
      </c>
    </row>
    <row r="246" spans="1:10">
      <c r="A246" s="215" t="s">
        <v>290</v>
      </c>
      <c r="C246" s="306">
        <v>0.82099999999999995</v>
      </c>
      <c r="D246">
        <v>0.16400000000000001</v>
      </c>
      <c r="E246">
        <v>5.7705900000000003</v>
      </c>
      <c r="G246" s="310">
        <f t="shared" si="3"/>
        <v>0</v>
      </c>
      <c r="J246" t="str">
        <f>PE_aug!AP235</f>
        <v>Kläranlagen</v>
      </c>
    </row>
    <row r="247" spans="1:10">
      <c r="A247" s="215" t="s">
        <v>291</v>
      </c>
      <c r="C247" s="306">
        <v>0.79400000000000004</v>
      </c>
      <c r="D247">
        <v>0.16400000000000001</v>
      </c>
      <c r="E247">
        <v>7.5740399999999992</v>
      </c>
      <c r="G247" s="310">
        <f t="shared" si="3"/>
        <v>0</v>
      </c>
      <c r="J247" t="str">
        <f>PE_aug!AP236</f>
        <v>Kläranlagen</v>
      </c>
    </row>
    <row r="248" spans="1:10">
      <c r="A248" s="215" t="s">
        <v>292</v>
      </c>
      <c r="C248" s="306">
        <v>0.90600000000000003</v>
      </c>
      <c r="D248">
        <v>0.13900000000000001</v>
      </c>
      <c r="E248">
        <v>8.5894499999999994</v>
      </c>
      <c r="G248" s="310">
        <f t="shared" si="3"/>
        <v>0</v>
      </c>
      <c r="J248" t="str">
        <f>PE_aug!AP237</f>
        <v>Kläranlagen</v>
      </c>
    </row>
    <row r="249" spans="1:10">
      <c r="A249" s="215" t="s">
        <v>293</v>
      </c>
      <c r="C249" s="306">
        <v>0.64600000000000002</v>
      </c>
      <c r="D249">
        <v>0.13900000000000001</v>
      </c>
      <c r="E249">
        <v>8.6637399999999989</v>
      </c>
      <c r="G249" s="310">
        <f t="shared" si="3"/>
        <v>0</v>
      </c>
      <c r="J249" t="str">
        <f>PE_aug!AP238</f>
        <v>Kläranlagen</v>
      </c>
    </row>
    <row r="250" spans="1:10">
      <c r="A250" s="215" t="s">
        <v>294</v>
      </c>
      <c r="C250" s="306">
        <v>0.68</v>
      </c>
      <c r="D250">
        <v>0.13900000000000001</v>
      </c>
      <c r="E250">
        <v>9.0110200000000003</v>
      </c>
      <c r="G250" s="310">
        <f t="shared" si="3"/>
        <v>0</v>
      </c>
      <c r="J250" t="str">
        <f>PE_aug!AP239</f>
        <v>Kläranlagen</v>
      </c>
    </row>
    <row r="251" spans="1:10">
      <c r="A251" s="215" t="s">
        <v>295</v>
      </c>
      <c r="E251">
        <v>-84.760499999999993</v>
      </c>
      <c r="G251" s="310">
        <f t="shared" si="3"/>
        <v>0</v>
      </c>
      <c r="J251" t="str">
        <f>PE_aug!AP240</f>
        <v>Methode</v>
      </c>
    </row>
    <row r="252" spans="1:10">
      <c r="A252" s="215" t="s">
        <v>296</v>
      </c>
      <c r="E252">
        <v>-83.471699999999998</v>
      </c>
      <c r="G252" s="310">
        <f t="shared" si="3"/>
        <v>0</v>
      </c>
      <c r="J252" t="str">
        <f>PE_aug!AP241</f>
        <v>Methode</v>
      </c>
    </row>
    <row r="253" spans="1:10">
      <c r="A253" s="215" t="s">
        <v>297</v>
      </c>
      <c r="G253" s="310">
        <f t="shared" si="3"/>
        <v>0</v>
      </c>
      <c r="J253" t="str">
        <f>PE_aug!AP242</f>
        <v>Kläranlagen</v>
      </c>
    </row>
    <row r="254" spans="1:10">
      <c r="A254" s="215" t="s">
        <v>298</v>
      </c>
      <c r="G254" s="310">
        <f t="shared" si="3"/>
        <v>0</v>
      </c>
      <c r="J254" t="str">
        <f>PE_aug!AP243</f>
        <v>Kläranlagen</v>
      </c>
    </row>
    <row r="255" spans="1:10">
      <c r="A255" s="215" t="s">
        <v>299</v>
      </c>
      <c r="G255" s="310">
        <f t="shared" si="3"/>
        <v>0</v>
      </c>
      <c r="J255" t="str">
        <f>PE_aug!AP244</f>
        <v>Kläranlagen</v>
      </c>
    </row>
    <row r="256" spans="1:10">
      <c r="A256" s="215" t="s">
        <v>300</v>
      </c>
      <c r="E256">
        <v>6.02935</v>
      </c>
      <c r="G256" s="310">
        <f t="shared" si="3"/>
        <v>0</v>
      </c>
      <c r="J256" t="str">
        <f>PE_aug!AP245</f>
        <v>Kläranlage, Methode</v>
      </c>
    </row>
    <row r="257" spans="1:10">
      <c r="A257" s="215" t="s">
        <v>301</v>
      </c>
      <c r="C257" s="306">
        <v>0.82799999999999996</v>
      </c>
      <c r="D257">
        <v>0.191</v>
      </c>
      <c r="E257">
        <v>8.4088700000000003</v>
      </c>
      <c r="G257" s="310">
        <f t="shared" si="3"/>
        <v>0</v>
      </c>
      <c r="J257" t="str">
        <f>PE_aug!AP246</f>
        <v>Kläranlagen</v>
      </c>
    </row>
    <row r="258" spans="1:10">
      <c r="A258" s="215" t="s">
        <v>302</v>
      </c>
      <c r="C258" s="306">
        <v>0.79200000000000004</v>
      </c>
      <c r="D258">
        <v>0.191</v>
      </c>
      <c r="E258">
        <v>6.7405999999999997</v>
      </c>
      <c r="G258" s="310">
        <f t="shared" ref="G258:G321" si="4">IFERROR(B258/E258,0)</f>
        <v>0</v>
      </c>
      <c r="J258" t="str">
        <f>PE_aug!AP247</f>
        <v>Kläranlagen</v>
      </c>
    </row>
    <row r="259" spans="1:10">
      <c r="A259" s="215" t="s">
        <v>303</v>
      </c>
      <c r="C259" s="306">
        <v>0.629</v>
      </c>
      <c r="D259">
        <v>0.191</v>
      </c>
      <c r="E259">
        <v>7.8805199999999997</v>
      </c>
      <c r="G259" s="310">
        <f t="shared" si="4"/>
        <v>0</v>
      </c>
      <c r="J259" t="str">
        <f>PE_aug!AP248</f>
        <v>Kläranlagen</v>
      </c>
    </row>
    <row r="260" spans="1:10">
      <c r="A260" s="215" t="s">
        <v>304</v>
      </c>
      <c r="C260" s="306">
        <v>0.83699999999999997</v>
      </c>
      <c r="D260">
        <v>7.9000000000000001E-2</v>
      </c>
      <c r="E260">
        <v>7.9408200000000004</v>
      </c>
      <c r="G260" s="310">
        <f t="shared" si="4"/>
        <v>0</v>
      </c>
      <c r="J260" t="str">
        <f>PE_aug!AP249</f>
        <v>Kläranlagen</v>
      </c>
    </row>
    <row r="261" spans="1:10">
      <c r="A261" s="215" t="s">
        <v>305</v>
      </c>
      <c r="C261" s="306">
        <v>0.56399999999999995</v>
      </c>
      <c r="D261">
        <v>7.9000000000000001E-2</v>
      </c>
      <c r="E261">
        <v>8.8329500000000003</v>
      </c>
      <c r="G261" s="310">
        <f t="shared" si="4"/>
        <v>0</v>
      </c>
      <c r="J261" t="str">
        <f>PE_aug!AP250</f>
        <v>Kläranlagen</v>
      </c>
    </row>
    <row r="262" spans="1:10">
      <c r="A262" s="215" t="s">
        <v>306</v>
      </c>
      <c r="C262" s="306">
        <v>0.82899999999999996</v>
      </c>
      <c r="D262">
        <v>7.9000000000000001E-2</v>
      </c>
      <c r="E262">
        <v>5.0712599999999997</v>
      </c>
      <c r="G262" s="310">
        <f t="shared" si="4"/>
        <v>0</v>
      </c>
      <c r="J262" t="str">
        <f>PE_aug!AP251</f>
        <v>Kläranlagen</v>
      </c>
    </row>
    <row r="263" spans="1:10">
      <c r="A263" s="215" t="s">
        <v>307</v>
      </c>
      <c r="C263" s="306">
        <v>0.28599999999999998</v>
      </c>
      <c r="D263">
        <v>2.7E-2</v>
      </c>
      <c r="E263">
        <v>8.5876000000000001</v>
      </c>
      <c r="G263" s="310">
        <f t="shared" si="4"/>
        <v>0</v>
      </c>
      <c r="J263" t="str">
        <f>PE_aug!AP252</f>
        <v>Kläranlagen</v>
      </c>
    </row>
    <row r="264" spans="1:10">
      <c r="A264" s="215" t="s">
        <v>308</v>
      </c>
      <c r="C264" s="306">
        <v>1</v>
      </c>
      <c r="D264">
        <v>2.7E-2</v>
      </c>
      <c r="E264">
        <v>11.023999999999999</v>
      </c>
      <c r="G264" s="310">
        <f t="shared" si="4"/>
        <v>0</v>
      </c>
      <c r="J264" t="str">
        <f>PE_aug!AP253</f>
        <v>Kläranlagen</v>
      </c>
    </row>
    <row r="265" spans="1:10">
      <c r="A265" s="215" t="s">
        <v>309</v>
      </c>
      <c r="C265" s="306">
        <v>0.86599999999999999</v>
      </c>
      <c r="D265">
        <v>2.7E-2</v>
      </c>
      <c r="E265">
        <v>7.3292199999999994</v>
      </c>
      <c r="G265" s="310">
        <f t="shared" si="4"/>
        <v>0</v>
      </c>
      <c r="J265" t="str">
        <f>PE_aug!AP254</f>
        <v>Kläranlagen</v>
      </c>
    </row>
    <row r="266" spans="1:10">
      <c r="A266" s="215" t="s">
        <v>310</v>
      </c>
      <c r="G266" s="310">
        <f t="shared" si="4"/>
        <v>0</v>
      </c>
      <c r="J266" t="str">
        <f>PE_aug!AP255</f>
        <v>Sickerwasser</v>
      </c>
    </row>
    <row r="267" spans="1:10">
      <c r="A267" s="215" t="s">
        <v>311</v>
      </c>
      <c r="G267" s="310">
        <f t="shared" si="4"/>
        <v>0</v>
      </c>
      <c r="J267" t="str">
        <f>PE_aug!AP256</f>
        <v>Sickerwasser</v>
      </c>
    </row>
    <row r="268" spans="1:10">
      <c r="A268" s="215" t="s">
        <v>312</v>
      </c>
      <c r="G268" s="310">
        <f t="shared" si="4"/>
        <v>0</v>
      </c>
      <c r="J268" t="str">
        <f>PE_aug!AP257</f>
        <v>Sickerwasser</v>
      </c>
    </row>
    <row r="269" spans="1:10">
      <c r="A269" s="215" t="s">
        <v>313</v>
      </c>
      <c r="G269" s="310">
        <f t="shared" si="4"/>
        <v>0</v>
      </c>
      <c r="J269" t="str">
        <f>PE_aug!AP258</f>
        <v>Sickerwasser</v>
      </c>
    </row>
    <row r="270" spans="1:10">
      <c r="A270" s="216" t="s">
        <v>314</v>
      </c>
      <c r="C270" s="306">
        <v>1.0760000000000001</v>
      </c>
      <c r="D270">
        <v>1.7000000000000001E-2</v>
      </c>
      <c r="E270">
        <v>10.911899999999999</v>
      </c>
      <c r="G270" s="310">
        <f t="shared" si="4"/>
        <v>0</v>
      </c>
      <c r="J270" t="str">
        <f>PE_aug!AP259</f>
        <v>Kläranlagen</v>
      </c>
    </row>
    <row r="271" spans="1:10">
      <c r="A271" s="216" t="s">
        <v>315</v>
      </c>
      <c r="C271" s="306">
        <v>0.76800000000000002</v>
      </c>
      <c r="D271">
        <v>1.7000000000000001E-2</v>
      </c>
      <c r="E271">
        <v>13.8399</v>
      </c>
      <c r="G271" s="310">
        <f t="shared" si="4"/>
        <v>0</v>
      </c>
      <c r="J271" t="str">
        <f>PE_aug!AP260</f>
        <v>Kläranlagen</v>
      </c>
    </row>
    <row r="272" spans="1:10">
      <c r="A272" s="216" t="s">
        <v>316</v>
      </c>
      <c r="C272" s="306">
        <v>0.39500000000000002</v>
      </c>
      <c r="D272">
        <v>1.7000000000000001E-2</v>
      </c>
      <c r="E272">
        <v>13.1463</v>
      </c>
      <c r="G272" s="310">
        <f t="shared" si="4"/>
        <v>0</v>
      </c>
      <c r="J272" t="str">
        <f>PE_aug!AP261</f>
        <v>Kläranlagen</v>
      </c>
    </row>
    <row r="273" spans="1:10">
      <c r="A273" s="216" t="s">
        <v>317</v>
      </c>
      <c r="C273" s="306">
        <v>0.996</v>
      </c>
      <c r="D273">
        <v>8.1000000000000003E-2</v>
      </c>
      <c r="E273">
        <v>4.4084400000000006</v>
      </c>
      <c r="G273" s="310">
        <f t="shared" si="4"/>
        <v>0</v>
      </c>
      <c r="J273" t="str">
        <f>PE_aug!AP262</f>
        <v>Kläranlagen</v>
      </c>
    </row>
    <row r="274" spans="1:10">
      <c r="A274" s="216" t="s">
        <v>318</v>
      </c>
      <c r="C274" s="306">
        <v>0.155</v>
      </c>
      <c r="D274">
        <v>8.1000000000000003E-2</v>
      </c>
      <c r="E274">
        <v>5.8289400000000002</v>
      </c>
      <c r="G274" s="310">
        <f t="shared" si="4"/>
        <v>0</v>
      </c>
      <c r="J274" t="str">
        <f>PE_aug!AP263</f>
        <v>Kläranlagen</v>
      </c>
    </row>
    <row r="275" spans="1:10">
      <c r="A275" s="216" t="s">
        <v>319</v>
      </c>
      <c r="C275" s="306">
        <v>0.97299999999999998</v>
      </c>
      <c r="D275">
        <v>8.1000000000000003E-2</v>
      </c>
      <c r="E275">
        <v>7.2398100000000003</v>
      </c>
      <c r="G275" s="310">
        <f t="shared" si="4"/>
        <v>0</v>
      </c>
      <c r="J275" t="str">
        <f>PE_aug!AP264</f>
        <v>Kläranlagen</v>
      </c>
    </row>
    <row r="276" spans="1:10">
      <c r="A276" s="216" t="s">
        <v>320</v>
      </c>
      <c r="C276" s="306">
        <v>0.70699999999999996</v>
      </c>
      <c r="D276">
        <v>7.1999999999999995E-2</v>
      </c>
      <c r="E276">
        <v>8.7419449999999994</v>
      </c>
      <c r="G276" s="310">
        <f t="shared" si="4"/>
        <v>0</v>
      </c>
      <c r="J276" t="str">
        <f>PE_aug!AP265</f>
        <v>Kläranlagen</v>
      </c>
    </row>
    <row r="277" spans="1:10">
      <c r="A277" s="216" t="s">
        <v>321</v>
      </c>
      <c r="C277" s="306">
        <v>0.70699999999999996</v>
      </c>
      <c r="D277">
        <v>7.1999999999999995E-2</v>
      </c>
      <c r="E277">
        <v>9.5270100000000006</v>
      </c>
      <c r="G277" s="310">
        <f t="shared" si="4"/>
        <v>0</v>
      </c>
      <c r="J277" t="str">
        <f>PE_aug!AP266</f>
        <v>Kläranlagen</v>
      </c>
    </row>
    <row r="278" spans="1:10">
      <c r="A278" s="229" t="s">
        <v>322</v>
      </c>
      <c r="C278" s="306">
        <v>0.70699999999999996</v>
      </c>
      <c r="D278">
        <v>0.124</v>
      </c>
      <c r="E278">
        <v>8.6800599999999992</v>
      </c>
      <c r="G278" s="310">
        <f t="shared" si="4"/>
        <v>0</v>
      </c>
      <c r="J278" t="str">
        <f>PE_aug!AP267</f>
        <v>KWB</v>
      </c>
    </row>
    <row r="279" spans="1:10">
      <c r="A279" s="229" t="s">
        <v>324</v>
      </c>
      <c r="C279" s="306">
        <v>0.70699999999999996</v>
      </c>
      <c r="D279">
        <v>0.124</v>
      </c>
      <c r="E279">
        <v>7.4999899999999986</v>
      </c>
      <c r="G279" s="310">
        <f t="shared" si="4"/>
        <v>0</v>
      </c>
      <c r="J279" t="str">
        <f>PE_aug!AP268</f>
        <v>KWB</v>
      </c>
    </row>
    <row r="280" spans="1:10">
      <c r="A280" s="229" t="s">
        <v>325</v>
      </c>
      <c r="C280" s="306">
        <v>0.70699999999999996</v>
      </c>
      <c r="D280">
        <v>0.14499999999999999</v>
      </c>
      <c r="E280">
        <v>5.2230249999999998</v>
      </c>
      <c r="G280" s="310">
        <f t="shared" si="4"/>
        <v>0</v>
      </c>
      <c r="J280" t="str">
        <f>PE_aug!AP269</f>
        <v>KWB</v>
      </c>
    </row>
    <row r="281" spans="1:10">
      <c r="A281" s="229" t="s">
        <v>326</v>
      </c>
      <c r="C281" s="306">
        <v>0.70699999999999996</v>
      </c>
      <c r="D281">
        <v>0.45</v>
      </c>
      <c r="E281">
        <v>6.5487399999999996</v>
      </c>
      <c r="G281" s="310">
        <f t="shared" si="4"/>
        <v>0</v>
      </c>
      <c r="J281" t="str">
        <f>PE_aug!AP270</f>
        <v>KWB</v>
      </c>
    </row>
    <row r="282" spans="1:10">
      <c r="A282" s="229" t="s">
        <v>327</v>
      </c>
      <c r="C282" s="306">
        <v>0.70699999999999996</v>
      </c>
      <c r="D282">
        <v>0.45</v>
      </c>
      <c r="E282">
        <v>6.3243900000000002</v>
      </c>
      <c r="G282" s="310">
        <f t="shared" si="4"/>
        <v>0</v>
      </c>
      <c r="J282" t="str">
        <f>PE_aug!AP271</f>
        <v>KWB</v>
      </c>
    </row>
    <row r="283" spans="1:10">
      <c r="A283" s="229" t="s">
        <v>328</v>
      </c>
      <c r="C283" s="306">
        <v>0.70699999999999996</v>
      </c>
      <c r="D283">
        <v>0.14699999999999999</v>
      </c>
      <c r="E283">
        <v>8.8096600000000009</v>
      </c>
      <c r="F283">
        <v>0.25</v>
      </c>
      <c r="G283" s="310">
        <f t="shared" si="4"/>
        <v>0</v>
      </c>
      <c r="J283" t="str">
        <f>PE_aug!AP272</f>
        <v>Kläranlagen</v>
      </c>
    </row>
    <row r="284" spans="1:10">
      <c r="A284" s="229" t="s">
        <v>329</v>
      </c>
      <c r="C284" s="306">
        <v>0.70699999999999996</v>
      </c>
      <c r="D284">
        <v>0.14699999999999999</v>
      </c>
      <c r="E284">
        <v>4.2674799999999999</v>
      </c>
      <c r="G284" s="310">
        <f t="shared" si="4"/>
        <v>0</v>
      </c>
      <c r="J284" t="str">
        <f>PE_aug!AP273</f>
        <v>Kläranlagen</v>
      </c>
    </row>
    <row r="285" spans="1:10">
      <c r="A285" s="229" t="s">
        <v>330</v>
      </c>
      <c r="C285" s="306">
        <v>1.016</v>
      </c>
      <c r="D285">
        <v>0.124</v>
      </c>
      <c r="E285">
        <v>16.704599999999999</v>
      </c>
      <c r="G285" s="310">
        <f t="shared" si="4"/>
        <v>0</v>
      </c>
      <c r="J285" t="str">
        <f>PE_aug!AP274</f>
        <v>Kläranlagen</v>
      </c>
    </row>
    <row r="286" spans="1:10">
      <c r="A286" s="229" t="s">
        <v>331</v>
      </c>
      <c r="C286" s="306">
        <v>0.22500000000000001</v>
      </c>
      <c r="D286">
        <v>0.124</v>
      </c>
      <c r="E286">
        <v>10.55025</v>
      </c>
      <c r="G286" s="310">
        <f t="shared" si="4"/>
        <v>0</v>
      </c>
      <c r="J286" t="str">
        <f>PE_aug!AP275</f>
        <v>Kläranlagen</v>
      </c>
    </row>
    <row r="287" spans="1:10">
      <c r="A287" s="229" t="s">
        <v>332</v>
      </c>
      <c r="C287" s="306">
        <v>0.90200000000000002</v>
      </c>
      <c r="D287">
        <v>0.124</v>
      </c>
      <c r="E287">
        <v>8.4931399999999986</v>
      </c>
      <c r="G287" s="310">
        <f t="shared" si="4"/>
        <v>0</v>
      </c>
      <c r="J287" t="str">
        <f>PE_aug!AP276</f>
        <v>Kläranlagen</v>
      </c>
    </row>
    <row r="288" spans="1:10">
      <c r="A288" s="229" t="s">
        <v>333</v>
      </c>
      <c r="C288" s="306">
        <v>0.97099999999999997</v>
      </c>
      <c r="D288">
        <v>9.8000000000000004E-2</v>
      </c>
      <c r="E288">
        <v>8.8784799999999997</v>
      </c>
      <c r="G288" s="310">
        <f t="shared" si="4"/>
        <v>0</v>
      </c>
      <c r="J288" t="str">
        <f>PE_aug!AP277</f>
        <v>KWS, Schlamm</v>
      </c>
    </row>
    <row r="289" spans="1:10">
      <c r="A289" s="229" t="s">
        <v>334</v>
      </c>
      <c r="C289" s="306">
        <v>0.54800000000000004</v>
      </c>
      <c r="D289">
        <v>9.8000000000000004E-2</v>
      </c>
      <c r="E289">
        <v>13.416</v>
      </c>
      <c r="G289" s="310">
        <f t="shared" si="4"/>
        <v>0</v>
      </c>
      <c r="J289" t="str">
        <f>PE_aug!AP278</f>
        <v>KWS, Schlamm</v>
      </c>
    </row>
    <row r="290" spans="1:10">
      <c r="A290" s="229" t="s">
        <v>335</v>
      </c>
      <c r="C290" s="306">
        <v>0.66600000000000004</v>
      </c>
      <c r="D290">
        <v>9.8000000000000004E-2</v>
      </c>
      <c r="E290">
        <v>12.52145</v>
      </c>
      <c r="G290" s="310">
        <f t="shared" si="4"/>
        <v>0</v>
      </c>
      <c r="J290" t="str">
        <f>PE_aug!AP279</f>
        <v>KWS, Schlamm</v>
      </c>
    </row>
    <row r="291" spans="1:10">
      <c r="A291" s="229" t="s">
        <v>336</v>
      </c>
      <c r="C291" s="306">
        <v>0.71199999999999997</v>
      </c>
      <c r="D291">
        <v>0.10199999999999999</v>
      </c>
      <c r="E291">
        <v>6.3610100000000003</v>
      </c>
      <c r="G291" s="310">
        <f t="shared" si="4"/>
        <v>0</v>
      </c>
      <c r="J291" t="str">
        <f>PE_aug!AP280</f>
        <v>Kläranlagen</v>
      </c>
    </row>
    <row r="292" spans="1:10">
      <c r="A292" s="229" t="s">
        <v>337</v>
      </c>
      <c r="C292" s="306">
        <v>0.52700000000000002</v>
      </c>
      <c r="D292">
        <v>0.10199999999999999</v>
      </c>
      <c r="E292">
        <v>6.8360700000000003</v>
      </c>
      <c r="G292" s="310">
        <f t="shared" si="4"/>
        <v>0</v>
      </c>
      <c r="J292" t="str">
        <f>PE_aug!AP281</f>
        <v>Kläranlagen</v>
      </c>
    </row>
    <row r="293" spans="1:10">
      <c r="A293" s="229" t="s">
        <v>338</v>
      </c>
      <c r="C293" s="306">
        <v>0.98899999999999999</v>
      </c>
      <c r="D293">
        <v>0.10199999999999999</v>
      </c>
      <c r="E293">
        <v>9.666640000000001</v>
      </c>
      <c r="G293" s="310">
        <f t="shared" si="4"/>
        <v>0</v>
      </c>
      <c r="J293" t="str">
        <f>PE_aug!AP282</f>
        <v>Kläranlagen</v>
      </c>
    </row>
    <row r="294" spans="1:10">
      <c r="A294" s="229" t="s">
        <v>339</v>
      </c>
      <c r="C294" s="306">
        <v>0.70699999999999996</v>
      </c>
      <c r="D294">
        <v>3.9E-2</v>
      </c>
      <c r="E294">
        <v>7.4099700000000004</v>
      </c>
      <c r="G294" s="310">
        <f t="shared" si="4"/>
        <v>0</v>
      </c>
      <c r="J294" t="str">
        <f>PE_aug!AP283</f>
        <v>Kläranlagen</v>
      </c>
    </row>
    <row r="295" spans="1:10">
      <c r="A295" s="229" t="s">
        <v>340</v>
      </c>
      <c r="C295" s="306">
        <v>0.70699999999999996</v>
      </c>
      <c r="D295">
        <v>3.9E-2</v>
      </c>
      <c r="E295">
        <v>8.2233499999999999</v>
      </c>
      <c r="G295" s="310">
        <f t="shared" si="4"/>
        <v>0</v>
      </c>
      <c r="J295" t="str">
        <f>PE_aug!AP284</f>
        <v>Kläranlagen</v>
      </c>
    </row>
    <row r="296" spans="1:10">
      <c r="A296" s="230" t="s">
        <v>560</v>
      </c>
      <c r="C296" s="306">
        <v>0.65800000000000003</v>
      </c>
      <c r="D296">
        <v>5.3999999999999999E-2</v>
      </c>
      <c r="E296">
        <v>12.948399999999999</v>
      </c>
      <c r="G296" s="310">
        <f t="shared" si="4"/>
        <v>0</v>
      </c>
      <c r="J296" t="str">
        <f>PE_aug!AP285</f>
        <v>Ringversuch</v>
      </c>
    </row>
    <row r="297" spans="1:10">
      <c r="A297" s="230" t="s">
        <v>561</v>
      </c>
      <c r="C297" s="306">
        <v>0.54</v>
      </c>
      <c r="D297">
        <v>5.3999999999999999E-2</v>
      </c>
      <c r="E297">
        <v>12.1568</v>
      </c>
      <c r="G297" s="310">
        <f t="shared" si="4"/>
        <v>0</v>
      </c>
      <c r="J297" t="str">
        <f>PE_aug!AP286</f>
        <v>Ringversuch</v>
      </c>
    </row>
    <row r="298" spans="1:10">
      <c r="A298" s="230" t="s">
        <v>562</v>
      </c>
      <c r="C298" s="306">
        <v>1.002</v>
      </c>
      <c r="D298">
        <v>5.3999999999999999E-2</v>
      </c>
      <c r="E298">
        <v>10.7057</v>
      </c>
      <c r="G298" s="310">
        <f t="shared" si="4"/>
        <v>0</v>
      </c>
      <c r="J298" t="str">
        <f>PE_aug!AP287</f>
        <v>Ringversuch</v>
      </c>
    </row>
    <row r="299" spans="1:10">
      <c r="A299" s="230" t="s">
        <v>563</v>
      </c>
      <c r="E299">
        <v>3.8606199999999991</v>
      </c>
      <c r="G299" s="310">
        <f t="shared" si="4"/>
        <v>0</v>
      </c>
      <c r="J299" t="str">
        <f>PE_aug!AP288</f>
        <v>Ringversuch</v>
      </c>
    </row>
    <row r="300" spans="1:10">
      <c r="A300" s="230" t="s">
        <v>564</v>
      </c>
      <c r="E300">
        <v>4.9999699999999994</v>
      </c>
      <c r="G300" s="310">
        <f t="shared" si="4"/>
        <v>0</v>
      </c>
      <c r="J300" t="str">
        <f>PE_aug!AP289</f>
        <v>Ringversuch</v>
      </c>
    </row>
    <row r="301" spans="1:10">
      <c r="A301" s="230" t="s">
        <v>565</v>
      </c>
      <c r="E301">
        <v>2.4472399999999999</v>
      </c>
      <c r="G301" s="310">
        <f t="shared" si="4"/>
        <v>0</v>
      </c>
      <c r="J301" t="str">
        <f>PE_aug!AP290</f>
        <v>Ringversuch</v>
      </c>
    </row>
    <row r="302" spans="1:10">
      <c r="A302" s="230" t="s">
        <v>566</v>
      </c>
      <c r="E302">
        <v>5.4399699999999998</v>
      </c>
      <c r="G302" s="310">
        <f t="shared" si="4"/>
        <v>0</v>
      </c>
      <c r="J302" t="str">
        <f>PE_aug!AP291</f>
        <v>Ringversuch</v>
      </c>
    </row>
    <row r="303" spans="1:10">
      <c r="A303" s="230" t="s">
        <v>567</v>
      </c>
      <c r="B303">
        <v>23.83</v>
      </c>
      <c r="E303">
        <v>3.875</v>
      </c>
      <c r="F303">
        <v>0.8</v>
      </c>
      <c r="G303" s="310">
        <f t="shared" si="4"/>
        <v>6.1496774193548385</v>
      </c>
      <c r="H303">
        <v>15</v>
      </c>
      <c r="I303" s="309">
        <f>100*B303/H303</f>
        <v>158.86666666666667</v>
      </c>
      <c r="J303" t="str">
        <f>PE_aug!AP292</f>
        <v>Ringversuch</v>
      </c>
    </row>
    <row r="304" spans="1:10">
      <c r="A304" s="230" t="s">
        <v>350</v>
      </c>
      <c r="B304">
        <v>78.8</v>
      </c>
      <c r="E304">
        <v>4.3691700000000004</v>
      </c>
      <c r="F304">
        <v>1</v>
      </c>
      <c r="G304" s="310">
        <f t="shared" si="4"/>
        <v>18.035462112941357</v>
      </c>
      <c r="H304">
        <v>20</v>
      </c>
      <c r="I304" s="312">
        <f>100*B304/H304</f>
        <v>394</v>
      </c>
      <c r="J304" t="str">
        <f>PE_aug!AP293</f>
        <v>Kläranlagen, Methode</v>
      </c>
    </row>
    <row r="305" spans="1:10">
      <c r="A305" s="230" t="s">
        <v>351</v>
      </c>
      <c r="C305" s="306">
        <v>0.70699999999999996</v>
      </c>
      <c r="D305">
        <v>3.9E-2</v>
      </c>
      <c r="E305">
        <v>3.71591</v>
      </c>
      <c r="G305" s="310">
        <f t="shared" si="4"/>
        <v>0</v>
      </c>
      <c r="J305" t="str">
        <f>PE_aug!AP294</f>
        <v>KWB</v>
      </c>
    </row>
    <row r="306" spans="1:10">
      <c r="A306" s="230" t="s">
        <v>352</v>
      </c>
      <c r="C306" s="306">
        <v>0.70699999999999996</v>
      </c>
      <c r="D306">
        <v>3.9E-2</v>
      </c>
      <c r="E306">
        <v>3.9680499999999999</v>
      </c>
      <c r="G306" s="310">
        <f t="shared" si="4"/>
        <v>0</v>
      </c>
      <c r="J306" t="str">
        <f>PE_aug!AP295</f>
        <v>KWB</v>
      </c>
    </row>
    <row r="307" spans="1:10">
      <c r="A307" s="230" t="s">
        <v>353</v>
      </c>
      <c r="C307" s="306">
        <v>0.70699999999999996</v>
      </c>
      <c r="D307">
        <v>2.492</v>
      </c>
      <c r="E307">
        <v>1.542055</v>
      </c>
      <c r="G307" s="310">
        <f t="shared" si="4"/>
        <v>0</v>
      </c>
      <c r="J307" t="str">
        <f>PE_aug!AP296</f>
        <v>Bodenproben</v>
      </c>
    </row>
    <row r="308" spans="1:10">
      <c r="A308" s="230" t="s">
        <v>355</v>
      </c>
      <c r="C308" s="306">
        <v>0.70699999999999996</v>
      </c>
      <c r="D308">
        <v>2.492</v>
      </c>
      <c r="E308">
        <v>0.66962800000000011</v>
      </c>
      <c r="G308" s="310">
        <f t="shared" si="4"/>
        <v>0</v>
      </c>
      <c r="J308" t="str">
        <f>PE_aug!AP297</f>
        <v>Bodenproben</v>
      </c>
    </row>
    <row r="309" spans="1:10">
      <c r="A309" s="230" t="s">
        <v>356</v>
      </c>
      <c r="C309" s="306">
        <v>0.749</v>
      </c>
      <c r="D309">
        <v>2.9000000000000001E-2</v>
      </c>
      <c r="E309">
        <v>6.9847100000000006</v>
      </c>
      <c r="G309" s="310">
        <f t="shared" si="4"/>
        <v>0</v>
      </c>
      <c r="J309" t="str">
        <f>PE_aug!AP298</f>
        <v>Kläranlagen</v>
      </c>
    </row>
    <row r="310" spans="1:10">
      <c r="A310" s="230" t="s">
        <v>357</v>
      </c>
      <c r="C310" s="306">
        <v>0.59899999999999998</v>
      </c>
      <c r="D310">
        <v>2.9000000000000001E-2</v>
      </c>
      <c r="E310">
        <v>7.3604950000000002</v>
      </c>
      <c r="G310" s="310">
        <f t="shared" si="4"/>
        <v>0</v>
      </c>
      <c r="J310" t="str">
        <f>PE_aug!AP299</f>
        <v>Kläranlagen</v>
      </c>
    </row>
    <row r="311" spans="1:10">
      <c r="A311" s="230" t="s">
        <v>358</v>
      </c>
      <c r="C311" s="306">
        <v>0.88700000000000001</v>
      </c>
      <c r="D311">
        <v>2.9000000000000001E-2</v>
      </c>
      <c r="E311">
        <v>7.2579799999999999</v>
      </c>
      <c r="G311" s="310">
        <f t="shared" si="4"/>
        <v>0</v>
      </c>
      <c r="J311" t="str">
        <f>PE_aug!AP300</f>
        <v>Kläranlagen</v>
      </c>
    </row>
    <row r="312" spans="1:10">
      <c r="A312" s="230" t="s">
        <v>359</v>
      </c>
      <c r="E312">
        <v>7.8634899999999996</v>
      </c>
      <c r="G312" s="310">
        <f t="shared" si="4"/>
        <v>0</v>
      </c>
      <c r="J312" t="str">
        <f>PE_aug!AP301</f>
        <v>Kläranlagen, Methode</v>
      </c>
    </row>
    <row r="313" spans="1:10">
      <c r="A313" s="232" t="s">
        <v>360</v>
      </c>
      <c r="C313">
        <v>0.54</v>
      </c>
      <c r="D313">
        <v>5.3999999999999999E-2</v>
      </c>
      <c r="E313">
        <v>12.1568</v>
      </c>
      <c r="G313" s="310">
        <f t="shared" si="4"/>
        <v>0</v>
      </c>
      <c r="J313" t="str">
        <f>PE_aug!AP302</f>
        <v>Ringversuch</v>
      </c>
    </row>
    <row r="314" spans="1:10">
      <c r="A314" s="232" t="s">
        <v>361</v>
      </c>
      <c r="C314">
        <v>1.002</v>
      </c>
      <c r="D314">
        <v>5.3999999999999999E-2</v>
      </c>
      <c r="E314">
        <v>10.7057</v>
      </c>
      <c r="G314" s="310">
        <f t="shared" si="4"/>
        <v>0</v>
      </c>
      <c r="J314" t="str">
        <f>PE_aug!AP303</f>
        <v>Ringversuch</v>
      </c>
    </row>
    <row r="315" spans="1:10">
      <c r="A315" s="232" t="s">
        <v>362</v>
      </c>
      <c r="D315" s="307"/>
      <c r="E315">
        <v>3.8606199999999991</v>
      </c>
      <c r="G315" s="310">
        <f t="shared" si="4"/>
        <v>0</v>
      </c>
      <c r="J315" t="str">
        <f>PE_aug!AP304</f>
        <v>Ringversuch</v>
      </c>
    </row>
    <row r="316" spans="1:10">
      <c r="A316" s="232" t="s">
        <v>363</v>
      </c>
      <c r="D316" s="307"/>
      <c r="E316">
        <v>4.9999699999999994</v>
      </c>
      <c r="G316" s="310">
        <f t="shared" si="4"/>
        <v>0</v>
      </c>
      <c r="J316" t="str">
        <f>PE_aug!AP305</f>
        <v>Ringversuch</v>
      </c>
    </row>
    <row r="317" spans="1:10">
      <c r="A317" s="232" t="s">
        <v>364</v>
      </c>
      <c r="D317" s="307"/>
      <c r="E317">
        <v>2.4472399999999999</v>
      </c>
      <c r="G317" s="310">
        <f t="shared" si="4"/>
        <v>0</v>
      </c>
      <c r="J317" t="str">
        <f>PE_aug!AP306</f>
        <v>Ringversuch</v>
      </c>
    </row>
    <row r="318" spans="1:10">
      <c r="A318" s="232" t="s">
        <v>365</v>
      </c>
      <c r="D318" s="307"/>
      <c r="E318">
        <v>5.4399699999999998</v>
      </c>
      <c r="G318" s="310">
        <f t="shared" si="4"/>
        <v>0</v>
      </c>
      <c r="J318" t="str">
        <f>PE_aug!AP307</f>
        <v>Ringversuch</v>
      </c>
    </row>
    <row r="319" spans="1:10">
      <c r="A319" s="232" t="s">
        <v>366</v>
      </c>
      <c r="B319">
        <v>23.83</v>
      </c>
      <c r="D319" s="307"/>
      <c r="E319">
        <v>3.875</v>
      </c>
      <c r="F319">
        <v>0.8</v>
      </c>
      <c r="G319" s="310">
        <f t="shared" si="4"/>
        <v>6.1496774193548385</v>
      </c>
      <c r="H319">
        <v>15</v>
      </c>
      <c r="I319" s="309">
        <f>100*B319/H319</f>
        <v>158.86666666666667</v>
      </c>
      <c r="J319" t="str">
        <f>PE_aug!AP308</f>
        <v>Ringversuch</v>
      </c>
    </row>
    <row r="320" spans="1:10">
      <c r="A320" s="253" t="s">
        <v>367</v>
      </c>
      <c r="C320">
        <v>1.091</v>
      </c>
      <c r="D320">
        <v>6.7000000000000004E-2</v>
      </c>
      <c r="E320">
        <v>9.286525000000001</v>
      </c>
      <c r="G320" s="310">
        <f t="shared" si="4"/>
        <v>0</v>
      </c>
      <c r="J320" t="str">
        <f>PE_aug!AP309</f>
        <v>Flussproben</v>
      </c>
    </row>
    <row r="321" spans="1:10">
      <c r="A321" s="253" t="s">
        <v>368</v>
      </c>
      <c r="C321">
        <v>0.60099999999999998</v>
      </c>
      <c r="D321">
        <v>6.7000000000000004E-2</v>
      </c>
      <c r="E321">
        <v>12.251099999999999</v>
      </c>
      <c r="G321" s="310">
        <f t="shared" si="4"/>
        <v>0</v>
      </c>
      <c r="J321" t="str">
        <f>PE_aug!AP310</f>
        <v>Flussproben</v>
      </c>
    </row>
    <row r="322" spans="1:10">
      <c r="A322" s="253" t="s">
        <v>369</v>
      </c>
      <c r="C322">
        <v>0.51500000000000001</v>
      </c>
      <c r="D322">
        <v>6.7000000000000004E-2</v>
      </c>
      <c r="E322">
        <v>12.615600000000001</v>
      </c>
      <c r="G322" s="310">
        <f t="shared" ref="G322:G385" si="5">IFERROR(B322/E322,0)</f>
        <v>0</v>
      </c>
      <c r="J322" t="str">
        <f>PE_aug!AP311</f>
        <v>Flussproben</v>
      </c>
    </row>
    <row r="323" spans="1:10">
      <c r="A323" s="253" t="s">
        <v>370</v>
      </c>
      <c r="C323">
        <v>0.97199999999999998</v>
      </c>
      <c r="D323">
        <v>0.105</v>
      </c>
      <c r="E323">
        <v>7.857660000000001</v>
      </c>
      <c r="G323" s="310">
        <f t="shared" si="5"/>
        <v>0</v>
      </c>
      <c r="J323" t="str">
        <f>PE_aug!AP312</f>
        <v>Flussproben</v>
      </c>
    </row>
    <row r="324" spans="1:10">
      <c r="A324" s="253" t="s">
        <v>371</v>
      </c>
      <c r="C324">
        <v>0.99399999999999999</v>
      </c>
      <c r="D324">
        <v>0.105</v>
      </c>
      <c r="E324">
        <v>14.188499999999999</v>
      </c>
      <c r="G324" s="310">
        <f t="shared" si="5"/>
        <v>0</v>
      </c>
      <c r="J324" t="str">
        <f>PE_aug!AP313</f>
        <v>Flussproben</v>
      </c>
    </row>
    <row r="325" spans="1:10">
      <c r="A325" s="253" t="s">
        <v>372</v>
      </c>
      <c r="C325">
        <v>0.1</v>
      </c>
      <c r="D325">
        <v>0.105</v>
      </c>
      <c r="E325">
        <v>11.1106</v>
      </c>
      <c r="G325" s="310">
        <f t="shared" si="5"/>
        <v>0</v>
      </c>
      <c r="J325" t="str">
        <f>PE_aug!AP314</f>
        <v>Flussproben</v>
      </c>
    </row>
    <row r="326" spans="1:10">
      <c r="A326" s="253" t="s">
        <v>373</v>
      </c>
      <c r="C326">
        <v>0.41</v>
      </c>
      <c r="D326">
        <v>2.1000000000000001E-2</v>
      </c>
      <c r="E326">
        <v>7.3926399999999992</v>
      </c>
      <c r="G326" s="310">
        <f t="shared" si="5"/>
        <v>0</v>
      </c>
      <c r="J326" t="str">
        <f>PE_aug!AP315</f>
        <v>Flussproben</v>
      </c>
    </row>
    <row r="327" spans="1:10">
      <c r="A327" s="253" t="s">
        <v>374</v>
      </c>
      <c r="C327">
        <v>0.96</v>
      </c>
      <c r="D327">
        <v>2.1000000000000001E-2</v>
      </c>
      <c r="E327">
        <v>6.2162100000000002</v>
      </c>
      <c r="G327" s="310">
        <f t="shared" si="5"/>
        <v>0</v>
      </c>
      <c r="J327" t="str">
        <f>PE_aug!AP316</f>
        <v>Flussproben</v>
      </c>
    </row>
    <row r="328" spans="1:10">
      <c r="A328" s="253" t="s">
        <v>375</v>
      </c>
      <c r="C328">
        <v>0.84199999999999997</v>
      </c>
      <c r="D328">
        <v>2.1000000000000001E-2</v>
      </c>
      <c r="E328">
        <v>7.15618</v>
      </c>
      <c r="G328" s="310">
        <f t="shared" si="5"/>
        <v>0</v>
      </c>
      <c r="J328" t="str">
        <f>PE_aug!AP317</f>
        <v>Flussproben</v>
      </c>
    </row>
    <row r="329" spans="1:10">
      <c r="A329" s="253" t="s">
        <v>376</v>
      </c>
      <c r="C329">
        <v>0.374</v>
      </c>
      <c r="D329">
        <v>4.5999999999999999E-2</v>
      </c>
      <c r="E329">
        <v>8.03186</v>
      </c>
      <c r="G329" s="310">
        <f t="shared" si="5"/>
        <v>0</v>
      </c>
      <c r="J329" t="str">
        <f>PE_aug!AP318</f>
        <v>Flussproben</v>
      </c>
    </row>
    <row r="330" spans="1:10">
      <c r="A330" s="253" t="s">
        <v>377</v>
      </c>
      <c r="C330">
        <v>0.74099999999999999</v>
      </c>
      <c r="D330">
        <v>4.5999999999999999E-2</v>
      </c>
      <c r="E330">
        <v>8.0254700000000003</v>
      </c>
      <c r="G330" s="310">
        <f t="shared" si="5"/>
        <v>0</v>
      </c>
      <c r="J330" t="str">
        <f>PE_aug!AP319</f>
        <v>Flussproben</v>
      </c>
    </row>
    <row r="331" spans="1:10">
      <c r="A331" s="253" t="s">
        <v>378</v>
      </c>
      <c r="C331">
        <v>1.087</v>
      </c>
      <c r="D331">
        <v>4.5999999999999999E-2</v>
      </c>
      <c r="E331">
        <v>6.2082499999999996</v>
      </c>
      <c r="G331" s="310">
        <f t="shared" si="5"/>
        <v>0</v>
      </c>
      <c r="J331" t="str">
        <f>PE_aug!AP320</f>
        <v>Flussproben</v>
      </c>
    </row>
    <row r="332" spans="1:10">
      <c r="A332" s="253" t="s">
        <v>379</v>
      </c>
      <c r="E332">
        <v>3.4387300000000003E-2</v>
      </c>
      <c r="G332" s="310">
        <f t="shared" si="5"/>
        <v>0</v>
      </c>
      <c r="J332" t="str">
        <f>PE_aug!AP321</f>
        <v>Methode</v>
      </c>
    </row>
    <row r="333" spans="1:10">
      <c r="A333" s="253" t="s">
        <v>380</v>
      </c>
      <c r="C333">
        <v>0.70699999999999996</v>
      </c>
      <c r="D333">
        <v>1.1599999999999999</v>
      </c>
      <c r="E333">
        <v>42.268900000000002</v>
      </c>
      <c r="F333">
        <v>0.5</v>
      </c>
      <c r="G333" s="310">
        <f t="shared" si="5"/>
        <v>0</v>
      </c>
      <c r="J333" t="str">
        <f>PE_aug!AP322</f>
        <v>Straßenabfluss</v>
      </c>
    </row>
    <row r="334" spans="1:10">
      <c r="A334" s="253" t="s">
        <v>382</v>
      </c>
      <c r="C334">
        <v>0.70699999999999996</v>
      </c>
      <c r="D334">
        <v>1.1599999999999999</v>
      </c>
      <c r="E334">
        <v>8.3740100000000002</v>
      </c>
      <c r="F334">
        <v>0.25</v>
      </c>
      <c r="G334" s="310">
        <f t="shared" si="5"/>
        <v>0</v>
      </c>
      <c r="J334" t="str">
        <f>PE_aug!AP323</f>
        <v>Straßenabfluss</v>
      </c>
    </row>
    <row r="335" spans="1:10">
      <c r="A335" s="253" t="s">
        <v>383</v>
      </c>
      <c r="C335">
        <v>0.878</v>
      </c>
      <c r="D335">
        <v>5.1999999999999998E-2</v>
      </c>
      <c r="E335">
        <v>10.1844</v>
      </c>
      <c r="G335" s="310">
        <f t="shared" si="5"/>
        <v>0</v>
      </c>
      <c r="J335" t="str">
        <f>PE_aug!AP324</f>
        <v>Kläranlagen</v>
      </c>
    </row>
    <row r="336" spans="1:10">
      <c r="A336" s="253" t="s">
        <v>384</v>
      </c>
      <c r="C336">
        <v>0.90200000000000002</v>
      </c>
      <c r="D336">
        <v>5.1999999999999998E-2</v>
      </c>
      <c r="E336">
        <v>6.6312749999999996</v>
      </c>
      <c r="G336" s="310">
        <f t="shared" si="5"/>
        <v>0</v>
      </c>
      <c r="J336" t="str">
        <f>PE_aug!AP325</f>
        <v>Kläranlagen</v>
      </c>
    </row>
    <row r="337" spans="1:10">
      <c r="A337" s="253" t="s">
        <v>385</v>
      </c>
      <c r="C337">
        <v>0.44700000000000001</v>
      </c>
      <c r="D337">
        <v>5.1999999999999998E-2</v>
      </c>
      <c r="E337">
        <v>7.7322649999999999</v>
      </c>
      <c r="G337" s="310">
        <f t="shared" si="5"/>
        <v>0</v>
      </c>
      <c r="J337" t="str">
        <f>PE_aug!AP326</f>
        <v>Kläranlagen</v>
      </c>
    </row>
    <row r="338" spans="1:10">
      <c r="A338" s="266" t="s">
        <v>386</v>
      </c>
      <c r="E338">
        <v>6.8653399999999998</v>
      </c>
      <c r="G338" s="310">
        <f t="shared" si="5"/>
        <v>0</v>
      </c>
      <c r="J338" t="str">
        <f>PE_aug!AP327</f>
        <v>Ringversuch</v>
      </c>
    </row>
    <row r="339" spans="1:10">
      <c r="A339" s="266" t="s">
        <v>387</v>
      </c>
      <c r="E339">
        <v>5.2691300000000014</v>
      </c>
      <c r="G339" s="310">
        <f t="shared" si="5"/>
        <v>0</v>
      </c>
      <c r="J339" t="str">
        <f>PE_aug!AP328</f>
        <v>Kläranlagen, Methode</v>
      </c>
    </row>
    <row r="340" spans="1:10">
      <c r="A340" s="266" t="s">
        <v>388</v>
      </c>
      <c r="C340">
        <v>0.70699999999999996</v>
      </c>
      <c r="D340">
        <v>0.09</v>
      </c>
      <c r="E340">
        <v>7.6058300000000001</v>
      </c>
      <c r="G340" s="310">
        <f t="shared" si="5"/>
        <v>0</v>
      </c>
      <c r="J340" t="str">
        <f>PE_aug!AP329</f>
        <v>Kläranlagen</v>
      </c>
    </row>
    <row r="341" spans="1:10">
      <c r="A341" s="266" t="s">
        <v>389</v>
      </c>
      <c r="C341">
        <v>0.70699999999999996</v>
      </c>
      <c r="D341">
        <v>0.09</v>
      </c>
      <c r="E341">
        <v>7.6572449999999996</v>
      </c>
      <c r="G341" s="310">
        <f t="shared" si="5"/>
        <v>0</v>
      </c>
      <c r="J341" t="str">
        <f>PE_aug!AP330</f>
        <v>Kläranlagen</v>
      </c>
    </row>
    <row r="342" spans="1:10">
      <c r="A342" s="267" t="s">
        <v>390</v>
      </c>
      <c r="C342">
        <v>0.67300000000000004</v>
      </c>
      <c r="D342">
        <v>3.9E-2</v>
      </c>
      <c r="E342">
        <v>8.7565600000000003</v>
      </c>
      <c r="F342">
        <v>0.5</v>
      </c>
      <c r="G342" s="310">
        <f t="shared" si="5"/>
        <v>0</v>
      </c>
      <c r="J342" t="str">
        <f>PE_aug!AP331</f>
        <v>KWS, Schlamm</v>
      </c>
    </row>
    <row r="343" spans="1:10">
      <c r="A343" s="267" t="s">
        <v>391</v>
      </c>
      <c r="C343">
        <v>0.89800000000000002</v>
      </c>
      <c r="D343">
        <v>3.9E-2</v>
      </c>
      <c r="E343">
        <v>9.4032400000000003</v>
      </c>
      <c r="F343">
        <v>0.5</v>
      </c>
      <c r="G343" s="310">
        <f t="shared" si="5"/>
        <v>0</v>
      </c>
      <c r="J343" t="str">
        <f>PE_aug!AP332</f>
        <v>KWS, Schlamm</v>
      </c>
    </row>
    <row r="344" spans="1:10">
      <c r="A344" s="267" t="s">
        <v>392</v>
      </c>
      <c r="C344">
        <v>0.65100000000000002</v>
      </c>
      <c r="D344">
        <v>3.9E-2</v>
      </c>
      <c r="E344">
        <v>8.4645399999999995</v>
      </c>
      <c r="F344">
        <v>0.5</v>
      </c>
      <c r="G344" s="310">
        <f t="shared" si="5"/>
        <v>0</v>
      </c>
      <c r="J344" t="str">
        <f>PE_aug!AP333</f>
        <v>KWS, Schlamm</v>
      </c>
    </row>
    <row r="345" spans="1:10">
      <c r="A345" s="271" t="s">
        <v>393</v>
      </c>
      <c r="E345">
        <v>0.15474299999999999</v>
      </c>
      <c r="G345" s="310">
        <f t="shared" si="5"/>
        <v>0</v>
      </c>
      <c r="J345" t="str">
        <f>PE_aug!AP334</f>
        <v>Sickerwasser</v>
      </c>
    </row>
    <row r="346" spans="1:10">
      <c r="A346" s="271" t="s">
        <v>394</v>
      </c>
      <c r="E346">
        <v>0.34290399999999999</v>
      </c>
      <c r="G346" s="310">
        <f t="shared" si="5"/>
        <v>0</v>
      </c>
      <c r="J346" t="str">
        <f>PE_aug!AP335</f>
        <v>Sickerwasser</v>
      </c>
    </row>
    <row r="347" spans="1:10">
      <c r="A347" s="271" t="s">
        <v>395</v>
      </c>
      <c r="E347">
        <v>-4.0199999999999818</v>
      </c>
      <c r="G347" s="310">
        <f t="shared" si="5"/>
        <v>0</v>
      </c>
      <c r="J347" t="str">
        <f>PE_aug!AP336</f>
        <v>Sickerwasser</v>
      </c>
    </row>
    <row r="348" spans="1:10">
      <c r="A348" s="271" t="s">
        <v>396</v>
      </c>
      <c r="E348">
        <v>0.50999999999999091</v>
      </c>
      <c r="G348" s="310">
        <f t="shared" si="5"/>
        <v>0</v>
      </c>
      <c r="J348" t="str">
        <f>PE_aug!AP337</f>
        <v>Sickerwasser</v>
      </c>
    </row>
    <row r="349" spans="1:10">
      <c r="A349" s="271" t="s">
        <v>397</v>
      </c>
      <c r="E349">
        <v>0.98000000000001819</v>
      </c>
      <c r="G349" s="310">
        <f t="shared" si="5"/>
        <v>0</v>
      </c>
      <c r="J349" t="str">
        <f>PE_aug!AP338</f>
        <v>Sickerwasser</v>
      </c>
    </row>
    <row r="350" spans="1:10">
      <c r="A350" s="271" t="s">
        <v>398</v>
      </c>
      <c r="E350">
        <v>11.670000000000069</v>
      </c>
      <c r="G350" s="310">
        <f t="shared" si="5"/>
        <v>0</v>
      </c>
      <c r="J350" t="str">
        <f>PE_aug!AP339</f>
        <v>Sickerwasser</v>
      </c>
    </row>
    <row r="351" spans="1:10">
      <c r="A351" s="271" t="s">
        <v>399</v>
      </c>
      <c r="E351">
        <v>0.98000000000001819</v>
      </c>
      <c r="G351" s="310">
        <f t="shared" si="5"/>
        <v>0</v>
      </c>
      <c r="J351" t="str">
        <f>PE_aug!AP340</f>
        <v>Sickerwasser</v>
      </c>
    </row>
    <row r="352" spans="1:10">
      <c r="A352" s="276" t="s">
        <v>400</v>
      </c>
      <c r="C352">
        <v>0.56200000000000006</v>
      </c>
      <c r="D352">
        <v>5.6000000000000001E-2</v>
      </c>
      <c r="E352">
        <v>5.7561650000000002</v>
      </c>
      <c r="G352" s="310">
        <f t="shared" si="5"/>
        <v>0</v>
      </c>
      <c r="J352" t="str">
        <f>PE_aug!AP341</f>
        <v>KWS, Schlamm</v>
      </c>
    </row>
    <row r="353" spans="1:10">
      <c r="A353" s="276" t="s">
        <v>401</v>
      </c>
      <c r="C353">
        <v>0.85599999999999998</v>
      </c>
      <c r="D353">
        <v>5.6000000000000001E-2</v>
      </c>
      <c r="E353">
        <v>4.7628300000000001</v>
      </c>
      <c r="G353" s="310">
        <f t="shared" si="5"/>
        <v>0</v>
      </c>
      <c r="J353" t="str">
        <f>PE_aug!AP342</f>
        <v>KWS, Schlamm</v>
      </c>
    </row>
    <row r="354" spans="1:10">
      <c r="A354" s="276" t="s">
        <v>402</v>
      </c>
      <c r="C354">
        <v>0.76500000000000001</v>
      </c>
      <c r="D354">
        <v>5.6000000000000001E-2</v>
      </c>
      <c r="E354">
        <v>6.4529300000000003</v>
      </c>
      <c r="G354" s="310">
        <f t="shared" si="5"/>
        <v>0</v>
      </c>
      <c r="J354" t="str">
        <f>PE_aug!AP343</f>
        <v>KWS, Schlamm</v>
      </c>
    </row>
    <row r="355" spans="1:10">
      <c r="A355" s="276" t="s">
        <v>403</v>
      </c>
      <c r="C355">
        <v>1.071</v>
      </c>
      <c r="D355">
        <v>2.4E-2</v>
      </c>
      <c r="E355">
        <v>10.1638</v>
      </c>
      <c r="G355" s="310">
        <f t="shared" si="5"/>
        <v>0</v>
      </c>
      <c r="J355" t="str">
        <f>PE_aug!AP344</f>
        <v>Flussproben</v>
      </c>
    </row>
    <row r="356" spans="1:10">
      <c r="A356" s="276" t="s">
        <v>404</v>
      </c>
      <c r="C356">
        <v>0.83</v>
      </c>
      <c r="D356">
        <v>2.4E-2</v>
      </c>
      <c r="E356">
        <v>9.1895349999999993</v>
      </c>
      <c r="G356" s="310">
        <f t="shared" si="5"/>
        <v>0</v>
      </c>
      <c r="J356" t="str">
        <f>PE_aug!AP345</f>
        <v>Flussproben</v>
      </c>
    </row>
    <row r="357" spans="1:10">
      <c r="A357" s="276" t="s">
        <v>405</v>
      </c>
      <c r="C357">
        <v>1.127</v>
      </c>
      <c r="D357">
        <v>0.122</v>
      </c>
      <c r="E357">
        <v>8.6095749999999995</v>
      </c>
      <c r="G357" s="310">
        <f t="shared" si="5"/>
        <v>0</v>
      </c>
      <c r="J357" t="str">
        <f>PE_aug!AP346</f>
        <v>Flussproben</v>
      </c>
    </row>
    <row r="358" spans="1:10">
      <c r="A358" s="276" t="s">
        <v>406</v>
      </c>
      <c r="C358">
        <v>0.71899999999999997</v>
      </c>
      <c r="D358">
        <v>0.122</v>
      </c>
      <c r="E358">
        <v>5.6536</v>
      </c>
      <c r="G358" s="310">
        <f t="shared" si="5"/>
        <v>0</v>
      </c>
      <c r="J358" t="str">
        <f>PE_aug!AP347</f>
        <v>Flussproben</v>
      </c>
    </row>
    <row r="359" spans="1:10">
      <c r="A359" s="276" t="s">
        <v>407</v>
      </c>
      <c r="C359">
        <v>0.41699999999999998</v>
      </c>
      <c r="D359">
        <v>0.122</v>
      </c>
      <c r="E359">
        <v>7.3856149999999996</v>
      </c>
      <c r="G359" s="310">
        <f t="shared" si="5"/>
        <v>0</v>
      </c>
      <c r="J359" t="str">
        <f>PE_aug!AP348</f>
        <v>Flussproben</v>
      </c>
    </row>
    <row r="360" spans="1:10">
      <c r="A360" s="276" t="s">
        <v>408</v>
      </c>
      <c r="C360">
        <v>0.34599999999999997</v>
      </c>
      <c r="D360">
        <v>8.4000000000000005E-2</v>
      </c>
      <c r="E360">
        <v>5.9841899999999999</v>
      </c>
      <c r="G360" s="310">
        <f t="shared" si="5"/>
        <v>0</v>
      </c>
      <c r="J360" t="str">
        <f>PE_aug!AP349</f>
        <v>RÜB</v>
      </c>
    </row>
    <row r="361" spans="1:10">
      <c r="A361" s="276" t="s">
        <v>410</v>
      </c>
      <c r="C361">
        <v>0.79300000000000004</v>
      </c>
      <c r="D361">
        <v>8.4000000000000005E-2</v>
      </c>
      <c r="E361">
        <v>5.4765100000000002</v>
      </c>
      <c r="G361" s="310">
        <f t="shared" si="5"/>
        <v>0</v>
      </c>
      <c r="J361" t="str">
        <f>PE_aug!AP350</f>
        <v>RÜB</v>
      </c>
    </row>
    <row r="362" spans="1:10">
      <c r="A362" s="276" t="s">
        <v>411</v>
      </c>
      <c r="C362">
        <v>1.1040000000000001</v>
      </c>
      <c r="D362">
        <v>8.4000000000000005E-2</v>
      </c>
      <c r="E362">
        <v>10.23</v>
      </c>
      <c r="G362" s="310">
        <f t="shared" si="5"/>
        <v>0</v>
      </c>
      <c r="J362" t="str">
        <f>PE_aug!AP351</f>
        <v>RÜB</v>
      </c>
    </row>
    <row r="363" spans="1:10">
      <c r="A363" s="279" t="s">
        <v>412</v>
      </c>
      <c r="C363">
        <v>0.90100000000000002</v>
      </c>
      <c r="D363">
        <v>7.0999999999999994E-2</v>
      </c>
      <c r="E363">
        <v>6.1057800000000002</v>
      </c>
      <c r="G363" s="310">
        <f t="shared" si="5"/>
        <v>0</v>
      </c>
      <c r="J363" t="str">
        <f>PE_aug!AP352</f>
        <v>KWS</v>
      </c>
    </row>
    <row r="364" spans="1:10">
      <c r="A364" s="279" t="s">
        <v>413</v>
      </c>
      <c r="C364">
        <v>0.878</v>
      </c>
      <c r="D364">
        <v>7.0999999999999994E-2</v>
      </c>
      <c r="E364">
        <v>4.3622800000000002</v>
      </c>
      <c r="G364" s="310">
        <f t="shared" si="5"/>
        <v>0</v>
      </c>
      <c r="J364" t="str">
        <f>PE_aug!AP353</f>
        <v>KWS</v>
      </c>
    </row>
    <row r="365" spans="1:10">
      <c r="A365" s="279" t="s">
        <v>414</v>
      </c>
      <c r="C365">
        <v>0.44</v>
      </c>
      <c r="D365">
        <v>7.0999999999999994E-2</v>
      </c>
      <c r="E365">
        <v>5.0663900000000002</v>
      </c>
      <c r="G365" s="310">
        <f t="shared" si="5"/>
        <v>0</v>
      </c>
      <c r="J365" t="str">
        <f>PE_aug!AP354</f>
        <v>KWS</v>
      </c>
    </row>
    <row r="366" spans="1:10">
      <c r="A366" s="279" t="s">
        <v>415</v>
      </c>
      <c r="E366">
        <v>1.5123</v>
      </c>
      <c r="G366" s="310">
        <f t="shared" si="5"/>
        <v>0</v>
      </c>
      <c r="J366" t="str">
        <f>PE_aug!AP355</f>
        <v>KWS, Methode</v>
      </c>
    </row>
    <row r="367" spans="1:10">
      <c r="A367" s="279" t="s">
        <v>416</v>
      </c>
      <c r="C367">
        <v>0.52600000000000002</v>
      </c>
      <c r="D367">
        <v>0.10299999999999999</v>
      </c>
      <c r="E367">
        <v>9.3551099999999998</v>
      </c>
      <c r="G367" s="310">
        <f t="shared" si="5"/>
        <v>0</v>
      </c>
      <c r="J367" t="str">
        <f>PE_aug!AP356</f>
        <v>Flussproben</v>
      </c>
    </row>
    <row r="368" spans="1:10">
      <c r="A368" s="279" t="s">
        <v>417</v>
      </c>
      <c r="C368">
        <v>1.1419999999999999</v>
      </c>
      <c r="D368">
        <v>0.10299999999999999</v>
      </c>
      <c r="E368">
        <v>4.7532649999999999</v>
      </c>
      <c r="G368" s="310">
        <f t="shared" si="5"/>
        <v>0</v>
      </c>
      <c r="J368" t="str">
        <f>PE_aug!AP357</f>
        <v>Flussproben</v>
      </c>
    </row>
    <row r="369" spans="1:10">
      <c r="A369" s="279" t="s">
        <v>418</v>
      </c>
      <c r="C369">
        <v>0.622</v>
      </c>
      <c r="D369">
        <v>0.10299999999999999</v>
      </c>
      <c r="E369">
        <v>11.220549999999999</v>
      </c>
      <c r="G369" s="310">
        <f t="shared" si="5"/>
        <v>0</v>
      </c>
      <c r="J369" t="str">
        <f>PE_aug!AP358</f>
        <v>Flussproben</v>
      </c>
    </row>
    <row r="370" spans="1:10">
      <c r="A370" s="279" t="s">
        <v>419</v>
      </c>
      <c r="C370">
        <v>0.57799999999999996</v>
      </c>
      <c r="D370">
        <v>22.041</v>
      </c>
      <c r="E370">
        <v>9.23292</v>
      </c>
      <c r="G370" s="310">
        <f t="shared" si="5"/>
        <v>0</v>
      </c>
      <c r="J370" t="str">
        <f>PE_aug!AP359</f>
        <v>Kläranlagen</v>
      </c>
    </row>
    <row r="371" spans="1:10">
      <c r="A371" s="279" t="s">
        <v>420</v>
      </c>
      <c r="C371">
        <v>1.1539999999999999</v>
      </c>
      <c r="D371">
        <v>22.041</v>
      </c>
      <c r="E371">
        <v>-99.239099999999993</v>
      </c>
      <c r="G371" s="310">
        <f t="shared" si="5"/>
        <v>0</v>
      </c>
      <c r="J371" t="str">
        <f>PE_aug!AP360</f>
        <v>Kläranlagen</v>
      </c>
    </row>
    <row r="372" spans="1:10">
      <c r="A372" s="279" t="s">
        <v>421</v>
      </c>
      <c r="C372">
        <v>0.57699999999999996</v>
      </c>
      <c r="D372">
        <v>22.041</v>
      </c>
      <c r="E372">
        <v>8.4308049999999994</v>
      </c>
      <c r="G372" s="310">
        <f t="shared" si="5"/>
        <v>0</v>
      </c>
      <c r="J372" t="str">
        <f>PE_aug!AP361</f>
        <v>Kläranlagen</v>
      </c>
    </row>
    <row r="373" spans="1:10">
      <c r="A373" s="279" t="s">
        <v>422</v>
      </c>
      <c r="C373">
        <v>0.67400000000000004</v>
      </c>
      <c r="D373">
        <v>5.5E-2</v>
      </c>
      <c r="E373">
        <v>11.3706</v>
      </c>
      <c r="G373" s="310">
        <f t="shared" si="5"/>
        <v>0</v>
      </c>
      <c r="J373" t="str">
        <f>PE_aug!AP362</f>
        <v>Münchehofe</v>
      </c>
    </row>
    <row r="374" spans="1:10">
      <c r="A374" s="279" t="s">
        <v>423</v>
      </c>
      <c r="C374">
        <v>0.98299999999999998</v>
      </c>
      <c r="D374">
        <v>5.5E-2</v>
      </c>
      <c r="E374">
        <v>13.849550000000001</v>
      </c>
      <c r="G374" s="310">
        <f t="shared" si="5"/>
        <v>0</v>
      </c>
      <c r="J374" t="str">
        <f>PE_aug!AP363</f>
        <v>Münchehofe</v>
      </c>
    </row>
    <row r="375" spans="1:10">
      <c r="A375" s="279" t="s">
        <v>424</v>
      </c>
      <c r="C375">
        <v>0.56200000000000006</v>
      </c>
      <c r="D375">
        <v>5.5E-2</v>
      </c>
      <c r="E375">
        <v>11.058949999999999</v>
      </c>
      <c r="G375" s="310">
        <f t="shared" si="5"/>
        <v>0</v>
      </c>
      <c r="J375" t="str">
        <f>PE_aug!AP364</f>
        <v>Münchehofe</v>
      </c>
    </row>
    <row r="376" spans="1:10">
      <c r="A376" s="279" t="s">
        <v>425</v>
      </c>
      <c r="C376">
        <v>0.52800000000000002</v>
      </c>
      <c r="D376">
        <v>4.5999999999999999E-2</v>
      </c>
      <c r="E376">
        <v>5.7891599999999999</v>
      </c>
      <c r="G376" s="310">
        <f t="shared" si="5"/>
        <v>0</v>
      </c>
      <c r="J376" t="str">
        <f>PE_aug!AP365</f>
        <v>Münchehofe</v>
      </c>
    </row>
    <row r="377" spans="1:10">
      <c r="A377" s="279" t="s">
        <v>426</v>
      </c>
      <c r="C377">
        <v>0.86</v>
      </c>
      <c r="D377">
        <v>4.5999999999999999E-2</v>
      </c>
      <c r="E377">
        <v>6.0298299999999996</v>
      </c>
      <c r="G377" s="310">
        <f t="shared" si="5"/>
        <v>0</v>
      </c>
      <c r="J377" t="str">
        <f>PE_aug!AP366</f>
        <v>Münchehofe</v>
      </c>
    </row>
    <row r="378" spans="1:10">
      <c r="A378" s="279" t="s">
        <v>427</v>
      </c>
      <c r="C378">
        <v>0.80300000000000005</v>
      </c>
      <c r="D378">
        <v>4.5999999999999999E-2</v>
      </c>
      <c r="E378">
        <v>6.4604200000000001</v>
      </c>
      <c r="G378" s="310">
        <f t="shared" si="5"/>
        <v>0</v>
      </c>
      <c r="J378" t="str">
        <f>PE_aug!AP367</f>
        <v>Münchehofe</v>
      </c>
    </row>
    <row r="379" spans="1:10">
      <c r="A379" s="279" t="s">
        <v>428</v>
      </c>
      <c r="E379">
        <v>9.5863199999999996E-2</v>
      </c>
      <c r="G379" s="310">
        <f t="shared" si="5"/>
        <v>0</v>
      </c>
      <c r="J379" t="str">
        <f>PE_aug!AP368</f>
        <v>RBF</v>
      </c>
    </row>
    <row r="380" spans="1:10">
      <c r="A380" s="279" t="s">
        <v>430</v>
      </c>
      <c r="E380">
        <v>3.9970099999999988E-2</v>
      </c>
      <c r="G380" s="310">
        <f t="shared" si="5"/>
        <v>0</v>
      </c>
      <c r="J380" t="str">
        <f>PE_aug!AP369</f>
        <v>Methode</v>
      </c>
    </row>
    <row r="381" spans="1:10">
      <c r="A381" s="279" t="s">
        <v>431</v>
      </c>
      <c r="C381">
        <v>0.70699999999999996</v>
      </c>
      <c r="D381">
        <v>4.1000000000000002E-2</v>
      </c>
      <c r="E381">
        <v>12.188499999999999</v>
      </c>
      <c r="G381" s="310">
        <f t="shared" si="5"/>
        <v>0</v>
      </c>
      <c r="J381" t="str">
        <f>PE_aug!AP370</f>
        <v>Straßenabfluss</v>
      </c>
    </row>
    <row r="382" spans="1:10">
      <c r="A382" s="279" t="s">
        <v>432</v>
      </c>
      <c r="C382">
        <v>0.70699999999999996</v>
      </c>
      <c r="D382">
        <v>4.1000000000000002E-2</v>
      </c>
      <c r="E382">
        <v>17.268799999999999</v>
      </c>
      <c r="G382" s="310">
        <f t="shared" si="5"/>
        <v>0</v>
      </c>
      <c r="J382" t="str">
        <f>PE_aug!AP371</f>
        <v>Straßenabfluss</v>
      </c>
    </row>
    <row r="383" spans="1:10">
      <c r="A383" s="279" t="s">
        <v>433</v>
      </c>
      <c r="C383">
        <v>0.70699999999999996</v>
      </c>
      <c r="D383">
        <v>6.3E-2</v>
      </c>
      <c r="E383">
        <v>6.0078950000000004</v>
      </c>
      <c r="G383" s="310">
        <f t="shared" si="5"/>
        <v>0</v>
      </c>
      <c r="J383" t="str">
        <f>PE_aug!AP372</f>
        <v>Kläranlagen</v>
      </c>
    </row>
    <row r="384" spans="1:10">
      <c r="A384" s="279" t="s">
        <v>434</v>
      </c>
      <c r="C384">
        <v>0.70699999999999996</v>
      </c>
      <c r="D384">
        <v>6.3E-2</v>
      </c>
      <c r="E384">
        <v>5.5313149999999993</v>
      </c>
      <c r="G384" s="310">
        <f t="shared" si="5"/>
        <v>0</v>
      </c>
      <c r="J384" t="str">
        <f>PE_aug!AP373</f>
        <v>Kläranlagen</v>
      </c>
    </row>
    <row r="385" spans="1:10">
      <c r="A385" s="283" t="s">
        <v>435</v>
      </c>
      <c r="C385">
        <v>0.14699999999999999</v>
      </c>
      <c r="D385">
        <v>0.29299999999999998</v>
      </c>
      <c r="E385">
        <v>26.531649999999999</v>
      </c>
      <c r="G385" s="310">
        <f t="shared" si="5"/>
        <v>0</v>
      </c>
      <c r="J385" t="str">
        <f>PE_aug!AP374</f>
        <v>KWS</v>
      </c>
    </row>
    <row r="386" spans="1:10">
      <c r="A386" s="283" t="s">
        <v>436</v>
      </c>
      <c r="C386">
        <v>0.92200000000000004</v>
      </c>
      <c r="D386">
        <v>0.29299999999999998</v>
      </c>
      <c r="E386">
        <v>29.1462</v>
      </c>
      <c r="G386" s="310">
        <f t="shared" ref="G386:G449" si="6">IFERROR(B386/E386,0)</f>
        <v>0</v>
      </c>
      <c r="J386" t="str">
        <f>PE_aug!AP375</f>
        <v>KWS</v>
      </c>
    </row>
    <row r="387" spans="1:10">
      <c r="A387" s="283" t="s">
        <v>437</v>
      </c>
      <c r="C387">
        <v>1.0509999999999999</v>
      </c>
      <c r="D387">
        <v>0.29299999999999998</v>
      </c>
      <c r="E387">
        <v>16.288900000000002</v>
      </c>
      <c r="G387" s="310">
        <f t="shared" si="6"/>
        <v>0</v>
      </c>
      <c r="J387" t="str">
        <f>PE_aug!AP376</f>
        <v>KWS</v>
      </c>
    </row>
    <row r="388" spans="1:10">
      <c r="A388" s="283" t="s">
        <v>438</v>
      </c>
      <c r="C388">
        <v>0.998</v>
      </c>
      <c r="D388">
        <v>0.246</v>
      </c>
      <c r="E388">
        <v>3.7278199999999999</v>
      </c>
      <c r="G388" s="310">
        <f t="shared" si="6"/>
        <v>0</v>
      </c>
      <c r="J388" t="str">
        <f>PE_aug!AP377</f>
        <v>KWS</v>
      </c>
    </row>
    <row r="389" spans="1:10">
      <c r="A389" s="283" t="s">
        <v>439</v>
      </c>
      <c r="C389">
        <v>0.65900000000000003</v>
      </c>
      <c r="D389">
        <v>0.246</v>
      </c>
      <c r="E389">
        <v>6.7965999999999998</v>
      </c>
      <c r="G389" s="310">
        <f t="shared" si="6"/>
        <v>0</v>
      </c>
      <c r="J389" t="str">
        <f>PE_aug!AP378</f>
        <v>KWS</v>
      </c>
    </row>
    <row r="390" spans="1:10">
      <c r="A390" s="283" t="s">
        <v>440</v>
      </c>
      <c r="C390">
        <v>0.51400000000000001</v>
      </c>
      <c r="D390">
        <v>0.246</v>
      </c>
      <c r="E390">
        <v>5.0972499999999998</v>
      </c>
      <c r="G390" s="310">
        <f t="shared" si="6"/>
        <v>0</v>
      </c>
      <c r="J390" t="str">
        <f>PE_aug!AP379</f>
        <v>KWS</v>
      </c>
    </row>
    <row r="391" spans="1:10">
      <c r="A391" s="283" t="s">
        <v>441</v>
      </c>
      <c r="C391">
        <v>0.51400000000000001</v>
      </c>
      <c r="D391">
        <v>6.4000000000000001E-2</v>
      </c>
      <c r="E391">
        <v>10.3285</v>
      </c>
      <c r="G391" s="310">
        <f t="shared" si="6"/>
        <v>0</v>
      </c>
      <c r="J391" t="str">
        <f>PE_aug!AP380</f>
        <v>Flussproben</v>
      </c>
    </row>
    <row r="392" spans="1:10">
      <c r="A392" s="283" t="s">
        <v>442</v>
      </c>
      <c r="C392">
        <v>0.63700000000000001</v>
      </c>
      <c r="D392">
        <v>6.4000000000000001E-2</v>
      </c>
      <c r="E392">
        <v>9.8335849999999994</v>
      </c>
      <c r="G392" s="310">
        <f t="shared" si="6"/>
        <v>0</v>
      </c>
      <c r="J392" t="str">
        <f>PE_aug!AP381</f>
        <v>Flussproben</v>
      </c>
    </row>
    <row r="393" spans="1:10">
      <c r="A393" s="283" t="s">
        <v>443</v>
      </c>
      <c r="C393">
        <v>1.1459999999999999</v>
      </c>
      <c r="D393">
        <v>6.4000000000000001E-2</v>
      </c>
      <c r="E393">
        <v>16.5566</v>
      </c>
      <c r="G393" s="310">
        <f t="shared" si="6"/>
        <v>0</v>
      </c>
      <c r="J393" t="str">
        <f>PE_aug!AP382</f>
        <v>Flussproben</v>
      </c>
    </row>
    <row r="394" spans="1:10">
      <c r="A394" s="283" t="s">
        <v>444</v>
      </c>
      <c r="E394">
        <v>10.1968</v>
      </c>
      <c r="G394" s="310">
        <f t="shared" si="6"/>
        <v>0</v>
      </c>
      <c r="J394" t="str">
        <f>PE_aug!AP383</f>
        <v>Flussproben, Methode</v>
      </c>
    </row>
    <row r="395" spans="1:10">
      <c r="A395" s="283" t="s">
        <v>445</v>
      </c>
      <c r="E395">
        <v>0.53195800000000004</v>
      </c>
      <c r="G395" s="310">
        <f t="shared" si="6"/>
        <v>0</v>
      </c>
      <c r="J395" t="str">
        <f>PE_aug!AP384</f>
        <v>Methode</v>
      </c>
    </row>
    <row r="396" spans="1:10">
      <c r="A396" s="283" t="s">
        <v>446</v>
      </c>
      <c r="E396">
        <v>0.137437</v>
      </c>
      <c r="G396" s="310">
        <f t="shared" si="6"/>
        <v>0</v>
      </c>
      <c r="J396" t="str">
        <f>PE_aug!AP385</f>
        <v>Methode</v>
      </c>
    </row>
    <row r="397" spans="1:10">
      <c r="A397" s="283" t="s">
        <v>447</v>
      </c>
      <c r="C397">
        <v>0.70699999999999996</v>
      </c>
      <c r="D397">
        <v>1.056</v>
      </c>
      <c r="E397">
        <v>35.156500000000001</v>
      </c>
      <c r="F397">
        <v>0.5</v>
      </c>
      <c r="G397" s="310">
        <f t="shared" si="6"/>
        <v>0</v>
      </c>
      <c r="J397" t="str">
        <f>PE_aug!AP386</f>
        <v>Straßenabfluss</v>
      </c>
    </row>
    <row r="398" spans="1:10">
      <c r="A398" s="283" t="s">
        <v>448</v>
      </c>
      <c r="C398">
        <v>0.70699999999999996</v>
      </c>
      <c r="D398">
        <v>1.056</v>
      </c>
      <c r="E398">
        <v>42.128500000000003</v>
      </c>
      <c r="F398">
        <v>0.4</v>
      </c>
      <c r="G398" s="310">
        <f t="shared" si="6"/>
        <v>0</v>
      </c>
      <c r="J398" t="str">
        <f>PE_aug!AP387</f>
        <v>Straßenabfluss</v>
      </c>
    </row>
    <row r="399" spans="1:10">
      <c r="A399" s="289" t="s">
        <v>449</v>
      </c>
      <c r="B399">
        <v>209.05</v>
      </c>
      <c r="C399">
        <v>1.069</v>
      </c>
      <c r="D399">
        <v>0.15</v>
      </c>
      <c r="E399">
        <v>18.248699999999999</v>
      </c>
      <c r="F399">
        <v>0.8</v>
      </c>
      <c r="G399" s="310">
        <f t="shared" si="6"/>
        <v>11.455610536640966</v>
      </c>
      <c r="J399" t="str">
        <f>PE_aug!AP388</f>
        <v>KWS, Methode</v>
      </c>
    </row>
    <row r="400" spans="1:10">
      <c r="A400" s="289" t="s">
        <v>450</v>
      </c>
      <c r="B400">
        <v>137.29</v>
      </c>
      <c r="C400">
        <v>0.439</v>
      </c>
      <c r="D400">
        <v>0.15</v>
      </c>
      <c r="E400">
        <v>10.1747</v>
      </c>
      <c r="F400">
        <v>1</v>
      </c>
      <c r="G400" s="310">
        <f t="shared" si="6"/>
        <v>13.493272528919771</v>
      </c>
      <c r="J400" t="str">
        <f>PE_aug!AP389</f>
        <v>KWS, Methode</v>
      </c>
    </row>
    <row r="401" spans="1:10">
      <c r="A401" s="289" t="s">
        <v>451</v>
      </c>
      <c r="B401">
        <v>68.709999999999994</v>
      </c>
      <c r="C401">
        <v>0.30099999999999999</v>
      </c>
      <c r="D401">
        <v>9.7000000000000003E-2</v>
      </c>
      <c r="E401">
        <v>10.7644</v>
      </c>
      <c r="F401">
        <v>0.9</v>
      </c>
      <c r="G401" s="310">
        <f t="shared" si="6"/>
        <v>6.3830775519304366</v>
      </c>
      <c r="J401" t="str">
        <f>PE_aug!AP390</f>
        <v>KWS, Methode</v>
      </c>
    </row>
    <row r="402" spans="1:10">
      <c r="A402" s="289" t="s">
        <v>452</v>
      </c>
      <c r="B402">
        <v>66.53</v>
      </c>
      <c r="C402">
        <v>0.95299999999999996</v>
      </c>
      <c r="D402">
        <v>9.7000000000000003E-2</v>
      </c>
      <c r="E402">
        <v>8.0693900000000003</v>
      </c>
      <c r="F402">
        <v>0.9</v>
      </c>
      <c r="G402" s="310">
        <f t="shared" si="6"/>
        <v>8.2447372106193892</v>
      </c>
      <c r="J402" t="str">
        <f>PE_aug!AP391</f>
        <v>KWS, Methode</v>
      </c>
    </row>
    <row r="403" spans="1:10">
      <c r="A403" s="289" t="s">
        <v>453</v>
      </c>
      <c r="B403">
        <v>81.290000000000006</v>
      </c>
      <c r="C403">
        <v>0.93</v>
      </c>
      <c r="D403">
        <v>9.7000000000000003E-2</v>
      </c>
      <c r="E403">
        <v>12.1059</v>
      </c>
      <c r="F403">
        <v>0.8</v>
      </c>
      <c r="G403" s="310">
        <f t="shared" si="6"/>
        <v>6.7149076070345872</v>
      </c>
      <c r="J403" t="str">
        <f>PE_aug!AP392</f>
        <v>KWS, Methode</v>
      </c>
    </row>
    <row r="404" spans="1:10">
      <c r="A404" s="289" t="s">
        <v>454</v>
      </c>
      <c r="B404">
        <v>120.89</v>
      </c>
      <c r="C404">
        <v>0.315</v>
      </c>
      <c r="D404">
        <v>0.109</v>
      </c>
      <c r="E404">
        <v>8.1649600000000007</v>
      </c>
      <c r="F404">
        <v>1</v>
      </c>
      <c r="G404" s="310">
        <f t="shared" si="6"/>
        <v>14.805951284513334</v>
      </c>
      <c r="J404" t="str">
        <f>PE_aug!AP393</f>
        <v>KWS, Methode</v>
      </c>
    </row>
    <row r="405" spans="1:10">
      <c r="A405" s="289" t="s">
        <v>455</v>
      </c>
      <c r="B405">
        <v>81.06</v>
      </c>
      <c r="C405">
        <v>0.83199999999999996</v>
      </c>
      <c r="D405">
        <v>0.109</v>
      </c>
      <c r="E405">
        <v>7.0769650000000004</v>
      </c>
      <c r="F405">
        <v>1</v>
      </c>
      <c r="G405" s="310">
        <f t="shared" si="6"/>
        <v>11.454062581911879</v>
      </c>
      <c r="J405" t="str">
        <f>PE_aug!AP394</f>
        <v>KWS, Methode</v>
      </c>
    </row>
    <row r="406" spans="1:10">
      <c r="A406" s="289" t="s">
        <v>456</v>
      </c>
      <c r="B406">
        <v>106.48</v>
      </c>
      <c r="C406">
        <v>1.042</v>
      </c>
      <c r="D406">
        <v>0.109</v>
      </c>
      <c r="E406">
        <v>10.223549999999999</v>
      </c>
      <c r="F406">
        <v>1</v>
      </c>
      <c r="G406" s="310">
        <f t="shared" si="6"/>
        <v>10.415168899257107</v>
      </c>
      <c r="J406" t="str">
        <f>PE_aug!AP395</f>
        <v>KWS, Methode</v>
      </c>
    </row>
    <row r="407" spans="1:10">
      <c r="A407" s="289" t="s">
        <v>457</v>
      </c>
      <c r="C407">
        <v>0.38100000000000001</v>
      </c>
      <c r="D407">
        <v>0.55100000000000005</v>
      </c>
      <c r="E407">
        <v>10.453200000000001</v>
      </c>
      <c r="G407" s="310">
        <f t="shared" si="6"/>
        <v>0</v>
      </c>
      <c r="J407" t="str">
        <f>PE_aug!AP396</f>
        <v>Kläranlagen</v>
      </c>
    </row>
    <row r="408" spans="1:10">
      <c r="A408" s="289" t="s">
        <v>458</v>
      </c>
      <c r="C408">
        <v>0.95099999999999996</v>
      </c>
      <c r="D408">
        <v>0.55100000000000005</v>
      </c>
      <c r="E408">
        <v>8.8926250000000007</v>
      </c>
      <c r="G408" s="310">
        <f t="shared" si="6"/>
        <v>0</v>
      </c>
      <c r="J408" t="str">
        <f>PE_aug!AP397</f>
        <v>Kläranlagen</v>
      </c>
    </row>
    <row r="409" spans="1:10">
      <c r="A409" s="289" t="s">
        <v>459</v>
      </c>
      <c r="C409">
        <v>0.79900000000000004</v>
      </c>
      <c r="D409">
        <v>0.55100000000000005</v>
      </c>
      <c r="E409">
        <v>10.5664</v>
      </c>
      <c r="G409" s="310">
        <f t="shared" si="6"/>
        <v>0</v>
      </c>
      <c r="J409" t="str">
        <f>PE_aug!AP398</f>
        <v>Kläranlagen</v>
      </c>
    </row>
    <row r="410" spans="1:10">
      <c r="A410" s="289" t="s">
        <v>460</v>
      </c>
      <c r="C410">
        <v>0.41199999999999998</v>
      </c>
      <c r="D410">
        <v>7.2999999999999995E-2</v>
      </c>
      <c r="E410">
        <v>12.769600000000001</v>
      </c>
      <c r="G410" s="310">
        <f t="shared" si="6"/>
        <v>0</v>
      </c>
      <c r="J410" t="str">
        <f>PE_aug!AP399</f>
        <v>Straßenabfluss</v>
      </c>
    </row>
    <row r="411" spans="1:10">
      <c r="A411" s="289" t="s">
        <v>461</v>
      </c>
      <c r="C411">
        <v>1.075</v>
      </c>
      <c r="D411">
        <v>7.2999999999999995E-2</v>
      </c>
      <c r="E411">
        <v>9.5862499999999997</v>
      </c>
      <c r="G411" s="310">
        <f t="shared" si="6"/>
        <v>0</v>
      </c>
      <c r="J411" t="str">
        <f>PE_aug!AP400</f>
        <v>Straßenabfluss</v>
      </c>
    </row>
    <row r="412" spans="1:10">
      <c r="A412" s="289" t="s">
        <v>462</v>
      </c>
      <c r="C412">
        <v>0.74</v>
      </c>
      <c r="D412">
        <v>7.2999999999999995E-2</v>
      </c>
      <c r="E412">
        <v>13.754300000000001</v>
      </c>
      <c r="G412" s="310">
        <f t="shared" si="6"/>
        <v>0</v>
      </c>
      <c r="J412" t="str">
        <f>PE_aug!AP401</f>
        <v>Straßenabfluss</v>
      </c>
    </row>
    <row r="413" spans="1:10">
      <c r="A413" s="295" t="s">
        <v>463</v>
      </c>
      <c r="C413">
        <v>0.70699999999999996</v>
      </c>
      <c r="D413">
        <v>0.129</v>
      </c>
      <c r="E413">
        <v>5.9239199999999999</v>
      </c>
      <c r="G413" s="310">
        <f t="shared" si="6"/>
        <v>0</v>
      </c>
      <c r="J413" t="str">
        <f>PE_aug!AP402</f>
        <v>Bodenproben</v>
      </c>
    </row>
    <row r="414" spans="1:10">
      <c r="A414" s="295" t="s">
        <v>464</v>
      </c>
      <c r="C414">
        <v>0.70699999999999996</v>
      </c>
      <c r="D414">
        <v>0.129</v>
      </c>
      <c r="E414">
        <v>11.6953</v>
      </c>
      <c r="G414" s="310">
        <f t="shared" si="6"/>
        <v>0</v>
      </c>
      <c r="J414" t="str">
        <f>PE_aug!AP403</f>
        <v>Bodenproben</v>
      </c>
    </row>
    <row r="415" spans="1:10">
      <c r="A415" s="295" t="s">
        <v>465</v>
      </c>
      <c r="C415">
        <v>0.70699999999999996</v>
      </c>
      <c r="D415">
        <v>8.4000000000000005E-2</v>
      </c>
      <c r="E415">
        <v>5.3761700000000001</v>
      </c>
      <c r="G415" s="310">
        <f t="shared" si="6"/>
        <v>0</v>
      </c>
      <c r="J415" t="str">
        <f>PE_aug!AP404</f>
        <v>Bodenproben</v>
      </c>
    </row>
    <row r="416" spans="1:10">
      <c r="A416" s="295" t="s">
        <v>466</v>
      </c>
      <c r="C416">
        <v>0.70699999999999996</v>
      </c>
      <c r="D416">
        <v>8.4000000000000005E-2</v>
      </c>
      <c r="E416">
        <v>9.5681949999999993</v>
      </c>
      <c r="G416" s="310">
        <f t="shared" si="6"/>
        <v>0</v>
      </c>
      <c r="J416" t="str">
        <f>PE_aug!AP405</f>
        <v>Bodenproben</v>
      </c>
    </row>
    <row r="417" spans="1:10">
      <c r="A417" s="295" t="s">
        <v>467</v>
      </c>
      <c r="C417">
        <v>0.70699999999999996</v>
      </c>
      <c r="D417">
        <v>2.7E-2</v>
      </c>
      <c r="E417">
        <v>7.2167450000000004</v>
      </c>
      <c r="G417" s="310">
        <f t="shared" si="6"/>
        <v>0</v>
      </c>
      <c r="J417" t="str">
        <f>PE_aug!AP406</f>
        <v>Bodenproben</v>
      </c>
    </row>
    <row r="418" spans="1:10">
      <c r="A418" s="295" t="s">
        <v>468</v>
      </c>
      <c r="C418">
        <v>0.70699999999999996</v>
      </c>
      <c r="D418">
        <v>2.7E-2</v>
      </c>
      <c r="E418">
        <v>6.6940000000000008</v>
      </c>
      <c r="G418" s="310">
        <f t="shared" si="6"/>
        <v>0</v>
      </c>
      <c r="J418" t="str">
        <f>PE_aug!AP407</f>
        <v>Bodenproben</v>
      </c>
    </row>
    <row r="419" spans="1:10">
      <c r="A419" s="295" t="s">
        <v>469</v>
      </c>
      <c r="C419">
        <v>0.70699999999999996</v>
      </c>
      <c r="D419">
        <v>7.4999999999999997E-2</v>
      </c>
      <c r="E419">
        <v>9.5514899999999994</v>
      </c>
      <c r="G419" s="310">
        <f t="shared" si="6"/>
        <v>0</v>
      </c>
      <c r="J419" t="str">
        <f>PE_aug!AP408</f>
        <v>Bodenproben</v>
      </c>
    </row>
    <row r="420" spans="1:10">
      <c r="A420" s="295" t="s">
        <v>470</v>
      </c>
      <c r="C420">
        <v>0.70699999999999996</v>
      </c>
      <c r="D420">
        <v>0.13500000000000001</v>
      </c>
      <c r="E420">
        <v>10.0252</v>
      </c>
      <c r="G420" s="310">
        <f t="shared" si="6"/>
        <v>0</v>
      </c>
      <c r="J420" t="str">
        <f>PE_aug!AP409</f>
        <v>Bodenproben</v>
      </c>
    </row>
    <row r="421" spans="1:10">
      <c r="A421" s="295" t="s">
        <v>471</v>
      </c>
      <c r="C421">
        <v>0.70699999999999996</v>
      </c>
      <c r="D421">
        <v>0.104</v>
      </c>
      <c r="E421">
        <v>9.7563600000000008</v>
      </c>
      <c r="G421" s="310">
        <f t="shared" si="6"/>
        <v>0</v>
      </c>
      <c r="J421" t="str">
        <f>PE_aug!AP410</f>
        <v>Bodenproben</v>
      </c>
    </row>
    <row r="422" spans="1:10">
      <c r="A422" s="295" t="s">
        <v>472</v>
      </c>
      <c r="C422">
        <v>0.70699999999999996</v>
      </c>
      <c r="D422">
        <v>0.104</v>
      </c>
      <c r="E422">
        <v>6.7526899999999994</v>
      </c>
      <c r="G422" s="310">
        <f t="shared" si="6"/>
        <v>0</v>
      </c>
      <c r="J422" t="str">
        <f>PE_aug!AP411</f>
        <v>Bodenproben</v>
      </c>
    </row>
    <row r="423" spans="1:10">
      <c r="A423" s="295" t="s">
        <v>473</v>
      </c>
      <c r="C423">
        <v>0.70699999999999996</v>
      </c>
      <c r="D423">
        <v>7.4999999999999997E-2</v>
      </c>
      <c r="E423">
        <v>6.7782600000000004</v>
      </c>
      <c r="G423" s="310">
        <f t="shared" si="6"/>
        <v>0</v>
      </c>
      <c r="J423" t="str">
        <f>PE_aug!AP412</f>
        <v>Bodenproben</v>
      </c>
    </row>
    <row r="424" spans="1:10">
      <c r="A424" s="295" t="s">
        <v>474</v>
      </c>
      <c r="C424">
        <v>0.70699999999999996</v>
      </c>
      <c r="D424">
        <v>0.13500000000000001</v>
      </c>
      <c r="E424">
        <v>4.1185499999999999</v>
      </c>
      <c r="G424" s="310">
        <f t="shared" si="6"/>
        <v>0</v>
      </c>
      <c r="J424" t="str">
        <f>PE_aug!AP413</f>
        <v>Bodenproben</v>
      </c>
    </row>
    <row r="425" spans="1:10">
      <c r="A425" s="314" t="s">
        <v>475</v>
      </c>
      <c r="E425" s="51">
        <v>18.433900000000001</v>
      </c>
      <c r="G425" s="310">
        <f t="shared" si="6"/>
        <v>0</v>
      </c>
      <c r="H425" s="51"/>
      <c r="I425" s="312"/>
      <c r="J425" t="str">
        <f>PE_aug!AP414</f>
        <v>Bodenproben</v>
      </c>
    </row>
    <row r="426" spans="1:10">
      <c r="A426" s="314" t="s">
        <v>476</v>
      </c>
      <c r="E426">
        <v>16.974799999999998</v>
      </c>
      <c r="G426" s="310">
        <f t="shared" si="6"/>
        <v>0</v>
      </c>
      <c r="I426" s="312"/>
      <c r="J426" t="str">
        <f>PE_aug!AP415</f>
        <v>Bodenproben</v>
      </c>
    </row>
    <row r="427" spans="1:10">
      <c r="A427" s="314" t="s">
        <v>477</v>
      </c>
      <c r="B427">
        <v>35.71</v>
      </c>
      <c r="E427">
        <v>2.40835</v>
      </c>
      <c r="F427">
        <v>0.8</v>
      </c>
      <c r="G427" s="310">
        <f t="shared" si="6"/>
        <v>14.827579047895863</v>
      </c>
      <c r="H427">
        <v>20</v>
      </c>
      <c r="I427" s="312">
        <f>B427/H427*100</f>
        <v>178.55</v>
      </c>
      <c r="J427" t="str">
        <f>PE_aug!AP416</f>
        <v>KWS, Methode</v>
      </c>
    </row>
    <row r="428" spans="1:10">
      <c r="A428" s="314" t="s">
        <v>478</v>
      </c>
      <c r="B428">
        <v>20.59</v>
      </c>
      <c r="C428">
        <v>0.81699999999999995</v>
      </c>
      <c r="D428">
        <v>9.4E-2</v>
      </c>
      <c r="E428">
        <v>7.2383749999999996</v>
      </c>
      <c r="F428">
        <v>0.7</v>
      </c>
      <c r="G428" s="310">
        <f t="shared" si="6"/>
        <v>2.8445611066019656</v>
      </c>
      <c r="I428" s="312"/>
      <c r="J428" t="str">
        <f>PE_aug!AP417</f>
        <v>KWS, Methode</v>
      </c>
    </row>
    <row r="429" spans="1:10">
      <c r="A429" s="314" t="s">
        <v>479</v>
      </c>
      <c r="B429">
        <v>28.4</v>
      </c>
      <c r="C429">
        <v>0.72399999999999998</v>
      </c>
      <c r="D429">
        <v>9.4E-2</v>
      </c>
      <c r="E429">
        <v>10.759</v>
      </c>
      <c r="F429">
        <v>0.6</v>
      </c>
      <c r="G429" s="310">
        <f t="shared" si="6"/>
        <v>2.6396505251417417</v>
      </c>
      <c r="I429" s="312"/>
      <c r="J429" t="str">
        <f>PE_aug!AP418</f>
        <v>KWS, Methode</v>
      </c>
    </row>
    <row r="430" spans="1:10">
      <c r="A430" s="314" t="s">
        <v>480</v>
      </c>
      <c r="B430">
        <v>20.91</v>
      </c>
      <c r="E430">
        <v>6.9593999999999996</v>
      </c>
      <c r="F430">
        <v>0.8</v>
      </c>
      <c r="G430" s="310">
        <f t="shared" si="6"/>
        <v>3.0045693594275371</v>
      </c>
      <c r="I430" s="312"/>
      <c r="J430" t="str">
        <f>PE_aug!AP419</f>
        <v>KWS, Methode</v>
      </c>
    </row>
    <row r="431" spans="1:10">
      <c r="A431" s="315" t="s">
        <v>578</v>
      </c>
      <c r="B431">
        <v>18.09</v>
      </c>
      <c r="E431">
        <v>6.5583899999999993</v>
      </c>
      <c r="F431">
        <v>0.7</v>
      </c>
      <c r="G431" s="310">
        <f t="shared" si="6"/>
        <v>2.7582989117756038</v>
      </c>
      <c r="H431">
        <v>10</v>
      </c>
      <c r="I431" s="312">
        <f>B431/H431*100</f>
        <v>180.9</v>
      </c>
      <c r="J431" t="str">
        <f>PE_aug!AP420</f>
        <v>Flussproben, Methode</v>
      </c>
    </row>
    <row r="432" spans="1:10">
      <c r="A432" s="314" t="s">
        <v>482</v>
      </c>
      <c r="B432">
        <v>146.31</v>
      </c>
      <c r="E432" s="313">
        <v>5.7743099999999999E-2</v>
      </c>
      <c r="F432">
        <v>0.8</v>
      </c>
      <c r="G432" s="310">
        <f t="shared" si="6"/>
        <v>2533.8092343500784</v>
      </c>
      <c r="H432">
        <v>20</v>
      </c>
      <c r="I432" s="309">
        <f>B432/H432*100</f>
        <v>731.55</v>
      </c>
      <c r="J432" t="str">
        <f>PE_aug!AP421</f>
        <v>Methode</v>
      </c>
    </row>
    <row r="433" spans="1:10">
      <c r="A433" s="314" t="s">
        <v>483</v>
      </c>
      <c r="B433">
        <v>173.59</v>
      </c>
      <c r="E433">
        <v>0.1338</v>
      </c>
      <c r="F433">
        <v>0.9</v>
      </c>
      <c r="G433" s="310">
        <f t="shared" si="6"/>
        <v>1297.3841554559044</v>
      </c>
      <c r="H433">
        <v>20</v>
      </c>
      <c r="I433" s="309">
        <f>B433/H433*100</f>
        <v>867.95</v>
      </c>
      <c r="J433" t="str">
        <f>PE_aug!AP422</f>
        <v>Methode</v>
      </c>
    </row>
    <row r="434" spans="1:10">
      <c r="A434" s="314" t="s">
        <v>484</v>
      </c>
      <c r="B434">
        <v>21.15</v>
      </c>
      <c r="E434">
        <v>4.8291000000000004</v>
      </c>
      <c r="F434">
        <v>0.7</v>
      </c>
      <c r="G434" s="310">
        <f t="shared" si="6"/>
        <v>4.3796980803876489</v>
      </c>
      <c r="H434">
        <v>10</v>
      </c>
      <c r="I434" s="312">
        <f>B434/H434*100</f>
        <v>211.49999999999997</v>
      </c>
      <c r="J434" t="str">
        <f>PE_aug!AP423</f>
        <v>Straßenabfluss, Methode</v>
      </c>
    </row>
    <row r="435" spans="1:10">
      <c r="A435" s="314" t="s">
        <v>486</v>
      </c>
      <c r="C435">
        <v>0.70699999999999996</v>
      </c>
      <c r="D435">
        <v>5.2999999999999999E-2</v>
      </c>
      <c r="E435">
        <v>13.0227</v>
      </c>
      <c r="G435" s="310">
        <f t="shared" si="6"/>
        <v>0</v>
      </c>
      <c r="I435" s="312"/>
      <c r="J435" t="str">
        <f>PE_aug!AP424</f>
        <v>Straßenabfluss</v>
      </c>
    </row>
    <row r="436" spans="1:10">
      <c r="A436" s="314" t="s">
        <v>487</v>
      </c>
      <c r="C436">
        <v>0.70699999999999996</v>
      </c>
      <c r="D436">
        <v>5.2999999999999999E-2</v>
      </c>
      <c r="E436">
        <v>10.6518</v>
      </c>
      <c r="G436" s="310">
        <f t="shared" si="6"/>
        <v>0</v>
      </c>
      <c r="I436" s="312"/>
      <c r="J436" t="str">
        <f>PE_aug!AP425</f>
        <v>Straßenabfluss</v>
      </c>
    </row>
    <row r="437" spans="1:10">
      <c r="A437" s="314" t="s">
        <v>488</v>
      </c>
      <c r="C437">
        <v>0.70699999999999996</v>
      </c>
      <c r="D437">
        <v>0.01</v>
      </c>
      <c r="E437">
        <v>11.817399999999999</v>
      </c>
      <c r="G437" s="310">
        <f t="shared" si="6"/>
        <v>0</v>
      </c>
      <c r="I437" s="312"/>
      <c r="J437" t="str">
        <f>PE_aug!AP426</f>
        <v>Straßenabfluss</v>
      </c>
    </row>
    <row r="438" spans="1:10">
      <c r="A438" s="314" t="s">
        <v>489</v>
      </c>
      <c r="C438">
        <v>0.70699999999999996</v>
      </c>
      <c r="D438">
        <v>0.01</v>
      </c>
      <c r="E438">
        <v>11.172000000000001</v>
      </c>
      <c r="G438" s="310">
        <f t="shared" si="6"/>
        <v>0</v>
      </c>
      <c r="I438" s="312"/>
      <c r="J438" t="str">
        <f>PE_aug!AP427</f>
        <v>Straßenabfluss</v>
      </c>
    </row>
    <row r="439" spans="1:10">
      <c r="A439" s="314" t="s">
        <v>568</v>
      </c>
      <c r="B439">
        <v>17.350000000000001</v>
      </c>
      <c r="E439">
        <v>5.7991000000000001</v>
      </c>
      <c r="F439">
        <v>0.8</v>
      </c>
      <c r="G439" s="310">
        <f t="shared" si="6"/>
        <v>2.9918435619320243</v>
      </c>
      <c r="H439">
        <v>10</v>
      </c>
      <c r="I439" s="312">
        <f>B439/H439*100</f>
        <v>173.5</v>
      </c>
      <c r="J439" t="str">
        <f>PE_aug!AP428</f>
        <v>Straßenabfluss, Methode</v>
      </c>
    </row>
    <row r="440" spans="1:10">
      <c r="A440" s="314" t="s">
        <v>491</v>
      </c>
      <c r="C440">
        <v>0.70699999999999996</v>
      </c>
      <c r="D440">
        <v>3.7999999999999999E-2</v>
      </c>
      <c r="E440">
        <v>9.7790800000000004</v>
      </c>
      <c r="F440">
        <v>0.25</v>
      </c>
      <c r="G440" s="310">
        <f t="shared" si="6"/>
        <v>0</v>
      </c>
      <c r="I440" s="312"/>
      <c r="J440" t="str">
        <f>PE_aug!AP429</f>
        <v>Straßenabfluss</v>
      </c>
    </row>
    <row r="441" spans="1:10">
      <c r="A441" s="314" t="s">
        <v>492</v>
      </c>
      <c r="C441">
        <v>0.70699999999999996</v>
      </c>
      <c r="D441">
        <v>3.7999999999999999E-2</v>
      </c>
      <c r="E441">
        <v>11.240500000000001</v>
      </c>
      <c r="F441">
        <v>0.25</v>
      </c>
      <c r="G441" s="310">
        <f t="shared" si="6"/>
        <v>0</v>
      </c>
      <c r="I441" s="312"/>
      <c r="J441" t="str">
        <f>PE_aug!AP430</f>
        <v>Straßenabfluss</v>
      </c>
    </row>
    <row r="442" spans="1:10">
      <c r="A442" s="314" t="s">
        <v>493</v>
      </c>
      <c r="C442">
        <v>0.70699999999999996</v>
      </c>
      <c r="D442">
        <v>0.114</v>
      </c>
      <c r="E442">
        <v>8.0438550000000006</v>
      </c>
      <c r="G442" s="310">
        <f t="shared" si="6"/>
        <v>0</v>
      </c>
      <c r="I442" s="312"/>
      <c r="J442" t="str">
        <f>PE_aug!AP431</f>
        <v>Straßenabfluss</v>
      </c>
    </row>
    <row r="443" spans="1:10">
      <c r="A443" s="314" t="s">
        <v>494</v>
      </c>
      <c r="C443">
        <v>0.70699999999999996</v>
      </c>
      <c r="D443">
        <v>0.114</v>
      </c>
      <c r="E443">
        <v>12.492749999999999</v>
      </c>
      <c r="G443" s="310">
        <f t="shared" si="6"/>
        <v>0</v>
      </c>
      <c r="J443" t="str">
        <f>PE_aug!AP432</f>
        <v>Straßenabfluss</v>
      </c>
    </row>
    <row r="444" spans="1:10">
      <c r="A444" s="314" t="s">
        <v>495</v>
      </c>
      <c r="C444">
        <v>0.70699999999999996</v>
      </c>
      <c r="D444">
        <v>0.46899999999999997</v>
      </c>
      <c r="E444">
        <v>9.6039899999999996</v>
      </c>
      <c r="F444">
        <v>0.25</v>
      </c>
      <c r="G444" s="310">
        <f t="shared" si="6"/>
        <v>0</v>
      </c>
      <c r="J444" t="str">
        <f>PE_aug!AP433</f>
        <v>Straßenabfluss</v>
      </c>
    </row>
    <row r="445" spans="1:10">
      <c r="A445" s="314" t="s">
        <v>496</v>
      </c>
      <c r="C445">
        <v>0.70699999999999996</v>
      </c>
      <c r="D445">
        <v>0.46899999999999997</v>
      </c>
      <c r="E445">
        <v>12.9993</v>
      </c>
      <c r="F445">
        <v>0.25</v>
      </c>
      <c r="G445" s="310">
        <f t="shared" si="6"/>
        <v>0</v>
      </c>
      <c r="J445" t="str">
        <f>PE_aug!AP434</f>
        <v>Straßenabfluss</v>
      </c>
    </row>
    <row r="446" spans="1:10">
      <c r="A446" s="314" t="s">
        <v>497</v>
      </c>
      <c r="C446">
        <v>0.70699999999999996</v>
      </c>
      <c r="D446">
        <v>0.17399999999999999</v>
      </c>
      <c r="E446">
        <v>8.3272600000000008</v>
      </c>
      <c r="G446" s="310">
        <f t="shared" si="6"/>
        <v>0</v>
      </c>
      <c r="J446" t="str">
        <f>PE_aug!AP435</f>
        <v>Straßenabfluss</v>
      </c>
    </row>
    <row r="447" spans="1:10">
      <c r="A447" s="314" t="s">
        <v>498</v>
      </c>
      <c r="C447">
        <v>0.70699999999999996</v>
      </c>
      <c r="D447">
        <v>0.17399999999999999</v>
      </c>
      <c r="E447">
        <v>5.5668749999999996</v>
      </c>
      <c r="G447" s="310">
        <f t="shared" si="6"/>
        <v>0</v>
      </c>
      <c r="J447" t="str">
        <f>PE_aug!AP436</f>
        <v>Straßenabfluss</v>
      </c>
    </row>
    <row r="448" spans="1:10">
      <c r="A448" s="314" t="s">
        <v>499</v>
      </c>
      <c r="C448">
        <v>0.70699999999999996</v>
      </c>
      <c r="D448">
        <v>0.12</v>
      </c>
      <c r="E448">
        <v>10.570399999999999</v>
      </c>
      <c r="G448" s="310">
        <f t="shared" si="6"/>
        <v>0</v>
      </c>
      <c r="J448" t="str">
        <f>PE_aug!AP437</f>
        <v>Straßenabfluss</v>
      </c>
    </row>
    <row r="449" spans="1:10">
      <c r="A449" s="314" t="s">
        <v>500</v>
      </c>
      <c r="C449">
        <v>0.70699999999999996</v>
      </c>
      <c r="D449">
        <v>0.12</v>
      </c>
      <c r="E449">
        <v>7.1077349999999999</v>
      </c>
      <c r="G449" s="310">
        <f t="shared" si="6"/>
        <v>0</v>
      </c>
      <c r="J449" t="str">
        <f>PE_aug!AP438</f>
        <v>Straßenabfluss</v>
      </c>
    </row>
    <row r="450" spans="1:10">
      <c r="A450" s="322" t="s">
        <v>501</v>
      </c>
      <c r="E450">
        <v>8.5403399999999987</v>
      </c>
      <c r="G450" s="310">
        <f>IFERROR(B450/#REF!,0)</f>
        <v>0</v>
      </c>
      <c r="J450" t="str">
        <f>PE_aug!AP439</f>
        <v>KWS, Methode</v>
      </c>
    </row>
    <row r="451" spans="1:10">
      <c r="A451" s="322" t="s">
        <v>502</v>
      </c>
      <c r="E451">
        <v>5.9147600000000002E-2</v>
      </c>
      <c r="G451" s="310">
        <f t="shared" ref="G451:G466" si="7">IFERROR(B451/E451,0)</f>
        <v>0</v>
      </c>
      <c r="J451" t="str">
        <f>PE_aug!AP440</f>
        <v>Methode</v>
      </c>
    </row>
    <row r="452" spans="1:10">
      <c r="A452" s="322" t="s">
        <v>503</v>
      </c>
      <c r="C452">
        <v>0.70699999999999996</v>
      </c>
      <c r="D452">
        <v>0.152</v>
      </c>
      <c r="E452">
        <v>9.0048200000000005</v>
      </c>
      <c r="G452" s="310">
        <f t="shared" si="7"/>
        <v>0</v>
      </c>
      <c r="J452" t="str">
        <f>PE_aug!AP441</f>
        <v>Straßenabfluss</v>
      </c>
    </row>
    <row r="453" spans="1:10">
      <c r="A453" s="322" t="s">
        <v>504</v>
      </c>
      <c r="C453">
        <v>0.70699999999999996</v>
      </c>
      <c r="D453">
        <v>0.152</v>
      </c>
      <c r="E453">
        <v>7.3795650000000004</v>
      </c>
      <c r="G453" s="310">
        <f t="shared" si="7"/>
        <v>0</v>
      </c>
      <c r="J453" t="str">
        <f>PE_aug!AP442</f>
        <v>Straßenabfluss</v>
      </c>
    </row>
    <row r="454" spans="1:10">
      <c r="A454" s="322" t="s">
        <v>505</v>
      </c>
      <c r="E454">
        <v>4.4695199999999993</v>
      </c>
      <c r="G454" s="310">
        <f t="shared" si="7"/>
        <v>0</v>
      </c>
      <c r="J454" t="str">
        <f>PE_aug!AP443</f>
        <v>Straßenabfluss</v>
      </c>
    </row>
    <row r="455" spans="1:10">
      <c r="A455" s="322" t="s">
        <v>506</v>
      </c>
      <c r="C455">
        <v>0.70699999999999996</v>
      </c>
      <c r="D455">
        <v>0.16500000000000001</v>
      </c>
      <c r="E455">
        <v>7.4709699999999986</v>
      </c>
      <c r="G455" s="310">
        <f t="shared" si="7"/>
        <v>0</v>
      </c>
      <c r="J455" t="str">
        <f>PE_aug!AP444</f>
        <v>Straßenabfluss</v>
      </c>
    </row>
    <row r="456" spans="1:10">
      <c r="A456" s="322" t="s">
        <v>507</v>
      </c>
      <c r="C456">
        <v>0.70699999999999996</v>
      </c>
      <c r="D456">
        <v>0.16500000000000001</v>
      </c>
      <c r="E456">
        <v>5.5076400000000003</v>
      </c>
      <c r="G456" s="310">
        <f t="shared" si="7"/>
        <v>0</v>
      </c>
      <c r="J456" t="str">
        <f>PE_aug!AP445</f>
        <v>Straßenabfluss</v>
      </c>
    </row>
    <row r="457" spans="1:10">
      <c r="A457" s="322" t="s">
        <v>508</v>
      </c>
      <c r="C457">
        <v>0.70699999999999996</v>
      </c>
      <c r="D457">
        <v>0.20300000000000001</v>
      </c>
      <c r="E457">
        <v>5.2079999999999993</v>
      </c>
      <c r="G457" s="310">
        <f t="shared" si="7"/>
        <v>0</v>
      </c>
      <c r="J457" t="str">
        <f>PE_aug!AP446</f>
        <v>Straßenabfluss</v>
      </c>
    </row>
    <row r="458" spans="1:10">
      <c r="A458" s="322" t="s">
        <v>509</v>
      </c>
      <c r="C458">
        <v>0.70699999999999996</v>
      </c>
      <c r="D458">
        <v>0.20300000000000001</v>
      </c>
      <c r="E458">
        <v>7.9878200000000001</v>
      </c>
      <c r="G458" s="310">
        <f t="shared" si="7"/>
        <v>0</v>
      </c>
      <c r="J458" t="str">
        <f>PE_aug!AP447</f>
        <v>Straßenabfluss</v>
      </c>
    </row>
    <row r="459" spans="1:10">
      <c r="A459" s="322" t="s">
        <v>510</v>
      </c>
      <c r="C459">
        <v>0.70699999999999996</v>
      </c>
      <c r="D459">
        <v>0.42699999999999999</v>
      </c>
      <c r="E459">
        <v>5.3934150000000001</v>
      </c>
      <c r="G459" s="310">
        <f t="shared" si="7"/>
        <v>0</v>
      </c>
      <c r="J459" t="str">
        <f>PE_aug!AP448</f>
        <v>Straßenabfluss</v>
      </c>
    </row>
    <row r="460" spans="1:10">
      <c r="A460" s="322" t="s">
        <v>511</v>
      </c>
      <c r="C460">
        <v>0.70699999999999996</v>
      </c>
      <c r="D460">
        <v>0.42699999999999999</v>
      </c>
      <c r="E460">
        <v>8.8179449999999999</v>
      </c>
      <c r="G460" s="310">
        <f t="shared" si="7"/>
        <v>0</v>
      </c>
      <c r="J460" t="str">
        <f>PE_aug!AP449</f>
        <v>Straßenabfluss</v>
      </c>
    </row>
    <row r="461" spans="1:10">
      <c r="A461" s="322" t="s">
        <v>512</v>
      </c>
      <c r="C461">
        <v>0.70699999999999996</v>
      </c>
      <c r="D461">
        <v>0.22</v>
      </c>
      <c r="E461">
        <v>20.2043</v>
      </c>
      <c r="F461">
        <v>0.25</v>
      </c>
      <c r="G461" s="310">
        <f t="shared" si="7"/>
        <v>0</v>
      </c>
      <c r="J461" t="str">
        <f>PE_aug!AP450</f>
        <v>Straßenabfluss</v>
      </c>
    </row>
    <row r="462" spans="1:10">
      <c r="A462" s="322" t="s">
        <v>513</v>
      </c>
      <c r="C462">
        <v>0.70699999999999996</v>
      </c>
      <c r="D462">
        <v>0.22</v>
      </c>
      <c r="E462">
        <v>29.867599999999999</v>
      </c>
      <c r="G462" s="310">
        <f t="shared" si="7"/>
        <v>0</v>
      </c>
      <c r="J462" t="str">
        <f>PE_aug!AP451</f>
        <v>Straßenabfluss</v>
      </c>
    </row>
    <row r="463" spans="1:10">
      <c r="A463" s="322" t="s">
        <v>514</v>
      </c>
      <c r="C463">
        <v>0.70699999999999996</v>
      </c>
      <c r="D463">
        <v>0.34499999999999997</v>
      </c>
      <c r="E463">
        <v>2.8785050000000001</v>
      </c>
      <c r="G463" s="310">
        <f t="shared" si="7"/>
        <v>0</v>
      </c>
      <c r="J463" t="str">
        <f>PE_aug!AP452</f>
        <v>Straßenabfluss</v>
      </c>
    </row>
    <row r="464" spans="1:10">
      <c r="A464" s="322" t="s">
        <v>515</v>
      </c>
      <c r="C464">
        <v>0.70699999999999996</v>
      </c>
      <c r="D464">
        <v>0.34499999999999997</v>
      </c>
      <c r="E464">
        <v>2.8527499999999999</v>
      </c>
      <c r="G464" s="310">
        <f t="shared" si="7"/>
        <v>0</v>
      </c>
      <c r="J464" t="str">
        <f>PE_aug!AP453</f>
        <v>Straßenabfluss</v>
      </c>
    </row>
    <row r="465" spans="1:10">
      <c r="A465" s="322" t="s">
        <v>516</v>
      </c>
      <c r="C465">
        <v>0.70699999999999996</v>
      </c>
      <c r="D465">
        <v>3.5000000000000003E-2</v>
      </c>
      <c r="E465">
        <v>3.5029300000000001</v>
      </c>
      <c r="G465" s="310">
        <f t="shared" si="7"/>
        <v>0</v>
      </c>
      <c r="J465" t="str">
        <f>PE_aug!AP454</f>
        <v>Straßenabfluss</v>
      </c>
    </row>
    <row r="466" spans="1:10">
      <c r="A466" s="322" t="s">
        <v>517</v>
      </c>
      <c r="C466">
        <v>0.70699999999999996</v>
      </c>
      <c r="D466">
        <v>3.5000000000000003E-2</v>
      </c>
      <c r="E466">
        <v>3.8363700000000001</v>
      </c>
      <c r="G466" s="310">
        <f t="shared" si="7"/>
        <v>0</v>
      </c>
      <c r="J466" t="str">
        <f>PE_aug!AP455</f>
        <v>Straßenabfluss</v>
      </c>
    </row>
    <row r="467" spans="1:10">
      <c r="A467" s="327" t="s">
        <v>518</v>
      </c>
      <c r="B467"/>
      <c r="C467">
        <v>1.077</v>
      </c>
      <c r="D467">
        <v>0.317</v>
      </c>
      <c r="E467">
        <v>10.067399999999999</v>
      </c>
    </row>
    <row r="468" spans="1:10">
      <c r="A468" s="327" t="s">
        <v>519</v>
      </c>
      <c r="B468"/>
      <c r="C468">
        <v>0.191</v>
      </c>
      <c r="D468">
        <v>0.317</v>
      </c>
      <c r="E468">
        <v>16.639399999999998</v>
      </c>
    </row>
    <row r="469" spans="1:10">
      <c r="A469" s="327" t="s">
        <v>520</v>
      </c>
      <c r="B469"/>
      <c r="C469">
        <v>0.89200000000000002</v>
      </c>
      <c r="D469">
        <v>0.317</v>
      </c>
      <c r="E469">
        <v>22.4757</v>
      </c>
    </row>
    <row r="470" spans="1:10">
      <c r="A470" s="327" t="s">
        <v>521</v>
      </c>
      <c r="B470"/>
      <c r="C470">
        <v>0.51300000000000001</v>
      </c>
      <c r="D470">
        <v>6.6000000000000003E-2</v>
      </c>
      <c r="E470">
        <v>15.794600000000001</v>
      </c>
    </row>
    <row r="471" spans="1:10">
      <c r="A471" s="327" t="s">
        <v>522</v>
      </c>
      <c r="B471"/>
      <c r="C471">
        <v>1.075</v>
      </c>
      <c r="D471">
        <v>6.6000000000000003E-2</v>
      </c>
      <c r="E471">
        <v>9.8204600000000006</v>
      </c>
    </row>
    <row r="472" spans="1:10">
      <c r="A472" s="327" t="s">
        <v>523</v>
      </c>
      <c r="B472"/>
      <c r="C472">
        <v>0.66700000000000004</v>
      </c>
      <c r="D472">
        <v>6.6000000000000003E-2</v>
      </c>
      <c r="E472">
        <v>22.010100000000001</v>
      </c>
    </row>
    <row r="473" spans="1:10">
      <c r="A473" s="327" t="s">
        <v>524</v>
      </c>
      <c r="B473"/>
      <c r="C473">
        <v>0.79500000000000004</v>
      </c>
      <c r="D473">
        <v>0.19</v>
      </c>
      <c r="E473">
        <v>7.557525</v>
      </c>
    </row>
    <row r="474" spans="1:10">
      <c r="A474" s="327" t="s">
        <v>525</v>
      </c>
      <c r="B474"/>
      <c r="C474">
        <v>0.315</v>
      </c>
      <c r="D474">
        <v>0.19</v>
      </c>
      <c r="E474">
        <v>12.8439</v>
      </c>
    </row>
    <row r="475" spans="1:10">
      <c r="A475" s="327" t="s">
        <v>526</v>
      </c>
      <c r="B475"/>
      <c r="C475">
        <v>1.105</v>
      </c>
      <c r="D475">
        <v>0.19</v>
      </c>
      <c r="E475">
        <v>19.5275</v>
      </c>
    </row>
    <row r="476" spans="1:10">
      <c r="A476" s="327" t="s">
        <v>527</v>
      </c>
      <c r="B476"/>
      <c r="C476">
        <v>1.0509999999999999</v>
      </c>
      <c r="D476">
        <v>5.2999999999999999E-2</v>
      </c>
      <c r="E476">
        <v>11.5001</v>
      </c>
    </row>
    <row r="477" spans="1:10">
      <c r="A477" s="327" t="s">
        <v>528</v>
      </c>
      <c r="B477"/>
      <c r="C477">
        <v>0.20499999999999999</v>
      </c>
      <c r="D477">
        <v>5.2999999999999999E-2</v>
      </c>
      <c r="E477">
        <v>14.7828</v>
      </c>
    </row>
    <row r="478" spans="1:10">
      <c r="A478" s="327" t="s">
        <v>529</v>
      </c>
      <c r="B478"/>
      <c r="C478">
        <v>0.90200000000000002</v>
      </c>
      <c r="D478">
        <v>5.2999999999999999E-2</v>
      </c>
      <c r="E478">
        <v>15.0672</v>
      </c>
    </row>
    <row r="479" spans="1:10">
      <c r="A479" s="327" t="s">
        <v>530</v>
      </c>
      <c r="B479"/>
      <c r="C479">
        <v>0.79700000000000004</v>
      </c>
      <c r="D479">
        <v>2.7E-2</v>
      </c>
      <c r="E479">
        <v>10.63255</v>
      </c>
    </row>
    <row r="480" spans="1:10">
      <c r="A480" s="327" t="s">
        <v>531</v>
      </c>
      <c r="B480"/>
      <c r="C480">
        <v>0.626</v>
      </c>
      <c r="D480">
        <v>2.7E-2</v>
      </c>
      <c r="E480">
        <v>10.5519</v>
      </c>
    </row>
    <row r="481" spans="1:5">
      <c r="A481" s="327" t="s">
        <v>532</v>
      </c>
      <c r="B481"/>
      <c r="C481">
        <v>0.80500000000000005</v>
      </c>
      <c r="D481">
        <v>2.7E-2</v>
      </c>
      <c r="E481">
        <v>8.6896950000000004</v>
      </c>
    </row>
    <row r="482" spans="1:5">
      <c r="A482" s="327" t="s">
        <v>533</v>
      </c>
      <c r="B482"/>
      <c r="C482"/>
      <c r="D482"/>
      <c r="E482">
        <v>9.8886500000000002</v>
      </c>
    </row>
  </sheetData>
  <autoFilter ref="A1:K217" xr:uid="{00000000-0009-0000-0000-000004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82"/>
  <sheetViews>
    <sheetView topLeftCell="A259" zoomScale="80" zoomScaleNormal="80" workbookViewId="0">
      <selection activeCell="T37" sqref="T37"/>
    </sheetView>
  </sheetViews>
  <sheetFormatPr baseColWidth="10" defaultRowHeight="15"/>
  <cols>
    <col min="1" max="1" width="64" style="275" customWidth="1"/>
    <col min="2" max="2" width="11.5703125" style="306" customWidth="1"/>
    <col min="3" max="5" width="11.42578125" style="323" customWidth="1"/>
    <col min="6" max="6" width="11.42578125" style="307" customWidth="1"/>
    <col min="7" max="10" width="11.42578125" style="323" customWidth="1"/>
    <col min="15" max="15" width="11.42578125" style="323" customWidth="1"/>
    <col min="20" max="20" width="33" style="323" bestFit="1" customWidth="1"/>
  </cols>
  <sheetData>
    <row r="1" spans="1:21" ht="37.5" customHeight="1">
      <c r="A1" s="221" t="s">
        <v>0</v>
      </c>
      <c r="B1" s="76" t="s">
        <v>582</v>
      </c>
      <c r="C1" s="112" t="s">
        <v>583</v>
      </c>
      <c r="D1" s="113" t="s">
        <v>584</v>
      </c>
      <c r="E1" s="75" t="s">
        <v>585</v>
      </c>
      <c r="F1" s="228" t="s">
        <v>586</v>
      </c>
      <c r="G1" s="101" t="s">
        <v>13</v>
      </c>
      <c r="H1" s="101" t="s">
        <v>14</v>
      </c>
      <c r="I1" s="101" t="s">
        <v>15</v>
      </c>
      <c r="J1" s="40" t="s">
        <v>16</v>
      </c>
      <c r="K1" s="37" t="s">
        <v>17</v>
      </c>
      <c r="L1" s="42" t="s">
        <v>551</v>
      </c>
      <c r="M1" s="42" t="s">
        <v>587</v>
      </c>
      <c r="N1" s="61" t="s">
        <v>574</v>
      </c>
      <c r="O1" s="61" t="s">
        <v>588</v>
      </c>
      <c r="P1" s="37" t="s">
        <v>25</v>
      </c>
      <c r="Q1" s="42" t="s">
        <v>26</v>
      </c>
      <c r="R1" s="44" t="s">
        <v>580</v>
      </c>
      <c r="S1" s="44" t="s">
        <v>28</v>
      </c>
      <c r="T1" s="45" t="s">
        <v>29</v>
      </c>
      <c r="U1" s="59" t="s">
        <v>581</v>
      </c>
    </row>
    <row r="2" spans="1:21" s="51" customFormat="1">
      <c r="A2" s="84" t="s">
        <v>32</v>
      </c>
      <c r="B2" s="63"/>
      <c r="F2" s="78"/>
      <c r="I2" s="117">
        <v>8.8879999999999999</v>
      </c>
      <c r="K2" s="82" t="e">
        <f t="shared" ref="K2:K65" si="0">IF(COUNT(C2:C2)=1,0.33,(COUNT(C2:C2)*(1/(COUNT(C2:C2)+COUNTBLANK(C2:C2)))+(IF(N2&lt;35,1,IF(N2&lt;70,0.5,IF(N2&gt;70,0)))))/2)</f>
        <v>#DIV/0!</v>
      </c>
      <c r="L2" s="83" t="e">
        <f t="shared" ref="L2:L65" si="1">AVERAGE(J2:K2)</f>
        <v>#DIV/0!</v>
      </c>
      <c r="M2" s="90" t="e">
        <f t="shared" ref="M2:M65" si="2">AVERAGE(C2:E2)</f>
        <v>#DIV/0!</v>
      </c>
      <c r="N2" s="90" t="e">
        <f t="shared" ref="N2:N65" si="3">(MAX(C2:C2)-MIN(C2:C2))/M2*100</f>
        <v>#DIV/0!</v>
      </c>
      <c r="O2" s="93" t="e">
        <f t="shared" ref="O2:O65" si="4">AVERAGE(C2:F2)</f>
        <v>#DIV/0!</v>
      </c>
      <c r="P2" s="62">
        <f t="shared" ref="P2:P65" si="5">IFERROR(O2/I2,0)</f>
        <v>0</v>
      </c>
      <c r="T2" s="310" t="str">
        <f>PE_aug!AP2</f>
        <v>Massenbilanz KWS</v>
      </c>
    </row>
    <row r="3" spans="1:21">
      <c r="A3" s="84" t="s">
        <v>36</v>
      </c>
      <c r="I3" s="115">
        <v>8.9664000000000001</v>
      </c>
      <c r="K3" s="35" t="e">
        <f t="shared" si="0"/>
        <v>#DIV/0!</v>
      </c>
      <c r="L3" s="312" t="e">
        <f t="shared" si="1"/>
        <v>#DIV/0!</v>
      </c>
      <c r="M3" s="310" t="e">
        <f t="shared" si="2"/>
        <v>#DIV/0!</v>
      </c>
      <c r="N3" s="310" t="e">
        <f t="shared" si="3"/>
        <v>#DIV/0!</v>
      </c>
      <c r="O3" s="91" t="e">
        <f t="shared" si="4"/>
        <v>#DIV/0!</v>
      </c>
      <c r="P3" s="62">
        <f t="shared" si="5"/>
        <v>0</v>
      </c>
      <c r="T3" s="310" t="str">
        <f>PE_aug!AP3</f>
        <v>Massenbilanz KWS</v>
      </c>
    </row>
    <row r="4" spans="1:21">
      <c r="A4" s="84" t="s">
        <v>37</v>
      </c>
      <c r="I4" s="115">
        <v>4.3002000000000002</v>
      </c>
      <c r="K4" s="35" t="e">
        <f t="shared" si="0"/>
        <v>#DIV/0!</v>
      </c>
      <c r="L4" s="312" t="e">
        <f t="shared" si="1"/>
        <v>#DIV/0!</v>
      </c>
      <c r="M4" s="310" t="e">
        <f t="shared" si="2"/>
        <v>#DIV/0!</v>
      </c>
      <c r="N4" s="310" t="e">
        <f t="shared" si="3"/>
        <v>#DIV/0!</v>
      </c>
      <c r="O4" s="91" t="e">
        <f t="shared" si="4"/>
        <v>#DIV/0!</v>
      </c>
      <c r="P4" s="62">
        <f t="shared" si="5"/>
        <v>0</v>
      </c>
      <c r="T4" s="310" t="str">
        <f>PE_aug!AP4</f>
        <v>Massenbilanz KWS</v>
      </c>
    </row>
    <row r="5" spans="1:21">
      <c r="A5" s="84" t="s">
        <v>38</v>
      </c>
      <c r="E5">
        <v>93.59</v>
      </c>
      <c r="I5" s="115">
        <v>7.8087999999999997</v>
      </c>
      <c r="J5">
        <v>0.43</v>
      </c>
      <c r="K5" s="35">
        <f t="shared" si="0"/>
        <v>0.5</v>
      </c>
      <c r="L5" s="312">
        <f t="shared" si="1"/>
        <v>0.46499999999999997</v>
      </c>
      <c r="M5" s="310">
        <f t="shared" si="2"/>
        <v>93.59</v>
      </c>
      <c r="N5" s="310">
        <f t="shared" si="3"/>
        <v>0</v>
      </c>
      <c r="O5" s="91">
        <f t="shared" si="4"/>
        <v>93.59</v>
      </c>
      <c r="P5" s="62">
        <f t="shared" si="5"/>
        <v>11.98519618891507</v>
      </c>
      <c r="T5" s="310" t="str">
        <f>PE_aug!AP5</f>
        <v>Massenbilanz KWS</v>
      </c>
    </row>
    <row r="6" spans="1:21">
      <c r="A6" s="84" t="s">
        <v>39</v>
      </c>
      <c r="E6">
        <v>89.63</v>
      </c>
      <c r="I6" s="115">
        <v>6.5256999999999996</v>
      </c>
      <c r="J6">
        <v>0.4</v>
      </c>
      <c r="K6" s="35">
        <f t="shared" si="0"/>
        <v>0.5</v>
      </c>
      <c r="L6" s="312">
        <f t="shared" si="1"/>
        <v>0.45</v>
      </c>
      <c r="M6" s="310">
        <f t="shared" si="2"/>
        <v>89.63</v>
      </c>
      <c r="N6" s="310">
        <f t="shared" si="3"/>
        <v>0</v>
      </c>
      <c r="O6" s="91">
        <f t="shared" si="4"/>
        <v>89.63</v>
      </c>
      <c r="P6" s="62">
        <f t="shared" si="5"/>
        <v>13.73492498889008</v>
      </c>
      <c r="T6" s="310" t="str">
        <f>PE_aug!AP6</f>
        <v>Massenbilanz KWS</v>
      </c>
    </row>
    <row r="7" spans="1:21">
      <c r="A7" s="84" t="s">
        <v>40</v>
      </c>
      <c r="E7">
        <v>88.34</v>
      </c>
      <c r="I7" s="115">
        <v>8.0249000000000006</v>
      </c>
      <c r="J7">
        <v>0.5</v>
      </c>
      <c r="K7" s="35">
        <f t="shared" si="0"/>
        <v>0.5</v>
      </c>
      <c r="L7" s="312">
        <f t="shared" si="1"/>
        <v>0.5</v>
      </c>
      <c r="M7" s="310">
        <f t="shared" si="2"/>
        <v>88.34</v>
      </c>
      <c r="N7" s="310">
        <f t="shared" si="3"/>
        <v>0</v>
      </c>
      <c r="O7" s="91">
        <f t="shared" si="4"/>
        <v>88.34</v>
      </c>
      <c r="P7" s="62">
        <f t="shared" si="5"/>
        <v>11.008236862764644</v>
      </c>
      <c r="T7" s="310" t="str">
        <f>PE_aug!AP7</f>
        <v>Massenbilanz KWS</v>
      </c>
    </row>
    <row r="8" spans="1:21">
      <c r="A8" s="84" t="s">
        <v>41</v>
      </c>
      <c r="I8" s="115">
        <v>7.6868999999999996</v>
      </c>
      <c r="K8" s="35" t="e">
        <f t="shared" si="0"/>
        <v>#DIV/0!</v>
      </c>
      <c r="L8" s="312" t="e">
        <f t="shared" si="1"/>
        <v>#DIV/0!</v>
      </c>
      <c r="M8" s="310" t="e">
        <f t="shared" si="2"/>
        <v>#DIV/0!</v>
      </c>
      <c r="N8" s="310" t="e">
        <f t="shared" si="3"/>
        <v>#DIV/0!</v>
      </c>
      <c r="O8" s="91" t="e">
        <f t="shared" si="4"/>
        <v>#DIV/0!</v>
      </c>
      <c r="P8" s="62">
        <f t="shared" si="5"/>
        <v>0</v>
      </c>
      <c r="T8" s="310" t="str">
        <f>PE_aug!AP8</f>
        <v>Kläranlage</v>
      </c>
    </row>
    <row r="9" spans="1:21">
      <c r="A9" s="84" t="s">
        <v>43</v>
      </c>
      <c r="I9" s="115">
        <v>7.1997</v>
      </c>
      <c r="K9" s="35" t="e">
        <f t="shared" si="0"/>
        <v>#DIV/0!</v>
      </c>
      <c r="L9" s="312" t="e">
        <f t="shared" si="1"/>
        <v>#DIV/0!</v>
      </c>
      <c r="M9" s="310" t="e">
        <f t="shared" si="2"/>
        <v>#DIV/0!</v>
      </c>
      <c r="N9" s="310" t="e">
        <f t="shared" si="3"/>
        <v>#DIV/0!</v>
      </c>
      <c r="O9" s="91" t="e">
        <f t="shared" si="4"/>
        <v>#DIV/0!</v>
      </c>
      <c r="P9" s="62">
        <f t="shared" si="5"/>
        <v>0</v>
      </c>
      <c r="T9" s="310" t="str">
        <f>PE_aug!AP9</f>
        <v>Kläranlage</v>
      </c>
    </row>
    <row r="10" spans="1:21">
      <c r="A10" s="84" t="s">
        <v>44</v>
      </c>
      <c r="I10" s="115">
        <v>5.3699000000000003</v>
      </c>
      <c r="K10" s="35" t="e">
        <f t="shared" si="0"/>
        <v>#DIV/0!</v>
      </c>
      <c r="L10" s="312" t="e">
        <f t="shared" si="1"/>
        <v>#DIV/0!</v>
      </c>
      <c r="M10" s="310" t="e">
        <f t="shared" si="2"/>
        <v>#DIV/0!</v>
      </c>
      <c r="N10" s="310" t="e">
        <f t="shared" si="3"/>
        <v>#DIV/0!</v>
      </c>
      <c r="O10" s="91" t="e">
        <f t="shared" si="4"/>
        <v>#DIV/0!</v>
      </c>
      <c r="P10" s="62">
        <f t="shared" si="5"/>
        <v>0</v>
      </c>
      <c r="T10" s="310" t="str">
        <f>PE_aug!AP10</f>
        <v>Kläranlage</v>
      </c>
    </row>
    <row r="11" spans="1:21">
      <c r="A11" s="84" t="s">
        <v>45</v>
      </c>
      <c r="I11" s="115">
        <v>5.4539999999999997</v>
      </c>
      <c r="K11" s="35" t="e">
        <f t="shared" si="0"/>
        <v>#DIV/0!</v>
      </c>
      <c r="L11" s="312" t="e">
        <f t="shared" si="1"/>
        <v>#DIV/0!</v>
      </c>
      <c r="M11" s="310" t="e">
        <f t="shared" si="2"/>
        <v>#DIV/0!</v>
      </c>
      <c r="N11" s="310" t="e">
        <f t="shared" si="3"/>
        <v>#DIV/0!</v>
      </c>
      <c r="O11" s="91" t="e">
        <f t="shared" si="4"/>
        <v>#DIV/0!</v>
      </c>
      <c r="P11" s="62">
        <f t="shared" si="5"/>
        <v>0</v>
      </c>
      <c r="T11" s="310" t="str">
        <f>PE_aug!AP11</f>
        <v>Referenzmessung BS</v>
      </c>
    </row>
    <row r="12" spans="1:21">
      <c r="A12" s="84" t="s">
        <v>47</v>
      </c>
      <c r="I12" s="115">
        <v>10.198399999999999</v>
      </c>
      <c r="K12" s="35" t="e">
        <f t="shared" si="0"/>
        <v>#DIV/0!</v>
      </c>
      <c r="L12" s="312" t="e">
        <f t="shared" si="1"/>
        <v>#DIV/0!</v>
      </c>
      <c r="M12" s="310" t="e">
        <f t="shared" si="2"/>
        <v>#DIV/0!</v>
      </c>
      <c r="N12" s="310" t="e">
        <f t="shared" si="3"/>
        <v>#DIV/0!</v>
      </c>
      <c r="O12" s="91" t="e">
        <f t="shared" si="4"/>
        <v>#DIV/0!</v>
      </c>
      <c r="P12" s="62">
        <f t="shared" si="5"/>
        <v>0</v>
      </c>
      <c r="T12" s="310" t="str">
        <f>PE_aug!AP12</f>
        <v>Referenzmessung BS</v>
      </c>
    </row>
    <row r="13" spans="1:21">
      <c r="A13" s="86" t="s">
        <v>48</v>
      </c>
      <c r="G13" s="51"/>
      <c r="H13" s="51"/>
      <c r="I13" s="117">
        <v>8.5540000000000003</v>
      </c>
      <c r="K13" s="35" t="e">
        <f t="shared" si="0"/>
        <v>#DIV/0!</v>
      </c>
      <c r="L13" s="312" t="e">
        <f t="shared" si="1"/>
        <v>#DIV/0!</v>
      </c>
      <c r="M13" s="310" t="e">
        <f t="shared" si="2"/>
        <v>#DIV/0!</v>
      </c>
      <c r="N13" s="310" t="e">
        <f t="shared" si="3"/>
        <v>#DIV/0!</v>
      </c>
      <c r="O13" s="91" t="e">
        <f t="shared" si="4"/>
        <v>#DIV/0!</v>
      </c>
      <c r="P13" s="62">
        <f t="shared" si="5"/>
        <v>0</v>
      </c>
      <c r="T13" s="310" t="str">
        <f>PE_aug!AP13</f>
        <v>KWS, Methode</v>
      </c>
    </row>
    <row r="14" spans="1:21">
      <c r="A14" s="86" t="s">
        <v>50</v>
      </c>
      <c r="I14" s="115">
        <v>7.1116999999999999</v>
      </c>
      <c r="K14" s="35" t="e">
        <f t="shared" si="0"/>
        <v>#DIV/0!</v>
      </c>
      <c r="L14" s="312" t="e">
        <f t="shared" si="1"/>
        <v>#DIV/0!</v>
      </c>
      <c r="M14" s="310" t="e">
        <f t="shared" si="2"/>
        <v>#DIV/0!</v>
      </c>
      <c r="N14" s="310" t="e">
        <f t="shared" si="3"/>
        <v>#DIV/0!</v>
      </c>
      <c r="O14" s="91" t="e">
        <f t="shared" si="4"/>
        <v>#DIV/0!</v>
      </c>
      <c r="P14" s="62">
        <f t="shared" si="5"/>
        <v>0</v>
      </c>
      <c r="T14" s="310" t="str">
        <f>PE_aug!AP14</f>
        <v>KWS, Methode</v>
      </c>
    </row>
    <row r="15" spans="1:21">
      <c r="A15" s="86" t="s">
        <v>51</v>
      </c>
      <c r="I15" s="115">
        <v>7.8148999999999997</v>
      </c>
      <c r="K15" s="35" t="e">
        <f t="shared" si="0"/>
        <v>#DIV/0!</v>
      </c>
      <c r="L15" s="312" t="e">
        <f t="shared" si="1"/>
        <v>#DIV/0!</v>
      </c>
      <c r="M15" s="310" t="e">
        <f t="shared" si="2"/>
        <v>#DIV/0!</v>
      </c>
      <c r="N15" s="310" t="e">
        <f t="shared" si="3"/>
        <v>#DIV/0!</v>
      </c>
      <c r="O15" s="91" t="e">
        <f t="shared" si="4"/>
        <v>#DIV/0!</v>
      </c>
      <c r="P15" s="62">
        <f t="shared" si="5"/>
        <v>0</v>
      </c>
      <c r="T15" s="310" t="str">
        <f>PE_aug!AP15</f>
        <v>KWS, Methode</v>
      </c>
    </row>
    <row r="16" spans="1:21">
      <c r="A16" s="95" t="s">
        <v>554</v>
      </c>
      <c r="G16" s="51"/>
      <c r="H16" s="51"/>
      <c r="I16" s="117">
        <v>5.2794999999999996</v>
      </c>
      <c r="K16" s="35" t="e">
        <f t="shared" si="0"/>
        <v>#DIV/0!</v>
      </c>
      <c r="L16" s="312" t="e">
        <f t="shared" si="1"/>
        <v>#DIV/0!</v>
      </c>
      <c r="M16" s="310" t="e">
        <f t="shared" si="2"/>
        <v>#DIV/0!</v>
      </c>
      <c r="N16" s="310" t="e">
        <f t="shared" si="3"/>
        <v>#DIV/0!</v>
      </c>
      <c r="O16" s="91" t="e">
        <f t="shared" si="4"/>
        <v>#DIV/0!</v>
      </c>
      <c r="P16" s="62">
        <f t="shared" si="5"/>
        <v>0</v>
      </c>
      <c r="T16" s="310" t="str">
        <f>PE_aug!AP16</f>
        <v>Referenzmessung BS</v>
      </c>
    </row>
    <row r="17" spans="1:20">
      <c r="A17" s="95" t="s">
        <v>555</v>
      </c>
      <c r="I17" s="115">
        <v>4.8700999999999999</v>
      </c>
      <c r="K17" s="35" t="e">
        <f t="shared" si="0"/>
        <v>#DIV/0!</v>
      </c>
      <c r="L17" s="312" t="e">
        <f t="shared" si="1"/>
        <v>#DIV/0!</v>
      </c>
      <c r="M17" s="310" t="e">
        <f t="shared" si="2"/>
        <v>#DIV/0!</v>
      </c>
      <c r="N17" s="310" t="e">
        <f t="shared" si="3"/>
        <v>#DIV/0!</v>
      </c>
      <c r="O17" s="91" t="e">
        <f t="shared" si="4"/>
        <v>#DIV/0!</v>
      </c>
      <c r="P17" s="62">
        <f t="shared" si="5"/>
        <v>0</v>
      </c>
      <c r="T17" s="310" t="str">
        <f>PE_aug!AP17</f>
        <v>Referenzmessung BS</v>
      </c>
    </row>
    <row r="18" spans="1:20">
      <c r="A18" s="95" t="s">
        <v>556</v>
      </c>
      <c r="G18" s="85"/>
      <c r="H18" s="85"/>
      <c r="I18" s="118">
        <v>9.1433999999999997</v>
      </c>
      <c r="K18" s="35" t="e">
        <f t="shared" si="0"/>
        <v>#DIV/0!</v>
      </c>
      <c r="L18" s="312" t="e">
        <f t="shared" si="1"/>
        <v>#DIV/0!</v>
      </c>
      <c r="M18" s="310" t="e">
        <f t="shared" si="2"/>
        <v>#DIV/0!</v>
      </c>
      <c r="N18" s="310" t="e">
        <f t="shared" si="3"/>
        <v>#DIV/0!</v>
      </c>
      <c r="O18" s="91" t="e">
        <f t="shared" si="4"/>
        <v>#DIV/0!</v>
      </c>
      <c r="P18" s="62">
        <f t="shared" si="5"/>
        <v>0</v>
      </c>
      <c r="T18" s="310" t="str">
        <f>PE_aug!AP18</f>
        <v>Referenzmessung BS</v>
      </c>
    </row>
    <row r="19" spans="1:20">
      <c r="A19" s="95" t="s">
        <v>55</v>
      </c>
      <c r="G19" s="51"/>
      <c r="H19" s="51"/>
      <c r="I19" s="117">
        <v>8.1303000000000001</v>
      </c>
      <c r="K19" s="35" t="e">
        <f t="shared" si="0"/>
        <v>#DIV/0!</v>
      </c>
      <c r="L19" s="312" t="e">
        <f t="shared" si="1"/>
        <v>#DIV/0!</v>
      </c>
      <c r="M19" s="310" t="e">
        <f t="shared" si="2"/>
        <v>#DIV/0!</v>
      </c>
      <c r="N19" s="310" t="e">
        <f t="shared" si="3"/>
        <v>#DIV/0!</v>
      </c>
      <c r="O19" s="91" t="e">
        <f t="shared" si="4"/>
        <v>#DIV/0!</v>
      </c>
      <c r="P19" s="62">
        <f t="shared" si="5"/>
        <v>0</v>
      </c>
      <c r="T19" s="310" t="str">
        <f>PE_aug!AP19</f>
        <v>Massenbilanz KWS</v>
      </c>
    </row>
    <row r="20" spans="1:20">
      <c r="A20" s="95" t="s">
        <v>56</v>
      </c>
      <c r="I20" s="115">
        <v>7.2693000000000003</v>
      </c>
      <c r="K20" s="35" t="e">
        <f t="shared" si="0"/>
        <v>#DIV/0!</v>
      </c>
      <c r="L20" s="312" t="e">
        <f t="shared" si="1"/>
        <v>#DIV/0!</v>
      </c>
      <c r="M20" s="310" t="e">
        <f t="shared" si="2"/>
        <v>#DIV/0!</v>
      </c>
      <c r="N20" s="310" t="e">
        <f t="shared" si="3"/>
        <v>#DIV/0!</v>
      </c>
      <c r="O20" s="91" t="e">
        <f t="shared" si="4"/>
        <v>#DIV/0!</v>
      </c>
      <c r="P20" s="62">
        <f t="shared" si="5"/>
        <v>0</v>
      </c>
      <c r="T20" s="310" t="str">
        <f>PE_aug!AP20</f>
        <v>Massenbilanz KWS</v>
      </c>
    </row>
    <row r="21" spans="1:20">
      <c r="A21" s="95" t="s">
        <v>57</v>
      </c>
      <c r="G21" s="85"/>
      <c r="H21" s="85"/>
      <c r="I21" s="118">
        <v>9.1760999999999999</v>
      </c>
      <c r="K21" s="35" t="e">
        <f t="shared" si="0"/>
        <v>#DIV/0!</v>
      </c>
      <c r="L21" s="312" t="e">
        <f t="shared" si="1"/>
        <v>#DIV/0!</v>
      </c>
      <c r="M21" s="310" t="e">
        <f t="shared" si="2"/>
        <v>#DIV/0!</v>
      </c>
      <c r="N21" s="310" t="e">
        <f t="shared" si="3"/>
        <v>#DIV/0!</v>
      </c>
      <c r="O21" s="91" t="e">
        <f t="shared" si="4"/>
        <v>#DIV/0!</v>
      </c>
      <c r="P21" s="62">
        <f t="shared" si="5"/>
        <v>0</v>
      </c>
      <c r="T21" s="310" t="str">
        <f>PE_aug!AP21</f>
        <v>Massenbilanz KWS</v>
      </c>
    </row>
    <row r="22" spans="1:20">
      <c r="A22" s="95" t="s">
        <v>58</v>
      </c>
      <c r="G22" s="51"/>
      <c r="H22" s="51"/>
      <c r="I22" s="117">
        <v>2.7290999999999999</v>
      </c>
      <c r="K22" s="35" t="e">
        <f t="shared" si="0"/>
        <v>#DIV/0!</v>
      </c>
      <c r="L22" s="312" t="e">
        <f t="shared" si="1"/>
        <v>#DIV/0!</v>
      </c>
      <c r="M22" s="310" t="e">
        <f t="shared" si="2"/>
        <v>#DIV/0!</v>
      </c>
      <c r="N22" s="310" t="e">
        <f t="shared" si="3"/>
        <v>#DIV/0!</v>
      </c>
      <c r="O22" s="91" t="e">
        <f t="shared" si="4"/>
        <v>#DIV/0!</v>
      </c>
      <c r="P22" s="62">
        <f t="shared" si="5"/>
        <v>0</v>
      </c>
      <c r="T22" s="310" t="str">
        <f>PE_aug!AP22</f>
        <v>Massenbilanz KWS</v>
      </c>
    </row>
    <row r="23" spans="1:20">
      <c r="A23" s="95" t="s">
        <v>59</v>
      </c>
      <c r="I23" s="115">
        <v>3.5952000000000002</v>
      </c>
      <c r="K23" s="35" t="e">
        <f t="shared" si="0"/>
        <v>#DIV/0!</v>
      </c>
      <c r="L23" s="312" t="e">
        <f t="shared" si="1"/>
        <v>#DIV/0!</v>
      </c>
      <c r="M23" s="310" t="e">
        <f t="shared" si="2"/>
        <v>#DIV/0!</v>
      </c>
      <c r="N23" s="310" t="e">
        <f t="shared" si="3"/>
        <v>#DIV/0!</v>
      </c>
      <c r="O23" s="91" t="e">
        <f t="shared" si="4"/>
        <v>#DIV/0!</v>
      </c>
      <c r="P23" s="62">
        <f t="shared" si="5"/>
        <v>0</v>
      </c>
      <c r="T23" s="310" t="str">
        <f>PE_aug!AP23</f>
        <v>Massenbilanz KWS</v>
      </c>
    </row>
    <row r="24" spans="1:20">
      <c r="A24" s="95" t="s">
        <v>60</v>
      </c>
      <c r="G24" s="85"/>
      <c r="H24" s="85"/>
      <c r="I24" s="118">
        <v>9.2985000000000007</v>
      </c>
      <c r="K24" s="35" t="e">
        <f t="shared" si="0"/>
        <v>#DIV/0!</v>
      </c>
      <c r="L24" s="312" t="e">
        <f t="shared" si="1"/>
        <v>#DIV/0!</v>
      </c>
      <c r="M24" s="310" t="e">
        <f t="shared" si="2"/>
        <v>#DIV/0!</v>
      </c>
      <c r="N24" s="310" t="e">
        <f t="shared" si="3"/>
        <v>#DIV/0!</v>
      </c>
      <c r="O24" s="91" t="e">
        <f t="shared" si="4"/>
        <v>#DIV/0!</v>
      </c>
      <c r="P24" s="62">
        <f t="shared" si="5"/>
        <v>0</v>
      </c>
      <c r="T24" s="310" t="str">
        <f>PE_aug!AP24</f>
        <v>Massenbilanz KWS</v>
      </c>
    </row>
    <row r="25" spans="1:20">
      <c r="A25" s="95" t="s">
        <v>61</v>
      </c>
      <c r="E25">
        <v>92.72</v>
      </c>
      <c r="I25" s="115">
        <v>2.0716999999999999</v>
      </c>
      <c r="J25">
        <v>0</v>
      </c>
      <c r="K25" s="35">
        <f t="shared" si="0"/>
        <v>0.5</v>
      </c>
      <c r="L25" s="312">
        <f t="shared" si="1"/>
        <v>0.25</v>
      </c>
      <c r="M25" s="310">
        <f t="shared" si="2"/>
        <v>92.72</v>
      </c>
      <c r="N25" s="310">
        <f t="shared" si="3"/>
        <v>0</v>
      </c>
      <c r="O25" s="91">
        <f t="shared" si="4"/>
        <v>92.72</v>
      </c>
      <c r="P25" s="62">
        <f t="shared" si="5"/>
        <v>44.75551479461312</v>
      </c>
      <c r="T25" s="310" t="str">
        <f>PE_aug!AP25</f>
        <v>Referenzmessung BS</v>
      </c>
    </row>
    <row r="26" spans="1:20">
      <c r="A26" s="95" t="s">
        <v>62</v>
      </c>
      <c r="E26">
        <v>88.26</v>
      </c>
      <c r="I26" s="115">
        <v>0.66539999999999999</v>
      </c>
      <c r="J26">
        <v>0</v>
      </c>
      <c r="K26" s="35">
        <f t="shared" si="0"/>
        <v>0.5</v>
      </c>
      <c r="L26" s="312">
        <f t="shared" si="1"/>
        <v>0.25</v>
      </c>
      <c r="M26" s="310">
        <f t="shared" si="2"/>
        <v>88.26</v>
      </c>
      <c r="N26" s="310">
        <f t="shared" si="3"/>
        <v>0</v>
      </c>
      <c r="O26" s="91">
        <f t="shared" si="4"/>
        <v>88.26</v>
      </c>
      <c r="P26" s="62">
        <f t="shared" si="5"/>
        <v>132.64201983769163</v>
      </c>
      <c r="T26" s="310" t="str">
        <f>PE_aug!AP26</f>
        <v>Referenzmessung BS</v>
      </c>
    </row>
    <row r="27" spans="1:20">
      <c r="A27" s="95" t="s">
        <v>63</v>
      </c>
      <c r="C27">
        <v>576.54</v>
      </c>
      <c r="E27">
        <v>431.68</v>
      </c>
      <c r="F27" s="307">
        <v>793.12</v>
      </c>
      <c r="I27" s="115">
        <v>211.9</v>
      </c>
      <c r="J27">
        <v>0.56000000000000005</v>
      </c>
      <c r="K27" s="35">
        <f t="shared" si="0"/>
        <v>0.33</v>
      </c>
      <c r="L27" s="312">
        <f t="shared" si="1"/>
        <v>0.44500000000000006</v>
      </c>
      <c r="M27" s="310">
        <f t="shared" si="2"/>
        <v>504.11</v>
      </c>
      <c r="N27" s="310">
        <f t="shared" si="3"/>
        <v>0</v>
      </c>
      <c r="O27" s="91">
        <f t="shared" si="4"/>
        <v>600.44666666666672</v>
      </c>
      <c r="P27" s="62">
        <f t="shared" si="5"/>
        <v>2.8336322164543026</v>
      </c>
      <c r="S27" s="309">
        <f>100*O27/I27</f>
        <v>283.36322164543026</v>
      </c>
      <c r="T27" s="310" t="str">
        <f>PE_aug!AP27</f>
        <v>Methode</v>
      </c>
    </row>
    <row r="28" spans="1:20">
      <c r="A28" s="95" t="s">
        <v>65</v>
      </c>
      <c r="E28">
        <v>87.78</v>
      </c>
      <c r="I28" s="115">
        <v>47.3</v>
      </c>
      <c r="J28">
        <v>0.1</v>
      </c>
      <c r="K28" s="35">
        <f t="shared" si="0"/>
        <v>0.5</v>
      </c>
      <c r="L28" s="312">
        <f t="shared" si="1"/>
        <v>0.3</v>
      </c>
      <c r="M28" s="310">
        <f t="shared" si="2"/>
        <v>87.78</v>
      </c>
      <c r="N28" s="310">
        <f t="shared" si="3"/>
        <v>0</v>
      </c>
      <c r="O28" s="91">
        <f t="shared" si="4"/>
        <v>87.78</v>
      </c>
      <c r="P28" s="62">
        <f t="shared" si="5"/>
        <v>1.8558139534883722</v>
      </c>
      <c r="T28" s="310" t="str">
        <f>PE_aug!AP28</f>
        <v>Methode</v>
      </c>
    </row>
    <row r="29" spans="1:20">
      <c r="A29" s="111" t="s">
        <v>66</v>
      </c>
      <c r="E29">
        <v>84.76</v>
      </c>
      <c r="G29" s="51"/>
      <c r="H29" s="51"/>
      <c r="I29" s="117">
        <v>2.4357000000000002</v>
      </c>
      <c r="J29">
        <v>0.5</v>
      </c>
      <c r="K29" s="35">
        <f t="shared" si="0"/>
        <v>0.5</v>
      </c>
      <c r="L29" s="312">
        <f t="shared" si="1"/>
        <v>0.5</v>
      </c>
      <c r="M29" s="310">
        <f t="shared" si="2"/>
        <v>84.76</v>
      </c>
      <c r="N29" s="310">
        <f t="shared" si="3"/>
        <v>0</v>
      </c>
      <c r="O29" s="91">
        <f t="shared" si="4"/>
        <v>84.76</v>
      </c>
      <c r="P29" s="62">
        <f t="shared" si="5"/>
        <v>34.799031079361171</v>
      </c>
      <c r="T29" s="310" t="str">
        <f>PE_aug!AP29</f>
        <v>Methodenvergleich</v>
      </c>
    </row>
    <row r="30" spans="1:20">
      <c r="A30" s="111" t="s">
        <v>68</v>
      </c>
      <c r="E30">
        <v>87.32</v>
      </c>
      <c r="I30" s="115">
        <v>4.8849</v>
      </c>
      <c r="J30">
        <v>0.4</v>
      </c>
      <c r="K30" s="35">
        <f t="shared" si="0"/>
        <v>0.5</v>
      </c>
      <c r="L30" s="312">
        <f t="shared" si="1"/>
        <v>0.45</v>
      </c>
      <c r="M30" s="310">
        <f t="shared" si="2"/>
        <v>87.32</v>
      </c>
      <c r="N30" s="310">
        <f t="shared" si="3"/>
        <v>0</v>
      </c>
      <c r="O30" s="91">
        <f t="shared" si="4"/>
        <v>87.32</v>
      </c>
      <c r="P30" s="62">
        <f t="shared" si="5"/>
        <v>17.875493868861184</v>
      </c>
      <c r="T30" s="310" t="str">
        <f>PE_aug!AP30</f>
        <v>Methode</v>
      </c>
    </row>
    <row r="31" spans="1:20">
      <c r="A31" s="111" t="s">
        <v>69</v>
      </c>
      <c r="I31" s="115"/>
      <c r="J31">
        <v>0.5</v>
      </c>
      <c r="K31" s="35" t="e">
        <f t="shared" si="0"/>
        <v>#DIV/0!</v>
      </c>
      <c r="L31" s="312" t="e">
        <f t="shared" si="1"/>
        <v>#DIV/0!</v>
      </c>
      <c r="M31" s="310" t="e">
        <f t="shared" si="2"/>
        <v>#DIV/0!</v>
      </c>
      <c r="N31" s="310" t="e">
        <f t="shared" si="3"/>
        <v>#DIV/0!</v>
      </c>
      <c r="O31" s="91" t="e">
        <f t="shared" si="4"/>
        <v>#DIV/0!</v>
      </c>
      <c r="P31" s="62">
        <f t="shared" si="5"/>
        <v>0</v>
      </c>
      <c r="T31" s="310" t="str">
        <f>PE_aug!AP31</f>
        <v>KWS, neue Schlammbehandlung</v>
      </c>
    </row>
    <row r="32" spans="1:20">
      <c r="A32" s="111" t="s">
        <v>71</v>
      </c>
      <c r="E32">
        <v>101.05</v>
      </c>
      <c r="I32" s="115">
        <v>8.4742072000000004</v>
      </c>
      <c r="J32">
        <v>0.5</v>
      </c>
      <c r="K32" s="35">
        <f t="shared" si="0"/>
        <v>0.5</v>
      </c>
      <c r="L32" s="312">
        <f t="shared" si="1"/>
        <v>0.5</v>
      </c>
      <c r="M32" s="310">
        <f t="shared" si="2"/>
        <v>101.05</v>
      </c>
      <c r="N32" s="310">
        <f t="shared" si="3"/>
        <v>0</v>
      </c>
      <c r="O32" s="91">
        <f t="shared" si="4"/>
        <v>101.05</v>
      </c>
      <c r="P32" s="62">
        <f t="shared" si="5"/>
        <v>11.924419313230858</v>
      </c>
      <c r="T32" s="310" t="str">
        <f>PE_aug!AP32</f>
        <v>Methode</v>
      </c>
    </row>
    <row r="33" spans="1:20">
      <c r="A33" s="111" t="s">
        <v>72</v>
      </c>
      <c r="I33" s="115">
        <v>9.5027999999999988</v>
      </c>
      <c r="J33">
        <v>0.5</v>
      </c>
      <c r="K33" s="35" t="e">
        <f t="shared" si="0"/>
        <v>#DIV/0!</v>
      </c>
      <c r="L33" s="312" t="e">
        <f t="shared" si="1"/>
        <v>#DIV/0!</v>
      </c>
      <c r="M33" s="310" t="e">
        <f t="shared" si="2"/>
        <v>#DIV/0!</v>
      </c>
      <c r="N33" s="310" t="e">
        <f t="shared" si="3"/>
        <v>#DIV/0!</v>
      </c>
      <c r="O33" s="91" t="e">
        <f t="shared" si="4"/>
        <v>#DIV/0!</v>
      </c>
      <c r="P33" s="62">
        <f t="shared" si="5"/>
        <v>0</v>
      </c>
      <c r="T33" s="310" t="str">
        <f>PE_aug!AP33</f>
        <v>Methode</v>
      </c>
    </row>
    <row r="34" spans="1:20">
      <c r="A34" s="111" t="s">
        <v>73</v>
      </c>
      <c r="E34">
        <v>93.63</v>
      </c>
      <c r="I34" s="115">
        <v>6.3264996</v>
      </c>
      <c r="J34">
        <v>0.44</v>
      </c>
      <c r="K34" s="35">
        <f t="shared" si="0"/>
        <v>0.5</v>
      </c>
      <c r="L34" s="312">
        <f t="shared" si="1"/>
        <v>0.47</v>
      </c>
      <c r="M34" s="310">
        <f t="shared" si="2"/>
        <v>93.63</v>
      </c>
      <c r="N34" s="310">
        <f t="shared" si="3"/>
        <v>0</v>
      </c>
      <c r="O34" s="91">
        <f t="shared" si="4"/>
        <v>93.63</v>
      </c>
      <c r="P34" s="62">
        <f t="shared" si="5"/>
        <v>14.799653192106421</v>
      </c>
      <c r="T34" s="310" t="str">
        <f>PE_aug!AP34</f>
        <v>Methode</v>
      </c>
    </row>
    <row r="35" spans="1:20">
      <c r="A35" s="111" t="s">
        <v>74</v>
      </c>
      <c r="E35">
        <v>88.75</v>
      </c>
      <c r="I35" s="115">
        <v>20.927900000000001</v>
      </c>
      <c r="J35">
        <v>0.5</v>
      </c>
      <c r="K35" s="35">
        <f t="shared" si="0"/>
        <v>0.5</v>
      </c>
      <c r="L35" s="312">
        <f t="shared" si="1"/>
        <v>0.5</v>
      </c>
      <c r="M35" s="310">
        <f t="shared" si="2"/>
        <v>88.75</v>
      </c>
      <c r="N35" s="310">
        <f t="shared" si="3"/>
        <v>0</v>
      </c>
      <c r="O35" s="91">
        <f t="shared" si="4"/>
        <v>88.75</v>
      </c>
      <c r="P35" s="62">
        <f t="shared" si="5"/>
        <v>4.240750385848556</v>
      </c>
      <c r="T35" s="310" t="str">
        <f>PE_aug!AP35</f>
        <v>GWI Algen</v>
      </c>
    </row>
    <row r="36" spans="1:20">
      <c r="A36" s="111" t="s">
        <v>76</v>
      </c>
      <c r="E36">
        <v>98.08</v>
      </c>
      <c r="I36" s="115">
        <v>5.5827999999999998</v>
      </c>
      <c r="J36">
        <v>0.4</v>
      </c>
      <c r="K36" s="35">
        <f t="shared" si="0"/>
        <v>0.5</v>
      </c>
      <c r="L36" s="312">
        <f t="shared" si="1"/>
        <v>0.45</v>
      </c>
      <c r="M36" s="310">
        <f t="shared" si="2"/>
        <v>98.08</v>
      </c>
      <c r="N36" s="310">
        <f t="shared" si="3"/>
        <v>0</v>
      </c>
      <c r="O36" s="91">
        <f t="shared" si="4"/>
        <v>98.08</v>
      </c>
      <c r="P36" s="62">
        <f t="shared" si="5"/>
        <v>17.568245324926561</v>
      </c>
      <c r="T36" s="310" t="str">
        <f>PE_aug!AP36</f>
        <v>KWS, neue Schlammbehandlung</v>
      </c>
    </row>
    <row r="37" spans="1:20">
      <c r="A37" s="111" t="s">
        <v>77</v>
      </c>
      <c r="E37">
        <v>94.61</v>
      </c>
      <c r="I37" s="115">
        <v>9.077</v>
      </c>
      <c r="J37">
        <v>0.5</v>
      </c>
      <c r="K37" s="35">
        <f t="shared" si="0"/>
        <v>0.5</v>
      </c>
      <c r="L37" s="312">
        <f t="shared" si="1"/>
        <v>0.5</v>
      </c>
      <c r="M37" s="310">
        <f t="shared" si="2"/>
        <v>94.61</v>
      </c>
      <c r="N37" s="310">
        <f t="shared" si="3"/>
        <v>0</v>
      </c>
      <c r="O37" s="91">
        <f t="shared" si="4"/>
        <v>94.61</v>
      </c>
      <c r="P37" s="62">
        <f t="shared" si="5"/>
        <v>10.423047262311336</v>
      </c>
      <c r="T37" s="310" t="str">
        <f>PE_aug!AP37</f>
        <v>KWS, neue Schlammbehandlung</v>
      </c>
    </row>
    <row r="38" spans="1:20">
      <c r="A38" s="111" t="s">
        <v>78</v>
      </c>
      <c r="E38">
        <v>100.54</v>
      </c>
      <c r="I38" s="115">
        <v>4.5395000000000003</v>
      </c>
      <c r="J38">
        <v>0.5</v>
      </c>
      <c r="K38" s="35">
        <f t="shared" si="0"/>
        <v>0.5</v>
      </c>
      <c r="L38" s="312">
        <f t="shared" si="1"/>
        <v>0.5</v>
      </c>
      <c r="M38" s="310">
        <f t="shared" si="2"/>
        <v>100.54</v>
      </c>
      <c r="N38" s="310">
        <f t="shared" si="3"/>
        <v>0</v>
      </c>
      <c r="O38" s="91">
        <f t="shared" si="4"/>
        <v>100.54</v>
      </c>
      <c r="P38" s="62">
        <f t="shared" si="5"/>
        <v>22.147813635862981</v>
      </c>
      <c r="T38" s="310" t="str">
        <f>PE_aug!AP38</f>
        <v>KWS, neue Schlammbehandlung</v>
      </c>
    </row>
    <row r="39" spans="1:20">
      <c r="A39" s="111" t="s">
        <v>79</v>
      </c>
      <c r="E39">
        <v>97.18</v>
      </c>
      <c r="I39" s="115">
        <v>11.981299999999999</v>
      </c>
      <c r="J39">
        <v>0</v>
      </c>
      <c r="K39" s="35">
        <f t="shared" si="0"/>
        <v>0.5</v>
      </c>
      <c r="L39" s="312">
        <f t="shared" si="1"/>
        <v>0.25</v>
      </c>
      <c r="M39" s="310">
        <f t="shared" si="2"/>
        <v>97.18</v>
      </c>
      <c r="N39" s="310">
        <f t="shared" si="3"/>
        <v>0</v>
      </c>
      <c r="O39" s="91">
        <f t="shared" si="4"/>
        <v>97.18</v>
      </c>
      <c r="P39" s="62">
        <f t="shared" si="5"/>
        <v>8.110972932820312</v>
      </c>
      <c r="T39" s="310" t="str">
        <f>PE_aug!AP39</f>
        <v>KWS, neue Schlammbehandlung</v>
      </c>
    </row>
    <row r="40" spans="1:20">
      <c r="A40" s="111" t="s">
        <v>80</v>
      </c>
      <c r="I40" s="115">
        <v>22.0534</v>
      </c>
      <c r="K40" s="35" t="e">
        <f t="shared" si="0"/>
        <v>#DIV/0!</v>
      </c>
      <c r="L40" s="312" t="e">
        <f t="shared" si="1"/>
        <v>#DIV/0!</v>
      </c>
      <c r="M40" s="310" t="e">
        <f t="shared" si="2"/>
        <v>#DIV/0!</v>
      </c>
      <c r="N40" s="310" t="e">
        <f t="shared" si="3"/>
        <v>#DIV/0!</v>
      </c>
      <c r="O40" s="91" t="e">
        <f t="shared" si="4"/>
        <v>#DIV/0!</v>
      </c>
      <c r="P40" s="62">
        <f t="shared" si="5"/>
        <v>0</v>
      </c>
      <c r="T40" s="310" t="str">
        <f>PE_aug!AP40</f>
        <v>KWS, neue Schlammbehandlung</v>
      </c>
    </row>
    <row r="41" spans="1:20">
      <c r="A41" s="111" t="s">
        <v>81</v>
      </c>
      <c r="I41" s="115">
        <v>14.983700000000001</v>
      </c>
      <c r="J41">
        <v>0.67</v>
      </c>
      <c r="K41" s="35" t="e">
        <f t="shared" si="0"/>
        <v>#DIV/0!</v>
      </c>
      <c r="L41" s="312" t="e">
        <f t="shared" si="1"/>
        <v>#DIV/0!</v>
      </c>
      <c r="M41" s="310" t="e">
        <f t="shared" si="2"/>
        <v>#DIV/0!</v>
      </c>
      <c r="N41" s="310" t="e">
        <f t="shared" si="3"/>
        <v>#DIV/0!</v>
      </c>
      <c r="O41" s="91" t="e">
        <f t="shared" si="4"/>
        <v>#DIV/0!</v>
      </c>
      <c r="P41" s="62">
        <f t="shared" si="5"/>
        <v>0</v>
      </c>
      <c r="T41" s="310" t="str">
        <f>PE_aug!AP41</f>
        <v>KWS, neue Schlammbehandlung</v>
      </c>
    </row>
    <row r="42" spans="1:20">
      <c r="A42" s="111" t="s">
        <v>82</v>
      </c>
      <c r="E42">
        <v>87.12</v>
      </c>
      <c r="I42" s="115">
        <v>2.3340000000000001</v>
      </c>
      <c r="J42">
        <v>0.5</v>
      </c>
      <c r="K42" s="35">
        <f t="shared" si="0"/>
        <v>0.5</v>
      </c>
      <c r="L42" s="312">
        <f t="shared" si="1"/>
        <v>0.5</v>
      </c>
      <c r="M42" s="310">
        <f t="shared" si="2"/>
        <v>87.12</v>
      </c>
      <c r="N42" s="310">
        <f t="shared" si="3"/>
        <v>0</v>
      </c>
      <c r="O42" s="91">
        <f t="shared" si="4"/>
        <v>87.12</v>
      </c>
      <c r="P42" s="62">
        <f t="shared" si="5"/>
        <v>37.326478149100261</v>
      </c>
      <c r="T42" s="310" t="str">
        <f>PE_aug!AP42</f>
        <v>Methodenvergleich</v>
      </c>
    </row>
    <row r="43" spans="1:20">
      <c r="A43" s="111" t="s">
        <v>83</v>
      </c>
      <c r="E43">
        <v>92.22</v>
      </c>
      <c r="I43" s="115">
        <v>5.1288999999999998</v>
      </c>
      <c r="J43">
        <v>0.5</v>
      </c>
      <c r="K43" s="35">
        <f t="shared" si="0"/>
        <v>0.5</v>
      </c>
      <c r="L43" s="312">
        <f t="shared" si="1"/>
        <v>0.5</v>
      </c>
      <c r="M43" s="310">
        <f t="shared" si="2"/>
        <v>92.22</v>
      </c>
      <c r="N43" s="310">
        <f t="shared" si="3"/>
        <v>0</v>
      </c>
      <c r="O43" s="91">
        <f t="shared" si="4"/>
        <v>92.22</v>
      </c>
      <c r="P43" s="62">
        <f t="shared" si="5"/>
        <v>17.980463647175807</v>
      </c>
      <c r="T43" s="310" t="str">
        <f>PE_aug!AP43</f>
        <v>Methodenvergleich</v>
      </c>
    </row>
    <row r="44" spans="1:20">
      <c r="A44" s="111" t="s">
        <v>84</v>
      </c>
      <c r="E44">
        <v>91.74</v>
      </c>
      <c r="I44" s="115">
        <v>2.7223000000000002</v>
      </c>
      <c r="J44">
        <v>0.4</v>
      </c>
      <c r="K44" s="35">
        <f t="shared" si="0"/>
        <v>0.5</v>
      </c>
      <c r="L44" s="312">
        <f t="shared" si="1"/>
        <v>0.45</v>
      </c>
      <c r="M44" s="310">
        <f t="shared" si="2"/>
        <v>91.74</v>
      </c>
      <c r="N44" s="310">
        <f t="shared" si="3"/>
        <v>0</v>
      </c>
      <c r="O44" s="91">
        <f t="shared" si="4"/>
        <v>91.74</v>
      </c>
      <c r="P44" s="62">
        <f t="shared" si="5"/>
        <v>33.699445321970387</v>
      </c>
      <c r="T44" s="310" t="str">
        <f>PE_aug!AP44</f>
        <v>Methodenvergleich</v>
      </c>
    </row>
    <row r="45" spans="1:20">
      <c r="A45" s="111" t="s">
        <v>85</v>
      </c>
      <c r="E45">
        <v>90.72</v>
      </c>
      <c r="I45" s="115">
        <v>2.6141000000000001</v>
      </c>
      <c r="J45">
        <v>0.5</v>
      </c>
      <c r="K45" s="35">
        <f t="shared" si="0"/>
        <v>0.5</v>
      </c>
      <c r="L45" s="312">
        <f t="shared" si="1"/>
        <v>0.5</v>
      </c>
      <c r="M45" s="310">
        <f t="shared" si="2"/>
        <v>90.72</v>
      </c>
      <c r="N45" s="310">
        <f t="shared" si="3"/>
        <v>0</v>
      </c>
      <c r="O45" s="91">
        <f t="shared" si="4"/>
        <v>90.72</v>
      </c>
      <c r="P45" s="62">
        <f t="shared" si="5"/>
        <v>34.704104663172792</v>
      </c>
      <c r="T45" s="310" t="str">
        <f>PE_aug!AP45</f>
        <v>Methodenvergleich</v>
      </c>
    </row>
    <row r="46" spans="1:20">
      <c r="A46" s="111" t="s">
        <v>86</v>
      </c>
      <c r="E46">
        <v>95.22</v>
      </c>
      <c r="I46" s="115">
        <v>3.3165</v>
      </c>
      <c r="J46">
        <v>0.5</v>
      </c>
      <c r="K46" s="35">
        <f t="shared" si="0"/>
        <v>0.5</v>
      </c>
      <c r="L46" s="312">
        <f t="shared" si="1"/>
        <v>0.5</v>
      </c>
      <c r="M46" s="310">
        <f t="shared" si="2"/>
        <v>95.22</v>
      </c>
      <c r="N46" s="310">
        <f t="shared" si="3"/>
        <v>0</v>
      </c>
      <c r="O46" s="91">
        <f t="shared" si="4"/>
        <v>95.22</v>
      </c>
      <c r="P46" s="62">
        <f t="shared" si="5"/>
        <v>28.710990502035276</v>
      </c>
      <c r="T46" s="310" t="str">
        <f>PE_aug!AP46</f>
        <v>Methodenvergleich</v>
      </c>
    </row>
    <row r="47" spans="1:20">
      <c r="A47" s="111" t="s">
        <v>87</v>
      </c>
      <c r="E47">
        <v>95.57</v>
      </c>
      <c r="I47" s="115">
        <v>2.6827000000000001</v>
      </c>
      <c r="J47">
        <v>0.5</v>
      </c>
      <c r="K47" s="35">
        <f t="shared" si="0"/>
        <v>0.5</v>
      </c>
      <c r="L47" s="312">
        <f t="shared" si="1"/>
        <v>0.5</v>
      </c>
      <c r="M47" s="310">
        <f t="shared" si="2"/>
        <v>95.57</v>
      </c>
      <c r="N47" s="310">
        <f t="shared" si="3"/>
        <v>0</v>
      </c>
      <c r="O47" s="91">
        <f t="shared" si="4"/>
        <v>95.57</v>
      </c>
      <c r="P47" s="62">
        <f t="shared" si="5"/>
        <v>35.624557348939497</v>
      </c>
      <c r="T47" s="310" t="str">
        <f>PE_aug!AP47</f>
        <v>Methodenvergleich</v>
      </c>
    </row>
    <row r="48" spans="1:20">
      <c r="A48" s="111" t="s">
        <v>88</v>
      </c>
      <c r="E48">
        <v>92.98</v>
      </c>
      <c r="I48" s="115">
        <v>4.9345999999999997</v>
      </c>
      <c r="J48">
        <v>0.5</v>
      </c>
      <c r="K48" s="35">
        <f t="shared" si="0"/>
        <v>0.5</v>
      </c>
      <c r="L48" s="312">
        <f t="shared" si="1"/>
        <v>0.5</v>
      </c>
      <c r="M48" s="310">
        <f t="shared" si="2"/>
        <v>92.98</v>
      </c>
      <c r="N48" s="310">
        <f t="shared" si="3"/>
        <v>0</v>
      </c>
      <c r="O48" s="91">
        <f t="shared" si="4"/>
        <v>92.98</v>
      </c>
      <c r="P48" s="62">
        <f t="shared" si="5"/>
        <v>18.842459368540514</v>
      </c>
      <c r="T48" s="310" t="str">
        <f>PE_aug!AP48</f>
        <v>Methodenvergleich</v>
      </c>
    </row>
    <row r="49" spans="1:20">
      <c r="A49" s="111" t="s">
        <v>89</v>
      </c>
      <c r="E49">
        <v>93.06</v>
      </c>
      <c r="I49" s="115">
        <v>5.2786</v>
      </c>
      <c r="J49">
        <v>0.5</v>
      </c>
      <c r="K49" s="35">
        <f t="shared" si="0"/>
        <v>0.5</v>
      </c>
      <c r="L49" s="312">
        <f t="shared" si="1"/>
        <v>0.5</v>
      </c>
      <c r="M49" s="310">
        <f t="shared" si="2"/>
        <v>93.06</v>
      </c>
      <c r="N49" s="310">
        <f t="shared" si="3"/>
        <v>0</v>
      </c>
      <c r="O49" s="91">
        <f t="shared" si="4"/>
        <v>93.06</v>
      </c>
      <c r="P49" s="62">
        <f t="shared" si="5"/>
        <v>17.62967453491456</v>
      </c>
      <c r="T49" s="310" t="str">
        <f>PE_aug!AP49</f>
        <v>Methodenvergleich</v>
      </c>
    </row>
    <row r="50" spans="1:20">
      <c r="A50" s="116" t="s">
        <v>90</v>
      </c>
      <c r="E50">
        <v>94.18</v>
      </c>
      <c r="G50" s="51"/>
      <c r="H50" s="51"/>
      <c r="I50" s="117">
        <v>6.4586099999999994E-2</v>
      </c>
      <c r="J50">
        <v>0.25</v>
      </c>
      <c r="K50" s="35">
        <f t="shared" si="0"/>
        <v>0.5</v>
      </c>
      <c r="L50" s="312">
        <f t="shared" si="1"/>
        <v>0.375</v>
      </c>
      <c r="M50" s="310">
        <f t="shared" si="2"/>
        <v>94.18</v>
      </c>
      <c r="N50" s="310">
        <f t="shared" si="3"/>
        <v>0</v>
      </c>
      <c r="O50" s="91">
        <f t="shared" si="4"/>
        <v>94.18</v>
      </c>
      <c r="P50" s="62">
        <f t="shared" si="5"/>
        <v>1458.2084999713563</v>
      </c>
      <c r="T50" s="310" t="str">
        <f>PE_aug!AP50</f>
        <v>Methode</v>
      </c>
    </row>
    <row r="51" spans="1:20">
      <c r="A51" s="116" t="s">
        <v>91</v>
      </c>
      <c r="I51" s="115">
        <v>9.7091999999999992</v>
      </c>
      <c r="K51" s="35" t="e">
        <f t="shared" si="0"/>
        <v>#DIV/0!</v>
      </c>
      <c r="L51" s="312" t="e">
        <f t="shared" si="1"/>
        <v>#DIV/0!</v>
      </c>
      <c r="M51" s="310" t="e">
        <f t="shared" si="2"/>
        <v>#DIV/0!</v>
      </c>
      <c r="N51" s="310" t="e">
        <f t="shared" si="3"/>
        <v>#DIV/0!</v>
      </c>
      <c r="O51" s="91" t="e">
        <f t="shared" si="4"/>
        <v>#DIV/0!</v>
      </c>
      <c r="P51" s="62">
        <f t="shared" si="5"/>
        <v>0</v>
      </c>
      <c r="T51" s="310" t="str">
        <f>PE_aug!AP51</f>
        <v>Referenzmessung BS</v>
      </c>
    </row>
    <row r="52" spans="1:20">
      <c r="A52" s="116" t="s">
        <v>92</v>
      </c>
      <c r="I52" s="115">
        <v>13.1975</v>
      </c>
      <c r="K52" s="35" t="e">
        <f t="shared" si="0"/>
        <v>#DIV/0!</v>
      </c>
      <c r="L52" s="312" t="e">
        <f t="shared" si="1"/>
        <v>#DIV/0!</v>
      </c>
      <c r="M52" s="310" t="e">
        <f t="shared" si="2"/>
        <v>#DIV/0!</v>
      </c>
      <c r="N52" s="310" t="e">
        <f t="shared" si="3"/>
        <v>#DIV/0!</v>
      </c>
      <c r="O52" s="91" t="e">
        <f t="shared" si="4"/>
        <v>#DIV/0!</v>
      </c>
      <c r="P52" s="62">
        <f t="shared" si="5"/>
        <v>0</v>
      </c>
      <c r="T52" s="310" t="str">
        <f>PE_aug!AP52</f>
        <v>Referenzmessung BS</v>
      </c>
    </row>
    <row r="53" spans="1:20">
      <c r="A53" s="116" t="s">
        <v>93</v>
      </c>
      <c r="I53" s="115">
        <v>13.651300000000001</v>
      </c>
      <c r="K53" s="35" t="e">
        <f t="shared" si="0"/>
        <v>#DIV/0!</v>
      </c>
      <c r="L53" s="312" t="e">
        <f t="shared" si="1"/>
        <v>#DIV/0!</v>
      </c>
      <c r="M53" s="310" t="e">
        <f t="shared" si="2"/>
        <v>#DIV/0!</v>
      </c>
      <c r="N53" s="310" t="e">
        <f t="shared" si="3"/>
        <v>#DIV/0!</v>
      </c>
      <c r="O53" s="91" t="e">
        <f t="shared" si="4"/>
        <v>#DIV/0!</v>
      </c>
      <c r="P53" s="62">
        <f t="shared" si="5"/>
        <v>0</v>
      </c>
      <c r="T53" s="310" t="str">
        <f>PE_aug!AP53</f>
        <v>Referenzmessung BS</v>
      </c>
    </row>
    <row r="54" spans="1:20">
      <c r="A54" s="116" t="s">
        <v>94</v>
      </c>
      <c r="I54" s="115">
        <v>12.703900000000001</v>
      </c>
      <c r="K54" s="35" t="e">
        <f t="shared" si="0"/>
        <v>#DIV/0!</v>
      </c>
      <c r="L54" s="312" t="e">
        <f t="shared" si="1"/>
        <v>#DIV/0!</v>
      </c>
      <c r="M54" s="310" t="e">
        <f t="shared" si="2"/>
        <v>#DIV/0!</v>
      </c>
      <c r="N54" s="310" t="e">
        <f t="shared" si="3"/>
        <v>#DIV/0!</v>
      </c>
      <c r="O54" s="91" t="e">
        <f t="shared" si="4"/>
        <v>#DIV/0!</v>
      </c>
      <c r="P54" s="62">
        <f t="shared" si="5"/>
        <v>0</v>
      </c>
      <c r="T54" s="310" t="str">
        <f>PE_aug!AP54</f>
        <v>Referenzmessung BS</v>
      </c>
    </row>
    <row r="55" spans="1:20">
      <c r="A55" s="116" t="s">
        <v>95</v>
      </c>
      <c r="I55" s="115">
        <v>7.2664999999999997</v>
      </c>
      <c r="K55" s="35" t="e">
        <f t="shared" si="0"/>
        <v>#DIV/0!</v>
      </c>
      <c r="L55" s="312" t="e">
        <f t="shared" si="1"/>
        <v>#DIV/0!</v>
      </c>
      <c r="M55" s="310" t="e">
        <f t="shared" si="2"/>
        <v>#DIV/0!</v>
      </c>
      <c r="N55" s="310" t="e">
        <f t="shared" si="3"/>
        <v>#DIV/0!</v>
      </c>
      <c r="O55" s="91" t="e">
        <f t="shared" si="4"/>
        <v>#DIV/0!</v>
      </c>
      <c r="P55" s="62">
        <f t="shared" si="5"/>
        <v>0</v>
      </c>
      <c r="T55" s="310" t="str">
        <f>PE_aug!AP55</f>
        <v>Referenzmessung BS</v>
      </c>
    </row>
    <row r="56" spans="1:20">
      <c r="A56" s="116" t="s">
        <v>96</v>
      </c>
      <c r="I56" s="115">
        <v>10.364800000000001</v>
      </c>
      <c r="K56" s="35" t="e">
        <f t="shared" si="0"/>
        <v>#DIV/0!</v>
      </c>
      <c r="L56" s="312" t="e">
        <f t="shared" si="1"/>
        <v>#DIV/0!</v>
      </c>
      <c r="M56" s="310" t="e">
        <f t="shared" si="2"/>
        <v>#DIV/0!</v>
      </c>
      <c r="N56" s="310" t="e">
        <f t="shared" si="3"/>
        <v>#DIV/0!</v>
      </c>
      <c r="O56" s="91" t="e">
        <f t="shared" si="4"/>
        <v>#DIV/0!</v>
      </c>
      <c r="P56" s="62">
        <f t="shared" si="5"/>
        <v>0</v>
      </c>
      <c r="T56" s="310" t="str">
        <f>PE_aug!AP56</f>
        <v>Referenzmessung BS</v>
      </c>
    </row>
    <row r="57" spans="1:20">
      <c r="A57" s="116" t="s">
        <v>97</v>
      </c>
      <c r="I57" s="115">
        <v>10.887700000000001</v>
      </c>
      <c r="K57" s="35" t="e">
        <f t="shared" si="0"/>
        <v>#DIV/0!</v>
      </c>
      <c r="L57" s="312" t="e">
        <f t="shared" si="1"/>
        <v>#DIV/0!</v>
      </c>
      <c r="M57" s="310" t="e">
        <f t="shared" si="2"/>
        <v>#DIV/0!</v>
      </c>
      <c r="N57" s="310" t="e">
        <f t="shared" si="3"/>
        <v>#DIV/0!</v>
      </c>
      <c r="O57" s="91" t="e">
        <f t="shared" si="4"/>
        <v>#DIV/0!</v>
      </c>
      <c r="P57" s="62">
        <f t="shared" si="5"/>
        <v>0</v>
      </c>
      <c r="T57" s="310" t="str">
        <f>PE_aug!AP57</f>
        <v>Referenzmessung BS</v>
      </c>
    </row>
    <row r="58" spans="1:20">
      <c r="A58" s="116" t="s">
        <v>98</v>
      </c>
      <c r="E58">
        <v>88.52</v>
      </c>
      <c r="I58" s="115">
        <v>8.7660999999999998</v>
      </c>
      <c r="J58">
        <v>0.5</v>
      </c>
      <c r="K58" s="35">
        <f t="shared" si="0"/>
        <v>0.5</v>
      </c>
      <c r="L58" s="312">
        <f t="shared" si="1"/>
        <v>0.5</v>
      </c>
      <c r="M58" s="310">
        <f t="shared" si="2"/>
        <v>88.52</v>
      </c>
      <c r="N58" s="310">
        <f t="shared" si="3"/>
        <v>0</v>
      </c>
      <c r="O58" s="91">
        <f t="shared" si="4"/>
        <v>88.52</v>
      </c>
      <c r="P58" s="62">
        <f t="shared" si="5"/>
        <v>10.097991124901609</v>
      </c>
      <c r="T58" s="310" t="str">
        <f>PE_aug!AP58</f>
        <v>Referenzmessung BS</v>
      </c>
    </row>
    <row r="59" spans="1:20">
      <c r="A59" s="116" t="s">
        <v>99</v>
      </c>
      <c r="E59">
        <v>89.94</v>
      </c>
      <c r="I59" s="115">
        <v>11.4666</v>
      </c>
      <c r="J59">
        <v>0.5</v>
      </c>
      <c r="K59" s="35">
        <f t="shared" si="0"/>
        <v>0.5</v>
      </c>
      <c r="L59" s="312">
        <f t="shared" si="1"/>
        <v>0.5</v>
      </c>
      <c r="M59" s="310">
        <f t="shared" si="2"/>
        <v>89.94</v>
      </c>
      <c r="N59" s="310">
        <f t="shared" si="3"/>
        <v>0</v>
      </c>
      <c r="O59" s="91">
        <f t="shared" si="4"/>
        <v>89.94</v>
      </c>
      <c r="P59" s="62">
        <f t="shared" si="5"/>
        <v>7.8436502537805453</v>
      </c>
      <c r="T59" s="310" t="str">
        <f>PE_aug!AP59</f>
        <v>Referenzmessung BS</v>
      </c>
    </row>
    <row r="60" spans="1:20">
      <c r="A60" s="116" t="s">
        <v>100</v>
      </c>
      <c r="I60" s="115">
        <v>8.7931000000000008</v>
      </c>
      <c r="K60" s="35" t="e">
        <f t="shared" si="0"/>
        <v>#DIV/0!</v>
      </c>
      <c r="L60" s="312" t="e">
        <f t="shared" si="1"/>
        <v>#DIV/0!</v>
      </c>
      <c r="M60" s="310" t="e">
        <f t="shared" si="2"/>
        <v>#DIV/0!</v>
      </c>
      <c r="N60" s="310" t="e">
        <f t="shared" si="3"/>
        <v>#DIV/0!</v>
      </c>
      <c r="O60" s="91" t="e">
        <f t="shared" si="4"/>
        <v>#DIV/0!</v>
      </c>
      <c r="P60" s="62">
        <f t="shared" si="5"/>
        <v>0</v>
      </c>
      <c r="T60" s="310" t="str">
        <f>PE_aug!AP60</f>
        <v>Referenzmessung BS</v>
      </c>
    </row>
    <row r="61" spans="1:20">
      <c r="A61" s="116" t="s">
        <v>101</v>
      </c>
      <c r="I61" s="115">
        <v>7.7481</v>
      </c>
      <c r="K61" s="35" t="e">
        <f t="shared" si="0"/>
        <v>#DIV/0!</v>
      </c>
      <c r="L61" s="312" t="e">
        <f t="shared" si="1"/>
        <v>#DIV/0!</v>
      </c>
      <c r="M61" s="310" t="e">
        <f t="shared" si="2"/>
        <v>#DIV/0!</v>
      </c>
      <c r="N61" s="310" t="e">
        <f t="shared" si="3"/>
        <v>#DIV/0!</v>
      </c>
      <c r="O61" s="91" t="e">
        <f t="shared" si="4"/>
        <v>#DIV/0!</v>
      </c>
      <c r="P61" s="62">
        <f t="shared" si="5"/>
        <v>0</v>
      </c>
      <c r="T61" s="310" t="str">
        <f>PE_aug!AP61</f>
        <v>Referenzmessung BS</v>
      </c>
    </row>
    <row r="62" spans="1:20">
      <c r="A62" s="116" t="s">
        <v>102</v>
      </c>
      <c r="I62" s="115">
        <v>9.3953000000000007</v>
      </c>
      <c r="K62" s="35" t="e">
        <f t="shared" si="0"/>
        <v>#DIV/0!</v>
      </c>
      <c r="L62" s="312" t="e">
        <f t="shared" si="1"/>
        <v>#DIV/0!</v>
      </c>
      <c r="M62" s="310" t="e">
        <f t="shared" si="2"/>
        <v>#DIV/0!</v>
      </c>
      <c r="N62" s="310" t="e">
        <f t="shared" si="3"/>
        <v>#DIV/0!</v>
      </c>
      <c r="O62" s="91" t="e">
        <f t="shared" si="4"/>
        <v>#DIV/0!</v>
      </c>
      <c r="P62" s="62">
        <f t="shared" si="5"/>
        <v>0</v>
      </c>
      <c r="T62" s="310" t="str">
        <f>PE_aug!AP62</f>
        <v>Referenzmessung BS</v>
      </c>
    </row>
    <row r="63" spans="1:20">
      <c r="A63" s="116" t="s">
        <v>103</v>
      </c>
      <c r="I63" s="115">
        <v>10.911199999999999</v>
      </c>
      <c r="K63" s="35" t="e">
        <f t="shared" si="0"/>
        <v>#DIV/0!</v>
      </c>
      <c r="L63" s="312" t="e">
        <f t="shared" si="1"/>
        <v>#DIV/0!</v>
      </c>
      <c r="M63" s="310" t="e">
        <f t="shared" si="2"/>
        <v>#DIV/0!</v>
      </c>
      <c r="N63" s="310" t="e">
        <f t="shared" si="3"/>
        <v>#DIV/0!</v>
      </c>
      <c r="O63" s="91" t="e">
        <f t="shared" si="4"/>
        <v>#DIV/0!</v>
      </c>
      <c r="P63" s="62">
        <f t="shared" si="5"/>
        <v>0</v>
      </c>
      <c r="T63" s="310" t="str">
        <f>PE_aug!AP63</f>
        <v>Referenzmessung BS</v>
      </c>
    </row>
    <row r="64" spans="1:20">
      <c r="A64" s="116" t="s">
        <v>104</v>
      </c>
      <c r="I64" s="115">
        <v>9.3252000000000006</v>
      </c>
      <c r="K64" s="35" t="e">
        <f t="shared" si="0"/>
        <v>#DIV/0!</v>
      </c>
      <c r="L64" s="312" t="e">
        <f t="shared" si="1"/>
        <v>#DIV/0!</v>
      </c>
      <c r="M64" s="310" t="e">
        <f t="shared" si="2"/>
        <v>#DIV/0!</v>
      </c>
      <c r="N64" s="310" t="e">
        <f t="shared" si="3"/>
        <v>#DIV/0!</v>
      </c>
      <c r="O64" s="91" t="e">
        <f t="shared" si="4"/>
        <v>#DIV/0!</v>
      </c>
      <c r="P64" s="62">
        <f t="shared" si="5"/>
        <v>0</v>
      </c>
      <c r="T64" s="310" t="str">
        <f>PE_aug!AP64</f>
        <v>Referenzmessung BS</v>
      </c>
    </row>
    <row r="65" spans="1:20">
      <c r="A65" s="116" t="s">
        <v>105</v>
      </c>
      <c r="I65" s="115">
        <v>10.133599999999999</v>
      </c>
      <c r="K65" s="35" t="e">
        <f t="shared" si="0"/>
        <v>#DIV/0!</v>
      </c>
      <c r="L65" s="312" t="e">
        <f t="shared" si="1"/>
        <v>#DIV/0!</v>
      </c>
      <c r="M65" s="310" t="e">
        <f t="shared" si="2"/>
        <v>#DIV/0!</v>
      </c>
      <c r="N65" s="310" t="e">
        <f t="shared" si="3"/>
        <v>#DIV/0!</v>
      </c>
      <c r="O65" s="91" t="e">
        <f t="shared" si="4"/>
        <v>#DIV/0!</v>
      </c>
      <c r="P65" s="62">
        <f t="shared" si="5"/>
        <v>0</v>
      </c>
      <c r="T65" s="310" t="str">
        <f>PE_aug!AP65</f>
        <v>Referenzmessung BS</v>
      </c>
    </row>
    <row r="66" spans="1:20">
      <c r="A66" s="116" t="s">
        <v>106</v>
      </c>
      <c r="I66" s="115">
        <v>5.3752000000000004</v>
      </c>
      <c r="K66" s="35" t="e">
        <f t="shared" ref="K66:K129" si="6">IF(COUNT(C66:C66)=1,0.33,(COUNT(C66:C66)*(1/(COUNT(C66:C66)+COUNTBLANK(C66:C66)))+(IF(N66&lt;35,1,IF(N66&lt;70,0.5,IF(N66&gt;70,0)))))/2)</f>
        <v>#DIV/0!</v>
      </c>
      <c r="L66" s="312" t="e">
        <f t="shared" ref="L66:L129" si="7">AVERAGE(J66:K66)</f>
        <v>#DIV/0!</v>
      </c>
      <c r="M66" s="310" t="e">
        <f t="shared" ref="M66:M129" si="8">AVERAGE(C66:E66)</f>
        <v>#DIV/0!</v>
      </c>
      <c r="N66" s="310" t="e">
        <f t="shared" ref="N66:N129" si="9">(MAX(C66:C66)-MIN(C66:C66))/M66*100</f>
        <v>#DIV/0!</v>
      </c>
      <c r="O66" s="91" t="e">
        <f t="shared" ref="O66:O129" si="10">AVERAGE(C66:F66)</f>
        <v>#DIV/0!</v>
      </c>
      <c r="P66" s="62">
        <f t="shared" ref="P66:P129" si="11">IFERROR(O66/I66,0)</f>
        <v>0</v>
      </c>
      <c r="T66" s="310" t="str">
        <f>PE_aug!AP66</f>
        <v>Massenbilanz KWS, Methode</v>
      </c>
    </row>
    <row r="67" spans="1:20">
      <c r="A67" s="116" t="s">
        <v>108</v>
      </c>
      <c r="C67">
        <v>55.75</v>
      </c>
      <c r="D67">
        <v>73.06</v>
      </c>
      <c r="E67">
        <v>157.46</v>
      </c>
      <c r="F67" s="307">
        <v>293.33999999999997</v>
      </c>
      <c r="I67" s="115">
        <v>3.4369000000000001</v>
      </c>
      <c r="J67">
        <v>0.88</v>
      </c>
      <c r="K67" s="35">
        <f t="shared" si="6"/>
        <v>0.33</v>
      </c>
      <c r="L67" s="312">
        <f t="shared" si="7"/>
        <v>0.60499999999999998</v>
      </c>
      <c r="M67" s="310">
        <f t="shared" si="8"/>
        <v>95.423333333333332</v>
      </c>
      <c r="N67" s="310">
        <f t="shared" si="9"/>
        <v>0</v>
      </c>
      <c r="O67" s="91">
        <f t="shared" si="10"/>
        <v>144.90249999999997</v>
      </c>
      <c r="P67" s="62">
        <f t="shared" si="11"/>
        <v>42.160813523815058</v>
      </c>
      <c r="Q67">
        <f>PE_aug!AM67</f>
        <v>3.5472000000000001</v>
      </c>
      <c r="R67">
        <f>PE_aug!AN67</f>
        <v>0.1103</v>
      </c>
      <c r="S67" s="309">
        <f>(O67/(R67*1000))*100</f>
        <v>131.37126019945603</v>
      </c>
      <c r="T67" s="310" t="str">
        <f>PE_aug!AP67</f>
        <v>Massenbilanz KWS, Methode</v>
      </c>
    </row>
    <row r="68" spans="1:20">
      <c r="A68" s="127" t="s">
        <v>109</v>
      </c>
      <c r="G68" s="227">
        <v>0.72500766269002093</v>
      </c>
      <c r="H68" s="227">
        <v>2.3223591542813038</v>
      </c>
      <c r="I68">
        <v>24.244299999999999</v>
      </c>
      <c r="K68" s="35" t="e">
        <f t="shared" si="6"/>
        <v>#DIV/0!</v>
      </c>
      <c r="L68" s="312" t="e">
        <f t="shared" si="7"/>
        <v>#DIV/0!</v>
      </c>
      <c r="M68" s="310" t="e">
        <f t="shared" si="8"/>
        <v>#DIV/0!</v>
      </c>
      <c r="N68" s="310" t="e">
        <f t="shared" si="9"/>
        <v>#DIV/0!</v>
      </c>
      <c r="O68" s="91" t="e">
        <f t="shared" si="10"/>
        <v>#DIV/0!</v>
      </c>
      <c r="P68" s="62">
        <f t="shared" si="11"/>
        <v>0</v>
      </c>
      <c r="T68" s="310" t="str">
        <f>PE_aug!AP68</f>
        <v>Mischwasserüberlauf</v>
      </c>
    </row>
    <row r="69" spans="1:20">
      <c r="A69" s="127" t="s">
        <v>111</v>
      </c>
      <c r="G69" s="227">
        <v>1.1387065290790079</v>
      </c>
      <c r="H69" s="227">
        <v>2.3223591542813038</v>
      </c>
      <c r="I69">
        <v>21.4099</v>
      </c>
      <c r="K69" s="35" t="e">
        <f t="shared" si="6"/>
        <v>#DIV/0!</v>
      </c>
      <c r="L69" s="312" t="e">
        <f t="shared" si="7"/>
        <v>#DIV/0!</v>
      </c>
      <c r="M69" s="310" t="e">
        <f t="shared" si="8"/>
        <v>#DIV/0!</v>
      </c>
      <c r="N69" s="310" t="e">
        <f t="shared" si="9"/>
        <v>#DIV/0!</v>
      </c>
      <c r="O69" s="91" t="e">
        <f t="shared" si="10"/>
        <v>#DIV/0!</v>
      </c>
      <c r="P69" s="62">
        <f t="shared" si="11"/>
        <v>0</v>
      </c>
      <c r="T69" s="310" t="str">
        <f>PE_aug!AP69</f>
        <v>Mischwasserüberlauf</v>
      </c>
    </row>
    <row r="70" spans="1:20">
      <c r="A70" s="127" t="s">
        <v>112</v>
      </c>
      <c r="E70">
        <v>86.54</v>
      </c>
      <c r="G70" s="227">
        <v>0.41413423453421311</v>
      </c>
      <c r="H70" s="227">
        <v>2.3223591542813038</v>
      </c>
      <c r="I70">
        <v>19.963000000000001</v>
      </c>
      <c r="J70">
        <v>0.19</v>
      </c>
      <c r="K70" s="35">
        <f t="shared" si="6"/>
        <v>0.5</v>
      </c>
      <c r="L70" s="312">
        <f t="shared" si="7"/>
        <v>0.34499999999999997</v>
      </c>
      <c r="M70" s="310">
        <f t="shared" si="8"/>
        <v>86.54</v>
      </c>
      <c r="N70" s="310">
        <f t="shared" si="9"/>
        <v>0</v>
      </c>
      <c r="O70" s="91">
        <f t="shared" si="10"/>
        <v>86.54</v>
      </c>
      <c r="P70" s="62">
        <f t="shared" si="11"/>
        <v>4.33501978660522</v>
      </c>
      <c r="T70" s="310" t="str">
        <f>PE_aug!AP70</f>
        <v>Mischwasserüberlauf</v>
      </c>
    </row>
    <row r="71" spans="1:20">
      <c r="A71" s="127" t="s">
        <v>113</v>
      </c>
      <c r="E71">
        <v>91.02</v>
      </c>
      <c r="G71" s="227">
        <v>0.62561317936058813</v>
      </c>
      <c r="H71" s="227">
        <v>0.28260061430444122</v>
      </c>
      <c r="I71">
        <v>22.075199999999999</v>
      </c>
      <c r="J71">
        <v>0</v>
      </c>
      <c r="K71" s="35">
        <f t="shared" si="6"/>
        <v>0.5</v>
      </c>
      <c r="L71" s="312">
        <f t="shared" si="7"/>
        <v>0.25</v>
      </c>
      <c r="M71" s="310">
        <f t="shared" si="8"/>
        <v>91.02</v>
      </c>
      <c r="N71" s="310">
        <f t="shared" si="9"/>
        <v>0</v>
      </c>
      <c r="O71" s="91">
        <f t="shared" si="10"/>
        <v>91.02</v>
      </c>
      <c r="P71" s="62">
        <f t="shared" si="11"/>
        <v>4.1231789519460751</v>
      </c>
      <c r="T71" s="310" t="str">
        <f>PE_aug!AP71</f>
        <v>Mischwasserüberlauf</v>
      </c>
    </row>
    <row r="72" spans="1:20">
      <c r="A72" s="127" t="s">
        <v>114</v>
      </c>
      <c r="G72" s="227">
        <v>0.52425544744513741</v>
      </c>
      <c r="H72" s="227">
        <v>0.28260061430444122</v>
      </c>
      <c r="I72">
        <v>19.199200000000001</v>
      </c>
      <c r="K72" s="35" t="e">
        <f t="shared" si="6"/>
        <v>#DIV/0!</v>
      </c>
      <c r="L72" s="312" t="e">
        <f t="shared" si="7"/>
        <v>#DIV/0!</v>
      </c>
      <c r="M72" s="310" t="e">
        <f t="shared" si="8"/>
        <v>#DIV/0!</v>
      </c>
      <c r="N72" s="310" t="e">
        <f t="shared" si="9"/>
        <v>#DIV/0!</v>
      </c>
      <c r="O72" s="91" t="e">
        <f t="shared" si="10"/>
        <v>#DIV/0!</v>
      </c>
      <c r="P72" s="62">
        <f t="shared" si="11"/>
        <v>0</v>
      </c>
      <c r="T72" s="310" t="str">
        <f>PE_aug!AP72</f>
        <v>Mischwasserüberlauf</v>
      </c>
    </row>
    <row r="73" spans="1:20">
      <c r="A73" s="127" t="s">
        <v>115</v>
      </c>
      <c r="E73">
        <v>92.71</v>
      </c>
      <c r="G73" s="227">
        <v>1.138537379406299</v>
      </c>
      <c r="H73" s="227">
        <v>0.28260061430444122</v>
      </c>
      <c r="I73">
        <v>32.165999999999997</v>
      </c>
      <c r="J73">
        <v>0.25</v>
      </c>
      <c r="K73" s="35">
        <f t="shared" si="6"/>
        <v>0.5</v>
      </c>
      <c r="L73" s="312">
        <f t="shared" si="7"/>
        <v>0.375</v>
      </c>
      <c r="M73" s="310">
        <f t="shared" si="8"/>
        <v>92.71</v>
      </c>
      <c r="N73" s="310">
        <f t="shared" si="9"/>
        <v>0</v>
      </c>
      <c r="O73" s="91">
        <f t="shared" si="10"/>
        <v>92.71</v>
      </c>
      <c r="P73" s="62">
        <f t="shared" si="11"/>
        <v>2.8822359012622023</v>
      </c>
      <c r="T73" s="310" t="str">
        <f>PE_aug!AP73</f>
        <v>Mischwasserüberlauf</v>
      </c>
    </row>
    <row r="74" spans="1:20">
      <c r="A74" s="127" t="s">
        <v>116</v>
      </c>
      <c r="G74" s="227"/>
      <c r="H74" s="227"/>
      <c r="I74">
        <v>0.48601299999999997</v>
      </c>
      <c r="K74" s="35" t="e">
        <f t="shared" si="6"/>
        <v>#DIV/0!</v>
      </c>
      <c r="L74" s="312" t="e">
        <f t="shared" si="7"/>
        <v>#DIV/0!</v>
      </c>
      <c r="M74" s="310" t="e">
        <f t="shared" si="8"/>
        <v>#DIV/0!</v>
      </c>
      <c r="N74" s="310" t="e">
        <f t="shared" si="9"/>
        <v>#DIV/0!</v>
      </c>
      <c r="O74" s="91" t="e">
        <f t="shared" si="10"/>
        <v>#DIV/0!</v>
      </c>
      <c r="P74" s="62">
        <f t="shared" si="11"/>
        <v>0</v>
      </c>
      <c r="T74" s="310" t="str">
        <f>PE_aug!AP74</f>
        <v>Methode</v>
      </c>
    </row>
    <row r="75" spans="1:20">
      <c r="A75" s="127" t="s">
        <v>117</v>
      </c>
      <c r="G75" s="227"/>
      <c r="H75" s="227"/>
      <c r="I75">
        <v>31.152699999999999</v>
      </c>
      <c r="K75" s="35" t="e">
        <f t="shared" si="6"/>
        <v>#DIV/0!</v>
      </c>
      <c r="L75" s="312" t="e">
        <f t="shared" si="7"/>
        <v>#DIV/0!</v>
      </c>
      <c r="M75" s="310" t="e">
        <f t="shared" si="8"/>
        <v>#DIV/0!</v>
      </c>
      <c r="N75" s="310" t="e">
        <f t="shared" si="9"/>
        <v>#DIV/0!</v>
      </c>
      <c r="O75" s="91" t="e">
        <f t="shared" si="10"/>
        <v>#DIV/0!</v>
      </c>
      <c r="P75" s="62">
        <f t="shared" si="11"/>
        <v>0</v>
      </c>
      <c r="T75" s="310" t="str">
        <f>PE_aug!AP75</f>
        <v>KWS, Methode</v>
      </c>
    </row>
    <row r="76" spans="1:20">
      <c r="A76" s="127" t="s">
        <v>118</v>
      </c>
      <c r="G76" s="227">
        <v>0.92741006348580879</v>
      </c>
      <c r="H76" s="227">
        <v>0.93563404694108665</v>
      </c>
      <c r="I76">
        <v>10.7529</v>
      </c>
      <c r="K76" s="35" t="e">
        <f t="shared" si="6"/>
        <v>#DIV/0!</v>
      </c>
      <c r="L76" s="312" t="e">
        <f t="shared" si="7"/>
        <v>#DIV/0!</v>
      </c>
      <c r="M76" s="310" t="e">
        <f t="shared" si="8"/>
        <v>#DIV/0!</v>
      </c>
      <c r="N76" s="310" t="e">
        <f t="shared" si="9"/>
        <v>#DIV/0!</v>
      </c>
      <c r="O76" s="91" t="e">
        <f t="shared" si="10"/>
        <v>#DIV/0!</v>
      </c>
      <c r="P76" s="62">
        <f t="shared" si="11"/>
        <v>0</v>
      </c>
      <c r="T76" s="310" t="str">
        <f>PE_aug!AP76</f>
        <v>KWS, neue Schlammbehandlung</v>
      </c>
    </row>
    <row r="77" spans="1:20">
      <c r="A77" s="127" t="s">
        <v>119</v>
      </c>
      <c r="G77" s="227">
        <v>0.6165271278721236</v>
      </c>
      <c r="H77" s="227">
        <v>0.93563404694108665</v>
      </c>
      <c r="I77">
        <v>24.845700000000001</v>
      </c>
      <c r="K77" s="35" t="e">
        <f t="shared" si="6"/>
        <v>#DIV/0!</v>
      </c>
      <c r="L77" s="312" t="e">
        <f t="shared" si="7"/>
        <v>#DIV/0!</v>
      </c>
      <c r="M77" s="310" t="e">
        <f t="shared" si="8"/>
        <v>#DIV/0!</v>
      </c>
      <c r="N77" s="310" t="e">
        <f t="shared" si="9"/>
        <v>#DIV/0!</v>
      </c>
      <c r="O77" s="91" t="e">
        <f t="shared" si="10"/>
        <v>#DIV/0!</v>
      </c>
      <c r="P77" s="62">
        <f t="shared" si="11"/>
        <v>0</v>
      </c>
      <c r="T77" s="310" t="str">
        <f>PE_aug!AP77</f>
        <v>KWS, neue Schlammbehandlung</v>
      </c>
    </row>
    <row r="78" spans="1:20">
      <c r="A78" s="127" t="s">
        <v>120</v>
      </c>
      <c r="G78" s="227">
        <v>0.69209679096893473</v>
      </c>
      <c r="H78" s="227">
        <v>0.93563404694108665</v>
      </c>
      <c r="I78">
        <v>8.3593499999999992</v>
      </c>
      <c r="K78" s="35" t="e">
        <f t="shared" si="6"/>
        <v>#DIV/0!</v>
      </c>
      <c r="L78" s="312" t="e">
        <f t="shared" si="7"/>
        <v>#DIV/0!</v>
      </c>
      <c r="M78" s="310" t="e">
        <f t="shared" si="8"/>
        <v>#DIV/0!</v>
      </c>
      <c r="N78" s="310" t="e">
        <f t="shared" si="9"/>
        <v>#DIV/0!</v>
      </c>
      <c r="O78" s="91" t="e">
        <f t="shared" si="10"/>
        <v>#DIV/0!</v>
      </c>
      <c r="P78" s="62">
        <f t="shared" si="11"/>
        <v>0</v>
      </c>
      <c r="T78" s="310" t="str">
        <f>PE_aug!AP78</f>
        <v>KWS, neue Schlammbehandlung</v>
      </c>
    </row>
    <row r="79" spans="1:20">
      <c r="A79" s="127" t="s">
        <v>121</v>
      </c>
      <c r="G79" s="227"/>
      <c r="H79" s="227"/>
      <c r="I79">
        <v>22.5444</v>
      </c>
      <c r="K79" s="35" t="e">
        <f t="shared" si="6"/>
        <v>#DIV/0!</v>
      </c>
      <c r="L79" s="312" t="e">
        <f t="shared" si="7"/>
        <v>#DIV/0!</v>
      </c>
      <c r="M79" s="310" t="e">
        <f t="shared" si="8"/>
        <v>#DIV/0!</v>
      </c>
      <c r="N79" s="310" t="e">
        <f t="shared" si="9"/>
        <v>#DIV/0!</v>
      </c>
      <c r="O79" s="91" t="e">
        <f t="shared" si="10"/>
        <v>#DIV/0!</v>
      </c>
      <c r="P79" s="62">
        <f t="shared" si="11"/>
        <v>0</v>
      </c>
      <c r="T79" s="310" t="str">
        <f>PE_aug!AP79</f>
        <v>KWS, neue Schlammbehandlung</v>
      </c>
    </row>
    <row r="80" spans="1:20">
      <c r="A80" s="127" t="s">
        <v>122</v>
      </c>
      <c r="G80" s="227">
        <v>0.59884540222007288</v>
      </c>
      <c r="H80" s="227">
        <v>0.72751809830295933</v>
      </c>
      <c r="I80">
        <v>4.5157999999999996</v>
      </c>
      <c r="K80" s="35" t="e">
        <f t="shared" si="6"/>
        <v>#DIV/0!</v>
      </c>
      <c r="L80" s="312" t="e">
        <f t="shared" si="7"/>
        <v>#DIV/0!</v>
      </c>
      <c r="M80" s="310" t="e">
        <f t="shared" si="8"/>
        <v>#DIV/0!</v>
      </c>
      <c r="N80" s="310" t="e">
        <f t="shared" si="9"/>
        <v>#DIV/0!</v>
      </c>
      <c r="O80" s="91" t="e">
        <f t="shared" si="10"/>
        <v>#DIV/0!</v>
      </c>
      <c r="P80" s="62">
        <f t="shared" si="11"/>
        <v>0</v>
      </c>
      <c r="T80" s="310" t="str">
        <f>PE_aug!AP80</f>
        <v>Flussproben</v>
      </c>
    </row>
    <row r="81" spans="1:20">
      <c r="A81" s="127" t="s">
        <v>124</v>
      </c>
      <c r="G81" s="227">
        <v>0.61625653571817318</v>
      </c>
      <c r="H81" s="227">
        <v>0.72751809830295933</v>
      </c>
      <c r="I81">
        <v>10.894500000000001</v>
      </c>
      <c r="K81" s="35" t="e">
        <f t="shared" si="6"/>
        <v>#DIV/0!</v>
      </c>
      <c r="L81" s="312" t="e">
        <f t="shared" si="7"/>
        <v>#DIV/0!</v>
      </c>
      <c r="M81" s="310" t="e">
        <f t="shared" si="8"/>
        <v>#DIV/0!</v>
      </c>
      <c r="N81" s="310" t="e">
        <f t="shared" si="9"/>
        <v>#DIV/0!</v>
      </c>
      <c r="O81" s="91" t="e">
        <f t="shared" si="10"/>
        <v>#DIV/0!</v>
      </c>
      <c r="P81" s="62">
        <f t="shared" si="11"/>
        <v>0</v>
      </c>
      <c r="T81" s="310" t="str">
        <f>PE_aug!AP81</f>
        <v>Flussproben</v>
      </c>
    </row>
    <row r="82" spans="1:20">
      <c r="A82" s="127" t="s">
        <v>125</v>
      </c>
      <c r="G82" s="227">
        <v>0.57667479250297526</v>
      </c>
      <c r="H82" s="227">
        <v>0.72751809830295933</v>
      </c>
      <c r="I82">
        <v>10.5124</v>
      </c>
      <c r="K82" s="35" t="e">
        <f t="shared" si="6"/>
        <v>#DIV/0!</v>
      </c>
      <c r="L82" s="312" t="e">
        <f t="shared" si="7"/>
        <v>#DIV/0!</v>
      </c>
      <c r="M82" s="310" t="e">
        <f t="shared" si="8"/>
        <v>#DIV/0!</v>
      </c>
      <c r="N82" s="310" t="e">
        <f t="shared" si="9"/>
        <v>#DIV/0!</v>
      </c>
      <c r="O82" s="91" t="e">
        <f t="shared" si="10"/>
        <v>#DIV/0!</v>
      </c>
      <c r="P82" s="62">
        <f t="shared" si="11"/>
        <v>0</v>
      </c>
      <c r="T82" s="310" t="str">
        <f>PE_aug!AP82</f>
        <v>Flussproben</v>
      </c>
    </row>
    <row r="83" spans="1:20">
      <c r="A83" s="127" t="s">
        <v>126</v>
      </c>
      <c r="G83" s="227">
        <v>1.3019092601025839</v>
      </c>
      <c r="H83" s="227">
        <v>0.72751809830295933</v>
      </c>
      <c r="I83">
        <v>7.32599</v>
      </c>
      <c r="K83" s="35" t="e">
        <f t="shared" si="6"/>
        <v>#DIV/0!</v>
      </c>
      <c r="L83" s="312" t="e">
        <f t="shared" si="7"/>
        <v>#DIV/0!</v>
      </c>
      <c r="M83" s="310" t="e">
        <f t="shared" si="8"/>
        <v>#DIV/0!</v>
      </c>
      <c r="N83" s="310" t="e">
        <f t="shared" si="9"/>
        <v>#DIV/0!</v>
      </c>
      <c r="O83" s="91" t="e">
        <f t="shared" si="10"/>
        <v>#DIV/0!</v>
      </c>
      <c r="P83" s="62">
        <f t="shared" si="11"/>
        <v>0</v>
      </c>
      <c r="T83" s="310" t="str">
        <f>PE_aug!AP83</f>
        <v>Flussproben, Methode</v>
      </c>
    </row>
    <row r="84" spans="1:20">
      <c r="A84" s="127" t="s">
        <v>128</v>
      </c>
      <c r="E84">
        <v>101.45</v>
      </c>
      <c r="G84" s="227">
        <v>0.58906099485757879</v>
      </c>
      <c r="H84" s="227">
        <v>0.99528059171618266</v>
      </c>
      <c r="I84">
        <v>13.3148</v>
      </c>
      <c r="J84">
        <v>0.5</v>
      </c>
      <c r="K84" s="35">
        <f t="shared" si="6"/>
        <v>0.5</v>
      </c>
      <c r="L84" s="312">
        <f t="shared" si="7"/>
        <v>0.5</v>
      </c>
      <c r="M84" s="310">
        <f t="shared" si="8"/>
        <v>101.45</v>
      </c>
      <c r="N84" s="310">
        <f t="shared" si="9"/>
        <v>0</v>
      </c>
      <c r="O84" s="91">
        <f t="shared" si="10"/>
        <v>101.45</v>
      </c>
      <c r="P84" s="62">
        <f t="shared" si="11"/>
        <v>7.6193408838285217</v>
      </c>
      <c r="T84" s="310" t="str">
        <f>PE_aug!AP84</f>
        <v>Flussproben</v>
      </c>
    </row>
    <row r="85" spans="1:20">
      <c r="A85" s="127" t="s">
        <v>129</v>
      </c>
      <c r="E85">
        <v>95.74</v>
      </c>
      <c r="G85" s="227">
        <v>0.51486739662881298</v>
      </c>
      <c r="H85" s="227">
        <v>0.99528059171618266</v>
      </c>
      <c r="I85">
        <v>11.510199999999999</v>
      </c>
      <c r="J85">
        <v>0.5</v>
      </c>
      <c r="K85" s="35">
        <f t="shared" si="6"/>
        <v>0.5</v>
      </c>
      <c r="L85" s="312">
        <f t="shared" si="7"/>
        <v>0.5</v>
      </c>
      <c r="M85" s="310">
        <f t="shared" si="8"/>
        <v>95.74</v>
      </c>
      <c r="N85" s="310">
        <f t="shared" si="9"/>
        <v>0</v>
      </c>
      <c r="O85" s="91">
        <f t="shared" si="10"/>
        <v>95.74</v>
      </c>
      <c r="P85" s="62">
        <f t="shared" si="11"/>
        <v>8.3178398290212154</v>
      </c>
      <c r="T85" s="310" t="str">
        <f>PE_aug!AP85</f>
        <v>Flussproben</v>
      </c>
    </row>
    <row r="86" spans="1:20">
      <c r="A86" s="127" t="s">
        <v>130</v>
      </c>
      <c r="E86">
        <v>92.52</v>
      </c>
      <c r="G86" s="227">
        <v>0.43495871571275968</v>
      </c>
      <c r="H86" s="227">
        <v>0.99528059171618266</v>
      </c>
      <c r="I86">
        <v>13.69835</v>
      </c>
      <c r="J86">
        <v>0.5</v>
      </c>
      <c r="K86" s="35">
        <f t="shared" si="6"/>
        <v>0.5</v>
      </c>
      <c r="L86" s="312">
        <f t="shared" si="7"/>
        <v>0.5</v>
      </c>
      <c r="M86" s="310">
        <f t="shared" si="8"/>
        <v>92.52</v>
      </c>
      <c r="N86" s="310">
        <f t="shared" si="9"/>
        <v>0</v>
      </c>
      <c r="O86" s="91">
        <f t="shared" si="10"/>
        <v>92.52</v>
      </c>
      <c r="P86" s="62">
        <f t="shared" si="11"/>
        <v>6.7540981213065807</v>
      </c>
      <c r="T86" s="310" t="str">
        <f>PE_aug!AP86</f>
        <v>Flussproben</v>
      </c>
    </row>
    <row r="87" spans="1:20">
      <c r="A87" s="127" t="s">
        <v>131</v>
      </c>
      <c r="E87">
        <v>92.11</v>
      </c>
      <c r="G87" s="227">
        <v>1.463439595231159</v>
      </c>
      <c r="H87" s="227">
        <v>0.99528059171618266</v>
      </c>
      <c r="I87">
        <v>4.7008900000000002</v>
      </c>
      <c r="J87">
        <v>0.25</v>
      </c>
      <c r="K87" s="35">
        <f t="shared" si="6"/>
        <v>0.5</v>
      </c>
      <c r="L87" s="312">
        <f t="shared" si="7"/>
        <v>0.375</v>
      </c>
      <c r="M87" s="310">
        <f t="shared" si="8"/>
        <v>92.11</v>
      </c>
      <c r="N87" s="310">
        <f t="shared" si="9"/>
        <v>0</v>
      </c>
      <c r="O87" s="91">
        <f t="shared" si="10"/>
        <v>92.11</v>
      </c>
      <c r="P87" s="62">
        <f t="shared" si="11"/>
        <v>19.594161956565671</v>
      </c>
      <c r="T87" s="310" t="str">
        <f>PE_aug!AP87</f>
        <v>Flussproben, Methode</v>
      </c>
    </row>
    <row r="88" spans="1:20">
      <c r="A88" s="127" t="s">
        <v>557</v>
      </c>
      <c r="E88">
        <v>110.54</v>
      </c>
      <c r="G88" s="227">
        <v>0.44252277258406802</v>
      </c>
      <c r="H88" s="227">
        <v>0.56732019691233859</v>
      </c>
      <c r="I88">
        <v>7.9326249999999998</v>
      </c>
      <c r="J88">
        <v>0</v>
      </c>
      <c r="K88" s="35">
        <f t="shared" si="6"/>
        <v>0.5</v>
      </c>
      <c r="L88" s="312">
        <f t="shared" si="7"/>
        <v>0.25</v>
      </c>
      <c r="M88" s="310">
        <f t="shared" si="8"/>
        <v>110.54</v>
      </c>
      <c r="N88" s="310">
        <f t="shared" si="9"/>
        <v>0</v>
      </c>
      <c r="O88" s="91">
        <f t="shared" si="10"/>
        <v>110.54</v>
      </c>
      <c r="P88" s="62">
        <f t="shared" si="11"/>
        <v>13.934857629095037</v>
      </c>
      <c r="T88" s="310" t="str">
        <f>PE_aug!AP88</f>
        <v>Mischwasserüberlauf</v>
      </c>
    </row>
    <row r="89" spans="1:20">
      <c r="A89" s="127" t="s">
        <v>558</v>
      </c>
      <c r="E89">
        <v>95.81</v>
      </c>
      <c r="G89" s="227">
        <v>0.70058927453223541</v>
      </c>
      <c r="H89" s="227">
        <v>0.56732019691233859</v>
      </c>
      <c r="I89">
        <v>5.5930400000000002</v>
      </c>
      <c r="J89">
        <v>0.4</v>
      </c>
      <c r="K89" s="35">
        <f t="shared" si="6"/>
        <v>0.5</v>
      </c>
      <c r="L89" s="312">
        <f t="shared" si="7"/>
        <v>0.45</v>
      </c>
      <c r="M89" s="310">
        <f t="shared" si="8"/>
        <v>95.81</v>
      </c>
      <c r="N89" s="310">
        <f t="shared" si="9"/>
        <v>0</v>
      </c>
      <c r="O89" s="91">
        <f t="shared" si="10"/>
        <v>95.81</v>
      </c>
      <c r="P89" s="62">
        <f t="shared" si="11"/>
        <v>17.130218986454594</v>
      </c>
      <c r="T89" s="310" t="str">
        <f>PE_aug!AP89</f>
        <v>Mischwasserüberlauf</v>
      </c>
    </row>
    <row r="90" spans="1:20">
      <c r="A90" s="127" t="s">
        <v>559</v>
      </c>
      <c r="E90">
        <v>91.05</v>
      </c>
      <c r="G90" s="227">
        <v>1.1131218618954</v>
      </c>
      <c r="H90" s="227">
        <v>0.56732019691233859</v>
      </c>
      <c r="I90">
        <v>4.9848800000000004</v>
      </c>
      <c r="J90">
        <v>0</v>
      </c>
      <c r="K90" s="35">
        <f t="shared" si="6"/>
        <v>0.5</v>
      </c>
      <c r="L90" s="312">
        <f t="shared" si="7"/>
        <v>0.25</v>
      </c>
      <c r="M90" s="310">
        <f t="shared" si="8"/>
        <v>91.05</v>
      </c>
      <c r="N90" s="310">
        <f t="shared" si="9"/>
        <v>0</v>
      </c>
      <c r="O90" s="91">
        <f t="shared" si="10"/>
        <v>91.05</v>
      </c>
      <c r="P90" s="62">
        <f t="shared" si="11"/>
        <v>18.26523406782109</v>
      </c>
      <c r="T90" s="310" t="str">
        <f>PE_aug!AP90</f>
        <v>Mischwasserüberlauf</v>
      </c>
    </row>
    <row r="91" spans="1:20">
      <c r="A91" s="127" t="s">
        <v>135</v>
      </c>
      <c r="G91" s="227">
        <v>0.95520554433141691</v>
      </c>
      <c r="H91" s="227">
        <v>0.15301122576532269</v>
      </c>
      <c r="I91">
        <v>9.8550500000000003</v>
      </c>
      <c r="K91" s="35" t="e">
        <f t="shared" si="6"/>
        <v>#DIV/0!</v>
      </c>
      <c r="L91" s="312" t="e">
        <f t="shared" si="7"/>
        <v>#DIV/0!</v>
      </c>
      <c r="M91" s="310" t="e">
        <f t="shared" si="8"/>
        <v>#DIV/0!</v>
      </c>
      <c r="N91" s="310" t="e">
        <f t="shared" si="9"/>
        <v>#DIV/0!</v>
      </c>
      <c r="O91" s="91" t="e">
        <f t="shared" si="10"/>
        <v>#DIV/0!</v>
      </c>
      <c r="P91" s="62">
        <f t="shared" si="11"/>
        <v>0</v>
      </c>
      <c r="T91" s="310" t="str">
        <f>PE_aug!AP91</f>
        <v>KWS, neue Schlammbehandlung</v>
      </c>
    </row>
    <row r="92" spans="1:20">
      <c r="A92" s="127" t="s">
        <v>136</v>
      </c>
      <c r="G92" s="227">
        <v>8.1601885331415172E-2</v>
      </c>
      <c r="H92" s="227">
        <v>0.15301122576532269</v>
      </c>
      <c r="I92">
        <v>8.9800300000000011</v>
      </c>
      <c r="K92" s="35" t="e">
        <f t="shared" si="6"/>
        <v>#DIV/0!</v>
      </c>
      <c r="L92" s="312" t="e">
        <f t="shared" si="7"/>
        <v>#DIV/0!</v>
      </c>
      <c r="M92" s="310" t="e">
        <f t="shared" si="8"/>
        <v>#DIV/0!</v>
      </c>
      <c r="N92" s="310" t="e">
        <f t="shared" si="9"/>
        <v>#DIV/0!</v>
      </c>
      <c r="O92" s="91" t="e">
        <f t="shared" si="10"/>
        <v>#DIV/0!</v>
      </c>
      <c r="P92" s="62">
        <f t="shared" si="11"/>
        <v>0</v>
      </c>
      <c r="T92" s="310" t="str">
        <f>PE_aug!AP92</f>
        <v>KWS, neue Schlammbehandlung</v>
      </c>
    </row>
    <row r="93" spans="1:20">
      <c r="A93" s="127" t="s">
        <v>137</v>
      </c>
      <c r="G93" s="227">
        <v>1.0305923510445369</v>
      </c>
      <c r="H93" s="227">
        <v>0.15301122576532269</v>
      </c>
      <c r="I93">
        <v>8.0890199999999997</v>
      </c>
      <c r="K93" s="35" t="e">
        <f t="shared" si="6"/>
        <v>#DIV/0!</v>
      </c>
      <c r="L93" s="312" t="e">
        <f t="shared" si="7"/>
        <v>#DIV/0!</v>
      </c>
      <c r="M93" s="310" t="e">
        <f t="shared" si="8"/>
        <v>#DIV/0!</v>
      </c>
      <c r="N93" s="310" t="e">
        <f t="shared" si="9"/>
        <v>#DIV/0!</v>
      </c>
      <c r="O93" s="91" t="e">
        <f t="shared" si="10"/>
        <v>#DIV/0!</v>
      </c>
      <c r="P93" s="62">
        <f t="shared" si="11"/>
        <v>0</v>
      </c>
      <c r="T93" s="310" t="str">
        <f>PE_aug!AP93</f>
        <v>KWS, neue Schlammbehandlung</v>
      </c>
    </row>
    <row r="94" spans="1:20">
      <c r="A94" s="127" t="s">
        <v>138</v>
      </c>
      <c r="G94" s="227"/>
      <c r="H94" s="227"/>
      <c r="I94">
        <v>1.39551</v>
      </c>
      <c r="K94" s="35" t="e">
        <f t="shared" si="6"/>
        <v>#DIV/0!</v>
      </c>
      <c r="L94" s="312" t="e">
        <f t="shared" si="7"/>
        <v>#DIV/0!</v>
      </c>
      <c r="M94" s="310" t="e">
        <f t="shared" si="8"/>
        <v>#DIV/0!</v>
      </c>
      <c r="N94" s="310" t="e">
        <f t="shared" si="9"/>
        <v>#DIV/0!</v>
      </c>
      <c r="O94" s="91" t="e">
        <f t="shared" si="10"/>
        <v>#DIV/0!</v>
      </c>
      <c r="P94" s="62">
        <f t="shared" si="11"/>
        <v>0</v>
      </c>
      <c r="T94" s="310" t="str">
        <f>PE_aug!AP94</f>
        <v>Methode</v>
      </c>
    </row>
    <row r="95" spans="1:20">
      <c r="A95" s="136" t="s">
        <v>139</v>
      </c>
      <c r="B95">
        <v>112.76</v>
      </c>
      <c r="C95">
        <v>982.46</v>
      </c>
      <c r="D95">
        <v>222.72</v>
      </c>
      <c r="E95">
        <v>522.73</v>
      </c>
      <c r="I95">
        <v>3.2955000000000001</v>
      </c>
      <c r="J95">
        <v>0.74</v>
      </c>
      <c r="K95" s="35">
        <f t="shared" si="6"/>
        <v>0.33</v>
      </c>
      <c r="L95" s="312">
        <f t="shared" si="7"/>
        <v>0.53500000000000003</v>
      </c>
      <c r="M95" s="310">
        <f t="shared" si="8"/>
        <v>575.97</v>
      </c>
      <c r="N95" s="310">
        <f t="shared" si="9"/>
        <v>0</v>
      </c>
      <c r="O95" s="91">
        <f t="shared" si="10"/>
        <v>575.97</v>
      </c>
      <c r="P95" s="62">
        <f t="shared" si="11"/>
        <v>174.77469276285845</v>
      </c>
      <c r="R95">
        <f>0.527-0.0907898</f>
        <v>0.43621019999999999</v>
      </c>
      <c r="S95" s="309">
        <f>(O95/(R95*1000))*100</f>
        <v>132.03955340796711</v>
      </c>
      <c r="T95" s="310" t="str">
        <f>PE_aug!AP95</f>
        <v>Methode</v>
      </c>
    </row>
    <row r="96" spans="1:20">
      <c r="A96" s="136" t="s">
        <v>140</v>
      </c>
      <c r="E96">
        <v>93.88</v>
      </c>
      <c r="G96">
        <v>0.70699999999999996</v>
      </c>
      <c r="H96">
        <v>1.143</v>
      </c>
      <c r="I96">
        <v>5.1746699999999999</v>
      </c>
      <c r="J96">
        <v>0</v>
      </c>
      <c r="K96" s="35">
        <f t="shared" si="6"/>
        <v>0.5</v>
      </c>
      <c r="L96" s="312">
        <f t="shared" si="7"/>
        <v>0.25</v>
      </c>
      <c r="M96" s="310">
        <f t="shared" si="8"/>
        <v>93.88</v>
      </c>
      <c r="N96" s="310">
        <f t="shared" si="9"/>
        <v>0</v>
      </c>
      <c r="O96" s="91">
        <f t="shared" si="10"/>
        <v>93.88</v>
      </c>
      <c r="P96" s="62">
        <f t="shared" si="11"/>
        <v>18.142219697101456</v>
      </c>
      <c r="T96" s="310" t="str">
        <f>PE_aug!AP96</f>
        <v>Algen</v>
      </c>
    </row>
    <row r="97" spans="1:20">
      <c r="A97" s="136" t="s">
        <v>142</v>
      </c>
      <c r="E97">
        <v>97.46</v>
      </c>
      <c r="G97">
        <v>0.70699999999999996</v>
      </c>
      <c r="H97">
        <v>1.143</v>
      </c>
      <c r="I97">
        <v>8.3862100000000002</v>
      </c>
      <c r="J97">
        <v>0</v>
      </c>
      <c r="K97" s="35">
        <f t="shared" si="6"/>
        <v>0.5</v>
      </c>
      <c r="L97" s="312">
        <f t="shared" si="7"/>
        <v>0.25</v>
      </c>
      <c r="M97" s="310">
        <f t="shared" si="8"/>
        <v>97.46</v>
      </c>
      <c r="N97" s="310">
        <f t="shared" si="9"/>
        <v>0</v>
      </c>
      <c r="O97" s="91">
        <f t="shared" si="10"/>
        <v>97.46</v>
      </c>
      <c r="P97" s="62">
        <f t="shared" si="11"/>
        <v>11.621459515084883</v>
      </c>
      <c r="T97" s="310" t="str">
        <f>PE_aug!AP97</f>
        <v>Algen</v>
      </c>
    </row>
    <row r="98" spans="1:20">
      <c r="A98" s="136" t="s">
        <v>143</v>
      </c>
      <c r="E98">
        <v>89.82</v>
      </c>
      <c r="G98">
        <v>0.70699999999999996</v>
      </c>
      <c r="H98">
        <v>0.104</v>
      </c>
      <c r="I98">
        <v>19.356549999999999</v>
      </c>
      <c r="J98">
        <v>0</v>
      </c>
      <c r="K98" s="35">
        <f t="shared" si="6"/>
        <v>0.5</v>
      </c>
      <c r="L98" s="312">
        <f t="shared" si="7"/>
        <v>0.25</v>
      </c>
      <c r="M98" s="310">
        <f t="shared" si="8"/>
        <v>89.82</v>
      </c>
      <c r="N98" s="310">
        <f t="shared" si="9"/>
        <v>0</v>
      </c>
      <c r="O98" s="91">
        <f t="shared" si="10"/>
        <v>89.82</v>
      </c>
      <c r="P98" s="62">
        <f t="shared" si="11"/>
        <v>4.6402897210504968</v>
      </c>
      <c r="T98" s="310" t="str">
        <f>PE_aug!AP98</f>
        <v>Algen</v>
      </c>
    </row>
    <row r="99" spans="1:20">
      <c r="A99" s="136" t="s">
        <v>144</v>
      </c>
      <c r="E99">
        <v>87.09</v>
      </c>
      <c r="G99">
        <v>0.70699999999999996</v>
      </c>
      <c r="H99">
        <v>0.104</v>
      </c>
      <c r="I99">
        <v>14.0021</v>
      </c>
      <c r="J99">
        <v>0</v>
      </c>
      <c r="K99" s="35">
        <f t="shared" si="6"/>
        <v>0.5</v>
      </c>
      <c r="L99" s="312">
        <f t="shared" si="7"/>
        <v>0.25</v>
      </c>
      <c r="M99" s="310">
        <f t="shared" si="8"/>
        <v>87.09</v>
      </c>
      <c r="N99" s="310">
        <f t="shared" si="9"/>
        <v>0</v>
      </c>
      <c r="O99" s="91">
        <f t="shared" si="10"/>
        <v>87.09</v>
      </c>
      <c r="P99" s="62">
        <f t="shared" si="11"/>
        <v>6.2197813185165085</v>
      </c>
      <c r="T99" s="310" t="str">
        <f>PE_aug!AP99</f>
        <v>Algen</v>
      </c>
    </row>
    <row r="100" spans="1:20">
      <c r="A100" s="136" t="s">
        <v>145</v>
      </c>
      <c r="E100">
        <v>89.71</v>
      </c>
      <c r="I100">
        <v>3.68384</v>
      </c>
      <c r="J100">
        <v>0</v>
      </c>
      <c r="K100" s="35">
        <f t="shared" si="6"/>
        <v>0.5</v>
      </c>
      <c r="L100" s="312">
        <f t="shared" si="7"/>
        <v>0.25</v>
      </c>
      <c r="M100" s="310">
        <f t="shared" si="8"/>
        <v>89.71</v>
      </c>
      <c r="N100" s="310">
        <f t="shared" si="9"/>
        <v>0</v>
      </c>
      <c r="O100" s="91">
        <f t="shared" si="10"/>
        <v>89.71</v>
      </c>
      <c r="P100" s="62">
        <f t="shared" si="11"/>
        <v>24.352306289089643</v>
      </c>
      <c r="T100" s="310" t="str">
        <f>PE_aug!AP100</f>
        <v>KWS</v>
      </c>
    </row>
    <row r="101" spans="1:20">
      <c r="A101" s="136" t="s">
        <v>147</v>
      </c>
      <c r="G101">
        <v>0.70699999999999996</v>
      </c>
      <c r="H101">
        <v>4.2000000000000003E-2</v>
      </c>
      <c r="I101">
        <v>4.4491899999999998</v>
      </c>
      <c r="K101" s="35" t="e">
        <f t="shared" si="6"/>
        <v>#DIV/0!</v>
      </c>
      <c r="L101" s="312" t="e">
        <f t="shared" si="7"/>
        <v>#DIV/0!</v>
      </c>
      <c r="M101" s="310" t="e">
        <f t="shared" si="8"/>
        <v>#DIV/0!</v>
      </c>
      <c r="N101" s="310" t="e">
        <f t="shared" si="9"/>
        <v>#DIV/0!</v>
      </c>
      <c r="O101" s="91" t="e">
        <f t="shared" si="10"/>
        <v>#DIV/0!</v>
      </c>
      <c r="P101" s="62">
        <f t="shared" si="11"/>
        <v>0</v>
      </c>
      <c r="T101" s="310" t="str">
        <f>PE_aug!AP101</f>
        <v>KWS</v>
      </c>
    </row>
    <row r="102" spans="1:20">
      <c r="A102" s="136" t="s">
        <v>148</v>
      </c>
      <c r="E102">
        <v>85.85</v>
      </c>
      <c r="G102">
        <v>0.70699999999999996</v>
      </c>
      <c r="H102">
        <v>4.2000000000000003E-2</v>
      </c>
      <c r="I102">
        <v>4.2668999999999997</v>
      </c>
      <c r="J102">
        <v>0.5</v>
      </c>
      <c r="K102" s="35">
        <f t="shared" si="6"/>
        <v>0.5</v>
      </c>
      <c r="L102" s="312">
        <f t="shared" si="7"/>
        <v>0.5</v>
      </c>
      <c r="M102" s="310">
        <f t="shared" si="8"/>
        <v>85.85</v>
      </c>
      <c r="N102" s="310">
        <f t="shared" si="9"/>
        <v>0</v>
      </c>
      <c r="O102" s="91">
        <f t="shared" si="10"/>
        <v>85.85</v>
      </c>
      <c r="P102" s="62">
        <f t="shared" si="11"/>
        <v>20.119993437858867</v>
      </c>
      <c r="T102" s="310" t="str">
        <f>PE_aug!AP102</f>
        <v>KWS</v>
      </c>
    </row>
    <row r="103" spans="1:20">
      <c r="A103" s="136" t="s">
        <v>149</v>
      </c>
      <c r="G103">
        <v>0.70699999999999996</v>
      </c>
      <c r="H103">
        <v>0.16900000000000001</v>
      </c>
      <c r="I103">
        <v>8.0275499999999997</v>
      </c>
      <c r="K103" s="35" t="e">
        <f t="shared" si="6"/>
        <v>#DIV/0!</v>
      </c>
      <c r="L103" s="312" t="e">
        <f t="shared" si="7"/>
        <v>#DIV/0!</v>
      </c>
      <c r="M103" s="310" t="e">
        <f t="shared" si="8"/>
        <v>#DIV/0!</v>
      </c>
      <c r="N103" s="310" t="e">
        <f t="shared" si="9"/>
        <v>#DIV/0!</v>
      </c>
      <c r="O103" s="91" t="e">
        <f t="shared" si="10"/>
        <v>#DIV/0!</v>
      </c>
      <c r="P103" s="62">
        <f t="shared" si="11"/>
        <v>0</v>
      </c>
      <c r="T103" s="310" t="str">
        <f>PE_aug!AP103</f>
        <v>Münchehofe</v>
      </c>
    </row>
    <row r="104" spans="1:20">
      <c r="A104" s="136" t="s">
        <v>151</v>
      </c>
      <c r="G104">
        <v>0.70699999999999996</v>
      </c>
      <c r="H104">
        <v>0.16900000000000001</v>
      </c>
      <c r="I104">
        <v>5.2789650000000004</v>
      </c>
      <c r="K104" s="35" t="e">
        <f t="shared" si="6"/>
        <v>#DIV/0!</v>
      </c>
      <c r="L104" s="312" t="e">
        <f t="shared" si="7"/>
        <v>#DIV/0!</v>
      </c>
      <c r="M104" s="310" t="e">
        <f t="shared" si="8"/>
        <v>#DIV/0!</v>
      </c>
      <c r="N104" s="310" t="e">
        <f t="shared" si="9"/>
        <v>#DIV/0!</v>
      </c>
      <c r="O104" s="91" t="e">
        <f t="shared" si="10"/>
        <v>#DIV/0!</v>
      </c>
      <c r="P104" s="62">
        <f t="shared" si="11"/>
        <v>0</v>
      </c>
      <c r="T104" s="310" t="str">
        <f>PE_aug!AP104</f>
        <v>Münchehofe</v>
      </c>
    </row>
    <row r="105" spans="1:20">
      <c r="A105" s="136" t="s">
        <v>152</v>
      </c>
      <c r="G105">
        <v>0.42299999999999999</v>
      </c>
      <c r="H105">
        <v>1.327</v>
      </c>
      <c r="I105">
        <v>8.4861800000000009</v>
      </c>
      <c r="K105" s="35" t="e">
        <f t="shared" si="6"/>
        <v>#DIV/0!</v>
      </c>
      <c r="L105" s="312" t="e">
        <f t="shared" si="7"/>
        <v>#DIV/0!</v>
      </c>
      <c r="M105" s="310" t="e">
        <f t="shared" si="8"/>
        <v>#DIV/0!</v>
      </c>
      <c r="N105" s="310" t="e">
        <f t="shared" si="9"/>
        <v>#DIV/0!</v>
      </c>
      <c r="O105" s="91" t="e">
        <f t="shared" si="10"/>
        <v>#DIV/0!</v>
      </c>
      <c r="P105" s="62">
        <f t="shared" si="11"/>
        <v>0</v>
      </c>
      <c r="T105" s="310" t="str">
        <f>PE_aug!AP105</f>
        <v>Flussproben Spree</v>
      </c>
    </row>
    <row r="106" spans="1:20">
      <c r="A106" s="136" t="s">
        <v>154</v>
      </c>
      <c r="G106">
        <v>0.71199999999999997</v>
      </c>
      <c r="H106">
        <v>1.327</v>
      </c>
      <c r="I106">
        <v>10.4887</v>
      </c>
      <c r="K106" s="35" t="e">
        <f t="shared" si="6"/>
        <v>#DIV/0!</v>
      </c>
      <c r="L106" s="312" t="e">
        <f t="shared" si="7"/>
        <v>#DIV/0!</v>
      </c>
      <c r="M106" s="310" t="e">
        <f t="shared" si="8"/>
        <v>#DIV/0!</v>
      </c>
      <c r="N106" s="310" t="e">
        <f t="shared" si="9"/>
        <v>#DIV/0!</v>
      </c>
      <c r="O106" s="91" t="e">
        <f t="shared" si="10"/>
        <v>#DIV/0!</v>
      </c>
      <c r="P106" s="62">
        <f t="shared" si="11"/>
        <v>0</v>
      </c>
      <c r="T106" s="310" t="str">
        <f>PE_aug!AP106</f>
        <v>Flussproben Spree</v>
      </c>
    </row>
    <row r="107" spans="1:20">
      <c r="A107" s="136" t="s">
        <v>155</v>
      </c>
      <c r="E107">
        <v>229.21</v>
      </c>
      <c r="F107" s="307">
        <v>296.70999999999998</v>
      </c>
      <c r="G107">
        <v>1.1220000000000001</v>
      </c>
      <c r="H107">
        <v>1.327</v>
      </c>
      <c r="I107">
        <v>5.2791800000000002</v>
      </c>
      <c r="J107">
        <v>0.25</v>
      </c>
      <c r="K107" s="35">
        <f t="shared" si="6"/>
        <v>0.5</v>
      </c>
      <c r="L107" s="312">
        <f t="shared" si="7"/>
        <v>0.375</v>
      </c>
      <c r="M107" s="310">
        <f t="shared" si="8"/>
        <v>229.21</v>
      </c>
      <c r="N107" s="310">
        <f t="shared" si="9"/>
        <v>0</v>
      </c>
      <c r="O107" s="91">
        <f t="shared" si="10"/>
        <v>262.95999999999998</v>
      </c>
      <c r="P107" s="62">
        <f t="shared" si="11"/>
        <v>49.810766065942055</v>
      </c>
      <c r="T107" s="310" t="str">
        <f>PE_aug!AP107</f>
        <v>Methode</v>
      </c>
    </row>
    <row r="108" spans="1:20">
      <c r="A108" s="136" t="s">
        <v>156</v>
      </c>
      <c r="G108">
        <v>0.70699999999999996</v>
      </c>
      <c r="H108">
        <v>6.7000000000000004E-2</v>
      </c>
      <c r="I108">
        <v>12.811</v>
      </c>
      <c r="K108" s="35" t="e">
        <f t="shared" si="6"/>
        <v>#DIV/0!</v>
      </c>
      <c r="L108" s="312" t="e">
        <f t="shared" si="7"/>
        <v>#DIV/0!</v>
      </c>
      <c r="M108" s="310" t="e">
        <f t="shared" si="8"/>
        <v>#DIV/0!</v>
      </c>
      <c r="N108" s="310" t="e">
        <f t="shared" si="9"/>
        <v>#DIV/0!</v>
      </c>
      <c r="O108" s="91" t="e">
        <f t="shared" si="10"/>
        <v>#DIV/0!</v>
      </c>
      <c r="P108" s="62">
        <f t="shared" si="11"/>
        <v>0</v>
      </c>
      <c r="T108" s="310" t="str">
        <f>PE_aug!AP108</f>
        <v>Flussproben Spree</v>
      </c>
    </row>
    <row r="109" spans="1:20">
      <c r="A109" s="136" t="s">
        <v>157</v>
      </c>
      <c r="G109">
        <v>0.70699999999999996</v>
      </c>
      <c r="H109">
        <v>6.7000000000000004E-2</v>
      </c>
      <c r="I109">
        <v>9.2412299999999998</v>
      </c>
      <c r="K109" s="35" t="e">
        <f t="shared" si="6"/>
        <v>#DIV/0!</v>
      </c>
      <c r="L109" s="312" t="e">
        <f t="shared" si="7"/>
        <v>#DIV/0!</v>
      </c>
      <c r="M109" s="310" t="e">
        <f t="shared" si="8"/>
        <v>#DIV/0!</v>
      </c>
      <c r="N109" s="310" t="e">
        <f t="shared" si="9"/>
        <v>#DIV/0!</v>
      </c>
      <c r="O109" s="91" t="e">
        <f t="shared" si="10"/>
        <v>#DIV/0!</v>
      </c>
      <c r="P109" s="62">
        <f t="shared" si="11"/>
        <v>0</v>
      </c>
      <c r="T109" s="310" t="str">
        <f>PE_aug!AP109</f>
        <v>Flussproben Spree</v>
      </c>
    </row>
    <row r="110" spans="1:20">
      <c r="A110" s="139" t="s">
        <v>158</v>
      </c>
      <c r="G110">
        <v>1.0109999999999999</v>
      </c>
      <c r="H110">
        <v>0.113</v>
      </c>
      <c r="I110">
        <v>9.0289600000000014</v>
      </c>
      <c r="K110" s="35" t="e">
        <f t="shared" si="6"/>
        <v>#DIV/0!</v>
      </c>
      <c r="L110" s="312" t="e">
        <f t="shared" si="7"/>
        <v>#DIV/0!</v>
      </c>
      <c r="M110" s="310" t="e">
        <f t="shared" si="8"/>
        <v>#DIV/0!</v>
      </c>
      <c r="N110" s="310" t="e">
        <f t="shared" si="9"/>
        <v>#DIV/0!</v>
      </c>
      <c r="O110" s="91" t="e">
        <f t="shared" si="10"/>
        <v>#DIV/0!</v>
      </c>
      <c r="P110" s="62">
        <f t="shared" si="11"/>
        <v>0</v>
      </c>
      <c r="T110" s="310" t="str">
        <f>PE_aug!AP110</f>
        <v>Kläranlage</v>
      </c>
    </row>
    <row r="111" spans="1:20">
      <c r="A111" s="139" t="s">
        <v>159</v>
      </c>
      <c r="G111">
        <v>0.60199999999999998</v>
      </c>
      <c r="H111">
        <v>0.113</v>
      </c>
      <c r="I111">
        <v>9.4451499999999999</v>
      </c>
      <c r="K111" s="35" t="e">
        <f t="shared" si="6"/>
        <v>#DIV/0!</v>
      </c>
      <c r="L111" s="312" t="e">
        <f t="shared" si="7"/>
        <v>#DIV/0!</v>
      </c>
      <c r="M111" s="310" t="e">
        <f t="shared" si="8"/>
        <v>#DIV/0!</v>
      </c>
      <c r="N111" s="310" t="e">
        <f t="shared" si="9"/>
        <v>#DIV/0!</v>
      </c>
      <c r="O111" s="91" t="e">
        <f t="shared" si="10"/>
        <v>#DIV/0!</v>
      </c>
      <c r="P111" s="62">
        <f t="shared" si="11"/>
        <v>0</v>
      </c>
      <c r="T111" s="310" t="str">
        <f>PE_aug!AP111</f>
        <v>Kläranlage</v>
      </c>
    </row>
    <row r="112" spans="1:20">
      <c r="A112" s="139" t="s">
        <v>160</v>
      </c>
      <c r="G112">
        <v>0.63600000000000001</v>
      </c>
      <c r="H112">
        <v>0.113</v>
      </c>
      <c r="I112">
        <v>8.1411800000000003</v>
      </c>
      <c r="K112" s="35" t="e">
        <f t="shared" si="6"/>
        <v>#DIV/0!</v>
      </c>
      <c r="L112" s="312" t="e">
        <f t="shared" si="7"/>
        <v>#DIV/0!</v>
      </c>
      <c r="M112" s="310" t="e">
        <f t="shared" si="8"/>
        <v>#DIV/0!</v>
      </c>
      <c r="N112" s="310" t="e">
        <f t="shared" si="9"/>
        <v>#DIV/0!</v>
      </c>
      <c r="O112" s="91" t="e">
        <f t="shared" si="10"/>
        <v>#DIV/0!</v>
      </c>
      <c r="P112" s="62">
        <f t="shared" si="11"/>
        <v>0</v>
      </c>
      <c r="T112" s="310" t="str">
        <f>PE_aug!AP112</f>
        <v>Kläranlage</v>
      </c>
    </row>
    <row r="113" spans="1:20">
      <c r="A113" s="139" t="s">
        <v>161</v>
      </c>
      <c r="F113" s="307">
        <v>181.02</v>
      </c>
      <c r="G113">
        <v>0.60099999999999998</v>
      </c>
      <c r="H113">
        <v>0.121</v>
      </c>
      <c r="I113">
        <v>7.5561999999999996</v>
      </c>
      <c r="J113">
        <v>0.67</v>
      </c>
      <c r="K113" s="35" t="e">
        <f t="shared" si="6"/>
        <v>#DIV/0!</v>
      </c>
      <c r="L113" s="312" t="e">
        <f t="shared" si="7"/>
        <v>#DIV/0!</v>
      </c>
      <c r="M113" s="310" t="e">
        <f t="shared" si="8"/>
        <v>#DIV/0!</v>
      </c>
      <c r="N113" s="310" t="e">
        <f t="shared" si="9"/>
        <v>#DIV/0!</v>
      </c>
      <c r="O113" s="91">
        <f t="shared" si="10"/>
        <v>181.02</v>
      </c>
      <c r="P113" s="62">
        <f t="shared" si="11"/>
        <v>23.95648606442392</v>
      </c>
      <c r="T113" s="310" t="str">
        <f>PE_aug!AP113</f>
        <v>Kläranlage</v>
      </c>
    </row>
    <row r="114" spans="1:20">
      <c r="A114" s="139" t="s">
        <v>162</v>
      </c>
      <c r="F114" s="307">
        <v>139.88999999999999</v>
      </c>
      <c r="G114">
        <v>0.873</v>
      </c>
      <c r="H114">
        <v>0.121</v>
      </c>
      <c r="I114">
        <v>4.8253199999999996</v>
      </c>
      <c r="J114">
        <v>0.5</v>
      </c>
      <c r="K114" s="35" t="e">
        <f t="shared" si="6"/>
        <v>#DIV/0!</v>
      </c>
      <c r="L114" s="312" t="e">
        <f t="shared" si="7"/>
        <v>#DIV/0!</v>
      </c>
      <c r="M114" s="310" t="e">
        <f t="shared" si="8"/>
        <v>#DIV/0!</v>
      </c>
      <c r="N114" s="310" t="e">
        <f t="shared" si="9"/>
        <v>#DIV/0!</v>
      </c>
      <c r="O114" s="91">
        <f t="shared" si="10"/>
        <v>139.88999999999999</v>
      </c>
      <c r="P114" s="62">
        <f t="shared" si="11"/>
        <v>28.990823406530552</v>
      </c>
      <c r="T114" s="310" t="str">
        <f>PE_aug!AP114</f>
        <v>Kläranlage</v>
      </c>
    </row>
    <row r="115" spans="1:20">
      <c r="A115" s="139" t="s">
        <v>163</v>
      </c>
      <c r="F115" s="307">
        <v>172.84</v>
      </c>
      <c r="G115">
        <v>0.76100000000000001</v>
      </c>
      <c r="H115">
        <v>0.121</v>
      </c>
      <c r="I115">
        <v>6.5425250000000004</v>
      </c>
      <c r="J115">
        <v>0.83</v>
      </c>
      <c r="K115" s="35" t="e">
        <f t="shared" si="6"/>
        <v>#DIV/0!</v>
      </c>
      <c r="L115" s="312" t="e">
        <f t="shared" si="7"/>
        <v>#DIV/0!</v>
      </c>
      <c r="M115" s="310" t="e">
        <f t="shared" si="8"/>
        <v>#DIV/0!</v>
      </c>
      <c r="N115" s="310" t="e">
        <f t="shared" si="9"/>
        <v>#DIV/0!</v>
      </c>
      <c r="O115" s="91">
        <f t="shared" si="10"/>
        <v>172.84</v>
      </c>
      <c r="P115" s="62">
        <f t="shared" si="11"/>
        <v>26.417934971589712</v>
      </c>
      <c r="T115" s="310" t="str">
        <f>PE_aug!AP115</f>
        <v>Kläranlage</v>
      </c>
    </row>
    <row r="116" spans="1:20">
      <c r="A116" s="139" t="s">
        <v>164</v>
      </c>
      <c r="F116" s="307">
        <v>290.35000000000002</v>
      </c>
      <c r="G116">
        <v>0.93300000000000005</v>
      </c>
      <c r="H116">
        <v>0.16900000000000001</v>
      </c>
      <c r="I116">
        <v>10.150700000000001</v>
      </c>
      <c r="J116">
        <v>0.67</v>
      </c>
      <c r="K116" s="35" t="e">
        <f t="shared" si="6"/>
        <v>#DIV/0!</v>
      </c>
      <c r="L116" s="312" t="e">
        <f t="shared" si="7"/>
        <v>#DIV/0!</v>
      </c>
      <c r="M116" s="310" t="e">
        <f t="shared" si="8"/>
        <v>#DIV/0!</v>
      </c>
      <c r="N116" s="310" t="e">
        <f t="shared" si="9"/>
        <v>#DIV/0!</v>
      </c>
      <c r="O116" s="91">
        <f t="shared" si="10"/>
        <v>290.35000000000002</v>
      </c>
      <c r="P116" s="62">
        <f t="shared" si="11"/>
        <v>28.603938644625494</v>
      </c>
      <c r="T116" s="310" t="str">
        <f>PE_aug!AP116</f>
        <v>Kläranlage</v>
      </c>
    </row>
    <row r="117" spans="1:20">
      <c r="A117" s="139" t="s">
        <v>165</v>
      </c>
      <c r="F117" s="307">
        <v>306.11</v>
      </c>
      <c r="G117">
        <v>0.48299999999999998</v>
      </c>
      <c r="H117">
        <v>0.16900000000000001</v>
      </c>
      <c r="I117">
        <v>8.5572100000000013</v>
      </c>
      <c r="J117">
        <v>0.67</v>
      </c>
      <c r="K117" s="35" t="e">
        <f t="shared" si="6"/>
        <v>#DIV/0!</v>
      </c>
      <c r="L117" s="312" t="e">
        <f t="shared" si="7"/>
        <v>#DIV/0!</v>
      </c>
      <c r="M117" s="310" t="e">
        <f t="shared" si="8"/>
        <v>#DIV/0!</v>
      </c>
      <c r="N117" s="310" t="e">
        <f t="shared" si="9"/>
        <v>#DIV/0!</v>
      </c>
      <c r="O117" s="91">
        <f t="shared" si="10"/>
        <v>306.11</v>
      </c>
      <c r="P117" s="62">
        <f t="shared" si="11"/>
        <v>35.772173406986617</v>
      </c>
      <c r="T117" s="310" t="str">
        <f>PE_aug!AP117</f>
        <v>Kläranlage</v>
      </c>
    </row>
    <row r="118" spans="1:20">
      <c r="A118" s="139" t="s">
        <v>166</v>
      </c>
      <c r="F118" s="307">
        <v>574.53</v>
      </c>
      <c r="G118">
        <v>0.752</v>
      </c>
      <c r="H118">
        <v>0.16900000000000001</v>
      </c>
      <c r="I118">
        <v>10.0943</v>
      </c>
      <c r="J118">
        <v>0.67</v>
      </c>
      <c r="K118" s="35" t="e">
        <f t="shared" si="6"/>
        <v>#DIV/0!</v>
      </c>
      <c r="L118" s="312" t="e">
        <f t="shared" si="7"/>
        <v>#DIV/0!</v>
      </c>
      <c r="M118" s="310" t="e">
        <f t="shared" si="8"/>
        <v>#DIV/0!</v>
      </c>
      <c r="N118" s="310" t="e">
        <f t="shared" si="9"/>
        <v>#DIV/0!</v>
      </c>
      <c r="O118" s="91">
        <f t="shared" si="10"/>
        <v>574.53</v>
      </c>
      <c r="P118" s="62">
        <f t="shared" si="11"/>
        <v>56.916279484461519</v>
      </c>
      <c r="T118" s="310" t="str">
        <f>PE_aug!AP118</f>
        <v>Kläranlage</v>
      </c>
    </row>
    <row r="119" spans="1:20">
      <c r="A119" s="139" t="s">
        <v>167</v>
      </c>
      <c r="E119">
        <v>91.22</v>
      </c>
      <c r="G119">
        <v>0.70699999999999996</v>
      </c>
      <c r="H119">
        <v>8.1000000000000003E-2</v>
      </c>
      <c r="I119">
        <v>11.9978</v>
      </c>
      <c r="J119">
        <v>0.5</v>
      </c>
      <c r="K119" s="35">
        <f t="shared" si="6"/>
        <v>0.5</v>
      </c>
      <c r="L119" s="312">
        <f t="shared" si="7"/>
        <v>0.5</v>
      </c>
      <c r="M119" s="310">
        <f t="shared" si="8"/>
        <v>91.22</v>
      </c>
      <c r="N119" s="310">
        <f t="shared" si="9"/>
        <v>0</v>
      </c>
      <c r="O119" s="91">
        <f t="shared" si="10"/>
        <v>91.22</v>
      </c>
      <c r="P119" s="62">
        <f t="shared" si="11"/>
        <v>7.6030605611028692</v>
      </c>
      <c r="T119" s="310" t="str">
        <f>PE_aug!AP119</f>
        <v>Flussproben</v>
      </c>
    </row>
    <row r="120" spans="1:20">
      <c r="A120" s="139" t="s">
        <v>168</v>
      </c>
      <c r="G120">
        <v>0.70699999999999996</v>
      </c>
      <c r="H120">
        <v>8.1000000000000003E-2</v>
      </c>
      <c r="I120">
        <v>18.2178</v>
      </c>
      <c r="K120" s="35" t="e">
        <f t="shared" si="6"/>
        <v>#DIV/0!</v>
      </c>
      <c r="L120" s="312" t="e">
        <f t="shared" si="7"/>
        <v>#DIV/0!</v>
      </c>
      <c r="M120" s="310" t="e">
        <f t="shared" si="8"/>
        <v>#DIV/0!</v>
      </c>
      <c r="N120" s="310" t="e">
        <f t="shared" si="9"/>
        <v>#DIV/0!</v>
      </c>
      <c r="O120" s="91" t="e">
        <f t="shared" si="10"/>
        <v>#DIV/0!</v>
      </c>
      <c r="P120" s="62">
        <f t="shared" si="11"/>
        <v>0</v>
      </c>
      <c r="T120" s="310" t="str">
        <f>PE_aug!AP120</f>
        <v>Flussproben</v>
      </c>
    </row>
    <row r="121" spans="1:20">
      <c r="A121" s="139" t="s">
        <v>169</v>
      </c>
      <c r="I121">
        <v>14.882400000000001</v>
      </c>
      <c r="K121" s="35" t="e">
        <f t="shared" si="6"/>
        <v>#DIV/0!</v>
      </c>
      <c r="L121" s="312" t="e">
        <f t="shared" si="7"/>
        <v>#DIV/0!</v>
      </c>
      <c r="M121" s="310" t="e">
        <f t="shared" si="8"/>
        <v>#DIV/0!</v>
      </c>
      <c r="N121" s="310" t="e">
        <f t="shared" si="9"/>
        <v>#DIV/0!</v>
      </c>
      <c r="O121" s="91" t="e">
        <f t="shared" si="10"/>
        <v>#DIV/0!</v>
      </c>
      <c r="P121" s="62">
        <f t="shared" si="11"/>
        <v>0</v>
      </c>
      <c r="T121" s="310" t="str">
        <f>PE_aug!AP121</f>
        <v>Flussproben, Methode</v>
      </c>
    </row>
    <row r="122" spans="1:20">
      <c r="A122" s="139" t="s">
        <v>170</v>
      </c>
      <c r="I122">
        <v>11.2957</v>
      </c>
      <c r="K122" s="35" t="e">
        <f t="shared" si="6"/>
        <v>#DIV/0!</v>
      </c>
      <c r="L122" s="312" t="e">
        <f t="shared" si="7"/>
        <v>#DIV/0!</v>
      </c>
      <c r="M122" s="310" t="e">
        <f t="shared" si="8"/>
        <v>#DIV/0!</v>
      </c>
      <c r="N122" s="310" t="e">
        <f t="shared" si="9"/>
        <v>#DIV/0!</v>
      </c>
      <c r="O122" s="91" t="e">
        <f t="shared" si="10"/>
        <v>#DIV/0!</v>
      </c>
      <c r="P122" s="62">
        <f t="shared" si="11"/>
        <v>0</v>
      </c>
      <c r="T122" s="310" t="str">
        <f>PE_aug!AP122</f>
        <v>Flussproben, Methode</v>
      </c>
    </row>
    <row r="123" spans="1:20">
      <c r="A123" s="139" t="s">
        <v>171</v>
      </c>
      <c r="I123">
        <v>8.4538799999999998</v>
      </c>
      <c r="K123" s="35" t="e">
        <f t="shared" si="6"/>
        <v>#DIV/0!</v>
      </c>
      <c r="L123" s="312" t="e">
        <f t="shared" si="7"/>
        <v>#DIV/0!</v>
      </c>
      <c r="M123" s="310" t="e">
        <f t="shared" si="8"/>
        <v>#DIV/0!</v>
      </c>
      <c r="N123" s="310" t="e">
        <f t="shared" si="9"/>
        <v>#DIV/0!</v>
      </c>
      <c r="O123" s="91" t="e">
        <f t="shared" si="10"/>
        <v>#DIV/0!</v>
      </c>
      <c r="P123" s="62">
        <f t="shared" si="11"/>
        <v>0</v>
      </c>
      <c r="T123" s="310" t="str">
        <f>PE_aug!AP123</f>
        <v>Flussproben, Methode</v>
      </c>
    </row>
    <row r="124" spans="1:20">
      <c r="A124" s="139" t="s">
        <v>172</v>
      </c>
      <c r="I124">
        <v>13.7104</v>
      </c>
      <c r="K124" s="35" t="e">
        <f t="shared" si="6"/>
        <v>#DIV/0!</v>
      </c>
      <c r="L124" s="312" t="e">
        <f t="shared" si="7"/>
        <v>#DIV/0!</v>
      </c>
      <c r="M124" s="310" t="e">
        <f t="shared" si="8"/>
        <v>#DIV/0!</v>
      </c>
      <c r="N124" s="310" t="e">
        <f t="shared" si="9"/>
        <v>#DIV/0!</v>
      </c>
      <c r="O124" s="91" t="e">
        <f t="shared" si="10"/>
        <v>#DIV/0!</v>
      </c>
      <c r="P124" s="62">
        <f t="shared" si="11"/>
        <v>0</v>
      </c>
      <c r="T124" s="310" t="str">
        <f>PE_aug!AP124</f>
        <v>Flussproben, Methode</v>
      </c>
    </row>
    <row r="125" spans="1:20">
      <c r="A125" s="139" t="s">
        <v>173</v>
      </c>
      <c r="G125">
        <v>1.0009999999999999</v>
      </c>
      <c r="H125">
        <v>0.155</v>
      </c>
      <c r="I125">
        <v>10.5603</v>
      </c>
      <c r="K125" s="35" t="e">
        <f t="shared" si="6"/>
        <v>#DIV/0!</v>
      </c>
      <c r="L125" s="312" t="e">
        <f t="shared" si="7"/>
        <v>#DIV/0!</v>
      </c>
      <c r="M125" s="310" t="e">
        <f t="shared" si="8"/>
        <v>#DIV/0!</v>
      </c>
      <c r="N125" s="310" t="e">
        <f t="shared" si="9"/>
        <v>#DIV/0!</v>
      </c>
      <c r="O125" s="91" t="e">
        <f t="shared" si="10"/>
        <v>#DIV/0!</v>
      </c>
      <c r="P125" s="62">
        <f t="shared" si="11"/>
        <v>0</v>
      </c>
      <c r="T125" s="310" t="str">
        <f>PE_aug!AP125</f>
        <v>Flussproben</v>
      </c>
    </row>
    <row r="126" spans="1:20">
      <c r="A126" s="139" t="s">
        <v>174</v>
      </c>
      <c r="G126">
        <v>0.25800000000000001</v>
      </c>
      <c r="H126">
        <v>0.155</v>
      </c>
      <c r="I126">
        <v>11.7896</v>
      </c>
      <c r="K126" s="35" t="e">
        <f t="shared" si="6"/>
        <v>#DIV/0!</v>
      </c>
      <c r="L126" s="312" t="e">
        <f t="shared" si="7"/>
        <v>#DIV/0!</v>
      </c>
      <c r="M126" s="310" t="e">
        <f t="shared" si="8"/>
        <v>#DIV/0!</v>
      </c>
      <c r="N126" s="310" t="e">
        <f t="shared" si="9"/>
        <v>#DIV/0!</v>
      </c>
      <c r="O126" s="91" t="e">
        <f t="shared" si="10"/>
        <v>#DIV/0!</v>
      </c>
      <c r="P126" s="62">
        <f t="shared" si="11"/>
        <v>0</v>
      </c>
      <c r="T126" s="310" t="str">
        <f>PE_aug!AP126</f>
        <v>Flussproben</v>
      </c>
    </row>
    <row r="127" spans="1:20">
      <c r="A127" s="139" t="s">
        <v>175</v>
      </c>
      <c r="G127">
        <v>0.93400000000000005</v>
      </c>
      <c r="H127">
        <v>0.155</v>
      </c>
      <c r="I127">
        <v>12.7499</v>
      </c>
      <c r="K127" s="35" t="e">
        <f t="shared" si="6"/>
        <v>#DIV/0!</v>
      </c>
      <c r="L127" s="312" t="e">
        <f t="shared" si="7"/>
        <v>#DIV/0!</v>
      </c>
      <c r="M127" s="310" t="e">
        <f t="shared" si="8"/>
        <v>#DIV/0!</v>
      </c>
      <c r="N127" s="310" t="e">
        <f t="shared" si="9"/>
        <v>#DIV/0!</v>
      </c>
      <c r="O127" s="91" t="e">
        <f t="shared" si="10"/>
        <v>#DIV/0!</v>
      </c>
      <c r="P127" s="62">
        <f t="shared" si="11"/>
        <v>0</v>
      </c>
      <c r="T127" s="310" t="str">
        <f>PE_aug!AP127</f>
        <v>Flussproben</v>
      </c>
    </row>
    <row r="128" spans="1:20">
      <c r="A128" s="139" t="s">
        <v>176</v>
      </c>
      <c r="G128">
        <v>0.64800000000000002</v>
      </c>
      <c r="H128">
        <v>0.41199999999999998</v>
      </c>
      <c r="I128">
        <v>8.2120499999999996</v>
      </c>
      <c r="K128" s="35" t="e">
        <f t="shared" si="6"/>
        <v>#DIV/0!</v>
      </c>
      <c r="L128" s="312" t="e">
        <f t="shared" si="7"/>
        <v>#DIV/0!</v>
      </c>
      <c r="M128" s="310" t="e">
        <f t="shared" si="8"/>
        <v>#DIV/0!</v>
      </c>
      <c r="N128" s="310" t="e">
        <f t="shared" si="9"/>
        <v>#DIV/0!</v>
      </c>
      <c r="O128" s="91" t="e">
        <f t="shared" si="10"/>
        <v>#DIV/0!</v>
      </c>
      <c r="P128" s="62">
        <f t="shared" si="11"/>
        <v>0</v>
      </c>
      <c r="T128" s="310" t="str">
        <f>PE_aug!AP128</f>
        <v>Mischwasserüberlauf</v>
      </c>
    </row>
    <row r="129" spans="1:20">
      <c r="A129" s="139" t="s">
        <v>177</v>
      </c>
      <c r="G129">
        <v>0.73</v>
      </c>
      <c r="H129">
        <v>0.41199999999999998</v>
      </c>
      <c r="I129">
        <v>11.8268</v>
      </c>
      <c r="K129" s="35" t="e">
        <f t="shared" si="6"/>
        <v>#DIV/0!</v>
      </c>
      <c r="L129" s="312" t="e">
        <f t="shared" si="7"/>
        <v>#DIV/0!</v>
      </c>
      <c r="M129" s="310" t="e">
        <f t="shared" si="8"/>
        <v>#DIV/0!</v>
      </c>
      <c r="N129" s="310" t="e">
        <f t="shared" si="9"/>
        <v>#DIV/0!</v>
      </c>
      <c r="O129" s="91" t="e">
        <f t="shared" si="10"/>
        <v>#DIV/0!</v>
      </c>
      <c r="P129" s="62">
        <f t="shared" si="11"/>
        <v>0</v>
      </c>
      <c r="T129" s="310" t="str">
        <f>PE_aug!AP129</f>
        <v>Mischwasserüberlauf</v>
      </c>
    </row>
    <row r="130" spans="1:20">
      <c r="A130" s="139" t="s">
        <v>178</v>
      </c>
      <c r="G130">
        <v>0.83599999999999997</v>
      </c>
      <c r="H130">
        <v>0.41199999999999998</v>
      </c>
      <c r="I130">
        <v>6.7368800000000002</v>
      </c>
      <c r="K130" s="35" t="e">
        <f t="shared" ref="K130:K193" si="12">IF(COUNT(C130:C130)=1,0.33,(COUNT(C130:C130)*(1/(COUNT(C130:C130)+COUNTBLANK(C130:C130)))+(IF(N130&lt;35,1,IF(N130&lt;70,0.5,IF(N130&gt;70,0)))))/2)</f>
        <v>#DIV/0!</v>
      </c>
      <c r="L130" s="312" t="e">
        <f t="shared" ref="L130:L193" si="13">AVERAGE(J130:K130)</f>
        <v>#DIV/0!</v>
      </c>
      <c r="M130" s="310" t="e">
        <f t="shared" ref="M130:M193" si="14">AVERAGE(C130:E130)</f>
        <v>#DIV/0!</v>
      </c>
      <c r="N130" s="310" t="e">
        <f t="shared" ref="N130:N193" si="15">(MAX(C130:C130)-MIN(C130:C130))/M130*100</f>
        <v>#DIV/0!</v>
      </c>
      <c r="O130" s="91" t="e">
        <f t="shared" ref="O130:O193" si="16">AVERAGE(C130:F130)</f>
        <v>#DIV/0!</v>
      </c>
      <c r="P130" s="62">
        <f t="shared" ref="P130:P193" si="17">IFERROR(O130/I130,0)</f>
        <v>0</v>
      </c>
      <c r="T130" s="310" t="str">
        <f>PE_aug!AP130</f>
        <v>Mischwasserüberlauf</v>
      </c>
    </row>
    <row r="131" spans="1:20">
      <c r="A131" s="139" t="s">
        <v>179</v>
      </c>
      <c r="G131">
        <v>0.31900000000000001</v>
      </c>
      <c r="H131">
        <v>6.6000000000000003E-2</v>
      </c>
      <c r="I131">
        <v>9.8973499999999994</v>
      </c>
      <c r="K131" s="35" t="e">
        <f t="shared" si="12"/>
        <v>#DIV/0!</v>
      </c>
      <c r="L131" s="312" t="e">
        <f t="shared" si="13"/>
        <v>#DIV/0!</v>
      </c>
      <c r="M131" s="310" t="e">
        <f t="shared" si="14"/>
        <v>#DIV/0!</v>
      </c>
      <c r="N131" s="310" t="e">
        <f t="shared" si="15"/>
        <v>#DIV/0!</v>
      </c>
      <c r="O131" s="91" t="e">
        <f t="shared" si="16"/>
        <v>#DIV/0!</v>
      </c>
      <c r="P131" s="62">
        <f t="shared" si="17"/>
        <v>0</v>
      </c>
      <c r="T131" s="310" t="str">
        <f>PE_aug!AP131</f>
        <v>Mischwasserüberlauf</v>
      </c>
    </row>
    <row r="132" spans="1:20">
      <c r="A132" s="139" t="s">
        <v>180</v>
      </c>
      <c r="G132">
        <v>0.98799999999999999</v>
      </c>
      <c r="H132">
        <v>6.6000000000000003E-2</v>
      </c>
      <c r="I132">
        <v>7.9930649999999996</v>
      </c>
      <c r="K132" s="35" t="e">
        <f t="shared" si="12"/>
        <v>#DIV/0!</v>
      </c>
      <c r="L132" s="312" t="e">
        <f t="shared" si="13"/>
        <v>#DIV/0!</v>
      </c>
      <c r="M132" s="310" t="e">
        <f t="shared" si="14"/>
        <v>#DIV/0!</v>
      </c>
      <c r="N132" s="310" t="e">
        <f t="shared" si="15"/>
        <v>#DIV/0!</v>
      </c>
      <c r="O132" s="91" t="e">
        <f t="shared" si="16"/>
        <v>#DIV/0!</v>
      </c>
      <c r="P132" s="62">
        <f t="shared" si="17"/>
        <v>0</v>
      </c>
      <c r="T132" s="310" t="str">
        <f>PE_aug!AP132</f>
        <v>Mischwasserüberlauf</v>
      </c>
    </row>
    <row r="133" spans="1:20">
      <c r="A133" s="139" t="s">
        <v>181</v>
      </c>
      <c r="G133">
        <v>0.86799999999999999</v>
      </c>
      <c r="H133">
        <v>6.6000000000000003E-2</v>
      </c>
      <c r="I133">
        <v>12.607849999999999</v>
      </c>
      <c r="K133" s="35" t="e">
        <f t="shared" si="12"/>
        <v>#DIV/0!</v>
      </c>
      <c r="L133" s="312" t="e">
        <f t="shared" si="13"/>
        <v>#DIV/0!</v>
      </c>
      <c r="M133" s="310" t="e">
        <f t="shared" si="14"/>
        <v>#DIV/0!</v>
      </c>
      <c r="N133" s="310" t="e">
        <f t="shared" si="15"/>
        <v>#DIV/0!</v>
      </c>
      <c r="O133" s="91" t="e">
        <f t="shared" si="16"/>
        <v>#DIV/0!</v>
      </c>
      <c r="P133" s="62">
        <f t="shared" si="17"/>
        <v>0</v>
      </c>
      <c r="T133" s="310" t="str">
        <f>PE_aug!AP133</f>
        <v>Mischwasserüberlauf</v>
      </c>
    </row>
    <row r="134" spans="1:20">
      <c r="A134" s="139" t="s">
        <v>182</v>
      </c>
      <c r="G134">
        <v>0.75</v>
      </c>
      <c r="H134">
        <v>5.2999999999999999E-2</v>
      </c>
      <c r="I134">
        <v>13.6172</v>
      </c>
      <c r="K134" s="35" t="e">
        <f t="shared" si="12"/>
        <v>#DIV/0!</v>
      </c>
      <c r="L134" s="312" t="e">
        <f t="shared" si="13"/>
        <v>#DIV/0!</v>
      </c>
      <c r="M134" s="310" t="e">
        <f t="shared" si="14"/>
        <v>#DIV/0!</v>
      </c>
      <c r="N134" s="310" t="e">
        <f t="shared" si="15"/>
        <v>#DIV/0!</v>
      </c>
      <c r="O134" s="91" t="e">
        <f t="shared" si="16"/>
        <v>#DIV/0!</v>
      </c>
      <c r="P134" s="62">
        <f t="shared" si="17"/>
        <v>0</v>
      </c>
      <c r="T134" s="310" t="str">
        <f>PE_aug!AP134</f>
        <v>Mischwasserüberlauf</v>
      </c>
    </row>
    <row r="135" spans="1:20">
      <c r="A135" s="139" t="s">
        <v>183</v>
      </c>
      <c r="G135">
        <v>0.89700000000000002</v>
      </c>
      <c r="H135">
        <v>5.2999999999999999E-2</v>
      </c>
      <c r="I135">
        <v>7.6774300000000002</v>
      </c>
      <c r="K135" s="35" t="e">
        <f t="shared" si="12"/>
        <v>#DIV/0!</v>
      </c>
      <c r="L135" s="312" t="e">
        <f t="shared" si="13"/>
        <v>#DIV/0!</v>
      </c>
      <c r="M135" s="310" t="e">
        <f t="shared" si="14"/>
        <v>#DIV/0!</v>
      </c>
      <c r="N135" s="310" t="e">
        <f t="shared" si="15"/>
        <v>#DIV/0!</v>
      </c>
      <c r="O135" s="91" t="e">
        <f t="shared" si="16"/>
        <v>#DIV/0!</v>
      </c>
      <c r="P135" s="62">
        <f t="shared" si="17"/>
        <v>0</v>
      </c>
      <c r="T135" s="310" t="str">
        <f>PE_aug!AP135</f>
        <v>Mischwasserüberlauf</v>
      </c>
    </row>
    <row r="136" spans="1:20">
      <c r="A136" s="139" t="s">
        <v>184</v>
      </c>
      <c r="G136">
        <v>0.59099999999999997</v>
      </c>
      <c r="H136">
        <v>5.2999999999999999E-2</v>
      </c>
      <c r="I136">
        <v>12.9139</v>
      </c>
      <c r="K136" s="35" t="e">
        <f t="shared" si="12"/>
        <v>#DIV/0!</v>
      </c>
      <c r="L136" s="312" t="e">
        <f t="shared" si="13"/>
        <v>#DIV/0!</v>
      </c>
      <c r="M136" s="310" t="e">
        <f t="shared" si="14"/>
        <v>#DIV/0!</v>
      </c>
      <c r="N136" s="310" t="e">
        <f t="shared" si="15"/>
        <v>#DIV/0!</v>
      </c>
      <c r="O136" s="91" t="e">
        <f t="shared" si="16"/>
        <v>#DIV/0!</v>
      </c>
      <c r="P136" s="62">
        <f t="shared" si="17"/>
        <v>0</v>
      </c>
      <c r="T136" s="310" t="str">
        <f>PE_aug!AP136</f>
        <v>Mischwasserüberlauf</v>
      </c>
    </row>
    <row r="137" spans="1:20">
      <c r="A137" s="139" t="s">
        <v>185</v>
      </c>
      <c r="K137" s="35" t="e">
        <f t="shared" si="12"/>
        <v>#DIV/0!</v>
      </c>
      <c r="L137" s="312" t="e">
        <f t="shared" si="13"/>
        <v>#DIV/0!</v>
      </c>
      <c r="M137" s="310" t="e">
        <f t="shared" si="14"/>
        <v>#DIV/0!</v>
      </c>
      <c r="N137" s="310" t="e">
        <f t="shared" si="15"/>
        <v>#DIV/0!</v>
      </c>
      <c r="O137" s="91" t="e">
        <f t="shared" si="16"/>
        <v>#DIV/0!</v>
      </c>
      <c r="P137" s="62">
        <f t="shared" si="17"/>
        <v>0</v>
      </c>
      <c r="T137" s="310" t="str">
        <f>PE_aug!AP137</f>
        <v>Sickerwasser</v>
      </c>
    </row>
    <row r="138" spans="1:20">
      <c r="A138" s="139" t="s">
        <v>187</v>
      </c>
      <c r="E138">
        <v>108.29</v>
      </c>
      <c r="J138">
        <v>0</v>
      </c>
      <c r="K138" s="35">
        <f t="shared" si="12"/>
        <v>0.5</v>
      </c>
      <c r="L138" s="312">
        <f t="shared" si="13"/>
        <v>0.25</v>
      </c>
      <c r="M138" s="310">
        <f t="shared" si="14"/>
        <v>108.29</v>
      </c>
      <c r="N138" s="310">
        <f t="shared" si="15"/>
        <v>0</v>
      </c>
      <c r="O138" s="91">
        <f t="shared" si="16"/>
        <v>108.29</v>
      </c>
      <c r="P138" s="62">
        <f t="shared" si="17"/>
        <v>0</v>
      </c>
      <c r="T138" s="310" t="str">
        <f>PE_aug!AP138</f>
        <v>Sickerwasser</v>
      </c>
    </row>
    <row r="139" spans="1:20">
      <c r="A139" s="139" t="s">
        <v>188</v>
      </c>
      <c r="K139" s="35" t="e">
        <f t="shared" si="12"/>
        <v>#DIV/0!</v>
      </c>
      <c r="L139" s="312" t="e">
        <f t="shared" si="13"/>
        <v>#DIV/0!</v>
      </c>
      <c r="M139" s="310" t="e">
        <f t="shared" si="14"/>
        <v>#DIV/0!</v>
      </c>
      <c r="N139" s="310" t="e">
        <f t="shared" si="15"/>
        <v>#DIV/0!</v>
      </c>
      <c r="O139" s="91" t="e">
        <f t="shared" si="16"/>
        <v>#DIV/0!</v>
      </c>
      <c r="P139" s="62">
        <f t="shared" si="17"/>
        <v>0</v>
      </c>
      <c r="T139" s="310" t="str">
        <f>PE_aug!AP139</f>
        <v>Sickerwasser</v>
      </c>
    </row>
    <row r="140" spans="1:20">
      <c r="A140" s="139" t="s">
        <v>189</v>
      </c>
      <c r="K140" s="35" t="e">
        <f t="shared" si="12"/>
        <v>#DIV/0!</v>
      </c>
      <c r="L140" s="312" t="e">
        <f t="shared" si="13"/>
        <v>#DIV/0!</v>
      </c>
      <c r="M140" s="310" t="e">
        <f t="shared" si="14"/>
        <v>#DIV/0!</v>
      </c>
      <c r="N140" s="310" t="e">
        <f t="shared" si="15"/>
        <v>#DIV/0!</v>
      </c>
      <c r="O140" s="91" t="e">
        <f t="shared" si="16"/>
        <v>#DIV/0!</v>
      </c>
      <c r="P140" s="62">
        <f t="shared" si="17"/>
        <v>0</v>
      </c>
      <c r="T140" s="310" t="str">
        <f>PE_aug!AP140</f>
        <v>Sickerwasser</v>
      </c>
    </row>
    <row r="141" spans="1:20">
      <c r="A141" s="139" t="s">
        <v>190</v>
      </c>
      <c r="I141">
        <v>0.61838899999999997</v>
      </c>
      <c r="K141" s="35" t="e">
        <f t="shared" si="12"/>
        <v>#DIV/0!</v>
      </c>
      <c r="L141" s="312" t="e">
        <f t="shared" si="13"/>
        <v>#DIV/0!</v>
      </c>
      <c r="M141" s="310" t="e">
        <f t="shared" si="14"/>
        <v>#DIV/0!</v>
      </c>
      <c r="N141" s="310" t="e">
        <f t="shared" si="15"/>
        <v>#DIV/0!</v>
      </c>
      <c r="O141" s="91" t="e">
        <f t="shared" si="16"/>
        <v>#DIV/0!</v>
      </c>
      <c r="P141" s="62">
        <f t="shared" si="17"/>
        <v>0</v>
      </c>
      <c r="T141" s="310" t="str">
        <f>PE_aug!AP141</f>
        <v>Bodenretentionsfilter</v>
      </c>
    </row>
    <row r="142" spans="1:20">
      <c r="A142" s="139" t="s">
        <v>192</v>
      </c>
      <c r="I142">
        <v>0.122319</v>
      </c>
      <c r="K142" s="35" t="e">
        <f t="shared" si="12"/>
        <v>#DIV/0!</v>
      </c>
      <c r="L142" s="312" t="e">
        <f t="shared" si="13"/>
        <v>#DIV/0!</v>
      </c>
      <c r="M142" s="310" t="e">
        <f t="shared" si="14"/>
        <v>#DIV/0!</v>
      </c>
      <c r="N142" s="310" t="e">
        <f t="shared" si="15"/>
        <v>#DIV/0!</v>
      </c>
      <c r="O142" s="91" t="e">
        <f t="shared" si="16"/>
        <v>#DIV/0!</v>
      </c>
      <c r="P142" s="62">
        <f t="shared" si="17"/>
        <v>0</v>
      </c>
      <c r="T142" s="310" t="str">
        <f>PE_aug!AP142</f>
        <v>Bodenretentionsfilter</v>
      </c>
    </row>
    <row r="143" spans="1:20">
      <c r="A143" s="140" t="s">
        <v>193</v>
      </c>
      <c r="G143">
        <v>1.093</v>
      </c>
      <c r="H143">
        <v>0.10100000000000001</v>
      </c>
      <c r="I143">
        <v>5.5792199999999994</v>
      </c>
      <c r="K143" s="35" t="e">
        <f t="shared" si="12"/>
        <v>#DIV/0!</v>
      </c>
      <c r="L143" s="312" t="e">
        <f t="shared" si="13"/>
        <v>#DIV/0!</v>
      </c>
      <c r="M143" s="310" t="e">
        <f t="shared" si="14"/>
        <v>#DIV/0!</v>
      </c>
      <c r="N143" s="310" t="e">
        <f t="shared" si="15"/>
        <v>#DIV/0!</v>
      </c>
      <c r="O143" s="91" t="e">
        <f t="shared" si="16"/>
        <v>#DIV/0!</v>
      </c>
      <c r="P143" s="62">
        <f t="shared" si="17"/>
        <v>0</v>
      </c>
      <c r="T143" s="310" t="str">
        <f>PE_aug!AP143</f>
        <v>Kläranlage</v>
      </c>
    </row>
    <row r="144" spans="1:20">
      <c r="A144" s="140" t="s">
        <v>194</v>
      </c>
      <c r="G144">
        <v>0.40500000000000003</v>
      </c>
      <c r="H144">
        <v>0.10100000000000001</v>
      </c>
      <c r="I144">
        <v>9.1932700000000001</v>
      </c>
      <c r="K144" s="35" t="e">
        <f t="shared" si="12"/>
        <v>#DIV/0!</v>
      </c>
      <c r="L144" s="312" t="e">
        <f t="shared" si="13"/>
        <v>#DIV/0!</v>
      </c>
      <c r="M144" s="310" t="e">
        <f t="shared" si="14"/>
        <v>#DIV/0!</v>
      </c>
      <c r="N144" s="310" t="e">
        <f t="shared" si="15"/>
        <v>#DIV/0!</v>
      </c>
      <c r="O144" s="91" t="e">
        <f t="shared" si="16"/>
        <v>#DIV/0!</v>
      </c>
      <c r="P144" s="62">
        <f t="shared" si="17"/>
        <v>0</v>
      </c>
      <c r="T144" s="310" t="str">
        <f>PE_aug!AP144</f>
        <v>Kläranlage</v>
      </c>
    </row>
    <row r="145" spans="1:20">
      <c r="A145" s="140" t="s">
        <v>195</v>
      </c>
      <c r="G145">
        <v>0.74</v>
      </c>
      <c r="H145">
        <v>0.10100000000000001</v>
      </c>
      <c r="I145">
        <v>9.9659200000000006</v>
      </c>
      <c r="K145" s="35" t="e">
        <f t="shared" si="12"/>
        <v>#DIV/0!</v>
      </c>
      <c r="L145" s="312" t="e">
        <f t="shared" si="13"/>
        <v>#DIV/0!</v>
      </c>
      <c r="M145" s="310" t="e">
        <f t="shared" si="14"/>
        <v>#DIV/0!</v>
      </c>
      <c r="N145" s="310" t="e">
        <f t="shared" si="15"/>
        <v>#DIV/0!</v>
      </c>
      <c r="O145" s="91" t="e">
        <f t="shared" si="16"/>
        <v>#DIV/0!</v>
      </c>
      <c r="P145" s="62">
        <f t="shared" si="17"/>
        <v>0</v>
      </c>
      <c r="T145" s="310" t="str">
        <f>PE_aug!AP145</f>
        <v>Kläranlage</v>
      </c>
    </row>
    <row r="146" spans="1:20">
      <c r="A146" s="140" t="s">
        <v>196</v>
      </c>
      <c r="G146">
        <v>0.41599999999999998</v>
      </c>
      <c r="H146">
        <v>0.19</v>
      </c>
      <c r="I146">
        <v>7.4657300000000006</v>
      </c>
      <c r="K146" s="35" t="e">
        <f t="shared" si="12"/>
        <v>#DIV/0!</v>
      </c>
      <c r="L146" s="312" t="e">
        <f t="shared" si="13"/>
        <v>#DIV/0!</v>
      </c>
      <c r="M146" s="310" t="e">
        <f t="shared" si="14"/>
        <v>#DIV/0!</v>
      </c>
      <c r="N146" s="310" t="e">
        <f t="shared" si="15"/>
        <v>#DIV/0!</v>
      </c>
      <c r="O146" s="91" t="e">
        <f t="shared" si="16"/>
        <v>#DIV/0!</v>
      </c>
      <c r="P146" s="62">
        <f t="shared" si="17"/>
        <v>0</v>
      </c>
      <c r="T146" s="310" t="str">
        <f>PE_aug!AP146</f>
        <v>KWS</v>
      </c>
    </row>
    <row r="147" spans="1:20">
      <c r="A147" s="140" t="s">
        <v>197</v>
      </c>
      <c r="G147">
        <v>1.0229999999999999</v>
      </c>
      <c r="H147">
        <v>0.19</v>
      </c>
      <c r="I147">
        <v>6.9106949999999996</v>
      </c>
      <c r="K147" s="35" t="e">
        <f t="shared" si="12"/>
        <v>#DIV/0!</v>
      </c>
      <c r="L147" s="312" t="e">
        <f t="shared" si="13"/>
        <v>#DIV/0!</v>
      </c>
      <c r="M147" s="310" t="e">
        <f t="shared" si="14"/>
        <v>#DIV/0!</v>
      </c>
      <c r="N147" s="310" t="e">
        <f t="shared" si="15"/>
        <v>#DIV/0!</v>
      </c>
      <c r="O147" s="91" t="e">
        <f t="shared" si="16"/>
        <v>#DIV/0!</v>
      </c>
      <c r="P147" s="62">
        <f t="shared" si="17"/>
        <v>0</v>
      </c>
      <c r="T147" s="310" t="str">
        <f>PE_aug!AP147</f>
        <v>KWS</v>
      </c>
    </row>
    <row r="148" spans="1:20">
      <c r="A148" s="140" t="s">
        <v>198</v>
      </c>
      <c r="G148">
        <v>0.80500000000000005</v>
      </c>
      <c r="H148">
        <v>0.19</v>
      </c>
      <c r="I148">
        <v>6.5458299999999996</v>
      </c>
      <c r="K148" s="35" t="e">
        <f t="shared" si="12"/>
        <v>#DIV/0!</v>
      </c>
      <c r="L148" s="312" t="e">
        <f t="shared" si="13"/>
        <v>#DIV/0!</v>
      </c>
      <c r="M148" s="310" t="e">
        <f t="shared" si="14"/>
        <v>#DIV/0!</v>
      </c>
      <c r="N148" s="310" t="e">
        <f t="shared" si="15"/>
        <v>#DIV/0!</v>
      </c>
      <c r="O148" s="91" t="e">
        <f t="shared" si="16"/>
        <v>#DIV/0!</v>
      </c>
      <c r="P148" s="62">
        <f t="shared" si="17"/>
        <v>0</v>
      </c>
      <c r="T148" s="310" t="str">
        <f>PE_aug!AP148</f>
        <v>KWS</v>
      </c>
    </row>
    <row r="149" spans="1:20">
      <c r="A149" s="140" t="s">
        <v>199</v>
      </c>
      <c r="G149">
        <v>0.79200000000000004</v>
      </c>
      <c r="H149">
        <v>8.5999999999999993E-2</v>
      </c>
      <c r="I149">
        <v>11.9077</v>
      </c>
      <c r="K149" s="35" t="e">
        <f t="shared" si="12"/>
        <v>#DIV/0!</v>
      </c>
      <c r="L149" s="312" t="e">
        <f t="shared" si="13"/>
        <v>#DIV/0!</v>
      </c>
      <c r="M149" s="310" t="e">
        <f t="shared" si="14"/>
        <v>#DIV/0!</v>
      </c>
      <c r="N149" s="310" t="e">
        <f t="shared" si="15"/>
        <v>#DIV/0!</v>
      </c>
      <c r="O149" s="91" t="e">
        <f t="shared" si="16"/>
        <v>#DIV/0!</v>
      </c>
      <c r="P149" s="62">
        <f t="shared" si="17"/>
        <v>0</v>
      </c>
      <c r="T149" s="310" t="str">
        <f>PE_aug!AP149</f>
        <v>KWS</v>
      </c>
    </row>
    <row r="150" spans="1:20">
      <c r="A150" s="140" t="s">
        <v>200</v>
      </c>
      <c r="G150">
        <v>0.34799999999999998</v>
      </c>
      <c r="H150">
        <v>8.5999999999999993E-2</v>
      </c>
      <c r="I150">
        <v>8.1406600000000005</v>
      </c>
      <c r="K150" s="35" t="e">
        <f t="shared" si="12"/>
        <v>#DIV/0!</v>
      </c>
      <c r="L150" s="312" t="e">
        <f t="shared" si="13"/>
        <v>#DIV/0!</v>
      </c>
      <c r="M150" s="310" t="e">
        <f t="shared" si="14"/>
        <v>#DIV/0!</v>
      </c>
      <c r="N150" s="310" t="e">
        <f t="shared" si="15"/>
        <v>#DIV/0!</v>
      </c>
      <c r="O150" s="91" t="e">
        <f t="shared" si="16"/>
        <v>#DIV/0!</v>
      </c>
      <c r="P150" s="62">
        <f t="shared" si="17"/>
        <v>0</v>
      </c>
      <c r="T150" s="310" t="str">
        <f>PE_aug!AP150</f>
        <v>KWS</v>
      </c>
    </row>
    <row r="151" spans="1:20">
      <c r="A151" s="140" t="s">
        <v>201</v>
      </c>
      <c r="G151">
        <v>1.0620000000000001</v>
      </c>
      <c r="H151">
        <v>8.5999999999999993E-2</v>
      </c>
      <c r="I151">
        <v>9.8009899999999988</v>
      </c>
      <c r="K151" s="35" t="e">
        <f t="shared" si="12"/>
        <v>#DIV/0!</v>
      </c>
      <c r="L151" s="312" t="e">
        <f t="shared" si="13"/>
        <v>#DIV/0!</v>
      </c>
      <c r="M151" s="310" t="e">
        <f t="shared" si="14"/>
        <v>#DIV/0!</v>
      </c>
      <c r="N151" s="310" t="e">
        <f t="shared" si="15"/>
        <v>#DIV/0!</v>
      </c>
      <c r="O151" s="91" t="e">
        <f t="shared" si="16"/>
        <v>#DIV/0!</v>
      </c>
      <c r="P151" s="62">
        <f t="shared" si="17"/>
        <v>0</v>
      </c>
      <c r="T151" s="310" t="str">
        <f>PE_aug!AP151</f>
        <v>KWS</v>
      </c>
    </row>
    <row r="152" spans="1:20">
      <c r="A152" s="140" t="s">
        <v>202</v>
      </c>
      <c r="G152">
        <v>0.191</v>
      </c>
      <c r="H152">
        <v>0.17599999999999999</v>
      </c>
      <c r="I152">
        <v>8.4228899999999989</v>
      </c>
      <c r="K152" s="35" t="e">
        <f t="shared" si="12"/>
        <v>#DIV/0!</v>
      </c>
      <c r="L152" s="312" t="e">
        <f t="shared" si="13"/>
        <v>#DIV/0!</v>
      </c>
      <c r="M152" s="310" t="e">
        <f t="shared" si="14"/>
        <v>#DIV/0!</v>
      </c>
      <c r="N152" s="310" t="e">
        <f t="shared" si="15"/>
        <v>#DIV/0!</v>
      </c>
      <c r="O152" s="91" t="e">
        <f t="shared" si="16"/>
        <v>#DIV/0!</v>
      </c>
      <c r="P152" s="62">
        <f t="shared" si="17"/>
        <v>0</v>
      </c>
      <c r="T152" s="310" t="str">
        <f>PE_aug!AP152</f>
        <v>KWS, Schlamm</v>
      </c>
    </row>
    <row r="153" spans="1:20">
      <c r="A153" s="140" t="s">
        <v>204</v>
      </c>
      <c r="G153">
        <v>0.95699999999999996</v>
      </c>
      <c r="H153">
        <v>0.17599999999999999</v>
      </c>
      <c r="I153">
        <v>5.5259049999999998</v>
      </c>
      <c r="K153" s="35" t="e">
        <f t="shared" si="12"/>
        <v>#DIV/0!</v>
      </c>
      <c r="L153" s="312" t="e">
        <f t="shared" si="13"/>
        <v>#DIV/0!</v>
      </c>
      <c r="M153" s="310" t="e">
        <f t="shared" si="14"/>
        <v>#DIV/0!</v>
      </c>
      <c r="N153" s="310" t="e">
        <f t="shared" si="15"/>
        <v>#DIV/0!</v>
      </c>
      <c r="O153" s="91" t="e">
        <f t="shared" si="16"/>
        <v>#DIV/0!</v>
      </c>
      <c r="P153" s="62">
        <f t="shared" si="17"/>
        <v>0</v>
      </c>
      <c r="T153" s="310" t="str">
        <f>PE_aug!AP153</f>
        <v>KWS, Schlamm</v>
      </c>
    </row>
    <row r="154" spans="1:20">
      <c r="A154" s="140" t="s">
        <v>205</v>
      </c>
      <c r="G154">
        <v>0.97</v>
      </c>
      <c r="H154">
        <v>0.17599999999999999</v>
      </c>
      <c r="I154">
        <v>12.773300000000001</v>
      </c>
      <c r="K154" s="35" t="e">
        <f t="shared" si="12"/>
        <v>#DIV/0!</v>
      </c>
      <c r="L154" s="312" t="e">
        <f t="shared" si="13"/>
        <v>#DIV/0!</v>
      </c>
      <c r="M154" s="310" t="e">
        <f t="shared" si="14"/>
        <v>#DIV/0!</v>
      </c>
      <c r="N154" s="310" t="e">
        <f t="shared" si="15"/>
        <v>#DIV/0!</v>
      </c>
      <c r="O154" s="91" t="e">
        <f t="shared" si="16"/>
        <v>#DIV/0!</v>
      </c>
      <c r="P154" s="62">
        <f t="shared" si="17"/>
        <v>0</v>
      </c>
      <c r="T154" s="310" t="str">
        <f>PE_aug!AP154</f>
        <v>KWS, Schlamm</v>
      </c>
    </row>
    <row r="155" spans="1:20">
      <c r="A155" s="140" t="s">
        <v>206</v>
      </c>
      <c r="G155">
        <v>0.34399999999999997</v>
      </c>
      <c r="H155">
        <v>2.3E-2</v>
      </c>
      <c r="I155">
        <v>6.3905200000000004</v>
      </c>
      <c r="K155" s="35" t="e">
        <f t="shared" si="12"/>
        <v>#DIV/0!</v>
      </c>
      <c r="L155" s="312" t="e">
        <f t="shared" si="13"/>
        <v>#DIV/0!</v>
      </c>
      <c r="M155" s="310" t="e">
        <f t="shared" si="14"/>
        <v>#DIV/0!</v>
      </c>
      <c r="N155" s="310" t="e">
        <f t="shared" si="15"/>
        <v>#DIV/0!</v>
      </c>
      <c r="O155" s="91" t="e">
        <f t="shared" si="16"/>
        <v>#DIV/0!</v>
      </c>
      <c r="P155" s="62">
        <f t="shared" si="17"/>
        <v>0</v>
      </c>
      <c r="T155" s="310" t="str">
        <f>PE_aug!AP155</f>
        <v>Flussproben, Lippe</v>
      </c>
    </row>
    <row r="156" spans="1:20">
      <c r="A156" s="140" t="s">
        <v>208</v>
      </c>
      <c r="G156">
        <v>0.86199999999999999</v>
      </c>
      <c r="H156">
        <v>2.3E-2</v>
      </c>
      <c r="I156">
        <v>7.3049899999999992</v>
      </c>
      <c r="K156" s="35" t="e">
        <f t="shared" si="12"/>
        <v>#DIV/0!</v>
      </c>
      <c r="L156" s="312" t="e">
        <f t="shared" si="13"/>
        <v>#DIV/0!</v>
      </c>
      <c r="M156" s="310" t="e">
        <f t="shared" si="14"/>
        <v>#DIV/0!</v>
      </c>
      <c r="N156" s="310" t="e">
        <f t="shared" si="15"/>
        <v>#DIV/0!</v>
      </c>
      <c r="O156" s="91" t="e">
        <f t="shared" si="16"/>
        <v>#DIV/0!</v>
      </c>
      <c r="P156" s="62">
        <f t="shared" si="17"/>
        <v>0</v>
      </c>
      <c r="T156" s="310" t="str">
        <f>PE_aug!AP156</f>
        <v>Flussproben, Lippe</v>
      </c>
    </row>
    <row r="157" spans="1:20">
      <c r="A157" s="140" t="s">
        <v>209</v>
      </c>
      <c r="G157">
        <v>1.0049999999999999</v>
      </c>
      <c r="H157">
        <v>2.3E-2</v>
      </c>
      <c r="I157">
        <v>8.3328150000000001</v>
      </c>
      <c r="K157" s="35" t="e">
        <f t="shared" si="12"/>
        <v>#DIV/0!</v>
      </c>
      <c r="L157" s="312" t="e">
        <f t="shared" si="13"/>
        <v>#DIV/0!</v>
      </c>
      <c r="M157" s="310" t="e">
        <f t="shared" si="14"/>
        <v>#DIV/0!</v>
      </c>
      <c r="N157" s="310" t="e">
        <f t="shared" si="15"/>
        <v>#DIV/0!</v>
      </c>
      <c r="O157" s="91" t="e">
        <f t="shared" si="16"/>
        <v>#DIV/0!</v>
      </c>
      <c r="P157" s="62">
        <f t="shared" si="17"/>
        <v>0</v>
      </c>
      <c r="T157" s="310" t="str">
        <f>PE_aug!AP157</f>
        <v>Flussproben, Lippe</v>
      </c>
    </row>
    <row r="158" spans="1:20">
      <c r="A158" s="140" t="s">
        <v>210</v>
      </c>
      <c r="G158">
        <v>0.44400000000000001</v>
      </c>
      <c r="H158">
        <v>5.8999999999999997E-2</v>
      </c>
      <c r="I158">
        <v>5.7549900000000003</v>
      </c>
      <c r="K158" s="35" t="e">
        <f t="shared" si="12"/>
        <v>#DIV/0!</v>
      </c>
      <c r="L158" s="312" t="e">
        <f t="shared" si="13"/>
        <v>#DIV/0!</v>
      </c>
      <c r="M158" s="310" t="e">
        <f t="shared" si="14"/>
        <v>#DIV/0!</v>
      </c>
      <c r="N158" s="310" t="e">
        <f t="shared" si="15"/>
        <v>#DIV/0!</v>
      </c>
      <c r="O158" s="91" t="e">
        <f t="shared" si="16"/>
        <v>#DIV/0!</v>
      </c>
      <c r="P158" s="62">
        <f t="shared" si="17"/>
        <v>0</v>
      </c>
      <c r="T158" s="310" t="str">
        <f>PE_aug!AP158</f>
        <v>Flussproben, Lippe</v>
      </c>
    </row>
    <row r="159" spans="1:20">
      <c r="A159" s="140" t="s">
        <v>211</v>
      </c>
      <c r="G159">
        <v>1.101</v>
      </c>
      <c r="H159">
        <v>5.8999999999999997E-2</v>
      </c>
      <c r="I159">
        <v>9.8056399999999986</v>
      </c>
      <c r="K159" s="35" t="e">
        <f t="shared" si="12"/>
        <v>#DIV/0!</v>
      </c>
      <c r="L159" s="312" t="e">
        <f t="shared" si="13"/>
        <v>#DIV/0!</v>
      </c>
      <c r="M159" s="310" t="e">
        <f t="shared" si="14"/>
        <v>#DIV/0!</v>
      </c>
      <c r="N159" s="310" t="e">
        <f t="shared" si="15"/>
        <v>#DIV/0!</v>
      </c>
      <c r="O159" s="91" t="e">
        <f t="shared" si="16"/>
        <v>#DIV/0!</v>
      </c>
      <c r="P159" s="62">
        <f t="shared" si="17"/>
        <v>0</v>
      </c>
      <c r="T159" s="310" t="str">
        <f>PE_aug!AP159</f>
        <v>Flussproben, Lippe</v>
      </c>
    </row>
    <row r="160" spans="1:20">
      <c r="A160" s="140" t="s">
        <v>212</v>
      </c>
      <c r="G160">
        <v>0.71799999999999997</v>
      </c>
      <c r="H160">
        <v>5.8999999999999997E-2</v>
      </c>
      <c r="I160">
        <v>5.9145799999999999</v>
      </c>
      <c r="K160" s="35" t="e">
        <f t="shared" si="12"/>
        <v>#DIV/0!</v>
      </c>
      <c r="L160" s="312" t="e">
        <f t="shared" si="13"/>
        <v>#DIV/0!</v>
      </c>
      <c r="M160" s="310" t="e">
        <f t="shared" si="14"/>
        <v>#DIV/0!</v>
      </c>
      <c r="N160" s="310" t="e">
        <f t="shared" si="15"/>
        <v>#DIV/0!</v>
      </c>
      <c r="O160" s="91" t="e">
        <f t="shared" si="16"/>
        <v>#DIV/0!</v>
      </c>
      <c r="P160" s="62">
        <f t="shared" si="17"/>
        <v>0</v>
      </c>
      <c r="T160" s="310" t="str">
        <f>PE_aug!AP160</f>
        <v>Flussproben, Lippe</v>
      </c>
    </row>
    <row r="161" spans="1:20">
      <c r="A161" s="140" t="s">
        <v>213</v>
      </c>
      <c r="G161">
        <v>0.51400000000000001</v>
      </c>
      <c r="H161">
        <v>6.0999999999999999E-2</v>
      </c>
      <c r="I161">
        <v>7.65665</v>
      </c>
      <c r="K161" s="35" t="e">
        <f t="shared" si="12"/>
        <v>#DIV/0!</v>
      </c>
      <c r="L161" s="312" t="e">
        <f t="shared" si="13"/>
        <v>#DIV/0!</v>
      </c>
      <c r="M161" s="310" t="e">
        <f t="shared" si="14"/>
        <v>#DIV/0!</v>
      </c>
      <c r="N161" s="310" t="e">
        <f t="shared" si="15"/>
        <v>#DIV/0!</v>
      </c>
      <c r="O161" s="91" t="e">
        <f t="shared" si="16"/>
        <v>#DIV/0!</v>
      </c>
      <c r="P161" s="62">
        <f t="shared" si="17"/>
        <v>0</v>
      </c>
      <c r="T161" s="310" t="str">
        <f>PE_aug!AP161</f>
        <v>Flussproben, Lippe</v>
      </c>
    </row>
    <row r="162" spans="1:20">
      <c r="A162" s="140" t="s">
        <v>214</v>
      </c>
      <c r="G162">
        <v>0.621</v>
      </c>
      <c r="H162">
        <v>6.0999999999999999E-2</v>
      </c>
      <c r="I162">
        <v>8.9807000000000006</v>
      </c>
      <c r="K162" s="35" t="e">
        <f t="shared" si="12"/>
        <v>#DIV/0!</v>
      </c>
      <c r="L162" s="312" t="e">
        <f t="shared" si="13"/>
        <v>#DIV/0!</v>
      </c>
      <c r="M162" s="310" t="e">
        <f t="shared" si="14"/>
        <v>#DIV/0!</v>
      </c>
      <c r="N162" s="310" t="e">
        <f t="shared" si="15"/>
        <v>#DIV/0!</v>
      </c>
      <c r="O162" s="91" t="e">
        <f t="shared" si="16"/>
        <v>#DIV/0!</v>
      </c>
      <c r="P162" s="62">
        <f t="shared" si="17"/>
        <v>0</v>
      </c>
      <c r="T162" s="310" t="str">
        <f>PE_aug!AP162</f>
        <v>Flussproben, Lippe</v>
      </c>
    </row>
    <row r="163" spans="1:20">
      <c r="A163" s="140" t="s">
        <v>215</v>
      </c>
      <c r="G163">
        <v>1.1120000000000001</v>
      </c>
      <c r="H163">
        <v>6.0999999999999999E-2</v>
      </c>
      <c r="I163">
        <v>5.3088700000000006</v>
      </c>
      <c r="K163" s="35" t="e">
        <f t="shared" si="12"/>
        <v>#DIV/0!</v>
      </c>
      <c r="L163" s="312" t="e">
        <f t="shared" si="13"/>
        <v>#DIV/0!</v>
      </c>
      <c r="M163" s="310" t="e">
        <f t="shared" si="14"/>
        <v>#DIV/0!</v>
      </c>
      <c r="N163" s="310" t="e">
        <f t="shared" si="15"/>
        <v>#DIV/0!</v>
      </c>
      <c r="O163" s="91" t="e">
        <f t="shared" si="16"/>
        <v>#DIV/0!</v>
      </c>
      <c r="P163" s="62">
        <f t="shared" si="17"/>
        <v>0</v>
      </c>
      <c r="T163" s="310" t="str">
        <f>PE_aug!AP163</f>
        <v>Flussproben, Lippe</v>
      </c>
    </row>
    <row r="164" spans="1:20">
      <c r="A164" s="140" t="s">
        <v>216</v>
      </c>
      <c r="G164">
        <v>0.42699999999999999</v>
      </c>
      <c r="H164">
        <v>0.17699999999999999</v>
      </c>
      <c r="I164">
        <v>9.4334749999999996</v>
      </c>
      <c r="K164" s="35" t="e">
        <f t="shared" si="12"/>
        <v>#DIV/0!</v>
      </c>
      <c r="L164" s="312" t="e">
        <f t="shared" si="13"/>
        <v>#DIV/0!</v>
      </c>
      <c r="M164" s="310" t="e">
        <f t="shared" si="14"/>
        <v>#DIV/0!</v>
      </c>
      <c r="N164" s="310" t="e">
        <f t="shared" si="15"/>
        <v>#DIV/0!</v>
      </c>
      <c r="O164" s="91" t="e">
        <f t="shared" si="16"/>
        <v>#DIV/0!</v>
      </c>
      <c r="P164" s="62">
        <f t="shared" si="17"/>
        <v>0</v>
      </c>
      <c r="T164" s="310" t="str">
        <f>PE_aug!AP164</f>
        <v>Kläranlage</v>
      </c>
    </row>
    <row r="165" spans="1:20">
      <c r="A165" s="140" t="s">
        <v>217</v>
      </c>
      <c r="G165">
        <v>1.0229999999999999</v>
      </c>
      <c r="H165">
        <v>0.17699999999999999</v>
      </c>
      <c r="I165">
        <v>12.192550000000001</v>
      </c>
      <c r="K165" s="35" t="e">
        <f t="shared" si="12"/>
        <v>#DIV/0!</v>
      </c>
      <c r="L165" s="312" t="e">
        <f t="shared" si="13"/>
        <v>#DIV/0!</v>
      </c>
      <c r="M165" s="310" t="e">
        <f t="shared" si="14"/>
        <v>#DIV/0!</v>
      </c>
      <c r="N165" s="310" t="e">
        <f t="shared" si="15"/>
        <v>#DIV/0!</v>
      </c>
      <c r="O165" s="91" t="e">
        <f t="shared" si="16"/>
        <v>#DIV/0!</v>
      </c>
      <c r="P165" s="62">
        <f t="shared" si="17"/>
        <v>0</v>
      </c>
      <c r="T165" s="310" t="str">
        <f>PE_aug!AP165</f>
        <v>Kläranlage</v>
      </c>
    </row>
    <row r="166" spans="1:20">
      <c r="A166" s="140" t="s">
        <v>218</v>
      </c>
      <c r="G166">
        <v>0.74</v>
      </c>
      <c r="H166">
        <v>0.17699999999999999</v>
      </c>
      <c r="I166">
        <v>7.2366899999999994</v>
      </c>
      <c r="K166" s="35" t="e">
        <f t="shared" si="12"/>
        <v>#DIV/0!</v>
      </c>
      <c r="L166" s="312" t="e">
        <f t="shared" si="13"/>
        <v>#DIV/0!</v>
      </c>
      <c r="M166" s="310" t="e">
        <f t="shared" si="14"/>
        <v>#DIV/0!</v>
      </c>
      <c r="N166" s="310" t="e">
        <f t="shared" si="15"/>
        <v>#DIV/0!</v>
      </c>
      <c r="O166" s="91" t="e">
        <f t="shared" si="16"/>
        <v>#DIV/0!</v>
      </c>
      <c r="P166" s="62">
        <f t="shared" si="17"/>
        <v>0</v>
      </c>
      <c r="T166" s="310" t="str">
        <f>PE_aug!AP166</f>
        <v>Kläranlage</v>
      </c>
    </row>
    <row r="167" spans="1:20">
      <c r="A167" s="140" t="s">
        <v>219</v>
      </c>
      <c r="I167">
        <v>0.28799999999999998</v>
      </c>
      <c r="K167" s="35" t="e">
        <f t="shared" si="12"/>
        <v>#DIV/0!</v>
      </c>
      <c r="L167" s="312" t="e">
        <f t="shared" si="13"/>
        <v>#DIV/0!</v>
      </c>
      <c r="M167" s="310" t="e">
        <f t="shared" si="14"/>
        <v>#DIV/0!</v>
      </c>
      <c r="N167" s="310" t="e">
        <f t="shared" si="15"/>
        <v>#DIV/0!</v>
      </c>
      <c r="O167" s="91" t="e">
        <f t="shared" si="16"/>
        <v>#DIV/0!</v>
      </c>
      <c r="P167" s="62">
        <f t="shared" si="17"/>
        <v>0</v>
      </c>
      <c r="T167" s="310" t="str">
        <f>PE_aug!AP167</f>
        <v>Methode</v>
      </c>
    </row>
    <row r="168" spans="1:20">
      <c r="A168" s="140" t="s">
        <v>220</v>
      </c>
      <c r="E168">
        <v>227.28</v>
      </c>
      <c r="F168" s="307">
        <v>319.45</v>
      </c>
      <c r="I168">
        <v>0.15598200000000001</v>
      </c>
      <c r="J168">
        <v>0.35</v>
      </c>
      <c r="K168" s="35">
        <f t="shared" si="12"/>
        <v>0.5</v>
      </c>
      <c r="L168" s="312">
        <f t="shared" si="13"/>
        <v>0.42499999999999999</v>
      </c>
      <c r="M168" s="310">
        <f t="shared" si="14"/>
        <v>227.28</v>
      </c>
      <c r="N168" s="310">
        <f t="shared" si="15"/>
        <v>0</v>
      </c>
      <c r="O168" s="91">
        <f t="shared" si="16"/>
        <v>273.36500000000001</v>
      </c>
      <c r="P168" s="62">
        <f t="shared" si="17"/>
        <v>1752.54195996974</v>
      </c>
      <c r="T168" s="310" t="str">
        <f>PE_aug!AP168</f>
        <v>Methode</v>
      </c>
    </row>
    <row r="169" spans="1:20">
      <c r="A169" s="140" t="s">
        <v>221</v>
      </c>
      <c r="C169">
        <v>615.03</v>
      </c>
      <c r="E169">
        <v>161.22999999999999</v>
      </c>
      <c r="F169" s="307">
        <v>393.38</v>
      </c>
      <c r="I169">
        <v>0.40368500000000002</v>
      </c>
      <c r="J169">
        <v>0.7</v>
      </c>
      <c r="K169" s="35">
        <f t="shared" si="12"/>
        <v>0.33</v>
      </c>
      <c r="L169" s="312">
        <f t="shared" si="13"/>
        <v>0.51500000000000001</v>
      </c>
      <c r="M169" s="310">
        <f t="shared" si="14"/>
        <v>388.13</v>
      </c>
      <c r="N169" s="310">
        <f t="shared" si="15"/>
        <v>0</v>
      </c>
      <c r="O169" s="91">
        <f t="shared" si="16"/>
        <v>389.87999999999994</v>
      </c>
      <c r="P169" s="62">
        <f t="shared" si="17"/>
        <v>965.80254406282108</v>
      </c>
      <c r="R169">
        <f>1000*(I169-0.055481)</f>
        <v>348.20400000000001</v>
      </c>
      <c r="S169" s="309">
        <f>100*O169/R169</f>
        <v>111.96884584898505</v>
      </c>
      <c r="T169" s="310" t="str">
        <f>PE_aug!AP169</f>
        <v>Methode</v>
      </c>
    </row>
    <row r="170" spans="1:20">
      <c r="A170" s="172" t="s">
        <v>222</v>
      </c>
      <c r="G170">
        <v>0.93100000000000005</v>
      </c>
      <c r="H170">
        <v>0.15</v>
      </c>
      <c r="I170">
        <v>6.3953800000000003</v>
      </c>
      <c r="K170" s="35" t="e">
        <f t="shared" si="12"/>
        <v>#DIV/0!</v>
      </c>
      <c r="L170" s="312" t="e">
        <f t="shared" si="13"/>
        <v>#DIV/0!</v>
      </c>
      <c r="M170" s="310" t="e">
        <f t="shared" si="14"/>
        <v>#DIV/0!</v>
      </c>
      <c r="N170" s="310" t="e">
        <f t="shared" si="15"/>
        <v>#DIV/0!</v>
      </c>
      <c r="O170" s="91" t="e">
        <f t="shared" si="16"/>
        <v>#DIV/0!</v>
      </c>
      <c r="P170" s="62">
        <f t="shared" si="17"/>
        <v>0</v>
      </c>
      <c r="S170" s="309"/>
      <c r="T170" s="310" t="str">
        <f>PE_aug!AP170</f>
        <v>Kläranlage</v>
      </c>
    </row>
    <row r="171" spans="1:20">
      <c r="A171" s="172" t="s">
        <v>223</v>
      </c>
      <c r="G171">
        <v>0.98199999999999998</v>
      </c>
      <c r="H171">
        <v>0.15</v>
      </c>
      <c r="I171">
        <v>14.388500000000001</v>
      </c>
      <c r="K171" s="35" t="e">
        <f t="shared" si="12"/>
        <v>#DIV/0!</v>
      </c>
      <c r="L171" s="312" t="e">
        <f t="shared" si="13"/>
        <v>#DIV/0!</v>
      </c>
      <c r="M171" s="310" t="e">
        <f t="shared" si="14"/>
        <v>#DIV/0!</v>
      </c>
      <c r="N171" s="310" t="e">
        <f t="shared" si="15"/>
        <v>#DIV/0!</v>
      </c>
      <c r="O171" s="91" t="e">
        <f t="shared" si="16"/>
        <v>#DIV/0!</v>
      </c>
      <c r="P171" s="62">
        <f t="shared" si="17"/>
        <v>0</v>
      </c>
      <c r="S171" s="309"/>
      <c r="T171" s="310" t="str">
        <f>PE_aug!AP171</f>
        <v>Kläranlage</v>
      </c>
    </row>
    <row r="172" spans="1:20">
      <c r="A172" s="172" t="s">
        <v>224</v>
      </c>
      <c r="G172">
        <v>0.24199999999999999</v>
      </c>
      <c r="H172">
        <v>0.15</v>
      </c>
      <c r="I172">
        <v>9.6715149999999994</v>
      </c>
      <c r="K172" s="35" t="e">
        <f t="shared" si="12"/>
        <v>#DIV/0!</v>
      </c>
      <c r="L172" s="312" t="e">
        <f t="shared" si="13"/>
        <v>#DIV/0!</v>
      </c>
      <c r="M172" s="310" t="e">
        <f t="shared" si="14"/>
        <v>#DIV/0!</v>
      </c>
      <c r="N172" s="310" t="e">
        <f t="shared" si="15"/>
        <v>#DIV/0!</v>
      </c>
      <c r="O172" s="91" t="e">
        <f t="shared" si="16"/>
        <v>#DIV/0!</v>
      </c>
      <c r="P172" s="62">
        <f t="shared" si="17"/>
        <v>0</v>
      </c>
      <c r="S172" s="309"/>
      <c r="T172" s="310" t="str">
        <f>PE_aug!AP172</f>
        <v>Kläranlage</v>
      </c>
    </row>
    <row r="173" spans="1:20">
      <c r="A173" s="172" t="s">
        <v>225</v>
      </c>
      <c r="I173">
        <v>8.4091399999999989</v>
      </c>
      <c r="K173" s="35" t="e">
        <f t="shared" si="12"/>
        <v>#DIV/0!</v>
      </c>
      <c r="L173" s="312" t="e">
        <f t="shared" si="13"/>
        <v>#DIV/0!</v>
      </c>
      <c r="M173" s="310" t="e">
        <f t="shared" si="14"/>
        <v>#DIV/0!</v>
      </c>
      <c r="N173" s="310" t="e">
        <f t="shared" si="15"/>
        <v>#DIV/0!</v>
      </c>
      <c r="O173" s="91" t="e">
        <f t="shared" si="16"/>
        <v>#DIV/0!</v>
      </c>
      <c r="P173" s="62">
        <f t="shared" si="17"/>
        <v>0</v>
      </c>
      <c r="S173" s="309"/>
      <c r="T173" s="310" t="str">
        <f>PE_aug!AP173</f>
        <v>Kläranlage, Methode</v>
      </c>
    </row>
    <row r="174" spans="1:20">
      <c r="A174" s="172" t="s">
        <v>227</v>
      </c>
      <c r="D174">
        <v>155.66</v>
      </c>
      <c r="I174">
        <v>11.4796</v>
      </c>
      <c r="J174">
        <v>0.8</v>
      </c>
      <c r="K174" s="35">
        <f t="shared" si="12"/>
        <v>0.5</v>
      </c>
      <c r="L174" s="312">
        <f t="shared" si="13"/>
        <v>0.65</v>
      </c>
      <c r="M174" s="310">
        <f t="shared" si="14"/>
        <v>155.66</v>
      </c>
      <c r="N174" s="310">
        <f t="shared" si="15"/>
        <v>0</v>
      </c>
      <c r="O174" s="91">
        <f t="shared" si="16"/>
        <v>155.66</v>
      </c>
      <c r="P174" s="62">
        <f t="shared" si="17"/>
        <v>13.559705913098018</v>
      </c>
      <c r="R174" s="126">
        <v>0.1421</v>
      </c>
      <c r="S174" s="309">
        <f>100*O174/(1000*R174)</f>
        <v>109.54257565095004</v>
      </c>
      <c r="T174" s="310" t="str">
        <f>PE_aug!AP174</f>
        <v>Kläranlage, Methode</v>
      </c>
    </row>
    <row r="175" spans="1:20">
      <c r="A175" s="172" t="s">
        <v>228</v>
      </c>
      <c r="I175">
        <v>6.8967000000000001</v>
      </c>
      <c r="K175" s="35" t="e">
        <f t="shared" si="12"/>
        <v>#DIV/0!</v>
      </c>
      <c r="L175" s="312" t="e">
        <f t="shared" si="13"/>
        <v>#DIV/0!</v>
      </c>
      <c r="M175" s="310" t="e">
        <f t="shared" si="14"/>
        <v>#DIV/0!</v>
      </c>
      <c r="N175" s="310" t="e">
        <f t="shared" si="15"/>
        <v>#DIV/0!</v>
      </c>
      <c r="O175" s="91" t="e">
        <f t="shared" si="16"/>
        <v>#DIV/0!</v>
      </c>
      <c r="P175" s="62">
        <f t="shared" si="17"/>
        <v>0</v>
      </c>
      <c r="T175" s="310" t="str">
        <f>PE_aug!AP175</f>
        <v>Kläranlage, Methode</v>
      </c>
    </row>
    <row r="176" spans="1:20">
      <c r="A176" s="172" t="s">
        <v>229</v>
      </c>
      <c r="G176">
        <v>0.70699999999999996</v>
      </c>
      <c r="H176">
        <v>0.122</v>
      </c>
      <c r="I176">
        <v>8.6541700000000006</v>
      </c>
      <c r="K176" s="35" t="e">
        <f t="shared" si="12"/>
        <v>#DIV/0!</v>
      </c>
      <c r="L176" s="312" t="e">
        <f t="shared" si="13"/>
        <v>#DIV/0!</v>
      </c>
      <c r="M176" s="310" t="e">
        <f t="shared" si="14"/>
        <v>#DIV/0!</v>
      </c>
      <c r="N176" s="310" t="e">
        <f t="shared" si="15"/>
        <v>#DIV/0!</v>
      </c>
      <c r="O176" s="91" t="e">
        <f t="shared" si="16"/>
        <v>#DIV/0!</v>
      </c>
      <c r="P176" s="62">
        <f t="shared" si="17"/>
        <v>0</v>
      </c>
      <c r="T176" s="310" t="str">
        <f>PE_aug!AP176</f>
        <v>Kläranlage</v>
      </c>
    </row>
    <row r="177" spans="1:20">
      <c r="A177" s="172" t="s">
        <v>230</v>
      </c>
      <c r="G177">
        <v>0.70699999999999996</v>
      </c>
      <c r="H177">
        <v>0.122</v>
      </c>
      <c r="I177">
        <v>7.3876200000000001</v>
      </c>
      <c r="K177" s="35" t="e">
        <f t="shared" si="12"/>
        <v>#DIV/0!</v>
      </c>
      <c r="L177" s="312" t="e">
        <f t="shared" si="13"/>
        <v>#DIV/0!</v>
      </c>
      <c r="M177" s="310" t="e">
        <f t="shared" si="14"/>
        <v>#DIV/0!</v>
      </c>
      <c r="N177" s="310" t="e">
        <f t="shared" si="15"/>
        <v>#DIV/0!</v>
      </c>
      <c r="O177" s="91" t="e">
        <f t="shared" si="16"/>
        <v>#DIV/0!</v>
      </c>
      <c r="P177" s="62">
        <f t="shared" si="17"/>
        <v>0</v>
      </c>
      <c r="T177" s="310" t="str">
        <f>PE_aug!AP177</f>
        <v>Kläranlage</v>
      </c>
    </row>
    <row r="178" spans="1:20">
      <c r="A178" s="172" t="s">
        <v>231</v>
      </c>
      <c r="G178">
        <v>0.81799999999999995</v>
      </c>
      <c r="H178">
        <v>3.5000000000000003E-2</v>
      </c>
      <c r="I178">
        <v>7.5310050000000004</v>
      </c>
      <c r="K178" s="35" t="e">
        <f t="shared" si="12"/>
        <v>#DIV/0!</v>
      </c>
      <c r="L178" s="312" t="e">
        <f t="shared" si="13"/>
        <v>#DIV/0!</v>
      </c>
      <c r="M178" s="310" t="e">
        <f t="shared" si="14"/>
        <v>#DIV/0!</v>
      </c>
      <c r="N178" s="310" t="e">
        <f t="shared" si="15"/>
        <v>#DIV/0!</v>
      </c>
      <c r="O178" s="91" t="e">
        <f t="shared" si="16"/>
        <v>#DIV/0!</v>
      </c>
      <c r="P178" s="62">
        <f t="shared" si="17"/>
        <v>0</v>
      </c>
      <c r="T178" s="310" t="str">
        <f>PE_aug!AP178</f>
        <v>Kläranlage</v>
      </c>
    </row>
    <row r="179" spans="1:20">
      <c r="A179" s="172" t="s">
        <v>232</v>
      </c>
      <c r="G179">
        <v>0.50800000000000001</v>
      </c>
      <c r="H179">
        <v>3.5000000000000003E-2</v>
      </c>
      <c r="I179">
        <v>7.2204149999999991</v>
      </c>
      <c r="K179" s="35" t="e">
        <f t="shared" si="12"/>
        <v>#DIV/0!</v>
      </c>
      <c r="L179" s="312" t="e">
        <f t="shared" si="13"/>
        <v>#DIV/0!</v>
      </c>
      <c r="M179" s="310" t="e">
        <f t="shared" si="14"/>
        <v>#DIV/0!</v>
      </c>
      <c r="N179" s="310" t="e">
        <f t="shared" si="15"/>
        <v>#DIV/0!</v>
      </c>
      <c r="O179" s="91" t="e">
        <f t="shared" si="16"/>
        <v>#DIV/0!</v>
      </c>
      <c r="P179" s="62">
        <f t="shared" si="17"/>
        <v>0</v>
      </c>
      <c r="T179" s="310" t="str">
        <f>PE_aug!AP179</f>
        <v>Kläranlage</v>
      </c>
    </row>
    <row r="180" spans="1:20">
      <c r="A180" s="172" t="s">
        <v>233</v>
      </c>
      <c r="G180">
        <v>0.86099999999999999</v>
      </c>
      <c r="H180">
        <v>3.5000000000000003E-2</v>
      </c>
      <c r="I180">
        <v>6.5432199999999998</v>
      </c>
      <c r="K180" s="35" t="e">
        <f t="shared" si="12"/>
        <v>#DIV/0!</v>
      </c>
      <c r="L180" s="312" t="e">
        <f t="shared" si="13"/>
        <v>#DIV/0!</v>
      </c>
      <c r="M180" s="310" t="e">
        <f t="shared" si="14"/>
        <v>#DIV/0!</v>
      </c>
      <c r="N180" s="310" t="e">
        <f t="shared" si="15"/>
        <v>#DIV/0!</v>
      </c>
      <c r="O180" s="91" t="e">
        <f t="shared" si="16"/>
        <v>#DIV/0!</v>
      </c>
      <c r="P180" s="62">
        <f t="shared" si="17"/>
        <v>0</v>
      </c>
      <c r="T180" s="310" t="str">
        <f>PE_aug!AP180</f>
        <v>Kläranlage</v>
      </c>
    </row>
    <row r="181" spans="1:20">
      <c r="A181" s="172" t="s">
        <v>234</v>
      </c>
      <c r="I181">
        <v>6.5395599999999998</v>
      </c>
      <c r="K181" s="35" t="e">
        <f t="shared" si="12"/>
        <v>#DIV/0!</v>
      </c>
      <c r="L181" s="312" t="e">
        <f t="shared" si="13"/>
        <v>#DIV/0!</v>
      </c>
      <c r="M181" s="310" t="e">
        <f t="shared" si="14"/>
        <v>#DIV/0!</v>
      </c>
      <c r="N181" s="310" t="e">
        <f t="shared" si="15"/>
        <v>#DIV/0!</v>
      </c>
      <c r="O181" s="91" t="e">
        <f t="shared" si="16"/>
        <v>#DIV/0!</v>
      </c>
      <c r="P181" s="62">
        <f t="shared" si="17"/>
        <v>0</v>
      </c>
      <c r="T181" s="310" t="str">
        <f>PE_aug!AP181</f>
        <v>Kläranlage, Methode</v>
      </c>
    </row>
    <row r="182" spans="1:20">
      <c r="A182" s="172" t="s">
        <v>235</v>
      </c>
      <c r="G182">
        <v>0.70699999999999996</v>
      </c>
      <c r="H182">
        <v>0.14799999999999999</v>
      </c>
      <c r="I182">
        <v>12.27675</v>
      </c>
      <c r="K182" s="35" t="e">
        <f t="shared" si="12"/>
        <v>#DIV/0!</v>
      </c>
      <c r="L182" s="312" t="e">
        <f t="shared" si="13"/>
        <v>#DIV/0!</v>
      </c>
      <c r="M182" s="310" t="e">
        <f t="shared" si="14"/>
        <v>#DIV/0!</v>
      </c>
      <c r="N182" s="310" t="e">
        <f t="shared" si="15"/>
        <v>#DIV/0!</v>
      </c>
      <c r="O182" s="91" t="e">
        <f t="shared" si="16"/>
        <v>#DIV/0!</v>
      </c>
      <c r="P182" s="62">
        <f t="shared" si="17"/>
        <v>0</v>
      </c>
      <c r="T182" s="310" t="str">
        <f>PE_aug!AP182</f>
        <v>Kläranlage</v>
      </c>
    </row>
    <row r="183" spans="1:20">
      <c r="A183" s="172" t="s">
        <v>236</v>
      </c>
      <c r="G183">
        <v>0.70699999999999996</v>
      </c>
      <c r="H183">
        <v>0.14799999999999999</v>
      </c>
      <c r="I183">
        <v>6.5768300000000002</v>
      </c>
      <c r="K183" s="35" t="e">
        <f t="shared" si="12"/>
        <v>#DIV/0!</v>
      </c>
      <c r="L183" s="312" t="e">
        <f t="shared" si="13"/>
        <v>#DIV/0!</v>
      </c>
      <c r="M183" s="310" t="e">
        <f t="shared" si="14"/>
        <v>#DIV/0!</v>
      </c>
      <c r="N183" s="310" t="e">
        <f t="shared" si="15"/>
        <v>#DIV/0!</v>
      </c>
      <c r="O183" s="91" t="e">
        <f t="shared" si="16"/>
        <v>#DIV/0!</v>
      </c>
      <c r="P183" s="62">
        <f t="shared" si="17"/>
        <v>0</v>
      </c>
      <c r="T183" s="310" t="str">
        <f>PE_aug!AP183</f>
        <v>Kläranlage</v>
      </c>
    </row>
    <row r="184" spans="1:20">
      <c r="A184" s="172" t="s">
        <v>237</v>
      </c>
      <c r="G184">
        <v>0.70699999999999996</v>
      </c>
      <c r="H184">
        <v>0.34799999999999998</v>
      </c>
      <c r="I184">
        <v>4.1054899999999996</v>
      </c>
      <c r="K184" s="35" t="e">
        <f t="shared" si="12"/>
        <v>#DIV/0!</v>
      </c>
      <c r="L184" s="312" t="e">
        <f t="shared" si="13"/>
        <v>#DIV/0!</v>
      </c>
      <c r="M184" s="310" t="e">
        <f t="shared" si="14"/>
        <v>#DIV/0!</v>
      </c>
      <c r="N184" s="310" t="e">
        <f t="shared" si="15"/>
        <v>#DIV/0!</v>
      </c>
      <c r="O184" s="91" t="e">
        <f t="shared" si="16"/>
        <v>#DIV/0!</v>
      </c>
      <c r="P184" s="62">
        <f t="shared" si="17"/>
        <v>0</v>
      </c>
      <c r="T184" s="310" t="str">
        <f>PE_aug!AP184</f>
        <v>Kläranlage</v>
      </c>
    </row>
    <row r="185" spans="1:20">
      <c r="A185" s="172" t="s">
        <v>238</v>
      </c>
      <c r="G185">
        <v>0.70699999999999996</v>
      </c>
      <c r="H185">
        <v>0.34799999999999998</v>
      </c>
      <c r="I185">
        <v>7.0180100000000003</v>
      </c>
      <c r="K185" s="35" t="e">
        <f t="shared" si="12"/>
        <v>#DIV/0!</v>
      </c>
      <c r="L185" s="312" t="e">
        <f t="shared" si="13"/>
        <v>#DIV/0!</v>
      </c>
      <c r="M185" s="310" t="e">
        <f t="shared" si="14"/>
        <v>#DIV/0!</v>
      </c>
      <c r="N185" s="310" t="e">
        <f t="shared" si="15"/>
        <v>#DIV/0!</v>
      </c>
      <c r="O185" s="91" t="e">
        <f t="shared" si="16"/>
        <v>#DIV/0!</v>
      </c>
      <c r="P185" s="62">
        <f t="shared" si="17"/>
        <v>0</v>
      </c>
      <c r="T185" s="310" t="str">
        <f>PE_aug!AP185</f>
        <v>Kläranlage</v>
      </c>
    </row>
    <row r="186" spans="1:20">
      <c r="A186" s="172" t="s">
        <v>239</v>
      </c>
      <c r="E186">
        <v>94.43</v>
      </c>
      <c r="I186">
        <v>7.1787899999999988E-2</v>
      </c>
      <c r="J186">
        <v>0.33</v>
      </c>
      <c r="K186" s="35">
        <f t="shared" si="12"/>
        <v>0.5</v>
      </c>
      <c r="L186" s="312">
        <f t="shared" si="13"/>
        <v>0.41500000000000004</v>
      </c>
      <c r="M186" s="310">
        <f t="shared" si="14"/>
        <v>94.43</v>
      </c>
      <c r="N186" s="310">
        <f t="shared" si="15"/>
        <v>0</v>
      </c>
      <c r="O186" s="91">
        <f t="shared" si="16"/>
        <v>94.43</v>
      </c>
      <c r="P186" s="62">
        <f t="shared" si="17"/>
        <v>1315.4027350013027</v>
      </c>
      <c r="T186" s="310" t="str">
        <f>PE_aug!AP186</f>
        <v>Methode</v>
      </c>
    </row>
    <row r="187" spans="1:20">
      <c r="A187" s="173" t="s">
        <v>240</v>
      </c>
      <c r="G187">
        <v>0.71699999999999997</v>
      </c>
      <c r="H187">
        <v>0.308</v>
      </c>
      <c r="I187">
        <v>5.5142600000000002</v>
      </c>
      <c r="K187" s="35" t="e">
        <f t="shared" si="12"/>
        <v>#DIV/0!</v>
      </c>
      <c r="L187" s="312" t="e">
        <f t="shared" si="13"/>
        <v>#DIV/0!</v>
      </c>
      <c r="M187" s="310" t="e">
        <f t="shared" si="14"/>
        <v>#DIV/0!</v>
      </c>
      <c r="N187" s="310" t="e">
        <f t="shared" si="15"/>
        <v>#DIV/0!</v>
      </c>
      <c r="O187" s="91" t="e">
        <f t="shared" si="16"/>
        <v>#DIV/0!</v>
      </c>
      <c r="P187" s="62">
        <f t="shared" si="17"/>
        <v>0</v>
      </c>
      <c r="T187" s="310" t="str">
        <f>PE_aug!AP187</f>
        <v>KWS</v>
      </c>
    </row>
    <row r="188" spans="1:20">
      <c r="A188" s="173" t="s">
        <v>241</v>
      </c>
      <c r="G188">
        <v>0.63600000000000001</v>
      </c>
      <c r="H188">
        <v>0.308</v>
      </c>
      <c r="I188">
        <v>8.6348099999999999</v>
      </c>
      <c r="K188" s="35" t="e">
        <f t="shared" si="12"/>
        <v>#DIV/0!</v>
      </c>
      <c r="L188" s="312" t="e">
        <f t="shared" si="13"/>
        <v>#DIV/0!</v>
      </c>
      <c r="M188" s="310" t="e">
        <f t="shared" si="14"/>
        <v>#DIV/0!</v>
      </c>
      <c r="N188" s="310" t="e">
        <f t="shared" si="15"/>
        <v>#DIV/0!</v>
      </c>
      <c r="O188" s="91" t="e">
        <f t="shared" si="16"/>
        <v>#DIV/0!</v>
      </c>
      <c r="P188" s="62">
        <f t="shared" si="17"/>
        <v>0</v>
      </c>
      <c r="T188" s="310" t="str">
        <f>PE_aug!AP188</f>
        <v>KWS</v>
      </c>
    </row>
    <row r="189" spans="1:20">
      <c r="A189" s="173" t="s">
        <v>242</v>
      </c>
      <c r="G189">
        <v>0.86399999999999999</v>
      </c>
      <c r="H189">
        <v>0.308</v>
      </c>
      <c r="I189">
        <v>9.2441649999999989</v>
      </c>
      <c r="K189" s="35" t="e">
        <f t="shared" si="12"/>
        <v>#DIV/0!</v>
      </c>
      <c r="L189" s="312" t="e">
        <f t="shared" si="13"/>
        <v>#DIV/0!</v>
      </c>
      <c r="M189" s="310" t="e">
        <f t="shared" si="14"/>
        <v>#DIV/0!</v>
      </c>
      <c r="N189" s="310" t="e">
        <f t="shared" si="15"/>
        <v>#DIV/0!</v>
      </c>
      <c r="O189" s="91" t="e">
        <f t="shared" si="16"/>
        <v>#DIV/0!</v>
      </c>
      <c r="P189" s="62">
        <f t="shared" si="17"/>
        <v>0</v>
      </c>
      <c r="T189" s="310" t="str">
        <f>PE_aug!AP189</f>
        <v>KWS</v>
      </c>
    </row>
    <row r="190" spans="1:20">
      <c r="A190" s="173" t="s">
        <v>243</v>
      </c>
      <c r="G190">
        <v>0.52</v>
      </c>
      <c r="H190">
        <v>5.7000000000000002E-2</v>
      </c>
      <c r="I190">
        <v>8.5557249999999989</v>
      </c>
      <c r="K190" s="35" t="e">
        <f t="shared" si="12"/>
        <v>#DIV/0!</v>
      </c>
      <c r="L190" s="312" t="e">
        <f t="shared" si="13"/>
        <v>#DIV/0!</v>
      </c>
      <c r="M190" s="310" t="e">
        <f t="shared" si="14"/>
        <v>#DIV/0!</v>
      </c>
      <c r="N190" s="310" t="e">
        <f t="shared" si="15"/>
        <v>#DIV/0!</v>
      </c>
      <c r="O190" s="91" t="e">
        <f t="shared" si="16"/>
        <v>#DIV/0!</v>
      </c>
      <c r="P190" s="62">
        <f t="shared" si="17"/>
        <v>0</v>
      </c>
      <c r="T190" s="310" t="str">
        <f>PE_aug!AP190</f>
        <v>Kläranlagen</v>
      </c>
    </row>
    <row r="191" spans="1:20">
      <c r="A191" s="173" t="s">
        <v>245</v>
      </c>
      <c r="G191">
        <v>0.77600000000000002</v>
      </c>
      <c r="H191">
        <v>5.7000000000000002E-2</v>
      </c>
      <c r="I191">
        <v>12.1275</v>
      </c>
      <c r="K191" s="35" t="e">
        <f t="shared" si="12"/>
        <v>#DIV/0!</v>
      </c>
      <c r="L191" s="312" t="e">
        <f t="shared" si="13"/>
        <v>#DIV/0!</v>
      </c>
      <c r="M191" s="310" t="e">
        <f t="shared" si="14"/>
        <v>#DIV/0!</v>
      </c>
      <c r="N191" s="310" t="e">
        <f t="shared" si="15"/>
        <v>#DIV/0!</v>
      </c>
      <c r="O191" s="91" t="e">
        <f t="shared" si="16"/>
        <v>#DIV/0!</v>
      </c>
      <c r="P191" s="62">
        <f t="shared" si="17"/>
        <v>0</v>
      </c>
      <c r="T191" s="310" t="str">
        <f>PE_aug!AP191</f>
        <v>Kläranlagen</v>
      </c>
    </row>
    <row r="192" spans="1:20">
      <c r="A192" s="173" t="s">
        <v>246</v>
      </c>
      <c r="G192">
        <v>0.91</v>
      </c>
      <c r="H192">
        <v>5.7000000000000002E-2</v>
      </c>
      <c r="I192">
        <v>7.9963800000000003</v>
      </c>
      <c r="K192" s="35" t="e">
        <f t="shared" si="12"/>
        <v>#DIV/0!</v>
      </c>
      <c r="L192" s="312" t="e">
        <f t="shared" si="13"/>
        <v>#DIV/0!</v>
      </c>
      <c r="M192" s="310" t="e">
        <f t="shared" si="14"/>
        <v>#DIV/0!</v>
      </c>
      <c r="N192" s="310" t="e">
        <f t="shared" si="15"/>
        <v>#DIV/0!</v>
      </c>
      <c r="O192" s="91" t="e">
        <f t="shared" si="16"/>
        <v>#DIV/0!</v>
      </c>
      <c r="P192" s="62">
        <f t="shared" si="17"/>
        <v>0</v>
      </c>
      <c r="T192" s="310" t="str">
        <f>PE_aug!AP192</f>
        <v>Kläranlagen</v>
      </c>
    </row>
    <row r="193" spans="1:20">
      <c r="A193" s="173" t="s">
        <v>247</v>
      </c>
      <c r="G193">
        <v>0.70699999999999996</v>
      </c>
      <c r="H193">
        <v>4.3999999999999997E-2</v>
      </c>
      <c r="I193">
        <v>9.1964899999999989</v>
      </c>
      <c r="K193" s="35" t="e">
        <f t="shared" si="12"/>
        <v>#DIV/0!</v>
      </c>
      <c r="L193" s="312" t="e">
        <f t="shared" si="13"/>
        <v>#DIV/0!</v>
      </c>
      <c r="M193" s="310" t="e">
        <f t="shared" si="14"/>
        <v>#DIV/0!</v>
      </c>
      <c r="N193" s="310" t="e">
        <f t="shared" si="15"/>
        <v>#DIV/0!</v>
      </c>
      <c r="O193" s="91" t="e">
        <f t="shared" si="16"/>
        <v>#DIV/0!</v>
      </c>
      <c r="P193" s="62">
        <f t="shared" si="17"/>
        <v>0</v>
      </c>
      <c r="T193" s="310" t="str">
        <f>PE_aug!AP193</f>
        <v>Kläranlagen</v>
      </c>
    </row>
    <row r="194" spans="1:20">
      <c r="A194" s="173" t="s">
        <v>248</v>
      </c>
      <c r="G194">
        <v>0.70699999999999996</v>
      </c>
      <c r="H194">
        <v>4.3999999999999997E-2</v>
      </c>
      <c r="I194">
        <v>7.59185</v>
      </c>
      <c r="K194" s="35" t="e">
        <f t="shared" ref="K194:K257" si="18">IF(COUNT(C194:C194)=1,0.33,(COUNT(C194:C194)*(1/(COUNT(C194:C194)+COUNTBLANK(C194:C194)))+(IF(N194&lt;35,1,IF(N194&lt;70,0.5,IF(N194&gt;70,0)))))/2)</f>
        <v>#DIV/0!</v>
      </c>
      <c r="L194" s="312" t="e">
        <f t="shared" ref="L194:L257" si="19">AVERAGE(J194:K194)</f>
        <v>#DIV/0!</v>
      </c>
      <c r="M194" s="310" t="e">
        <f t="shared" ref="M194:M257" si="20">AVERAGE(C194:E194)</f>
        <v>#DIV/0!</v>
      </c>
      <c r="N194" s="310" t="e">
        <f t="shared" ref="N194:N257" si="21">(MAX(C194:C194)-MIN(C194:C194))/M194*100</f>
        <v>#DIV/0!</v>
      </c>
      <c r="O194" s="91" t="e">
        <f t="shared" ref="O194:O257" si="22">AVERAGE(C194:F194)</f>
        <v>#DIV/0!</v>
      </c>
      <c r="P194" s="62">
        <f t="shared" ref="P194:P257" si="23">IFERROR(O194/I194,0)</f>
        <v>0</v>
      </c>
      <c r="T194" s="310" t="str">
        <f>PE_aug!AP194</f>
        <v>Kläranlagen</v>
      </c>
    </row>
    <row r="195" spans="1:20">
      <c r="A195" s="173" t="s">
        <v>249</v>
      </c>
      <c r="G195">
        <v>0.70699999999999996</v>
      </c>
      <c r="H195">
        <v>0.17599999999999999</v>
      </c>
      <c r="I195">
        <v>9.1481399999999997</v>
      </c>
      <c r="K195" s="35" t="e">
        <f t="shared" si="18"/>
        <v>#DIV/0!</v>
      </c>
      <c r="L195" s="312" t="e">
        <f t="shared" si="19"/>
        <v>#DIV/0!</v>
      </c>
      <c r="M195" s="310" t="e">
        <f t="shared" si="20"/>
        <v>#DIV/0!</v>
      </c>
      <c r="N195" s="310" t="e">
        <f t="shared" si="21"/>
        <v>#DIV/0!</v>
      </c>
      <c r="O195" s="91" t="e">
        <f t="shared" si="22"/>
        <v>#DIV/0!</v>
      </c>
      <c r="P195" s="62">
        <f t="shared" si="23"/>
        <v>0</v>
      </c>
      <c r="T195" s="310" t="str">
        <f>PE_aug!AP195</f>
        <v>Kläranlagen</v>
      </c>
    </row>
    <row r="196" spans="1:20">
      <c r="A196" s="173" t="s">
        <v>250</v>
      </c>
      <c r="G196">
        <v>0.70699999999999996</v>
      </c>
      <c r="H196">
        <v>0.17599999999999999</v>
      </c>
      <c r="I196">
        <v>5.17957</v>
      </c>
      <c r="K196" s="35" t="e">
        <f t="shared" si="18"/>
        <v>#DIV/0!</v>
      </c>
      <c r="L196" s="312" t="e">
        <f t="shared" si="19"/>
        <v>#DIV/0!</v>
      </c>
      <c r="M196" s="310" t="e">
        <f t="shared" si="20"/>
        <v>#DIV/0!</v>
      </c>
      <c r="N196" s="310" t="e">
        <f t="shared" si="21"/>
        <v>#DIV/0!</v>
      </c>
      <c r="O196" s="91" t="e">
        <f t="shared" si="22"/>
        <v>#DIV/0!</v>
      </c>
      <c r="P196" s="62">
        <f t="shared" si="23"/>
        <v>0</v>
      </c>
      <c r="T196" s="310" t="str">
        <f>PE_aug!AP196</f>
        <v>Kläranlagen</v>
      </c>
    </row>
    <row r="197" spans="1:20">
      <c r="A197" s="173" t="s">
        <v>251</v>
      </c>
      <c r="G197">
        <v>0.70699999999999996</v>
      </c>
      <c r="H197">
        <v>5.2999999999999999E-2</v>
      </c>
      <c r="I197">
        <v>9.0249299999999995</v>
      </c>
      <c r="J197">
        <v>0.5</v>
      </c>
      <c r="K197" s="35" t="e">
        <f t="shared" si="18"/>
        <v>#DIV/0!</v>
      </c>
      <c r="L197" s="312" t="e">
        <f t="shared" si="19"/>
        <v>#DIV/0!</v>
      </c>
      <c r="M197" s="310" t="e">
        <f t="shared" si="20"/>
        <v>#DIV/0!</v>
      </c>
      <c r="N197" s="310" t="e">
        <f t="shared" si="21"/>
        <v>#DIV/0!</v>
      </c>
      <c r="O197" s="91" t="e">
        <f t="shared" si="22"/>
        <v>#DIV/0!</v>
      </c>
      <c r="P197" s="62">
        <f t="shared" si="23"/>
        <v>0</v>
      </c>
      <c r="T197" s="310" t="str">
        <f>PE_aug!AP197</f>
        <v>Kläranlagen</v>
      </c>
    </row>
    <row r="198" spans="1:20">
      <c r="A198" s="173" t="s">
        <v>252</v>
      </c>
      <c r="G198">
        <v>0.70699999999999996</v>
      </c>
      <c r="H198">
        <v>5.2999999999999999E-2</v>
      </c>
      <c r="I198">
        <v>8.3660199999999989</v>
      </c>
      <c r="J198">
        <v>0.5</v>
      </c>
      <c r="K198" s="35" t="e">
        <f t="shared" si="18"/>
        <v>#DIV/0!</v>
      </c>
      <c r="L198" s="312" t="e">
        <f t="shared" si="19"/>
        <v>#DIV/0!</v>
      </c>
      <c r="M198" s="310" t="e">
        <f t="shared" si="20"/>
        <v>#DIV/0!</v>
      </c>
      <c r="N198" s="310" t="e">
        <f t="shared" si="21"/>
        <v>#DIV/0!</v>
      </c>
      <c r="O198" s="91" t="e">
        <f t="shared" si="22"/>
        <v>#DIV/0!</v>
      </c>
      <c r="P198" s="62">
        <f t="shared" si="23"/>
        <v>0</v>
      </c>
      <c r="T198" s="310" t="str">
        <f>PE_aug!AP198</f>
        <v>Kläranlagen</v>
      </c>
    </row>
    <row r="199" spans="1:20">
      <c r="A199" s="173" t="s">
        <v>253</v>
      </c>
      <c r="G199">
        <v>0.67700000000000005</v>
      </c>
      <c r="H199">
        <v>4.8000000000000001E-2</v>
      </c>
      <c r="I199">
        <v>8.8748400000000007</v>
      </c>
      <c r="J199">
        <v>0.5</v>
      </c>
      <c r="K199" s="35" t="e">
        <f t="shared" si="18"/>
        <v>#DIV/0!</v>
      </c>
      <c r="L199" s="312" t="e">
        <f t="shared" si="19"/>
        <v>#DIV/0!</v>
      </c>
      <c r="M199" s="310" t="e">
        <f t="shared" si="20"/>
        <v>#DIV/0!</v>
      </c>
      <c r="N199" s="310" t="e">
        <f t="shared" si="21"/>
        <v>#DIV/0!</v>
      </c>
      <c r="O199" s="91" t="e">
        <f t="shared" si="22"/>
        <v>#DIV/0!</v>
      </c>
      <c r="P199" s="62">
        <f t="shared" si="23"/>
        <v>0</v>
      </c>
      <c r="T199" s="310" t="str">
        <f>PE_aug!AP199</f>
        <v>Kläranlagen</v>
      </c>
    </row>
    <row r="200" spans="1:20">
      <c r="A200" s="173" t="s">
        <v>254</v>
      </c>
      <c r="G200">
        <v>0.87</v>
      </c>
      <c r="H200">
        <v>4.8000000000000001E-2</v>
      </c>
      <c r="I200">
        <v>10.6442</v>
      </c>
      <c r="J200">
        <v>0.5</v>
      </c>
      <c r="K200" s="35" t="e">
        <f t="shared" si="18"/>
        <v>#DIV/0!</v>
      </c>
      <c r="L200" s="312" t="e">
        <f t="shared" si="19"/>
        <v>#DIV/0!</v>
      </c>
      <c r="M200" s="310" t="e">
        <f t="shared" si="20"/>
        <v>#DIV/0!</v>
      </c>
      <c r="N200" s="310" t="e">
        <f t="shared" si="21"/>
        <v>#DIV/0!</v>
      </c>
      <c r="O200" s="91" t="e">
        <f t="shared" si="22"/>
        <v>#DIV/0!</v>
      </c>
      <c r="P200" s="62">
        <f t="shared" si="23"/>
        <v>0</v>
      </c>
      <c r="T200" s="310" t="str">
        <f>PE_aug!AP200</f>
        <v>Kläranlagen</v>
      </c>
    </row>
    <row r="201" spans="1:20">
      <c r="A201" s="173" t="s">
        <v>255</v>
      </c>
      <c r="G201">
        <v>0.626</v>
      </c>
      <c r="H201">
        <v>4.8000000000000001E-2</v>
      </c>
      <c r="I201">
        <v>8.4144699999999997</v>
      </c>
      <c r="J201">
        <v>0.5</v>
      </c>
      <c r="K201" s="35" t="e">
        <f t="shared" si="18"/>
        <v>#DIV/0!</v>
      </c>
      <c r="L201" s="312" t="e">
        <f t="shared" si="19"/>
        <v>#DIV/0!</v>
      </c>
      <c r="M201" s="310" t="e">
        <f t="shared" si="20"/>
        <v>#DIV/0!</v>
      </c>
      <c r="N201" s="310" t="e">
        <f t="shared" si="21"/>
        <v>#DIV/0!</v>
      </c>
      <c r="O201" s="91" t="e">
        <f t="shared" si="22"/>
        <v>#DIV/0!</v>
      </c>
      <c r="P201" s="62">
        <f t="shared" si="23"/>
        <v>0</v>
      </c>
      <c r="T201" s="310" t="str">
        <f>PE_aug!AP201</f>
        <v>Kläranlagen</v>
      </c>
    </row>
    <row r="202" spans="1:20">
      <c r="A202" s="170" t="s">
        <v>256</v>
      </c>
      <c r="G202">
        <v>0.70699999999999996</v>
      </c>
      <c r="H202">
        <v>0.113</v>
      </c>
      <c r="I202">
        <v>4.5994950000000001</v>
      </c>
      <c r="K202" s="35" t="e">
        <f t="shared" si="18"/>
        <v>#DIV/0!</v>
      </c>
      <c r="L202" s="312" t="e">
        <f t="shared" si="19"/>
        <v>#DIV/0!</v>
      </c>
      <c r="M202" s="310" t="e">
        <f t="shared" si="20"/>
        <v>#DIV/0!</v>
      </c>
      <c r="N202" s="310" t="e">
        <f t="shared" si="21"/>
        <v>#DIV/0!</v>
      </c>
      <c r="O202" s="91" t="e">
        <f t="shared" si="22"/>
        <v>#DIV/0!</v>
      </c>
      <c r="P202" s="62">
        <f t="shared" si="23"/>
        <v>0</v>
      </c>
      <c r="T202" s="310" t="str">
        <f>PE_aug!AP202</f>
        <v>KWS</v>
      </c>
    </row>
    <row r="203" spans="1:20">
      <c r="A203" s="170" t="s">
        <v>257</v>
      </c>
      <c r="G203">
        <v>0.70699999999999996</v>
      </c>
      <c r="H203">
        <v>0.113</v>
      </c>
      <c r="I203">
        <v>6.10121</v>
      </c>
      <c r="K203" s="35" t="e">
        <f t="shared" si="18"/>
        <v>#DIV/0!</v>
      </c>
      <c r="L203" s="312" t="e">
        <f t="shared" si="19"/>
        <v>#DIV/0!</v>
      </c>
      <c r="M203" s="310" t="e">
        <f t="shared" si="20"/>
        <v>#DIV/0!</v>
      </c>
      <c r="N203" s="310" t="e">
        <f t="shared" si="21"/>
        <v>#DIV/0!</v>
      </c>
      <c r="O203" s="91" t="e">
        <f t="shared" si="22"/>
        <v>#DIV/0!</v>
      </c>
      <c r="P203" s="62">
        <f t="shared" si="23"/>
        <v>0</v>
      </c>
      <c r="T203" s="310" t="str">
        <f>PE_aug!AP203</f>
        <v>KWS</v>
      </c>
    </row>
    <row r="204" spans="1:20">
      <c r="A204" s="170" t="s">
        <v>258</v>
      </c>
      <c r="G204">
        <v>0.70699999999999996</v>
      </c>
      <c r="H204">
        <v>9.7000000000000003E-2</v>
      </c>
      <c r="I204">
        <v>4.843</v>
      </c>
      <c r="K204" s="35" t="e">
        <f t="shared" si="18"/>
        <v>#DIV/0!</v>
      </c>
      <c r="L204" s="312" t="e">
        <f t="shared" si="19"/>
        <v>#DIV/0!</v>
      </c>
      <c r="M204" s="310" t="e">
        <f t="shared" si="20"/>
        <v>#DIV/0!</v>
      </c>
      <c r="N204" s="310" t="e">
        <f t="shared" si="21"/>
        <v>#DIV/0!</v>
      </c>
      <c r="O204" s="91" t="e">
        <f t="shared" si="22"/>
        <v>#DIV/0!</v>
      </c>
      <c r="P204" s="62">
        <f t="shared" si="23"/>
        <v>0</v>
      </c>
      <c r="T204" s="310" t="str">
        <f>PE_aug!AP204</f>
        <v>KWS</v>
      </c>
    </row>
    <row r="205" spans="1:20">
      <c r="A205" s="170" t="s">
        <v>259</v>
      </c>
      <c r="G205">
        <v>0.70699999999999996</v>
      </c>
      <c r="H205">
        <v>9.7000000000000003E-2</v>
      </c>
      <c r="I205">
        <v>6.6468399999999992</v>
      </c>
      <c r="K205" s="35" t="e">
        <f t="shared" si="18"/>
        <v>#DIV/0!</v>
      </c>
      <c r="L205" s="312" t="e">
        <f t="shared" si="19"/>
        <v>#DIV/0!</v>
      </c>
      <c r="M205" s="310" t="e">
        <f t="shared" si="20"/>
        <v>#DIV/0!</v>
      </c>
      <c r="N205" s="310" t="e">
        <f t="shared" si="21"/>
        <v>#DIV/0!</v>
      </c>
      <c r="O205" s="91" t="e">
        <f t="shared" si="22"/>
        <v>#DIV/0!</v>
      </c>
      <c r="P205" s="62">
        <f t="shared" si="23"/>
        <v>0</v>
      </c>
      <c r="T205" s="310" t="str">
        <f>PE_aug!AP205</f>
        <v>KWS</v>
      </c>
    </row>
    <row r="206" spans="1:20">
      <c r="A206" s="170" t="s">
        <v>260</v>
      </c>
      <c r="I206">
        <v>-84.199200000000005</v>
      </c>
      <c r="K206" s="35" t="e">
        <f t="shared" si="18"/>
        <v>#DIV/0!</v>
      </c>
      <c r="L206" s="312" t="e">
        <f t="shared" si="19"/>
        <v>#DIV/0!</v>
      </c>
      <c r="M206" s="310" t="e">
        <f t="shared" si="20"/>
        <v>#DIV/0!</v>
      </c>
      <c r="N206" s="310" t="e">
        <f t="shared" si="21"/>
        <v>#DIV/0!</v>
      </c>
      <c r="O206" s="91" t="e">
        <f t="shared" si="22"/>
        <v>#DIV/0!</v>
      </c>
      <c r="P206" s="62">
        <f t="shared" si="23"/>
        <v>0</v>
      </c>
      <c r="T206" s="310" t="str">
        <f>PE_aug!AP206</f>
        <v>Methode</v>
      </c>
    </row>
    <row r="207" spans="1:20">
      <c r="A207" s="170" t="s">
        <v>261</v>
      </c>
      <c r="I207">
        <v>5.4117899999999999</v>
      </c>
      <c r="K207" s="35" t="e">
        <f t="shared" si="18"/>
        <v>#DIV/0!</v>
      </c>
      <c r="L207" s="312" t="e">
        <f t="shared" si="19"/>
        <v>#DIV/0!</v>
      </c>
      <c r="M207" s="310" t="e">
        <f t="shared" si="20"/>
        <v>#DIV/0!</v>
      </c>
      <c r="N207" s="310" t="e">
        <f t="shared" si="21"/>
        <v>#DIV/0!</v>
      </c>
      <c r="O207" s="91" t="e">
        <f t="shared" si="22"/>
        <v>#DIV/0!</v>
      </c>
      <c r="P207" s="62">
        <f t="shared" si="23"/>
        <v>0</v>
      </c>
      <c r="T207" s="310" t="str">
        <f>PE_aug!AP207</f>
        <v>KWS, Methode</v>
      </c>
    </row>
    <row r="208" spans="1:20">
      <c r="A208" s="170" t="s">
        <v>262</v>
      </c>
      <c r="I208">
        <v>5.4577400000000003</v>
      </c>
      <c r="K208" s="35" t="e">
        <f t="shared" si="18"/>
        <v>#DIV/0!</v>
      </c>
      <c r="L208" s="312" t="e">
        <f t="shared" si="19"/>
        <v>#DIV/0!</v>
      </c>
      <c r="M208" s="310" t="e">
        <f t="shared" si="20"/>
        <v>#DIV/0!</v>
      </c>
      <c r="N208" s="310" t="e">
        <f t="shared" si="21"/>
        <v>#DIV/0!</v>
      </c>
      <c r="O208" s="91" t="e">
        <f t="shared" si="22"/>
        <v>#DIV/0!</v>
      </c>
      <c r="P208" s="62">
        <f t="shared" si="23"/>
        <v>0</v>
      </c>
      <c r="T208" s="310" t="str">
        <f>PE_aug!AP208</f>
        <v>KWS, Methode</v>
      </c>
    </row>
    <row r="209" spans="1:20">
      <c r="A209" s="170" t="s">
        <v>263</v>
      </c>
      <c r="K209" s="35" t="e">
        <f t="shared" si="18"/>
        <v>#DIV/0!</v>
      </c>
      <c r="L209" s="312" t="e">
        <f t="shared" si="19"/>
        <v>#DIV/0!</v>
      </c>
      <c r="M209" s="310" t="e">
        <f t="shared" si="20"/>
        <v>#DIV/0!</v>
      </c>
      <c r="N209" s="310" t="e">
        <f t="shared" si="21"/>
        <v>#DIV/0!</v>
      </c>
      <c r="O209" s="91" t="e">
        <f t="shared" si="22"/>
        <v>#DIV/0!</v>
      </c>
      <c r="P209" s="62">
        <f t="shared" si="23"/>
        <v>0</v>
      </c>
      <c r="T209" s="310" t="str">
        <f>PE_aug!AP209</f>
        <v>KWS, Methode</v>
      </c>
    </row>
    <row r="210" spans="1:20">
      <c r="A210" s="170" t="s">
        <v>264</v>
      </c>
      <c r="G210">
        <v>0.70699999999999996</v>
      </c>
      <c r="H210">
        <v>0.10199999999999999</v>
      </c>
      <c r="I210">
        <v>10.235150000000001</v>
      </c>
      <c r="K210" s="35" t="e">
        <f t="shared" si="18"/>
        <v>#DIV/0!</v>
      </c>
      <c r="L210" s="312" t="e">
        <f t="shared" si="19"/>
        <v>#DIV/0!</v>
      </c>
      <c r="M210" s="310" t="e">
        <f t="shared" si="20"/>
        <v>#DIV/0!</v>
      </c>
      <c r="N210" s="310" t="e">
        <f t="shared" si="21"/>
        <v>#DIV/0!</v>
      </c>
      <c r="O210" s="91" t="e">
        <f t="shared" si="22"/>
        <v>#DIV/0!</v>
      </c>
      <c r="P210" s="62">
        <f t="shared" si="23"/>
        <v>0</v>
      </c>
      <c r="T210" s="310" t="str">
        <f>PE_aug!AP210</f>
        <v>Kläranlagen</v>
      </c>
    </row>
    <row r="211" spans="1:20">
      <c r="A211" s="170" t="s">
        <v>265</v>
      </c>
      <c r="G211">
        <v>0.70699999999999996</v>
      </c>
      <c r="H211">
        <v>0.10199999999999999</v>
      </c>
      <c r="I211">
        <v>8.9477550000000008</v>
      </c>
      <c r="K211" s="35" t="e">
        <f t="shared" si="18"/>
        <v>#DIV/0!</v>
      </c>
      <c r="L211" s="312" t="e">
        <f t="shared" si="19"/>
        <v>#DIV/0!</v>
      </c>
      <c r="M211" s="310" t="e">
        <f t="shared" si="20"/>
        <v>#DIV/0!</v>
      </c>
      <c r="N211" s="310" t="e">
        <f t="shared" si="21"/>
        <v>#DIV/0!</v>
      </c>
      <c r="O211" s="91" t="e">
        <f t="shared" si="22"/>
        <v>#DIV/0!</v>
      </c>
      <c r="P211" s="62">
        <f t="shared" si="23"/>
        <v>0</v>
      </c>
      <c r="T211" s="310" t="str">
        <f>PE_aug!AP211</f>
        <v>Kläranlagen</v>
      </c>
    </row>
    <row r="212" spans="1:20">
      <c r="A212" s="170" t="s">
        <v>266</v>
      </c>
      <c r="G212">
        <v>0.70699999999999996</v>
      </c>
      <c r="H212">
        <v>0.96399999999999997</v>
      </c>
      <c r="I212">
        <v>10.384600000000001</v>
      </c>
      <c r="K212" s="35" t="e">
        <f t="shared" si="18"/>
        <v>#DIV/0!</v>
      </c>
      <c r="L212" s="312" t="e">
        <f t="shared" si="19"/>
        <v>#DIV/0!</v>
      </c>
      <c r="M212" s="310" t="e">
        <f t="shared" si="20"/>
        <v>#DIV/0!</v>
      </c>
      <c r="N212" s="310" t="e">
        <f t="shared" si="21"/>
        <v>#DIV/0!</v>
      </c>
      <c r="O212" s="91" t="e">
        <f t="shared" si="22"/>
        <v>#DIV/0!</v>
      </c>
      <c r="P212" s="62">
        <f t="shared" si="23"/>
        <v>0</v>
      </c>
      <c r="T212" s="310" t="str">
        <f>PE_aug!AP212</f>
        <v>Kläranlagen</v>
      </c>
    </row>
    <row r="213" spans="1:20">
      <c r="A213" s="170" t="s">
        <v>267</v>
      </c>
      <c r="G213">
        <v>0.70699999999999996</v>
      </c>
      <c r="H213">
        <v>0.96399999999999997</v>
      </c>
      <c r="I213">
        <v>9.8753700000000002</v>
      </c>
      <c r="K213" s="35" t="e">
        <f t="shared" si="18"/>
        <v>#DIV/0!</v>
      </c>
      <c r="L213" s="312" t="e">
        <f t="shared" si="19"/>
        <v>#DIV/0!</v>
      </c>
      <c r="M213" s="310" t="e">
        <f t="shared" si="20"/>
        <v>#DIV/0!</v>
      </c>
      <c r="N213" s="310" t="e">
        <f t="shared" si="21"/>
        <v>#DIV/0!</v>
      </c>
      <c r="O213" s="91" t="e">
        <f t="shared" si="22"/>
        <v>#DIV/0!</v>
      </c>
      <c r="P213" s="62">
        <f t="shared" si="23"/>
        <v>0</v>
      </c>
      <c r="T213" s="310" t="str">
        <f>PE_aug!AP213</f>
        <v>Kläranlagen</v>
      </c>
    </row>
    <row r="214" spans="1:20">
      <c r="A214" s="170" t="s">
        <v>268</v>
      </c>
      <c r="I214">
        <v>6.4336500000000001</v>
      </c>
      <c r="K214" s="35" t="e">
        <f t="shared" si="18"/>
        <v>#DIV/0!</v>
      </c>
      <c r="L214" s="312" t="e">
        <f t="shared" si="19"/>
        <v>#DIV/0!</v>
      </c>
      <c r="M214" s="310" t="e">
        <f t="shared" si="20"/>
        <v>#DIV/0!</v>
      </c>
      <c r="N214" s="310" t="e">
        <f t="shared" si="21"/>
        <v>#DIV/0!</v>
      </c>
      <c r="O214" s="91" t="e">
        <f t="shared" si="22"/>
        <v>#DIV/0!</v>
      </c>
      <c r="P214" s="62">
        <f t="shared" si="23"/>
        <v>0</v>
      </c>
      <c r="T214" s="310" t="str">
        <f>PE_aug!AP214</f>
        <v>Kläranlagen, Methode</v>
      </c>
    </row>
    <row r="215" spans="1:20">
      <c r="A215" s="170" t="s">
        <v>270</v>
      </c>
      <c r="C215">
        <v>345.96</v>
      </c>
      <c r="E215">
        <v>174.14</v>
      </c>
      <c r="F215" s="307">
        <v>359.83</v>
      </c>
      <c r="I215">
        <v>0.232761</v>
      </c>
      <c r="J215">
        <v>0.72</v>
      </c>
      <c r="K215" s="35">
        <f t="shared" si="18"/>
        <v>0.33</v>
      </c>
      <c r="L215" s="312">
        <f t="shared" si="19"/>
        <v>0.52500000000000002</v>
      </c>
      <c r="M215" s="310">
        <f t="shared" si="20"/>
        <v>260.04999999999995</v>
      </c>
      <c r="N215" s="310">
        <f t="shared" si="21"/>
        <v>0</v>
      </c>
      <c r="O215" s="91">
        <f t="shared" si="22"/>
        <v>293.30999999999995</v>
      </c>
      <c r="P215" s="62">
        <f t="shared" si="23"/>
        <v>1260.1337852990835</v>
      </c>
      <c r="R215" s="168">
        <v>0.14549999999999999</v>
      </c>
      <c r="S215" s="203">
        <f>100*O215/(1000*R215)</f>
        <v>201.58762886597933</v>
      </c>
      <c r="T215" s="310" t="str">
        <f>PE_aug!AP215</f>
        <v>Methode</v>
      </c>
    </row>
    <row r="216" spans="1:20">
      <c r="A216" s="170" t="s">
        <v>271</v>
      </c>
      <c r="J216">
        <v>0</v>
      </c>
      <c r="K216" s="35" t="e">
        <f t="shared" si="18"/>
        <v>#DIV/0!</v>
      </c>
      <c r="L216" s="312" t="e">
        <f t="shared" si="19"/>
        <v>#DIV/0!</v>
      </c>
      <c r="M216" s="310" t="e">
        <f t="shared" si="20"/>
        <v>#DIV/0!</v>
      </c>
      <c r="N216" s="310" t="e">
        <f t="shared" si="21"/>
        <v>#DIV/0!</v>
      </c>
      <c r="O216" s="91" t="e">
        <f t="shared" si="22"/>
        <v>#DIV/0!</v>
      </c>
      <c r="P216" s="62">
        <f t="shared" si="23"/>
        <v>0</v>
      </c>
      <c r="T216" s="310" t="str">
        <f>PE_aug!AP216</f>
        <v>Methode</v>
      </c>
    </row>
    <row r="217" spans="1:20">
      <c r="A217" s="170" t="s">
        <v>272</v>
      </c>
      <c r="E217">
        <v>195.02</v>
      </c>
      <c r="F217" s="307">
        <v>61.35</v>
      </c>
      <c r="I217">
        <v>0.18177399999999999</v>
      </c>
      <c r="J217">
        <v>0.35</v>
      </c>
      <c r="K217" s="35">
        <f t="shared" si="18"/>
        <v>0.5</v>
      </c>
      <c r="L217" s="312">
        <f t="shared" si="19"/>
        <v>0.42499999999999999</v>
      </c>
      <c r="M217" s="310">
        <f t="shared" si="20"/>
        <v>195.02</v>
      </c>
      <c r="N217" s="310">
        <f t="shared" si="21"/>
        <v>0</v>
      </c>
      <c r="O217" s="91">
        <f t="shared" si="22"/>
        <v>128.185</v>
      </c>
      <c r="P217" s="62">
        <f t="shared" si="23"/>
        <v>705.1888608931971</v>
      </c>
      <c r="R217" s="168"/>
      <c r="S217" s="203"/>
      <c r="T217" s="310" t="str">
        <f>PE_aug!AP217</f>
        <v>Methode</v>
      </c>
    </row>
    <row r="218" spans="1:20">
      <c r="A218" s="219" t="s">
        <v>273</v>
      </c>
      <c r="B218">
        <v>186.6</v>
      </c>
      <c r="C218">
        <v>308.12</v>
      </c>
      <c r="D218">
        <v>196.98</v>
      </c>
      <c r="E218">
        <v>165.41</v>
      </c>
      <c r="F218" s="307">
        <v>204.56</v>
      </c>
      <c r="J218">
        <v>0.96</v>
      </c>
      <c r="K218" s="35">
        <f t="shared" si="18"/>
        <v>0.33</v>
      </c>
      <c r="L218" s="312">
        <f t="shared" si="19"/>
        <v>0.64500000000000002</v>
      </c>
      <c r="M218" s="310">
        <f t="shared" si="20"/>
        <v>223.50333333333333</v>
      </c>
      <c r="N218" s="310">
        <f t="shared" si="21"/>
        <v>0</v>
      </c>
      <c r="O218" s="91">
        <f t="shared" si="22"/>
        <v>218.76749999999998</v>
      </c>
      <c r="P218" s="62">
        <f t="shared" si="23"/>
        <v>0</v>
      </c>
      <c r="T218" s="310">
        <f>PE_aug!AP218</f>
        <v>0</v>
      </c>
    </row>
    <row r="219" spans="1:20">
      <c r="A219" s="219" t="s">
        <v>274</v>
      </c>
      <c r="C219">
        <v>73.849999999999994</v>
      </c>
      <c r="D219">
        <v>88.8</v>
      </c>
      <c r="E219">
        <v>62.31</v>
      </c>
      <c r="F219" s="307">
        <v>115.04</v>
      </c>
      <c r="J219">
        <v>0.96</v>
      </c>
      <c r="K219" s="35">
        <f t="shared" si="18"/>
        <v>0.33</v>
      </c>
      <c r="L219" s="312">
        <f t="shared" si="19"/>
        <v>0.64500000000000002</v>
      </c>
      <c r="M219" s="310">
        <f t="shared" si="20"/>
        <v>74.986666666666665</v>
      </c>
      <c r="N219" s="310">
        <f t="shared" si="21"/>
        <v>0</v>
      </c>
      <c r="O219" s="91">
        <f t="shared" si="22"/>
        <v>85</v>
      </c>
      <c r="P219" s="62">
        <f t="shared" si="23"/>
        <v>0</v>
      </c>
      <c r="T219" s="310">
        <f>PE_aug!AP219</f>
        <v>0</v>
      </c>
    </row>
    <row r="220" spans="1:20">
      <c r="A220" s="219" t="s">
        <v>275</v>
      </c>
      <c r="G220">
        <v>0.747</v>
      </c>
      <c r="H220">
        <v>0.02</v>
      </c>
      <c r="I220">
        <v>9.4741699999999991</v>
      </c>
      <c r="K220" s="35" t="e">
        <f t="shared" si="18"/>
        <v>#DIV/0!</v>
      </c>
      <c r="L220" s="312" t="e">
        <f t="shared" si="19"/>
        <v>#DIV/0!</v>
      </c>
      <c r="M220" s="310" t="e">
        <f t="shared" si="20"/>
        <v>#DIV/0!</v>
      </c>
      <c r="N220" s="310" t="e">
        <f t="shared" si="21"/>
        <v>#DIV/0!</v>
      </c>
      <c r="O220" s="91" t="e">
        <f t="shared" si="22"/>
        <v>#DIV/0!</v>
      </c>
      <c r="P220" s="62">
        <f t="shared" si="23"/>
        <v>0</v>
      </c>
      <c r="T220" s="310" t="str">
        <f>PE_aug!AP220</f>
        <v>Kläranlagen</v>
      </c>
    </row>
    <row r="221" spans="1:20">
      <c r="A221" s="219" t="s">
        <v>276</v>
      </c>
      <c r="G221">
        <v>0.64</v>
      </c>
      <c r="H221">
        <v>0.02</v>
      </c>
      <c r="I221">
        <v>8.9339700000000004</v>
      </c>
      <c r="K221" s="35" t="e">
        <f t="shared" si="18"/>
        <v>#DIV/0!</v>
      </c>
      <c r="L221" s="312" t="e">
        <f t="shared" si="19"/>
        <v>#DIV/0!</v>
      </c>
      <c r="M221" s="310" t="e">
        <f t="shared" si="20"/>
        <v>#DIV/0!</v>
      </c>
      <c r="N221" s="310" t="e">
        <f t="shared" si="21"/>
        <v>#DIV/0!</v>
      </c>
      <c r="O221" s="91" t="e">
        <f t="shared" si="22"/>
        <v>#DIV/0!</v>
      </c>
      <c r="P221" s="62">
        <f t="shared" si="23"/>
        <v>0</v>
      </c>
      <c r="T221" s="310" t="str">
        <f>PE_aug!AP221</f>
        <v>Kläranlagen</v>
      </c>
    </row>
    <row r="222" spans="1:20">
      <c r="A222" s="219" t="s">
        <v>277</v>
      </c>
      <c r="G222">
        <v>0.82199999999999995</v>
      </c>
      <c r="H222">
        <v>0.02</v>
      </c>
      <c r="I222">
        <v>10.4704</v>
      </c>
      <c r="K222" s="35" t="e">
        <f t="shared" si="18"/>
        <v>#DIV/0!</v>
      </c>
      <c r="L222" s="312" t="e">
        <f t="shared" si="19"/>
        <v>#DIV/0!</v>
      </c>
      <c r="M222" s="310" t="e">
        <f t="shared" si="20"/>
        <v>#DIV/0!</v>
      </c>
      <c r="N222" s="310" t="e">
        <f t="shared" si="21"/>
        <v>#DIV/0!</v>
      </c>
      <c r="O222" s="91" t="e">
        <f t="shared" si="22"/>
        <v>#DIV/0!</v>
      </c>
      <c r="P222" s="62">
        <f t="shared" si="23"/>
        <v>0</v>
      </c>
      <c r="T222" s="310" t="str">
        <f>PE_aug!AP222</f>
        <v>Kläranlagen</v>
      </c>
    </row>
    <row r="223" spans="1:20">
      <c r="A223" s="219" t="s">
        <v>278</v>
      </c>
      <c r="G223">
        <v>0.83099999999999996</v>
      </c>
      <c r="H223">
        <v>0.13600000000000001</v>
      </c>
      <c r="I223">
        <v>8.854280000000001</v>
      </c>
      <c r="K223" s="35" t="e">
        <f t="shared" si="18"/>
        <v>#DIV/0!</v>
      </c>
      <c r="L223" s="312" t="e">
        <f t="shared" si="19"/>
        <v>#DIV/0!</v>
      </c>
      <c r="M223" s="310" t="e">
        <f t="shared" si="20"/>
        <v>#DIV/0!</v>
      </c>
      <c r="N223" s="310" t="e">
        <f t="shared" si="21"/>
        <v>#DIV/0!</v>
      </c>
      <c r="O223" s="91" t="e">
        <f t="shared" si="22"/>
        <v>#DIV/0!</v>
      </c>
      <c r="P223" s="62">
        <f t="shared" si="23"/>
        <v>0</v>
      </c>
      <c r="T223" s="310" t="str">
        <f>PE_aug!AP223</f>
        <v>Kläranlagen</v>
      </c>
    </row>
    <row r="224" spans="1:20">
      <c r="A224" s="219" t="s">
        <v>279</v>
      </c>
      <c r="G224">
        <v>0.29799999999999999</v>
      </c>
      <c r="H224">
        <v>0.13600000000000001</v>
      </c>
      <c r="I224">
        <v>8.9194449999999996</v>
      </c>
      <c r="K224" s="35" t="e">
        <f t="shared" si="18"/>
        <v>#DIV/0!</v>
      </c>
      <c r="L224" s="312" t="e">
        <f t="shared" si="19"/>
        <v>#DIV/0!</v>
      </c>
      <c r="M224" s="310" t="e">
        <f t="shared" si="20"/>
        <v>#DIV/0!</v>
      </c>
      <c r="N224" s="310" t="e">
        <f t="shared" si="21"/>
        <v>#DIV/0!</v>
      </c>
      <c r="O224" s="91" t="e">
        <f t="shared" si="22"/>
        <v>#DIV/0!</v>
      </c>
      <c r="P224" s="62">
        <f t="shared" si="23"/>
        <v>0</v>
      </c>
      <c r="T224" s="310" t="str">
        <f>PE_aug!AP224</f>
        <v>Kläranlagen</v>
      </c>
    </row>
    <row r="225" spans="1:20">
      <c r="A225" s="219" t="s">
        <v>280</v>
      </c>
      <c r="G225">
        <v>1.038</v>
      </c>
      <c r="H225">
        <v>0.13600000000000001</v>
      </c>
      <c r="I225">
        <v>9.8315149999999996</v>
      </c>
      <c r="K225" s="35" t="e">
        <f t="shared" si="18"/>
        <v>#DIV/0!</v>
      </c>
      <c r="L225" s="312" t="e">
        <f t="shared" si="19"/>
        <v>#DIV/0!</v>
      </c>
      <c r="M225" s="310" t="e">
        <f t="shared" si="20"/>
        <v>#DIV/0!</v>
      </c>
      <c r="N225" s="310" t="e">
        <f t="shared" si="21"/>
        <v>#DIV/0!</v>
      </c>
      <c r="O225" s="91" t="e">
        <f t="shared" si="22"/>
        <v>#DIV/0!</v>
      </c>
      <c r="P225" s="62">
        <f t="shared" si="23"/>
        <v>0</v>
      </c>
      <c r="T225" s="310" t="str">
        <f>PE_aug!AP225</f>
        <v>Kläranlagen</v>
      </c>
    </row>
    <row r="226" spans="1:20">
      <c r="A226" s="219" t="s">
        <v>281</v>
      </c>
      <c r="G226">
        <v>0.92</v>
      </c>
      <c r="H226">
        <v>0.113</v>
      </c>
      <c r="I226">
        <v>8.5098400000000005</v>
      </c>
      <c r="K226" s="35" t="e">
        <f t="shared" si="18"/>
        <v>#DIV/0!</v>
      </c>
      <c r="L226" s="312" t="e">
        <f t="shared" si="19"/>
        <v>#DIV/0!</v>
      </c>
      <c r="M226" s="310" t="e">
        <f t="shared" si="20"/>
        <v>#DIV/0!</v>
      </c>
      <c r="N226" s="310" t="e">
        <f t="shared" si="21"/>
        <v>#DIV/0!</v>
      </c>
      <c r="O226" s="91" t="e">
        <f t="shared" si="22"/>
        <v>#DIV/0!</v>
      </c>
      <c r="P226" s="62">
        <f t="shared" si="23"/>
        <v>0</v>
      </c>
      <c r="T226" s="310" t="str">
        <f>PE_aug!AP226</f>
        <v>Kläranlagen</v>
      </c>
    </row>
    <row r="227" spans="1:20">
      <c r="A227" s="219" t="s">
        <v>282</v>
      </c>
      <c r="G227">
        <v>0.78100000000000003</v>
      </c>
      <c r="H227">
        <v>0.113</v>
      </c>
      <c r="I227">
        <v>8.9350749999999994</v>
      </c>
      <c r="K227" s="35" t="e">
        <f t="shared" si="18"/>
        <v>#DIV/0!</v>
      </c>
      <c r="L227" s="312" t="e">
        <f t="shared" si="19"/>
        <v>#DIV/0!</v>
      </c>
      <c r="M227" s="310" t="e">
        <f t="shared" si="20"/>
        <v>#DIV/0!</v>
      </c>
      <c r="N227" s="310" t="e">
        <f t="shared" si="21"/>
        <v>#DIV/0!</v>
      </c>
      <c r="O227" s="91" t="e">
        <f t="shared" si="22"/>
        <v>#DIV/0!</v>
      </c>
      <c r="P227" s="62">
        <f t="shared" si="23"/>
        <v>0</v>
      </c>
      <c r="T227" s="310" t="str">
        <f>PE_aug!AP227</f>
        <v>Kläranlagen</v>
      </c>
    </row>
    <row r="228" spans="1:20">
      <c r="A228" s="219" t="s">
        <v>283</v>
      </c>
      <c r="G228">
        <v>0.502</v>
      </c>
      <c r="H228">
        <v>0.113</v>
      </c>
      <c r="I228">
        <v>8.0010499999999993</v>
      </c>
      <c r="K228" s="35" t="e">
        <f t="shared" si="18"/>
        <v>#DIV/0!</v>
      </c>
      <c r="L228" s="312" t="e">
        <f t="shared" si="19"/>
        <v>#DIV/0!</v>
      </c>
      <c r="M228" s="310" t="e">
        <f t="shared" si="20"/>
        <v>#DIV/0!</v>
      </c>
      <c r="N228" s="310" t="e">
        <f t="shared" si="21"/>
        <v>#DIV/0!</v>
      </c>
      <c r="O228" s="91" t="e">
        <f t="shared" si="22"/>
        <v>#DIV/0!</v>
      </c>
      <c r="P228" s="62">
        <f t="shared" si="23"/>
        <v>0</v>
      </c>
      <c r="T228" s="310" t="str">
        <f>PE_aug!AP228</f>
        <v>Kläranlagen</v>
      </c>
    </row>
    <row r="229" spans="1:20">
      <c r="A229" s="219" t="s">
        <v>284</v>
      </c>
      <c r="G229">
        <v>0.70699999999999996</v>
      </c>
      <c r="H229">
        <v>3.2000000000000001E-2</v>
      </c>
      <c r="I229">
        <v>9.4548300000000012</v>
      </c>
      <c r="K229" s="35" t="e">
        <f t="shared" si="18"/>
        <v>#DIV/0!</v>
      </c>
      <c r="L229" s="312" t="e">
        <f t="shared" si="19"/>
        <v>#DIV/0!</v>
      </c>
      <c r="M229" s="310" t="e">
        <f t="shared" si="20"/>
        <v>#DIV/0!</v>
      </c>
      <c r="N229" s="310" t="e">
        <f t="shared" si="21"/>
        <v>#DIV/0!</v>
      </c>
      <c r="O229" s="91" t="e">
        <f t="shared" si="22"/>
        <v>#DIV/0!</v>
      </c>
      <c r="P229" s="62">
        <f t="shared" si="23"/>
        <v>0</v>
      </c>
      <c r="T229" s="310" t="str">
        <f>PE_aug!AP229</f>
        <v>Kläranlagen</v>
      </c>
    </row>
    <row r="230" spans="1:20">
      <c r="A230" s="219" t="s">
        <v>285</v>
      </c>
      <c r="G230">
        <v>0.70699999999999996</v>
      </c>
      <c r="H230">
        <v>3.2000000000000001E-2</v>
      </c>
      <c r="I230">
        <v>9.7220899999999997</v>
      </c>
      <c r="J230">
        <v>0.81</v>
      </c>
      <c r="K230" s="35" t="e">
        <f t="shared" si="18"/>
        <v>#DIV/0!</v>
      </c>
      <c r="L230" s="312" t="e">
        <f t="shared" si="19"/>
        <v>#DIV/0!</v>
      </c>
      <c r="M230" s="310" t="e">
        <f t="shared" si="20"/>
        <v>#DIV/0!</v>
      </c>
      <c r="N230" s="310" t="e">
        <f t="shared" si="21"/>
        <v>#DIV/0!</v>
      </c>
      <c r="O230" s="91" t="e">
        <f t="shared" si="22"/>
        <v>#DIV/0!</v>
      </c>
      <c r="P230" s="62">
        <f t="shared" si="23"/>
        <v>0</v>
      </c>
      <c r="T230" s="310" t="str">
        <f>PE_aug!AP230</f>
        <v>Kläranlagen</v>
      </c>
    </row>
    <row r="231" spans="1:20">
      <c r="A231" s="219" t="s">
        <v>286</v>
      </c>
      <c r="G231">
        <v>1.1419999999999999</v>
      </c>
      <c r="H231">
        <v>5.5E-2</v>
      </c>
      <c r="I231">
        <v>6.5427799999999996</v>
      </c>
      <c r="K231" s="35" t="e">
        <f t="shared" si="18"/>
        <v>#DIV/0!</v>
      </c>
      <c r="L231" s="312" t="e">
        <f t="shared" si="19"/>
        <v>#DIV/0!</v>
      </c>
      <c r="M231" s="310" t="e">
        <f t="shared" si="20"/>
        <v>#DIV/0!</v>
      </c>
      <c r="N231" s="310" t="e">
        <f t="shared" si="21"/>
        <v>#DIV/0!</v>
      </c>
      <c r="O231" s="91" t="e">
        <f t="shared" si="22"/>
        <v>#DIV/0!</v>
      </c>
      <c r="P231" s="62">
        <f t="shared" si="23"/>
        <v>0</v>
      </c>
      <c r="T231" s="310" t="str">
        <f>PE_aug!AP231</f>
        <v>Kläranlagen</v>
      </c>
    </row>
    <row r="232" spans="1:20">
      <c r="A232" s="219" t="s">
        <v>287</v>
      </c>
      <c r="G232">
        <v>0.49399999999999999</v>
      </c>
      <c r="H232">
        <v>5.5E-2</v>
      </c>
      <c r="I232">
        <v>9.3765300000000007</v>
      </c>
      <c r="K232" s="35" t="e">
        <f t="shared" si="18"/>
        <v>#DIV/0!</v>
      </c>
      <c r="L232" s="312" t="e">
        <f t="shared" si="19"/>
        <v>#DIV/0!</v>
      </c>
      <c r="M232" s="310" t="e">
        <f t="shared" si="20"/>
        <v>#DIV/0!</v>
      </c>
      <c r="N232" s="310" t="e">
        <f t="shared" si="21"/>
        <v>#DIV/0!</v>
      </c>
      <c r="O232" s="91" t="e">
        <f t="shared" si="22"/>
        <v>#DIV/0!</v>
      </c>
      <c r="P232" s="62">
        <f t="shared" si="23"/>
        <v>0</v>
      </c>
      <c r="T232" s="310" t="str">
        <f>PE_aug!AP232</f>
        <v>Kläranlagen</v>
      </c>
    </row>
    <row r="233" spans="1:20">
      <c r="A233" s="219" t="s">
        <v>288</v>
      </c>
      <c r="G233">
        <v>0.65</v>
      </c>
      <c r="H233">
        <v>5.5E-2</v>
      </c>
      <c r="I233">
        <v>9.4145599999999998</v>
      </c>
      <c r="K233" s="35" t="e">
        <f t="shared" si="18"/>
        <v>#DIV/0!</v>
      </c>
      <c r="L233" s="312" t="e">
        <f t="shared" si="19"/>
        <v>#DIV/0!</v>
      </c>
      <c r="M233" s="310" t="e">
        <f t="shared" si="20"/>
        <v>#DIV/0!</v>
      </c>
      <c r="N233" s="310" t="e">
        <f t="shared" si="21"/>
        <v>#DIV/0!</v>
      </c>
      <c r="O233" s="91" t="e">
        <f t="shared" si="22"/>
        <v>#DIV/0!</v>
      </c>
      <c r="P233" s="62">
        <f t="shared" si="23"/>
        <v>0</v>
      </c>
      <c r="T233" s="310" t="str">
        <f>PE_aug!AP233</f>
        <v>Kläranlagen</v>
      </c>
    </row>
    <row r="234" spans="1:20">
      <c r="A234" s="219" t="s">
        <v>289</v>
      </c>
      <c r="G234">
        <v>0.54800000000000004</v>
      </c>
      <c r="H234">
        <v>0.16400000000000001</v>
      </c>
      <c r="I234">
        <v>4.9484750000000002</v>
      </c>
      <c r="K234" s="35" t="e">
        <f t="shared" si="18"/>
        <v>#DIV/0!</v>
      </c>
      <c r="L234" s="312" t="e">
        <f t="shared" si="19"/>
        <v>#DIV/0!</v>
      </c>
      <c r="M234" s="310" t="e">
        <f t="shared" si="20"/>
        <v>#DIV/0!</v>
      </c>
      <c r="N234" s="310" t="e">
        <f t="shared" si="21"/>
        <v>#DIV/0!</v>
      </c>
      <c r="O234" s="91" t="e">
        <f t="shared" si="22"/>
        <v>#DIV/0!</v>
      </c>
      <c r="P234" s="62">
        <f t="shared" si="23"/>
        <v>0</v>
      </c>
      <c r="T234" s="310" t="str">
        <f>PE_aug!AP234</f>
        <v>Kläranlagen</v>
      </c>
    </row>
    <row r="235" spans="1:20">
      <c r="A235" s="219" t="s">
        <v>290</v>
      </c>
      <c r="G235">
        <v>0.82099999999999995</v>
      </c>
      <c r="H235">
        <v>0.16400000000000001</v>
      </c>
      <c r="I235">
        <v>5.7705900000000003</v>
      </c>
      <c r="K235" s="35" t="e">
        <f t="shared" si="18"/>
        <v>#DIV/0!</v>
      </c>
      <c r="L235" s="312" t="e">
        <f t="shared" si="19"/>
        <v>#DIV/0!</v>
      </c>
      <c r="M235" s="310" t="e">
        <f t="shared" si="20"/>
        <v>#DIV/0!</v>
      </c>
      <c r="N235" s="310" t="e">
        <f t="shared" si="21"/>
        <v>#DIV/0!</v>
      </c>
      <c r="O235" s="91" t="e">
        <f t="shared" si="22"/>
        <v>#DIV/0!</v>
      </c>
      <c r="P235" s="62">
        <f t="shared" si="23"/>
        <v>0</v>
      </c>
      <c r="T235" s="310" t="str">
        <f>PE_aug!AP235</f>
        <v>Kläranlagen</v>
      </c>
    </row>
    <row r="236" spans="1:20">
      <c r="A236" s="219" t="s">
        <v>291</v>
      </c>
      <c r="G236">
        <v>0.79400000000000004</v>
      </c>
      <c r="H236">
        <v>0.16400000000000001</v>
      </c>
      <c r="I236">
        <v>7.5740399999999992</v>
      </c>
      <c r="K236" s="35" t="e">
        <f t="shared" si="18"/>
        <v>#DIV/0!</v>
      </c>
      <c r="L236" s="312" t="e">
        <f t="shared" si="19"/>
        <v>#DIV/0!</v>
      </c>
      <c r="M236" s="310" t="e">
        <f t="shared" si="20"/>
        <v>#DIV/0!</v>
      </c>
      <c r="N236" s="310" t="e">
        <f t="shared" si="21"/>
        <v>#DIV/0!</v>
      </c>
      <c r="O236" s="91" t="e">
        <f t="shared" si="22"/>
        <v>#DIV/0!</v>
      </c>
      <c r="P236" s="62">
        <f t="shared" si="23"/>
        <v>0</v>
      </c>
      <c r="T236" s="310" t="str">
        <f>PE_aug!AP236</f>
        <v>Kläranlagen</v>
      </c>
    </row>
    <row r="237" spans="1:20">
      <c r="A237" s="219" t="s">
        <v>292</v>
      </c>
      <c r="G237">
        <v>0.90600000000000003</v>
      </c>
      <c r="H237">
        <v>0.13900000000000001</v>
      </c>
      <c r="I237">
        <v>8.5894499999999994</v>
      </c>
      <c r="K237" s="35" t="e">
        <f t="shared" si="18"/>
        <v>#DIV/0!</v>
      </c>
      <c r="L237" s="312" t="e">
        <f t="shared" si="19"/>
        <v>#DIV/0!</v>
      </c>
      <c r="M237" s="310" t="e">
        <f t="shared" si="20"/>
        <v>#DIV/0!</v>
      </c>
      <c r="N237" s="310" t="e">
        <f t="shared" si="21"/>
        <v>#DIV/0!</v>
      </c>
      <c r="O237" s="91" t="e">
        <f t="shared" si="22"/>
        <v>#DIV/0!</v>
      </c>
      <c r="P237" s="62">
        <f t="shared" si="23"/>
        <v>0</v>
      </c>
      <c r="T237" s="310" t="str">
        <f>PE_aug!AP237</f>
        <v>Kläranlagen</v>
      </c>
    </row>
    <row r="238" spans="1:20">
      <c r="A238" s="219" t="s">
        <v>293</v>
      </c>
      <c r="G238">
        <v>0.64600000000000002</v>
      </c>
      <c r="H238">
        <v>0.13900000000000001</v>
      </c>
      <c r="I238">
        <v>8.6637399999999989</v>
      </c>
      <c r="K238" s="35" t="e">
        <f t="shared" si="18"/>
        <v>#DIV/0!</v>
      </c>
      <c r="L238" s="312" t="e">
        <f t="shared" si="19"/>
        <v>#DIV/0!</v>
      </c>
      <c r="M238" s="310" t="e">
        <f t="shared" si="20"/>
        <v>#DIV/0!</v>
      </c>
      <c r="N238" s="310" t="e">
        <f t="shared" si="21"/>
        <v>#DIV/0!</v>
      </c>
      <c r="O238" s="91" t="e">
        <f t="shared" si="22"/>
        <v>#DIV/0!</v>
      </c>
      <c r="P238" s="62">
        <f t="shared" si="23"/>
        <v>0</v>
      </c>
      <c r="T238" s="310" t="str">
        <f>PE_aug!AP238</f>
        <v>Kläranlagen</v>
      </c>
    </row>
    <row r="239" spans="1:20">
      <c r="A239" s="219" t="s">
        <v>294</v>
      </c>
      <c r="G239">
        <v>0.68</v>
      </c>
      <c r="H239">
        <v>0.13900000000000001</v>
      </c>
      <c r="I239">
        <v>9.0110200000000003</v>
      </c>
      <c r="K239" s="35" t="e">
        <f t="shared" si="18"/>
        <v>#DIV/0!</v>
      </c>
      <c r="L239" s="312" t="e">
        <f t="shared" si="19"/>
        <v>#DIV/0!</v>
      </c>
      <c r="M239" s="310" t="e">
        <f t="shared" si="20"/>
        <v>#DIV/0!</v>
      </c>
      <c r="N239" s="310" t="e">
        <f t="shared" si="21"/>
        <v>#DIV/0!</v>
      </c>
      <c r="O239" s="91" t="e">
        <f t="shared" si="22"/>
        <v>#DIV/0!</v>
      </c>
      <c r="P239" s="62">
        <f t="shared" si="23"/>
        <v>0</v>
      </c>
      <c r="T239" s="310" t="str">
        <f>PE_aug!AP239</f>
        <v>Kläranlagen</v>
      </c>
    </row>
    <row r="240" spans="1:20">
      <c r="A240" s="219" t="s">
        <v>295</v>
      </c>
      <c r="K240" s="35" t="e">
        <f t="shared" si="18"/>
        <v>#DIV/0!</v>
      </c>
      <c r="L240" s="312" t="e">
        <f t="shared" si="19"/>
        <v>#DIV/0!</v>
      </c>
      <c r="M240" s="310" t="e">
        <f t="shared" si="20"/>
        <v>#DIV/0!</v>
      </c>
      <c r="N240" s="310" t="e">
        <f t="shared" si="21"/>
        <v>#DIV/0!</v>
      </c>
      <c r="O240" s="91" t="e">
        <f t="shared" si="22"/>
        <v>#DIV/0!</v>
      </c>
      <c r="P240" s="62">
        <f t="shared" si="23"/>
        <v>0</v>
      </c>
      <c r="T240" s="310" t="str">
        <f>PE_aug!AP240</f>
        <v>Methode</v>
      </c>
    </row>
    <row r="241" spans="1:20">
      <c r="A241" s="219" t="s">
        <v>296</v>
      </c>
      <c r="K241" s="35" t="e">
        <f t="shared" si="18"/>
        <v>#DIV/0!</v>
      </c>
      <c r="L241" s="312" t="e">
        <f t="shared" si="19"/>
        <v>#DIV/0!</v>
      </c>
      <c r="M241" s="310" t="e">
        <f t="shared" si="20"/>
        <v>#DIV/0!</v>
      </c>
      <c r="N241" s="310" t="e">
        <f t="shared" si="21"/>
        <v>#DIV/0!</v>
      </c>
      <c r="O241" s="91" t="e">
        <f t="shared" si="22"/>
        <v>#DIV/0!</v>
      </c>
      <c r="P241" s="62">
        <f t="shared" si="23"/>
        <v>0</v>
      </c>
      <c r="T241" s="310" t="str">
        <f>PE_aug!AP241</f>
        <v>Methode</v>
      </c>
    </row>
    <row r="242" spans="1:20">
      <c r="A242" s="219" t="s">
        <v>297</v>
      </c>
      <c r="K242" s="35" t="e">
        <f t="shared" si="18"/>
        <v>#DIV/0!</v>
      </c>
      <c r="L242" s="312" t="e">
        <f t="shared" si="19"/>
        <v>#DIV/0!</v>
      </c>
      <c r="M242" s="310" t="e">
        <f t="shared" si="20"/>
        <v>#DIV/0!</v>
      </c>
      <c r="N242" s="310" t="e">
        <f t="shared" si="21"/>
        <v>#DIV/0!</v>
      </c>
      <c r="O242" s="91" t="e">
        <f t="shared" si="22"/>
        <v>#DIV/0!</v>
      </c>
      <c r="P242" s="62">
        <f t="shared" si="23"/>
        <v>0</v>
      </c>
      <c r="T242" s="310" t="str">
        <f>PE_aug!AP242</f>
        <v>Kläranlagen</v>
      </c>
    </row>
    <row r="243" spans="1:20">
      <c r="A243" s="219" t="s">
        <v>298</v>
      </c>
      <c r="K243" s="35" t="e">
        <f t="shared" si="18"/>
        <v>#DIV/0!</v>
      </c>
      <c r="L243" s="312" t="e">
        <f t="shared" si="19"/>
        <v>#DIV/0!</v>
      </c>
      <c r="M243" s="310" t="e">
        <f t="shared" si="20"/>
        <v>#DIV/0!</v>
      </c>
      <c r="N243" s="310" t="e">
        <f t="shared" si="21"/>
        <v>#DIV/0!</v>
      </c>
      <c r="O243" s="91" t="e">
        <f t="shared" si="22"/>
        <v>#DIV/0!</v>
      </c>
      <c r="P243" s="62">
        <f t="shared" si="23"/>
        <v>0</v>
      </c>
      <c r="T243" s="310" t="str">
        <f>PE_aug!AP243</f>
        <v>Kläranlagen</v>
      </c>
    </row>
    <row r="244" spans="1:20">
      <c r="A244" s="219" t="s">
        <v>299</v>
      </c>
      <c r="K244" s="35" t="e">
        <f t="shared" si="18"/>
        <v>#DIV/0!</v>
      </c>
      <c r="L244" s="312" t="e">
        <f t="shared" si="19"/>
        <v>#DIV/0!</v>
      </c>
      <c r="M244" s="310" t="e">
        <f t="shared" si="20"/>
        <v>#DIV/0!</v>
      </c>
      <c r="N244" s="310" t="e">
        <f t="shared" si="21"/>
        <v>#DIV/0!</v>
      </c>
      <c r="O244" s="91" t="e">
        <f t="shared" si="22"/>
        <v>#DIV/0!</v>
      </c>
      <c r="P244" s="62">
        <f t="shared" si="23"/>
        <v>0</v>
      </c>
      <c r="T244" s="310" t="str">
        <f>PE_aug!AP244</f>
        <v>Kläranlagen</v>
      </c>
    </row>
    <row r="245" spans="1:20">
      <c r="A245" s="219" t="s">
        <v>300</v>
      </c>
      <c r="I245">
        <v>6.02935</v>
      </c>
      <c r="K245" s="35" t="e">
        <f t="shared" si="18"/>
        <v>#DIV/0!</v>
      </c>
      <c r="L245" s="312" t="e">
        <f t="shared" si="19"/>
        <v>#DIV/0!</v>
      </c>
      <c r="M245" s="310" t="e">
        <f t="shared" si="20"/>
        <v>#DIV/0!</v>
      </c>
      <c r="N245" s="310" t="e">
        <f t="shared" si="21"/>
        <v>#DIV/0!</v>
      </c>
      <c r="O245" s="91" t="e">
        <f t="shared" si="22"/>
        <v>#DIV/0!</v>
      </c>
      <c r="P245" s="62">
        <f t="shared" si="23"/>
        <v>0</v>
      </c>
      <c r="T245" s="310" t="str">
        <f>PE_aug!AP245</f>
        <v>Kläranlage, Methode</v>
      </c>
    </row>
    <row r="246" spans="1:20">
      <c r="A246" s="219" t="s">
        <v>301</v>
      </c>
      <c r="G246">
        <v>0.82799999999999996</v>
      </c>
      <c r="H246">
        <v>0.191</v>
      </c>
      <c r="I246">
        <v>8.4088700000000003</v>
      </c>
      <c r="K246" s="35" t="e">
        <f t="shared" si="18"/>
        <v>#DIV/0!</v>
      </c>
      <c r="L246" s="312" t="e">
        <f t="shared" si="19"/>
        <v>#DIV/0!</v>
      </c>
      <c r="M246" s="310" t="e">
        <f t="shared" si="20"/>
        <v>#DIV/0!</v>
      </c>
      <c r="N246" s="310" t="e">
        <f t="shared" si="21"/>
        <v>#DIV/0!</v>
      </c>
      <c r="O246" s="91" t="e">
        <f t="shared" si="22"/>
        <v>#DIV/0!</v>
      </c>
      <c r="P246" s="62">
        <f t="shared" si="23"/>
        <v>0</v>
      </c>
      <c r="T246" s="310" t="str">
        <f>PE_aug!AP246</f>
        <v>Kläranlagen</v>
      </c>
    </row>
    <row r="247" spans="1:20">
      <c r="A247" s="219" t="s">
        <v>302</v>
      </c>
      <c r="G247">
        <v>0.79200000000000004</v>
      </c>
      <c r="H247">
        <v>0.191</v>
      </c>
      <c r="I247">
        <v>6.7405999999999997</v>
      </c>
      <c r="K247" s="35" t="e">
        <f t="shared" si="18"/>
        <v>#DIV/0!</v>
      </c>
      <c r="L247" s="312" t="e">
        <f t="shared" si="19"/>
        <v>#DIV/0!</v>
      </c>
      <c r="M247" s="310" t="e">
        <f t="shared" si="20"/>
        <v>#DIV/0!</v>
      </c>
      <c r="N247" s="310" t="e">
        <f t="shared" si="21"/>
        <v>#DIV/0!</v>
      </c>
      <c r="O247" s="91" t="e">
        <f t="shared" si="22"/>
        <v>#DIV/0!</v>
      </c>
      <c r="P247" s="62">
        <f t="shared" si="23"/>
        <v>0</v>
      </c>
      <c r="T247" s="310" t="str">
        <f>PE_aug!AP247</f>
        <v>Kläranlagen</v>
      </c>
    </row>
    <row r="248" spans="1:20">
      <c r="A248" s="219" t="s">
        <v>303</v>
      </c>
      <c r="G248">
        <v>0.629</v>
      </c>
      <c r="H248">
        <v>0.191</v>
      </c>
      <c r="I248">
        <v>7.8805199999999997</v>
      </c>
      <c r="K248" s="35" t="e">
        <f t="shared" si="18"/>
        <v>#DIV/0!</v>
      </c>
      <c r="L248" s="312" t="e">
        <f t="shared" si="19"/>
        <v>#DIV/0!</v>
      </c>
      <c r="M248" s="310" t="e">
        <f t="shared" si="20"/>
        <v>#DIV/0!</v>
      </c>
      <c r="N248" s="310" t="e">
        <f t="shared" si="21"/>
        <v>#DIV/0!</v>
      </c>
      <c r="O248" s="91" t="e">
        <f t="shared" si="22"/>
        <v>#DIV/0!</v>
      </c>
      <c r="P248" s="62">
        <f t="shared" si="23"/>
        <v>0</v>
      </c>
      <c r="T248" s="310" t="str">
        <f>PE_aug!AP248</f>
        <v>Kläranlagen</v>
      </c>
    </row>
    <row r="249" spans="1:20">
      <c r="A249" s="219" t="s">
        <v>304</v>
      </c>
      <c r="G249">
        <v>0.83699999999999997</v>
      </c>
      <c r="H249">
        <v>7.9000000000000001E-2</v>
      </c>
      <c r="I249">
        <v>7.9408200000000004</v>
      </c>
      <c r="K249" s="35" t="e">
        <f t="shared" si="18"/>
        <v>#DIV/0!</v>
      </c>
      <c r="L249" s="312" t="e">
        <f t="shared" si="19"/>
        <v>#DIV/0!</v>
      </c>
      <c r="M249" s="310" t="e">
        <f t="shared" si="20"/>
        <v>#DIV/0!</v>
      </c>
      <c r="N249" s="310" t="e">
        <f t="shared" si="21"/>
        <v>#DIV/0!</v>
      </c>
      <c r="O249" s="91" t="e">
        <f t="shared" si="22"/>
        <v>#DIV/0!</v>
      </c>
      <c r="P249" s="62">
        <f t="shared" si="23"/>
        <v>0</v>
      </c>
      <c r="T249" s="310" t="str">
        <f>PE_aug!AP249</f>
        <v>Kläranlagen</v>
      </c>
    </row>
    <row r="250" spans="1:20">
      <c r="A250" s="219" t="s">
        <v>305</v>
      </c>
      <c r="G250">
        <v>0.56399999999999995</v>
      </c>
      <c r="H250">
        <v>7.9000000000000001E-2</v>
      </c>
      <c r="I250">
        <v>8.8329500000000003</v>
      </c>
      <c r="K250" s="35" t="e">
        <f t="shared" si="18"/>
        <v>#DIV/0!</v>
      </c>
      <c r="L250" s="312" t="e">
        <f t="shared" si="19"/>
        <v>#DIV/0!</v>
      </c>
      <c r="M250" s="310" t="e">
        <f t="shared" si="20"/>
        <v>#DIV/0!</v>
      </c>
      <c r="N250" s="310" t="e">
        <f t="shared" si="21"/>
        <v>#DIV/0!</v>
      </c>
      <c r="O250" s="91" t="e">
        <f t="shared" si="22"/>
        <v>#DIV/0!</v>
      </c>
      <c r="P250" s="62">
        <f t="shared" si="23"/>
        <v>0</v>
      </c>
      <c r="T250" s="310" t="str">
        <f>PE_aug!AP250</f>
        <v>Kläranlagen</v>
      </c>
    </row>
    <row r="251" spans="1:20">
      <c r="A251" s="219" t="s">
        <v>306</v>
      </c>
      <c r="G251">
        <v>0.82899999999999996</v>
      </c>
      <c r="H251">
        <v>7.9000000000000001E-2</v>
      </c>
      <c r="I251">
        <v>5.0712599999999997</v>
      </c>
      <c r="K251" s="35" t="e">
        <f t="shared" si="18"/>
        <v>#DIV/0!</v>
      </c>
      <c r="L251" s="312" t="e">
        <f t="shared" si="19"/>
        <v>#DIV/0!</v>
      </c>
      <c r="M251" s="310" t="e">
        <f t="shared" si="20"/>
        <v>#DIV/0!</v>
      </c>
      <c r="N251" s="310" t="e">
        <f t="shared" si="21"/>
        <v>#DIV/0!</v>
      </c>
      <c r="O251" s="91" t="e">
        <f t="shared" si="22"/>
        <v>#DIV/0!</v>
      </c>
      <c r="P251" s="62">
        <f t="shared" si="23"/>
        <v>0</v>
      </c>
      <c r="T251" s="310" t="str">
        <f>PE_aug!AP251</f>
        <v>Kläranlagen</v>
      </c>
    </row>
    <row r="252" spans="1:20">
      <c r="A252" s="219" t="s">
        <v>307</v>
      </c>
      <c r="G252">
        <v>0.28599999999999998</v>
      </c>
      <c r="H252">
        <v>2.7E-2</v>
      </c>
      <c r="I252">
        <v>8.5876000000000001</v>
      </c>
      <c r="K252" s="35" t="e">
        <f t="shared" si="18"/>
        <v>#DIV/0!</v>
      </c>
      <c r="L252" s="312" t="e">
        <f t="shared" si="19"/>
        <v>#DIV/0!</v>
      </c>
      <c r="M252" s="310" t="e">
        <f t="shared" si="20"/>
        <v>#DIV/0!</v>
      </c>
      <c r="N252" s="310" t="e">
        <f t="shared" si="21"/>
        <v>#DIV/0!</v>
      </c>
      <c r="O252" s="91" t="e">
        <f t="shared" si="22"/>
        <v>#DIV/0!</v>
      </c>
      <c r="P252" s="62">
        <f t="shared" si="23"/>
        <v>0</v>
      </c>
      <c r="T252" s="310" t="str">
        <f>PE_aug!AP252</f>
        <v>Kläranlagen</v>
      </c>
    </row>
    <row r="253" spans="1:20">
      <c r="A253" s="219" t="s">
        <v>308</v>
      </c>
      <c r="G253">
        <v>1</v>
      </c>
      <c r="H253">
        <v>2.7E-2</v>
      </c>
      <c r="I253">
        <v>11.023999999999999</v>
      </c>
      <c r="K253" s="35" t="e">
        <f t="shared" si="18"/>
        <v>#DIV/0!</v>
      </c>
      <c r="L253" s="312" t="e">
        <f t="shared" si="19"/>
        <v>#DIV/0!</v>
      </c>
      <c r="M253" s="310" t="e">
        <f t="shared" si="20"/>
        <v>#DIV/0!</v>
      </c>
      <c r="N253" s="310" t="e">
        <f t="shared" si="21"/>
        <v>#DIV/0!</v>
      </c>
      <c r="O253" s="91" t="e">
        <f t="shared" si="22"/>
        <v>#DIV/0!</v>
      </c>
      <c r="P253" s="62">
        <f t="shared" si="23"/>
        <v>0</v>
      </c>
      <c r="T253" s="310" t="str">
        <f>PE_aug!AP253</f>
        <v>Kläranlagen</v>
      </c>
    </row>
    <row r="254" spans="1:20">
      <c r="A254" s="219" t="s">
        <v>309</v>
      </c>
      <c r="G254">
        <v>0.86599999999999999</v>
      </c>
      <c r="H254">
        <v>2.7E-2</v>
      </c>
      <c r="I254">
        <v>7.3292199999999994</v>
      </c>
      <c r="K254" s="35" t="e">
        <f t="shared" si="18"/>
        <v>#DIV/0!</v>
      </c>
      <c r="L254" s="312" t="e">
        <f t="shared" si="19"/>
        <v>#DIV/0!</v>
      </c>
      <c r="M254" s="310" t="e">
        <f t="shared" si="20"/>
        <v>#DIV/0!</v>
      </c>
      <c r="N254" s="310" t="e">
        <f t="shared" si="21"/>
        <v>#DIV/0!</v>
      </c>
      <c r="O254" s="91" t="e">
        <f t="shared" si="22"/>
        <v>#DIV/0!</v>
      </c>
      <c r="P254" s="62">
        <f t="shared" si="23"/>
        <v>0</v>
      </c>
      <c r="T254" s="310" t="str">
        <f>PE_aug!AP254</f>
        <v>Kläranlagen</v>
      </c>
    </row>
    <row r="255" spans="1:20">
      <c r="A255" s="219" t="s">
        <v>310</v>
      </c>
      <c r="K255" s="35" t="e">
        <f t="shared" si="18"/>
        <v>#DIV/0!</v>
      </c>
      <c r="L255" s="312" t="e">
        <f t="shared" si="19"/>
        <v>#DIV/0!</v>
      </c>
      <c r="M255" s="310" t="e">
        <f t="shared" si="20"/>
        <v>#DIV/0!</v>
      </c>
      <c r="N255" s="310" t="e">
        <f t="shared" si="21"/>
        <v>#DIV/0!</v>
      </c>
      <c r="O255" s="91" t="e">
        <f t="shared" si="22"/>
        <v>#DIV/0!</v>
      </c>
      <c r="P255" s="62">
        <f t="shared" si="23"/>
        <v>0</v>
      </c>
      <c r="T255" s="310" t="str">
        <f>PE_aug!AP255</f>
        <v>Sickerwasser</v>
      </c>
    </row>
    <row r="256" spans="1:20">
      <c r="A256" s="219" t="s">
        <v>311</v>
      </c>
      <c r="K256" s="35" t="e">
        <f t="shared" si="18"/>
        <v>#DIV/0!</v>
      </c>
      <c r="L256" s="312" t="e">
        <f t="shared" si="19"/>
        <v>#DIV/0!</v>
      </c>
      <c r="M256" s="310" t="e">
        <f t="shared" si="20"/>
        <v>#DIV/0!</v>
      </c>
      <c r="N256" s="310" t="e">
        <f t="shared" si="21"/>
        <v>#DIV/0!</v>
      </c>
      <c r="O256" s="91" t="e">
        <f t="shared" si="22"/>
        <v>#DIV/0!</v>
      </c>
      <c r="P256" s="62">
        <f t="shared" si="23"/>
        <v>0</v>
      </c>
      <c r="T256" s="310" t="str">
        <f>PE_aug!AP256</f>
        <v>Sickerwasser</v>
      </c>
    </row>
    <row r="257" spans="1:20">
      <c r="A257" s="219" t="s">
        <v>312</v>
      </c>
      <c r="J257">
        <v>0.3</v>
      </c>
      <c r="K257" s="35" t="e">
        <f t="shared" si="18"/>
        <v>#DIV/0!</v>
      </c>
      <c r="L257" s="312" t="e">
        <f t="shared" si="19"/>
        <v>#DIV/0!</v>
      </c>
      <c r="M257" s="310" t="e">
        <f t="shared" si="20"/>
        <v>#DIV/0!</v>
      </c>
      <c r="N257" s="310" t="e">
        <f t="shared" si="21"/>
        <v>#DIV/0!</v>
      </c>
      <c r="O257" s="91" t="e">
        <f t="shared" si="22"/>
        <v>#DIV/0!</v>
      </c>
      <c r="P257" s="62">
        <f t="shared" si="23"/>
        <v>0</v>
      </c>
      <c r="T257" s="310" t="str">
        <f>PE_aug!AP257</f>
        <v>Sickerwasser</v>
      </c>
    </row>
    <row r="258" spans="1:20">
      <c r="A258" s="219" t="s">
        <v>313</v>
      </c>
      <c r="J258">
        <v>0</v>
      </c>
      <c r="K258" s="35" t="e">
        <f t="shared" ref="K258:K321" si="24">IF(COUNT(C258:C258)=1,0.33,(COUNT(C258:C258)*(1/(COUNT(C258:C258)+COUNTBLANK(C258:C258)))+(IF(N258&lt;35,1,IF(N258&lt;70,0.5,IF(N258&gt;70,0)))))/2)</f>
        <v>#DIV/0!</v>
      </c>
      <c r="L258" s="312" t="e">
        <f t="shared" ref="L258:L321" si="25">AVERAGE(J258:K258)</f>
        <v>#DIV/0!</v>
      </c>
      <c r="M258" s="310" t="e">
        <f t="shared" ref="M258:M321" si="26">AVERAGE(C258:E258)</f>
        <v>#DIV/0!</v>
      </c>
      <c r="N258" s="310" t="e">
        <f t="shared" ref="N258:N321" si="27">(MAX(C258:C258)-MIN(C258:C258))/M258*100</f>
        <v>#DIV/0!</v>
      </c>
      <c r="O258" s="91" t="e">
        <f t="shared" ref="O258:O321" si="28">AVERAGE(C258:F258)</f>
        <v>#DIV/0!</v>
      </c>
      <c r="P258" s="62">
        <f t="shared" ref="P258:P321" si="29">IFERROR(O258/I258,0)</f>
        <v>0</v>
      </c>
      <c r="T258" s="310" t="str">
        <f>PE_aug!AP258</f>
        <v>Sickerwasser</v>
      </c>
    </row>
    <row r="259" spans="1:20">
      <c r="A259" s="220" t="s">
        <v>314</v>
      </c>
      <c r="G259">
        <v>1.0760000000000001</v>
      </c>
      <c r="H259">
        <v>1.7000000000000001E-2</v>
      </c>
      <c r="I259">
        <v>10.911899999999999</v>
      </c>
      <c r="K259" s="35" t="e">
        <f t="shared" si="24"/>
        <v>#DIV/0!</v>
      </c>
      <c r="L259" s="312" t="e">
        <f t="shared" si="25"/>
        <v>#DIV/0!</v>
      </c>
      <c r="M259" s="310" t="e">
        <f t="shared" si="26"/>
        <v>#DIV/0!</v>
      </c>
      <c r="N259" s="310" t="e">
        <f t="shared" si="27"/>
        <v>#DIV/0!</v>
      </c>
      <c r="O259" s="91" t="e">
        <f t="shared" si="28"/>
        <v>#DIV/0!</v>
      </c>
      <c r="P259" s="62">
        <f t="shared" si="29"/>
        <v>0</v>
      </c>
      <c r="T259" s="310" t="str">
        <f>PE_aug!AP259</f>
        <v>Kläranlagen</v>
      </c>
    </row>
    <row r="260" spans="1:20">
      <c r="A260" s="220" t="s">
        <v>315</v>
      </c>
      <c r="G260">
        <v>0.76800000000000002</v>
      </c>
      <c r="H260">
        <v>1.7000000000000001E-2</v>
      </c>
      <c r="I260">
        <v>13.8399</v>
      </c>
      <c r="K260" s="35" t="e">
        <f t="shared" si="24"/>
        <v>#DIV/0!</v>
      </c>
      <c r="L260" s="312" t="e">
        <f t="shared" si="25"/>
        <v>#DIV/0!</v>
      </c>
      <c r="M260" s="310" t="e">
        <f t="shared" si="26"/>
        <v>#DIV/0!</v>
      </c>
      <c r="N260" s="310" t="e">
        <f t="shared" si="27"/>
        <v>#DIV/0!</v>
      </c>
      <c r="O260" s="91" t="e">
        <f t="shared" si="28"/>
        <v>#DIV/0!</v>
      </c>
      <c r="P260" s="62">
        <f t="shared" si="29"/>
        <v>0</v>
      </c>
      <c r="T260" s="310" t="str">
        <f>PE_aug!AP260</f>
        <v>Kläranlagen</v>
      </c>
    </row>
    <row r="261" spans="1:20">
      <c r="A261" s="220" t="s">
        <v>316</v>
      </c>
      <c r="G261">
        <v>0.39500000000000002</v>
      </c>
      <c r="H261">
        <v>1.7000000000000001E-2</v>
      </c>
      <c r="I261">
        <v>13.1463</v>
      </c>
      <c r="K261" s="35" t="e">
        <f t="shared" si="24"/>
        <v>#DIV/0!</v>
      </c>
      <c r="L261" s="312" t="e">
        <f t="shared" si="25"/>
        <v>#DIV/0!</v>
      </c>
      <c r="M261" s="310" t="e">
        <f t="shared" si="26"/>
        <v>#DIV/0!</v>
      </c>
      <c r="N261" s="310" t="e">
        <f t="shared" si="27"/>
        <v>#DIV/0!</v>
      </c>
      <c r="O261" s="91" t="e">
        <f t="shared" si="28"/>
        <v>#DIV/0!</v>
      </c>
      <c r="P261" s="62">
        <f t="shared" si="29"/>
        <v>0</v>
      </c>
      <c r="T261" s="310" t="str">
        <f>PE_aug!AP261</f>
        <v>Kläranlagen</v>
      </c>
    </row>
    <row r="262" spans="1:20">
      <c r="A262" s="220" t="s">
        <v>317</v>
      </c>
      <c r="G262">
        <v>0.996</v>
      </c>
      <c r="H262">
        <v>8.1000000000000003E-2</v>
      </c>
      <c r="I262">
        <v>4.4084400000000006</v>
      </c>
      <c r="K262" s="35" t="e">
        <f t="shared" si="24"/>
        <v>#DIV/0!</v>
      </c>
      <c r="L262" s="312" t="e">
        <f t="shared" si="25"/>
        <v>#DIV/0!</v>
      </c>
      <c r="M262" s="310" t="e">
        <f t="shared" si="26"/>
        <v>#DIV/0!</v>
      </c>
      <c r="N262" s="310" t="e">
        <f t="shared" si="27"/>
        <v>#DIV/0!</v>
      </c>
      <c r="O262" s="91" t="e">
        <f t="shared" si="28"/>
        <v>#DIV/0!</v>
      </c>
      <c r="P262" s="62">
        <f t="shared" si="29"/>
        <v>0</v>
      </c>
      <c r="T262" s="310" t="str">
        <f>PE_aug!AP262</f>
        <v>Kläranlagen</v>
      </c>
    </row>
    <row r="263" spans="1:20">
      <c r="A263" s="220" t="s">
        <v>318</v>
      </c>
      <c r="G263">
        <v>0.155</v>
      </c>
      <c r="H263">
        <v>8.1000000000000003E-2</v>
      </c>
      <c r="I263">
        <v>5.8289400000000002</v>
      </c>
      <c r="K263" s="35" t="e">
        <f t="shared" si="24"/>
        <v>#DIV/0!</v>
      </c>
      <c r="L263" s="312" t="e">
        <f t="shared" si="25"/>
        <v>#DIV/0!</v>
      </c>
      <c r="M263" s="310" t="e">
        <f t="shared" si="26"/>
        <v>#DIV/0!</v>
      </c>
      <c r="N263" s="310" t="e">
        <f t="shared" si="27"/>
        <v>#DIV/0!</v>
      </c>
      <c r="O263" s="91" t="e">
        <f t="shared" si="28"/>
        <v>#DIV/0!</v>
      </c>
      <c r="P263" s="62">
        <f t="shared" si="29"/>
        <v>0</v>
      </c>
      <c r="T263" s="310" t="str">
        <f>PE_aug!AP263</f>
        <v>Kläranlagen</v>
      </c>
    </row>
    <row r="264" spans="1:20">
      <c r="A264" s="220" t="s">
        <v>319</v>
      </c>
      <c r="G264">
        <v>0.97299999999999998</v>
      </c>
      <c r="H264">
        <v>8.1000000000000003E-2</v>
      </c>
      <c r="I264">
        <v>7.2398100000000003</v>
      </c>
      <c r="K264" s="35" t="e">
        <f t="shared" si="24"/>
        <v>#DIV/0!</v>
      </c>
      <c r="L264" s="312" t="e">
        <f t="shared" si="25"/>
        <v>#DIV/0!</v>
      </c>
      <c r="M264" s="310" t="e">
        <f t="shared" si="26"/>
        <v>#DIV/0!</v>
      </c>
      <c r="N264" s="310" t="e">
        <f t="shared" si="27"/>
        <v>#DIV/0!</v>
      </c>
      <c r="O264" s="91" t="e">
        <f t="shared" si="28"/>
        <v>#DIV/0!</v>
      </c>
      <c r="P264" s="62">
        <f t="shared" si="29"/>
        <v>0</v>
      </c>
      <c r="T264" s="310" t="str">
        <f>PE_aug!AP264</f>
        <v>Kläranlagen</v>
      </c>
    </row>
    <row r="265" spans="1:20">
      <c r="A265" s="220" t="s">
        <v>320</v>
      </c>
      <c r="G265">
        <v>0.70699999999999996</v>
      </c>
      <c r="H265">
        <v>7.1999999999999995E-2</v>
      </c>
      <c r="I265">
        <v>8.7419449999999994</v>
      </c>
      <c r="K265" s="35" t="e">
        <f t="shared" si="24"/>
        <v>#DIV/0!</v>
      </c>
      <c r="L265" s="312" t="e">
        <f t="shared" si="25"/>
        <v>#DIV/0!</v>
      </c>
      <c r="M265" s="310" t="e">
        <f t="shared" si="26"/>
        <v>#DIV/0!</v>
      </c>
      <c r="N265" s="310" t="e">
        <f t="shared" si="27"/>
        <v>#DIV/0!</v>
      </c>
      <c r="O265" s="91" t="e">
        <f t="shared" si="28"/>
        <v>#DIV/0!</v>
      </c>
      <c r="P265" s="62">
        <f t="shared" si="29"/>
        <v>0</v>
      </c>
      <c r="T265" s="310" t="str">
        <f>PE_aug!AP265</f>
        <v>Kläranlagen</v>
      </c>
    </row>
    <row r="266" spans="1:20">
      <c r="A266" s="220" t="s">
        <v>321</v>
      </c>
      <c r="G266">
        <v>0.70699999999999996</v>
      </c>
      <c r="H266">
        <v>7.1999999999999995E-2</v>
      </c>
      <c r="I266">
        <v>9.5270100000000006</v>
      </c>
      <c r="K266" s="35" t="e">
        <f t="shared" si="24"/>
        <v>#DIV/0!</v>
      </c>
      <c r="L266" s="312" t="e">
        <f t="shared" si="25"/>
        <v>#DIV/0!</v>
      </c>
      <c r="M266" s="310" t="e">
        <f t="shared" si="26"/>
        <v>#DIV/0!</v>
      </c>
      <c r="N266" s="310" t="e">
        <f t="shared" si="27"/>
        <v>#DIV/0!</v>
      </c>
      <c r="O266" s="91" t="e">
        <f t="shared" si="28"/>
        <v>#DIV/0!</v>
      </c>
      <c r="P266" s="62">
        <f t="shared" si="29"/>
        <v>0</v>
      </c>
      <c r="T266" s="310" t="str">
        <f>PE_aug!AP266</f>
        <v>Kläranlagen</v>
      </c>
    </row>
    <row r="267" spans="1:20">
      <c r="A267" s="225" t="s">
        <v>322</v>
      </c>
      <c r="G267">
        <v>0.70699999999999996</v>
      </c>
      <c r="H267">
        <v>0.124</v>
      </c>
      <c r="I267">
        <v>8.6800599999999992</v>
      </c>
      <c r="K267" s="35" t="e">
        <f t="shared" si="24"/>
        <v>#DIV/0!</v>
      </c>
      <c r="L267" s="312" t="e">
        <f t="shared" si="25"/>
        <v>#DIV/0!</v>
      </c>
      <c r="M267" s="310" t="e">
        <f t="shared" si="26"/>
        <v>#DIV/0!</v>
      </c>
      <c r="N267" s="310" t="e">
        <f t="shared" si="27"/>
        <v>#DIV/0!</v>
      </c>
      <c r="O267" s="91" t="e">
        <f t="shared" si="28"/>
        <v>#DIV/0!</v>
      </c>
      <c r="P267" s="62">
        <f t="shared" si="29"/>
        <v>0</v>
      </c>
      <c r="T267" s="310" t="str">
        <f>PE_aug!AP267</f>
        <v>KWB</v>
      </c>
    </row>
    <row r="268" spans="1:20">
      <c r="A268" s="225" t="s">
        <v>324</v>
      </c>
      <c r="G268">
        <v>0.70699999999999996</v>
      </c>
      <c r="H268">
        <v>0.124</v>
      </c>
      <c r="I268">
        <v>7.4999899999999986</v>
      </c>
      <c r="K268" s="35" t="e">
        <f t="shared" si="24"/>
        <v>#DIV/0!</v>
      </c>
      <c r="L268" s="312" t="e">
        <f t="shared" si="25"/>
        <v>#DIV/0!</v>
      </c>
      <c r="M268" s="310" t="e">
        <f t="shared" si="26"/>
        <v>#DIV/0!</v>
      </c>
      <c r="N268" s="310" t="e">
        <f t="shared" si="27"/>
        <v>#DIV/0!</v>
      </c>
      <c r="O268" s="91" t="e">
        <f t="shared" si="28"/>
        <v>#DIV/0!</v>
      </c>
      <c r="P268" s="62">
        <f t="shared" si="29"/>
        <v>0</v>
      </c>
      <c r="T268" s="310" t="str">
        <f>PE_aug!AP268</f>
        <v>KWB</v>
      </c>
    </row>
    <row r="269" spans="1:20">
      <c r="A269" s="225" t="s">
        <v>325</v>
      </c>
      <c r="G269">
        <v>0.70699999999999996</v>
      </c>
      <c r="H269">
        <v>0.14499999999999999</v>
      </c>
      <c r="I269">
        <v>5.2230249999999998</v>
      </c>
      <c r="K269" s="35" t="e">
        <f t="shared" si="24"/>
        <v>#DIV/0!</v>
      </c>
      <c r="L269" s="312" t="e">
        <f t="shared" si="25"/>
        <v>#DIV/0!</v>
      </c>
      <c r="M269" s="310" t="e">
        <f t="shared" si="26"/>
        <v>#DIV/0!</v>
      </c>
      <c r="N269" s="310" t="e">
        <f t="shared" si="27"/>
        <v>#DIV/0!</v>
      </c>
      <c r="O269" s="91" t="e">
        <f t="shared" si="28"/>
        <v>#DIV/0!</v>
      </c>
      <c r="P269" s="62">
        <f t="shared" si="29"/>
        <v>0</v>
      </c>
      <c r="T269" s="310" t="str">
        <f>PE_aug!AP269</f>
        <v>KWB</v>
      </c>
    </row>
    <row r="270" spans="1:20">
      <c r="A270" s="225" t="s">
        <v>326</v>
      </c>
      <c r="G270">
        <v>0.70699999999999996</v>
      </c>
      <c r="H270">
        <v>0.45</v>
      </c>
      <c r="I270">
        <v>6.5487399999999996</v>
      </c>
      <c r="K270" s="35" t="e">
        <f t="shared" si="24"/>
        <v>#DIV/0!</v>
      </c>
      <c r="L270" s="312" t="e">
        <f t="shared" si="25"/>
        <v>#DIV/0!</v>
      </c>
      <c r="M270" s="310" t="e">
        <f t="shared" si="26"/>
        <v>#DIV/0!</v>
      </c>
      <c r="N270" s="310" t="e">
        <f t="shared" si="27"/>
        <v>#DIV/0!</v>
      </c>
      <c r="O270" s="91" t="e">
        <f t="shared" si="28"/>
        <v>#DIV/0!</v>
      </c>
      <c r="P270" s="62">
        <f t="shared" si="29"/>
        <v>0</v>
      </c>
      <c r="T270" s="310" t="str">
        <f>PE_aug!AP270</f>
        <v>KWB</v>
      </c>
    </row>
    <row r="271" spans="1:20">
      <c r="A271" s="225" t="s">
        <v>327</v>
      </c>
      <c r="G271">
        <v>0.70699999999999996</v>
      </c>
      <c r="H271">
        <v>0.45</v>
      </c>
      <c r="I271">
        <v>6.3243900000000002</v>
      </c>
      <c r="K271" s="35" t="e">
        <f t="shared" si="24"/>
        <v>#DIV/0!</v>
      </c>
      <c r="L271" s="312" t="e">
        <f t="shared" si="25"/>
        <v>#DIV/0!</v>
      </c>
      <c r="M271" s="310" t="e">
        <f t="shared" si="26"/>
        <v>#DIV/0!</v>
      </c>
      <c r="N271" s="310" t="e">
        <f t="shared" si="27"/>
        <v>#DIV/0!</v>
      </c>
      <c r="O271" s="91" t="e">
        <f t="shared" si="28"/>
        <v>#DIV/0!</v>
      </c>
      <c r="P271" s="62">
        <f t="shared" si="29"/>
        <v>0</v>
      </c>
      <c r="T271" s="310" t="str">
        <f>PE_aug!AP271</f>
        <v>KWB</v>
      </c>
    </row>
    <row r="272" spans="1:20">
      <c r="A272" s="225" t="s">
        <v>328</v>
      </c>
      <c r="G272">
        <v>0.70699999999999996</v>
      </c>
      <c r="H272">
        <v>0.14699999999999999</v>
      </c>
      <c r="I272">
        <v>8.8096600000000009</v>
      </c>
      <c r="K272" s="35" t="e">
        <f t="shared" si="24"/>
        <v>#DIV/0!</v>
      </c>
      <c r="L272" s="312" t="e">
        <f t="shared" si="25"/>
        <v>#DIV/0!</v>
      </c>
      <c r="M272" s="310" t="e">
        <f t="shared" si="26"/>
        <v>#DIV/0!</v>
      </c>
      <c r="N272" s="310" t="e">
        <f t="shared" si="27"/>
        <v>#DIV/0!</v>
      </c>
      <c r="O272" s="91" t="e">
        <f t="shared" si="28"/>
        <v>#DIV/0!</v>
      </c>
      <c r="P272" s="62">
        <f t="shared" si="29"/>
        <v>0</v>
      </c>
      <c r="T272" s="310" t="str">
        <f>PE_aug!AP272</f>
        <v>Kläranlagen</v>
      </c>
    </row>
    <row r="273" spans="1:20">
      <c r="A273" s="225" t="s">
        <v>329</v>
      </c>
      <c r="G273">
        <v>0.70699999999999996</v>
      </c>
      <c r="H273">
        <v>0.14699999999999999</v>
      </c>
      <c r="I273">
        <v>4.2674799999999999</v>
      </c>
      <c r="K273" s="35" t="e">
        <f t="shared" si="24"/>
        <v>#DIV/0!</v>
      </c>
      <c r="L273" s="312" t="e">
        <f t="shared" si="25"/>
        <v>#DIV/0!</v>
      </c>
      <c r="M273" s="310" t="e">
        <f t="shared" si="26"/>
        <v>#DIV/0!</v>
      </c>
      <c r="N273" s="310" t="e">
        <f t="shared" si="27"/>
        <v>#DIV/0!</v>
      </c>
      <c r="O273" s="91" t="e">
        <f t="shared" si="28"/>
        <v>#DIV/0!</v>
      </c>
      <c r="P273" s="62">
        <f t="shared" si="29"/>
        <v>0</v>
      </c>
      <c r="T273" s="310" t="str">
        <f>PE_aug!AP273</f>
        <v>Kläranlagen</v>
      </c>
    </row>
    <row r="274" spans="1:20">
      <c r="A274" s="225" t="s">
        <v>330</v>
      </c>
      <c r="G274">
        <v>1.016</v>
      </c>
      <c r="H274">
        <v>0.124</v>
      </c>
      <c r="I274">
        <v>16.704599999999999</v>
      </c>
      <c r="K274" s="35" t="e">
        <f t="shared" si="24"/>
        <v>#DIV/0!</v>
      </c>
      <c r="L274" s="312" t="e">
        <f t="shared" si="25"/>
        <v>#DIV/0!</v>
      </c>
      <c r="M274" s="310" t="e">
        <f t="shared" si="26"/>
        <v>#DIV/0!</v>
      </c>
      <c r="N274" s="310" t="e">
        <f t="shared" si="27"/>
        <v>#DIV/0!</v>
      </c>
      <c r="O274" s="91" t="e">
        <f t="shared" si="28"/>
        <v>#DIV/0!</v>
      </c>
      <c r="P274" s="62">
        <f t="shared" si="29"/>
        <v>0</v>
      </c>
      <c r="T274" s="310" t="str">
        <f>PE_aug!AP274</f>
        <v>Kläranlagen</v>
      </c>
    </row>
    <row r="275" spans="1:20">
      <c r="A275" s="225" t="s">
        <v>331</v>
      </c>
      <c r="G275">
        <v>0.22500000000000001</v>
      </c>
      <c r="H275">
        <v>0.124</v>
      </c>
      <c r="I275">
        <v>10.55025</v>
      </c>
      <c r="K275" s="35" t="e">
        <f t="shared" si="24"/>
        <v>#DIV/0!</v>
      </c>
      <c r="L275" s="312" t="e">
        <f t="shared" si="25"/>
        <v>#DIV/0!</v>
      </c>
      <c r="M275" s="310" t="e">
        <f t="shared" si="26"/>
        <v>#DIV/0!</v>
      </c>
      <c r="N275" s="310" t="e">
        <f t="shared" si="27"/>
        <v>#DIV/0!</v>
      </c>
      <c r="O275" s="91" t="e">
        <f t="shared" si="28"/>
        <v>#DIV/0!</v>
      </c>
      <c r="P275" s="62">
        <f t="shared" si="29"/>
        <v>0</v>
      </c>
      <c r="T275" s="310" t="str">
        <f>PE_aug!AP275</f>
        <v>Kläranlagen</v>
      </c>
    </row>
    <row r="276" spans="1:20">
      <c r="A276" s="225" t="s">
        <v>332</v>
      </c>
      <c r="G276">
        <v>0.90200000000000002</v>
      </c>
      <c r="H276">
        <v>0.124</v>
      </c>
      <c r="I276">
        <v>8.4931399999999986</v>
      </c>
      <c r="K276" s="35" t="e">
        <f t="shared" si="24"/>
        <v>#DIV/0!</v>
      </c>
      <c r="L276" s="312" t="e">
        <f t="shared" si="25"/>
        <v>#DIV/0!</v>
      </c>
      <c r="M276" s="310" t="e">
        <f t="shared" si="26"/>
        <v>#DIV/0!</v>
      </c>
      <c r="N276" s="310" t="e">
        <f t="shared" si="27"/>
        <v>#DIV/0!</v>
      </c>
      <c r="O276" s="91" t="e">
        <f t="shared" si="28"/>
        <v>#DIV/0!</v>
      </c>
      <c r="P276" s="62">
        <f t="shared" si="29"/>
        <v>0</v>
      </c>
      <c r="T276" s="310" t="str">
        <f>PE_aug!AP276</f>
        <v>Kläranlagen</v>
      </c>
    </row>
    <row r="277" spans="1:20">
      <c r="A277" s="225" t="s">
        <v>333</v>
      </c>
      <c r="G277">
        <v>0.97099999999999997</v>
      </c>
      <c r="H277">
        <v>9.8000000000000004E-2</v>
      </c>
      <c r="I277">
        <v>8.8784799999999997</v>
      </c>
      <c r="K277" s="35" t="e">
        <f t="shared" si="24"/>
        <v>#DIV/0!</v>
      </c>
      <c r="L277" s="312" t="e">
        <f t="shared" si="25"/>
        <v>#DIV/0!</v>
      </c>
      <c r="M277" s="310" t="e">
        <f t="shared" si="26"/>
        <v>#DIV/0!</v>
      </c>
      <c r="N277" s="310" t="e">
        <f t="shared" si="27"/>
        <v>#DIV/0!</v>
      </c>
      <c r="O277" s="91" t="e">
        <f t="shared" si="28"/>
        <v>#DIV/0!</v>
      </c>
      <c r="P277" s="62">
        <f t="shared" si="29"/>
        <v>0</v>
      </c>
      <c r="T277" s="310" t="str">
        <f>PE_aug!AP277</f>
        <v>KWS, Schlamm</v>
      </c>
    </row>
    <row r="278" spans="1:20">
      <c r="A278" s="225" t="s">
        <v>334</v>
      </c>
      <c r="G278">
        <v>0.54800000000000004</v>
      </c>
      <c r="H278">
        <v>9.8000000000000004E-2</v>
      </c>
      <c r="I278">
        <v>13.416</v>
      </c>
      <c r="K278" s="35" t="e">
        <f t="shared" si="24"/>
        <v>#DIV/0!</v>
      </c>
      <c r="L278" s="312" t="e">
        <f t="shared" si="25"/>
        <v>#DIV/0!</v>
      </c>
      <c r="M278" s="310" t="e">
        <f t="shared" si="26"/>
        <v>#DIV/0!</v>
      </c>
      <c r="N278" s="310" t="e">
        <f t="shared" si="27"/>
        <v>#DIV/0!</v>
      </c>
      <c r="O278" s="91" t="e">
        <f t="shared" si="28"/>
        <v>#DIV/0!</v>
      </c>
      <c r="P278" s="62">
        <f t="shared" si="29"/>
        <v>0</v>
      </c>
      <c r="T278" s="310" t="str">
        <f>PE_aug!AP278</f>
        <v>KWS, Schlamm</v>
      </c>
    </row>
    <row r="279" spans="1:20">
      <c r="A279" s="225" t="s">
        <v>335</v>
      </c>
      <c r="G279">
        <v>0.66600000000000004</v>
      </c>
      <c r="H279">
        <v>9.8000000000000004E-2</v>
      </c>
      <c r="I279">
        <v>12.52145</v>
      </c>
      <c r="K279" s="35" t="e">
        <f t="shared" si="24"/>
        <v>#DIV/0!</v>
      </c>
      <c r="L279" s="312" t="e">
        <f t="shared" si="25"/>
        <v>#DIV/0!</v>
      </c>
      <c r="M279" s="310" t="e">
        <f t="shared" si="26"/>
        <v>#DIV/0!</v>
      </c>
      <c r="N279" s="310" t="e">
        <f t="shared" si="27"/>
        <v>#DIV/0!</v>
      </c>
      <c r="O279" s="91" t="e">
        <f t="shared" si="28"/>
        <v>#DIV/0!</v>
      </c>
      <c r="P279" s="62">
        <f t="shared" si="29"/>
        <v>0</v>
      </c>
      <c r="T279" s="310" t="str">
        <f>PE_aug!AP279</f>
        <v>KWS, Schlamm</v>
      </c>
    </row>
    <row r="280" spans="1:20">
      <c r="A280" s="225" t="s">
        <v>336</v>
      </c>
      <c r="G280">
        <v>0.71199999999999997</v>
      </c>
      <c r="H280">
        <v>0.10199999999999999</v>
      </c>
      <c r="I280">
        <v>6.3610100000000003</v>
      </c>
      <c r="K280" s="35" t="e">
        <f t="shared" si="24"/>
        <v>#DIV/0!</v>
      </c>
      <c r="L280" s="312" t="e">
        <f t="shared" si="25"/>
        <v>#DIV/0!</v>
      </c>
      <c r="M280" s="310" t="e">
        <f t="shared" si="26"/>
        <v>#DIV/0!</v>
      </c>
      <c r="N280" s="310" t="e">
        <f t="shared" si="27"/>
        <v>#DIV/0!</v>
      </c>
      <c r="O280" s="91" t="e">
        <f t="shared" si="28"/>
        <v>#DIV/0!</v>
      </c>
      <c r="P280" s="62">
        <f t="shared" si="29"/>
        <v>0</v>
      </c>
      <c r="T280" s="310" t="str">
        <f>PE_aug!AP280</f>
        <v>Kläranlagen</v>
      </c>
    </row>
    <row r="281" spans="1:20">
      <c r="A281" s="225" t="s">
        <v>337</v>
      </c>
      <c r="G281">
        <v>0.52700000000000002</v>
      </c>
      <c r="H281">
        <v>0.10199999999999999</v>
      </c>
      <c r="I281">
        <v>6.8360700000000003</v>
      </c>
      <c r="K281" s="35" t="e">
        <f t="shared" si="24"/>
        <v>#DIV/0!</v>
      </c>
      <c r="L281" s="312" t="e">
        <f t="shared" si="25"/>
        <v>#DIV/0!</v>
      </c>
      <c r="M281" s="310" t="e">
        <f t="shared" si="26"/>
        <v>#DIV/0!</v>
      </c>
      <c r="N281" s="310" t="e">
        <f t="shared" si="27"/>
        <v>#DIV/0!</v>
      </c>
      <c r="O281" s="91" t="e">
        <f t="shared" si="28"/>
        <v>#DIV/0!</v>
      </c>
      <c r="P281" s="62">
        <f t="shared" si="29"/>
        <v>0</v>
      </c>
      <c r="T281" s="310" t="str">
        <f>PE_aug!AP281</f>
        <v>Kläranlagen</v>
      </c>
    </row>
    <row r="282" spans="1:20">
      <c r="A282" s="225" t="s">
        <v>338</v>
      </c>
      <c r="G282">
        <v>0.98899999999999999</v>
      </c>
      <c r="H282">
        <v>0.10199999999999999</v>
      </c>
      <c r="I282">
        <v>9.666640000000001</v>
      </c>
      <c r="K282" s="35" t="e">
        <f t="shared" si="24"/>
        <v>#DIV/0!</v>
      </c>
      <c r="L282" s="312" t="e">
        <f t="shared" si="25"/>
        <v>#DIV/0!</v>
      </c>
      <c r="M282" s="310" t="e">
        <f t="shared" si="26"/>
        <v>#DIV/0!</v>
      </c>
      <c r="N282" s="310" t="e">
        <f t="shared" si="27"/>
        <v>#DIV/0!</v>
      </c>
      <c r="O282" s="91" t="e">
        <f t="shared" si="28"/>
        <v>#DIV/0!</v>
      </c>
      <c r="P282" s="62">
        <f t="shared" si="29"/>
        <v>0</v>
      </c>
      <c r="T282" s="310" t="str">
        <f>PE_aug!AP282</f>
        <v>Kläranlagen</v>
      </c>
    </row>
    <row r="283" spans="1:20">
      <c r="A283" s="225" t="s">
        <v>339</v>
      </c>
      <c r="G283">
        <v>0.70699999999999996</v>
      </c>
      <c r="H283">
        <v>3.9E-2</v>
      </c>
      <c r="I283">
        <v>7.4099700000000004</v>
      </c>
      <c r="K283" s="35" t="e">
        <f t="shared" si="24"/>
        <v>#DIV/0!</v>
      </c>
      <c r="L283" s="312" t="e">
        <f t="shared" si="25"/>
        <v>#DIV/0!</v>
      </c>
      <c r="M283" s="310" t="e">
        <f t="shared" si="26"/>
        <v>#DIV/0!</v>
      </c>
      <c r="N283" s="310" t="e">
        <f t="shared" si="27"/>
        <v>#DIV/0!</v>
      </c>
      <c r="O283" s="91" t="e">
        <f t="shared" si="28"/>
        <v>#DIV/0!</v>
      </c>
      <c r="P283" s="62">
        <f t="shared" si="29"/>
        <v>0</v>
      </c>
      <c r="T283" s="310" t="str">
        <f>PE_aug!AP283</f>
        <v>Kläranlagen</v>
      </c>
    </row>
    <row r="284" spans="1:20">
      <c r="A284" s="225" t="s">
        <v>340</v>
      </c>
      <c r="G284">
        <v>0.70699999999999996</v>
      </c>
      <c r="H284">
        <v>3.9E-2</v>
      </c>
      <c r="I284">
        <v>8.2233499999999999</v>
      </c>
      <c r="K284" s="35" t="e">
        <f t="shared" si="24"/>
        <v>#DIV/0!</v>
      </c>
      <c r="L284" s="312" t="e">
        <f t="shared" si="25"/>
        <v>#DIV/0!</v>
      </c>
      <c r="M284" s="310" t="e">
        <f t="shared" si="26"/>
        <v>#DIV/0!</v>
      </c>
      <c r="N284" s="310" t="e">
        <f t="shared" si="27"/>
        <v>#DIV/0!</v>
      </c>
      <c r="O284" s="91" t="e">
        <f t="shared" si="28"/>
        <v>#DIV/0!</v>
      </c>
      <c r="P284" s="62">
        <f t="shared" si="29"/>
        <v>0</v>
      </c>
      <c r="T284" s="310" t="str">
        <f>PE_aug!AP284</f>
        <v>Kläranlagen</v>
      </c>
    </row>
    <row r="285" spans="1:20">
      <c r="A285" s="226" t="s">
        <v>560</v>
      </c>
      <c r="G285">
        <v>0.65800000000000003</v>
      </c>
      <c r="H285">
        <v>5.3999999999999999E-2</v>
      </c>
      <c r="I285">
        <v>12.948399999999999</v>
      </c>
      <c r="K285" s="35" t="e">
        <f t="shared" si="24"/>
        <v>#DIV/0!</v>
      </c>
      <c r="L285" s="312" t="e">
        <f t="shared" si="25"/>
        <v>#DIV/0!</v>
      </c>
      <c r="M285" s="310" t="e">
        <f t="shared" si="26"/>
        <v>#DIV/0!</v>
      </c>
      <c r="N285" s="310" t="e">
        <f t="shared" si="27"/>
        <v>#DIV/0!</v>
      </c>
      <c r="O285" s="91" t="e">
        <f t="shared" si="28"/>
        <v>#DIV/0!</v>
      </c>
      <c r="P285" s="62">
        <f t="shared" si="29"/>
        <v>0</v>
      </c>
      <c r="T285" s="310" t="str">
        <f>PE_aug!AP285</f>
        <v>Ringversuch</v>
      </c>
    </row>
    <row r="286" spans="1:20">
      <c r="A286" s="226" t="s">
        <v>561</v>
      </c>
      <c r="G286">
        <v>0.54</v>
      </c>
      <c r="H286">
        <v>5.3999999999999999E-2</v>
      </c>
      <c r="I286">
        <v>12.1568</v>
      </c>
      <c r="K286" s="35" t="e">
        <f t="shared" si="24"/>
        <v>#DIV/0!</v>
      </c>
      <c r="L286" s="312" t="e">
        <f t="shared" si="25"/>
        <v>#DIV/0!</v>
      </c>
      <c r="M286" s="310" t="e">
        <f t="shared" si="26"/>
        <v>#DIV/0!</v>
      </c>
      <c r="N286" s="310" t="e">
        <f t="shared" si="27"/>
        <v>#DIV/0!</v>
      </c>
      <c r="O286" s="91" t="e">
        <f t="shared" si="28"/>
        <v>#DIV/0!</v>
      </c>
      <c r="P286" s="62">
        <f t="shared" si="29"/>
        <v>0</v>
      </c>
      <c r="T286" s="310" t="str">
        <f>PE_aug!AP286</f>
        <v>Ringversuch</v>
      </c>
    </row>
    <row r="287" spans="1:20">
      <c r="A287" s="226" t="s">
        <v>562</v>
      </c>
      <c r="G287">
        <v>1.002</v>
      </c>
      <c r="H287">
        <v>5.3999999999999999E-2</v>
      </c>
      <c r="I287">
        <v>10.7057</v>
      </c>
      <c r="K287" s="35" t="e">
        <f t="shared" si="24"/>
        <v>#DIV/0!</v>
      </c>
      <c r="L287" s="312" t="e">
        <f t="shared" si="25"/>
        <v>#DIV/0!</v>
      </c>
      <c r="M287" s="310" t="e">
        <f t="shared" si="26"/>
        <v>#DIV/0!</v>
      </c>
      <c r="N287" s="310" t="e">
        <f t="shared" si="27"/>
        <v>#DIV/0!</v>
      </c>
      <c r="O287" s="91" t="e">
        <f t="shared" si="28"/>
        <v>#DIV/0!</v>
      </c>
      <c r="P287" s="62">
        <f t="shared" si="29"/>
        <v>0</v>
      </c>
      <c r="T287" s="310" t="str">
        <f>PE_aug!AP287</f>
        <v>Ringversuch</v>
      </c>
    </row>
    <row r="288" spans="1:20">
      <c r="A288" s="226" t="s">
        <v>563</v>
      </c>
      <c r="I288">
        <v>3.8606199999999991</v>
      </c>
      <c r="K288" s="35" t="e">
        <f t="shared" si="24"/>
        <v>#DIV/0!</v>
      </c>
      <c r="L288" s="312" t="e">
        <f t="shared" si="25"/>
        <v>#DIV/0!</v>
      </c>
      <c r="M288" s="310" t="e">
        <f t="shared" si="26"/>
        <v>#DIV/0!</v>
      </c>
      <c r="N288" s="310" t="e">
        <f t="shared" si="27"/>
        <v>#DIV/0!</v>
      </c>
      <c r="O288" s="91" t="e">
        <f t="shared" si="28"/>
        <v>#DIV/0!</v>
      </c>
      <c r="P288" s="62">
        <f t="shared" si="29"/>
        <v>0</v>
      </c>
      <c r="T288" s="310" t="str">
        <f>PE_aug!AP288</f>
        <v>Ringversuch</v>
      </c>
    </row>
    <row r="289" spans="1:20">
      <c r="A289" s="226" t="s">
        <v>564</v>
      </c>
      <c r="I289">
        <v>4.9999699999999994</v>
      </c>
      <c r="K289" s="35" t="e">
        <f t="shared" si="24"/>
        <v>#DIV/0!</v>
      </c>
      <c r="L289" s="312" t="e">
        <f t="shared" si="25"/>
        <v>#DIV/0!</v>
      </c>
      <c r="M289" s="310" t="e">
        <f t="shared" si="26"/>
        <v>#DIV/0!</v>
      </c>
      <c r="N289" s="310" t="e">
        <f t="shared" si="27"/>
        <v>#DIV/0!</v>
      </c>
      <c r="O289" s="91" t="e">
        <f t="shared" si="28"/>
        <v>#DIV/0!</v>
      </c>
      <c r="P289" s="62">
        <f t="shared" si="29"/>
        <v>0</v>
      </c>
      <c r="R289" s="313">
        <v>4.4499999999999998E-2</v>
      </c>
      <c r="T289" s="310" t="str">
        <f>PE_aug!AP289</f>
        <v>Ringversuch</v>
      </c>
    </row>
    <row r="290" spans="1:20">
      <c r="A290" s="226" t="s">
        <v>565</v>
      </c>
      <c r="I290">
        <v>2.4472399999999999</v>
      </c>
      <c r="K290" s="35" t="e">
        <f t="shared" si="24"/>
        <v>#DIV/0!</v>
      </c>
      <c r="L290" s="312" t="e">
        <f t="shared" si="25"/>
        <v>#DIV/0!</v>
      </c>
      <c r="M290" s="310" t="e">
        <f t="shared" si="26"/>
        <v>#DIV/0!</v>
      </c>
      <c r="N290" s="310" t="e">
        <f t="shared" si="27"/>
        <v>#DIV/0!</v>
      </c>
      <c r="O290" s="91" t="e">
        <f t="shared" si="28"/>
        <v>#DIV/0!</v>
      </c>
      <c r="P290" s="62">
        <f t="shared" si="29"/>
        <v>0</v>
      </c>
      <c r="T290" s="310" t="str">
        <f>PE_aug!AP290</f>
        <v>Ringversuch</v>
      </c>
    </row>
    <row r="291" spans="1:20">
      <c r="A291" s="226" t="s">
        <v>566</v>
      </c>
      <c r="I291">
        <v>5.4399699999999998</v>
      </c>
      <c r="K291" s="35" t="e">
        <f t="shared" si="24"/>
        <v>#DIV/0!</v>
      </c>
      <c r="L291" s="312" t="e">
        <f t="shared" si="25"/>
        <v>#DIV/0!</v>
      </c>
      <c r="M291" s="310" t="e">
        <f t="shared" si="26"/>
        <v>#DIV/0!</v>
      </c>
      <c r="N291" s="310" t="e">
        <f t="shared" si="27"/>
        <v>#DIV/0!</v>
      </c>
      <c r="O291" s="91" t="e">
        <f t="shared" si="28"/>
        <v>#DIV/0!</v>
      </c>
      <c r="P291" s="62">
        <f t="shared" si="29"/>
        <v>0</v>
      </c>
      <c r="T291" s="310" t="str">
        <f>PE_aug!AP291</f>
        <v>Ringversuch</v>
      </c>
    </row>
    <row r="292" spans="1:20">
      <c r="A292" s="226" t="s">
        <v>567</v>
      </c>
      <c r="I292">
        <v>3.875</v>
      </c>
      <c r="K292" s="35" t="e">
        <f t="shared" si="24"/>
        <v>#DIV/0!</v>
      </c>
      <c r="L292" s="312" t="e">
        <f t="shared" si="25"/>
        <v>#DIV/0!</v>
      </c>
      <c r="M292" s="310" t="e">
        <f t="shared" si="26"/>
        <v>#DIV/0!</v>
      </c>
      <c r="N292" s="310" t="e">
        <f t="shared" si="27"/>
        <v>#DIV/0!</v>
      </c>
      <c r="O292" s="91" t="e">
        <f t="shared" si="28"/>
        <v>#DIV/0!</v>
      </c>
      <c r="P292" s="62">
        <f t="shared" si="29"/>
        <v>0</v>
      </c>
      <c r="T292" s="310" t="str">
        <f>PE_aug!AP292</f>
        <v>Ringversuch</v>
      </c>
    </row>
    <row r="293" spans="1:20">
      <c r="A293" s="226" t="s">
        <v>350</v>
      </c>
      <c r="I293">
        <v>4.3691700000000004</v>
      </c>
      <c r="K293" s="35" t="e">
        <f t="shared" si="24"/>
        <v>#DIV/0!</v>
      </c>
      <c r="L293" s="312" t="e">
        <f t="shared" si="25"/>
        <v>#DIV/0!</v>
      </c>
      <c r="M293" s="310" t="e">
        <f t="shared" si="26"/>
        <v>#DIV/0!</v>
      </c>
      <c r="N293" s="310" t="e">
        <f t="shared" si="27"/>
        <v>#DIV/0!</v>
      </c>
      <c r="O293" s="91" t="e">
        <f t="shared" si="28"/>
        <v>#DIV/0!</v>
      </c>
      <c r="P293" s="62">
        <f t="shared" si="29"/>
        <v>0</v>
      </c>
      <c r="T293" s="310" t="str">
        <f>PE_aug!AP293</f>
        <v>Kläranlagen, Methode</v>
      </c>
    </row>
    <row r="294" spans="1:20">
      <c r="A294" s="226" t="s">
        <v>351</v>
      </c>
      <c r="G294">
        <v>0.70699999999999996</v>
      </c>
      <c r="H294">
        <v>3.9E-2</v>
      </c>
      <c r="I294">
        <v>3.71591</v>
      </c>
      <c r="K294" s="35" t="e">
        <f t="shared" si="24"/>
        <v>#DIV/0!</v>
      </c>
      <c r="L294" s="312" t="e">
        <f t="shared" si="25"/>
        <v>#DIV/0!</v>
      </c>
      <c r="M294" s="310" t="e">
        <f t="shared" si="26"/>
        <v>#DIV/0!</v>
      </c>
      <c r="N294" s="310" t="e">
        <f t="shared" si="27"/>
        <v>#DIV/0!</v>
      </c>
      <c r="O294" s="91" t="e">
        <f t="shared" si="28"/>
        <v>#DIV/0!</v>
      </c>
      <c r="P294" s="62">
        <f t="shared" si="29"/>
        <v>0</v>
      </c>
      <c r="T294" s="310" t="str">
        <f>PE_aug!AP294</f>
        <v>KWB</v>
      </c>
    </row>
    <row r="295" spans="1:20">
      <c r="A295" s="226" t="s">
        <v>352</v>
      </c>
      <c r="G295">
        <v>0.70699999999999996</v>
      </c>
      <c r="H295">
        <v>3.9E-2</v>
      </c>
      <c r="I295">
        <v>3.9680499999999999</v>
      </c>
      <c r="K295" s="35" t="e">
        <f t="shared" si="24"/>
        <v>#DIV/0!</v>
      </c>
      <c r="L295" s="312" t="e">
        <f t="shared" si="25"/>
        <v>#DIV/0!</v>
      </c>
      <c r="M295" s="310" t="e">
        <f t="shared" si="26"/>
        <v>#DIV/0!</v>
      </c>
      <c r="N295" s="310" t="e">
        <f t="shared" si="27"/>
        <v>#DIV/0!</v>
      </c>
      <c r="O295" s="91" t="e">
        <f t="shared" si="28"/>
        <v>#DIV/0!</v>
      </c>
      <c r="P295" s="62">
        <f t="shared" si="29"/>
        <v>0</v>
      </c>
      <c r="T295" s="310" t="str">
        <f>PE_aug!AP295</f>
        <v>KWB</v>
      </c>
    </row>
    <row r="296" spans="1:20">
      <c r="A296" s="226" t="s">
        <v>353</v>
      </c>
      <c r="G296">
        <v>0.70699999999999996</v>
      </c>
      <c r="H296">
        <v>2.492</v>
      </c>
      <c r="I296">
        <v>1.542055</v>
      </c>
      <c r="J296">
        <v>0.15</v>
      </c>
      <c r="K296" s="35" t="e">
        <f t="shared" si="24"/>
        <v>#DIV/0!</v>
      </c>
      <c r="L296" s="312" t="e">
        <f t="shared" si="25"/>
        <v>#DIV/0!</v>
      </c>
      <c r="M296" s="310" t="e">
        <f t="shared" si="26"/>
        <v>#DIV/0!</v>
      </c>
      <c r="N296" s="310" t="e">
        <f t="shared" si="27"/>
        <v>#DIV/0!</v>
      </c>
      <c r="O296" s="91" t="e">
        <f t="shared" si="28"/>
        <v>#DIV/0!</v>
      </c>
      <c r="P296" s="62">
        <f t="shared" si="29"/>
        <v>0</v>
      </c>
      <c r="T296" s="310" t="str">
        <f>PE_aug!AP296</f>
        <v>Bodenproben</v>
      </c>
    </row>
    <row r="297" spans="1:20">
      <c r="A297" s="226" t="s">
        <v>355</v>
      </c>
      <c r="E297">
        <v>85.51</v>
      </c>
      <c r="G297">
        <v>0.70699999999999996</v>
      </c>
      <c r="H297">
        <v>2.492</v>
      </c>
      <c r="I297">
        <v>0.66962800000000011</v>
      </c>
      <c r="J297">
        <v>0</v>
      </c>
      <c r="K297" s="35">
        <f t="shared" si="24"/>
        <v>0.5</v>
      </c>
      <c r="L297" s="312">
        <f t="shared" si="25"/>
        <v>0.25</v>
      </c>
      <c r="M297" s="310">
        <f t="shared" si="26"/>
        <v>85.51</v>
      </c>
      <c r="N297" s="310">
        <f t="shared" si="27"/>
        <v>0</v>
      </c>
      <c r="O297" s="91">
        <f t="shared" si="28"/>
        <v>85.51</v>
      </c>
      <c r="P297" s="62">
        <f t="shared" si="29"/>
        <v>127.69776652111319</v>
      </c>
      <c r="T297" s="310" t="str">
        <f>PE_aug!AP297</f>
        <v>Bodenproben</v>
      </c>
    </row>
    <row r="298" spans="1:20">
      <c r="A298" s="226" t="s">
        <v>356</v>
      </c>
      <c r="G298">
        <v>0.749</v>
      </c>
      <c r="H298">
        <v>2.9000000000000001E-2</v>
      </c>
      <c r="I298">
        <v>6.9847100000000006</v>
      </c>
      <c r="K298" s="35" t="e">
        <f t="shared" si="24"/>
        <v>#DIV/0!</v>
      </c>
      <c r="L298" s="312" t="e">
        <f t="shared" si="25"/>
        <v>#DIV/0!</v>
      </c>
      <c r="M298" s="310" t="e">
        <f t="shared" si="26"/>
        <v>#DIV/0!</v>
      </c>
      <c r="N298" s="310" t="e">
        <f t="shared" si="27"/>
        <v>#DIV/0!</v>
      </c>
      <c r="O298" s="91" t="e">
        <f t="shared" si="28"/>
        <v>#DIV/0!</v>
      </c>
      <c r="P298" s="62">
        <f t="shared" si="29"/>
        <v>0</v>
      </c>
      <c r="T298" s="310" t="str">
        <f>PE_aug!AP298</f>
        <v>Kläranlagen</v>
      </c>
    </row>
    <row r="299" spans="1:20">
      <c r="A299" s="226" t="s">
        <v>357</v>
      </c>
      <c r="G299">
        <v>0.59899999999999998</v>
      </c>
      <c r="H299">
        <v>2.9000000000000001E-2</v>
      </c>
      <c r="I299">
        <v>7.3604950000000002</v>
      </c>
      <c r="K299" s="35" t="e">
        <f t="shared" si="24"/>
        <v>#DIV/0!</v>
      </c>
      <c r="L299" s="312" t="e">
        <f t="shared" si="25"/>
        <v>#DIV/0!</v>
      </c>
      <c r="M299" s="310" t="e">
        <f t="shared" si="26"/>
        <v>#DIV/0!</v>
      </c>
      <c r="N299" s="310" t="e">
        <f t="shared" si="27"/>
        <v>#DIV/0!</v>
      </c>
      <c r="O299" s="91" t="e">
        <f t="shared" si="28"/>
        <v>#DIV/0!</v>
      </c>
      <c r="P299" s="62">
        <f t="shared" si="29"/>
        <v>0</v>
      </c>
      <c r="T299" s="310" t="str">
        <f>PE_aug!AP299</f>
        <v>Kläranlagen</v>
      </c>
    </row>
    <row r="300" spans="1:20">
      <c r="A300" s="226" t="s">
        <v>358</v>
      </c>
      <c r="G300">
        <v>0.88700000000000001</v>
      </c>
      <c r="H300">
        <v>2.9000000000000001E-2</v>
      </c>
      <c r="I300">
        <v>7.2579799999999999</v>
      </c>
      <c r="K300" s="35" t="e">
        <f t="shared" si="24"/>
        <v>#DIV/0!</v>
      </c>
      <c r="L300" s="312" t="e">
        <f t="shared" si="25"/>
        <v>#DIV/0!</v>
      </c>
      <c r="M300" s="310" t="e">
        <f t="shared" si="26"/>
        <v>#DIV/0!</v>
      </c>
      <c r="N300" s="310" t="e">
        <f t="shared" si="27"/>
        <v>#DIV/0!</v>
      </c>
      <c r="O300" s="91" t="e">
        <f t="shared" si="28"/>
        <v>#DIV/0!</v>
      </c>
      <c r="P300" s="62">
        <f t="shared" si="29"/>
        <v>0</v>
      </c>
      <c r="T300" s="310" t="str">
        <f>PE_aug!AP300</f>
        <v>Kläranlagen</v>
      </c>
    </row>
    <row r="301" spans="1:20">
      <c r="A301" s="226" t="s">
        <v>359</v>
      </c>
      <c r="I301">
        <v>7.8634899999999996</v>
      </c>
      <c r="K301" s="35" t="e">
        <f t="shared" si="24"/>
        <v>#DIV/0!</v>
      </c>
      <c r="L301" s="312" t="e">
        <f t="shared" si="25"/>
        <v>#DIV/0!</v>
      </c>
      <c r="M301" s="310" t="e">
        <f t="shared" si="26"/>
        <v>#DIV/0!</v>
      </c>
      <c r="N301" s="310" t="e">
        <f t="shared" si="27"/>
        <v>#DIV/0!</v>
      </c>
      <c r="O301" s="91" t="e">
        <f t="shared" si="28"/>
        <v>#DIV/0!</v>
      </c>
      <c r="P301" s="62">
        <f t="shared" si="29"/>
        <v>0</v>
      </c>
      <c r="T301" s="310" t="str">
        <f>PE_aug!AP301</f>
        <v>Kläranlagen, Methode</v>
      </c>
    </row>
    <row r="302" spans="1:20">
      <c r="A302" s="233" t="s">
        <v>360</v>
      </c>
      <c r="G302">
        <v>0.54</v>
      </c>
      <c r="H302">
        <v>5.3999999999999999E-2</v>
      </c>
      <c r="I302">
        <v>12.1568</v>
      </c>
      <c r="K302" s="35" t="e">
        <f t="shared" si="24"/>
        <v>#DIV/0!</v>
      </c>
      <c r="L302" s="312" t="e">
        <f t="shared" si="25"/>
        <v>#DIV/0!</v>
      </c>
      <c r="M302" s="310" t="e">
        <f t="shared" si="26"/>
        <v>#DIV/0!</v>
      </c>
      <c r="N302" s="310" t="e">
        <f t="shared" si="27"/>
        <v>#DIV/0!</v>
      </c>
      <c r="O302" s="91" t="e">
        <f t="shared" si="28"/>
        <v>#DIV/0!</v>
      </c>
      <c r="P302" s="62">
        <f t="shared" si="29"/>
        <v>0</v>
      </c>
      <c r="T302" s="310" t="str">
        <f>PE_aug!AP302</f>
        <v>Ringversuch</v>
      </c>
    </row>
    <row r="303" spans="1:20">
      <c r="A303" s="233" t="s">
        <v>361</v>
      </c>
      <c r="G303">
        <v>1.002</v>
      </c>
      <c r="H303">
        <v>5.3999999999999999E-2</v>
      </c>
      <c r="I303">
        <v>10.7057</v>
      </c>
      <c r="K303" s="35" t="e">
        <f t="shared" si="24"/>
        <v>#DIV/0!</v>
      </c>
      <c r="L303" s="312" t="e">
        <f t="shared" si="25"/>
        <v>#DIV/0!</v>
      </c>
      <c r="M303" s="310" t="e">
        <f t="shared" si="26"/>
        <v>#DIV/0!</v>
      </c>
      <c r="N303" s="310" t="e">
        <f t="shared" si="27"/>
        <v>#DIV/0!</v>
      </c>
      <c r="O303" s="91" t="e">
        <f t="shared" si="28"/>
        <v>#DIV/0!</v>
      </c>
      <c r="P303" s="62">
        <f t="shared" si="29"/>
        <v>0</v>
      </c>
      <c r="T303" s="310" t="str">
        <f>PE_aug!AP303</f>
        <v>Ringversuch</v>
      </c>
    </row>
    <row r="304" spans="1:20">
      <c r="A304" s="233" t="s">
        <v>362</v>
      </c>
      <c r="H304" s="307"/>
      <c r="I304">
        <v>3.8606199999999991</v>
      </c>
      <c r="J304">
        <v>0.46</v>
      </c>
      <c r="K304" s="35" t="e">
        <f t="shared" si="24"/>
        <v>#DIV/0!</v>
      </c>
      <c r="L304" s="312" t="e">
        <f t="shared" si="25"/>
        <v>#DIV/0!</v>
      </c>
      <c r="M304" s="310" t="e">
        <f t="shared" si="26"/>
        <v>#DIV/0!</v>
      </c>
      <c r="N304" s="310" t="e">
        <f t="shared" si="27"/>
        <v>#DIV/0!</v>
      </c>
      <c r="O304" s="91" t="e">
        <f t="shared" si="28"/>
        <v>#DIV/0!</v>
      </c>
      <c r="P304" s="62">
        <f t="shared" si="29"/>
        <v>0</v>
      </c>
      <c r="T304" s="310" t="str">
        <f>PE_aug!AP304</f>
        <v>Ringversuch</v>
      </c>
    </row>
    <row r="305" spans="1:20">
      <c r="A305" s="233" t="s">
        <v>363</v>
      </c>
      <c r="D305">
        <v>69.11</v>
      </c>
      <c r="H305" s="307"/>
      <c r="I305">
        <v>4.9999699999999994</v>
      </c>
      <c r="J305">
        <v>0.67</v>
      </c>
      <c r="K305" s="35">
        <f t="shared" si="24"/>
        <v>0.5</v>
      </c>
      <c r="L305" s="312">
        <f t="shared" si="25"/>
        <v>0.58499999999999996</v>
      </c>
      <c r="M305" s="310">
        <f t="shared" si="26"/>
        <v>69.11</v>
      </c>
      <c r="N305" s="310">
        <f t="shared" si="27"/>
        <v>0</v>
      </c>
      <c r="O305" s="91">
        <f t="shared" si="28"/>
        <v>69.11</v>
      </c>
      <c r="P305" s="62">
        <f t="shared" si="29"/>
        <v>13.822082932497597</v>
      </c>
      <c r="R305" s="313">
        <v>4.4499999999999998E-2</v>
      </c>
      <c r="S305" s="203">
        <f>100*D305/(R305*1000)</f>
        <v>155.30337078651687</v>
      </c>
      <c r="T305" s="310" t="str">
        <f>PE_aug!AP305</f>
        <v>Ringversuch</v>
      </c>
    </row>
    <row r="306" spans="1:20">
      <c r="A306" s="233" t="s">
        <v>364</v>
      </c>
      <c r="H306" s="307"/>
      <c r="I306">
        <v>2.4472399999999999</v>
      </c>
      <c r="J306">
        <v>0.69</v>
      </c>
      <c r="K306" s="35" t="e">
        <f t="shared" si="24"/>
        <v>#DIV/0!</v>
      </c>
      <c r="L306" s="312" t="e">
        <f t="shared" si="25"/>
        <v>#DIV/0!</v>
      </c>
      <c r="M306" s="310" t="e">
        <f t="shared" si="26"/>
        <v>#DIV/0!</v>
      </c>
      <c r="N306" s="310" t="e">
        <f t="shared" si="27"/>
        <v>#DIV/0!</v>
      </c>
      <c r="O306" s="91" t="e">
        <f t="shared" si="28"/>
        <v>#DIV/0!</v>
      </c>
      <c r="P306" s="62">
        <f t="shared" si="29"/>
        <v>0</v>
      </c>
      <c r="T306" s="310" t="str">
        <f>PE_aug!AP306</f>
        <v>Ringversuch</v>
      </c>
    </row>
    <row r="307" spans="1:20">
      <c r="A307" s="233" t="s">
        <v>365</v>
      </c>
      <c r="H307" s="307"/>
      <c r="I307">
        <v>5.4399699999999998</v>
      </c>
      <c r="K307" s="35" t="e">
        <f t="shared" si="24"/>
        <v>#DIV/0!</v>
      </c>
      <c r="L307" s="312" t="e">
        <f t="shared" si="25"/>
        <v>#DIV/0!</v>
      </c>
      <c r="M307" s="310" t="e">
        <f t="shared" si="26"/>
        <v>#DIV/0!</v>
      </c>
      <c r="N307" s="310" t="e">
        <f t="shared" si="27"/>
        <v>#DIV/0!</v>
      </c>
      <c r="O307" s="91" t="e">
        <f t="shared" si="28"/>
        <v>#DIV/0!</v>
      </c>
      <c r="P307" s="62">
        <f t="shared" si="29"/>
        <v>0</v>
      </c>
      <c r="T307" s="310" t="str">
        <f>PE_aug!AP307</f>
        <v>Ringversuch</v>
      </c>
    </row>
    <row r="308" spans="1:20">
      <c r="A308" s="233" t="s">
        <v>366</v>
      </c>
      <c r="H308" s="307"/>
      <c r="I308">
        <v>3.875</v>
      </c>
      <c r="K308" s="35" t="e">
        <f t="shared" si="24"/>
        <v>#DIV/0!</v>
      </c>
      <c r="L308" s="312" t="e">
        <f t="shared" si="25"/>
        <v>#DIV/0!</v>
      </c>
      <c r="M308" s="310" t="e">
        <f t="shared" si="26"/>
        <v>#DIV/0!</v>
      </c>
      <c r="N308" s="310" t="e">
        <f t="shared" si="27"/>
        <v>#DIV/0!</v>
      </c>
      <c r="O308" s="91" t="e">
        <f t="shared" si="28"/>
        <v>#DIV/0!</v>
      </c>
      <c r="P308" s="62">
        <f t="shared" si="29"/>
        <v>0</v>
      </c>
      <c r="T308" s="310" t="str">
        <f>PE_aug!AP308</f>
        <v>Ringversuch</v>
      </c>
    </row>
    <row r="309" spans="1:20">
      <c r="A309" s="251" t="s">
        <v>367</v>
      </c>
      <c r="G309">
        <v>1.091</v>
      </c>
      <c r="H309">
        <v>6.7000000000000004E-2</v>
      </c>
      <c r="I309">
        <v>9.286525000000001</v>
      </c>
      <c r="K309" s="35" t="e">
        <f t="shared" si="24"/>
        <v>#DIV/0!</v>
      </c>
      <c r="L309" s="312" t="e">
        <f t="shared" si="25"/>
        <v>#DIV/0!</v>
      </c>
      <c r="M309" s="310" t="e">
        <f t="shared" si="26"/>
        <v>#DIV/0!</v>
      </c>
      <c r="N309" s="310" t="e">
        <f t="shared" si="27"/>
        <v>#DIV/0!</v>
      </c>
      <c r="O309" s="91" t="e">
        <f t="shared" si="28"/>
        <v>#DIV/0!</v>
      </c>
      <c r="P309" s="62">
        <f t="shared" si="29"/>
        <v>0</v>
      </c>
      <c r="T309" s="310" t="str">
        <f>PE_aug!AP309</f>
        <v>Flussproben</v>
      </c>
    </row>
    <row r="310" spans="1:20">
      <c r="A310" s="251" t="s">
        <v>368</v>
      </c>
      <c r="G310">
        <v>0.60099999999999998</v>
      </c>
      <c r="H310">
        <v>6.7000000000000004E-2</v>
      </c>
      <c r="I310">
        <v>12.251099999999999</v>
      </c>
      <c r="K310" s="35" t="e">
        <f t="shared" si="24"/>
        <v>#DIV/0!</v>
      </c>
      <c r="L310" s="312" t="e">
        <f t="shared" si="25"/>
        <v>#DIV/0!</v>
      </c>
      <c r="M310" s="310" t="e">
        <f t="shared" si="26"/>
        <v>#DIV/0!</v>
      </c>
      <c r="N310" s="310" t="e">
        <f t="shared" si="27"/>
        <v>#DIV/0!</v>
      </c>
      <c r="O310" s="91" t="e">
        <f t="shared" si="28"/>
        <v>#DIV/0!</v>
      </c>
      <c r="P310" s="62">
        <f t="shared" si="29"/>
        <v>0</v>
      </c>
      <c r="T310" s="310" t="str">
        <f>PE_aug!AP310</f>
        <v>Flussproben</v>
      </c>
    </row>
    <row r="311" spans="1:20">
      <c r="A311" s="251" t="s">
        <v>369</v>
      </c>
      <c r="G311">
        <v>0.51500000000000001</v>
      </c>
      <c r="H311">
        <v>6.7000000000000004E-2</v>
      </c>
      <c r="I311">
        <v>12.615600000000001</v>
      </c>
      <c r="K311" s="35" t="e">
        <f t="shared" si="24"/>
        <v>#DIV/0!</v>
      </c>
      <c r="L311" s="312" t="e">
        <f t="shared" si="25"/>
        <v>#DIV/0!</v>
      </c>
      <c r="M311" s="310" t="e">
        <f t="shared" si="26"/>
        <v>#DIV/0!</v>
      </c>
      <c r="N311" s="310" t="e">
        <f t="shared" si="27"/>
        <v>#DIV/0!</v>
      </c>
      <c r="O311" s="91" t="e">
        <f t="shared" si="28"/>
        <v>#DIV/0!</v>
      </c>
      <c r="P311" s="62">
        <f t="shared" si="29"/>
        <v>0</v>
      </c>
      <c r="T311" s="310" t="str">
        <f>PE_aug!AP311</f>
        <v>Flussproben</v>
      </c>
    </row>
    <row r="312" spans="1:20">
      <c r="A312" s="251" t="s">
        <v>370</v>
      </c>
      <c r="G312">
        <v>0.97199999999999998</v>
      </c>
      <c r="H312">
        <v>0.105</v>
      </c>
      <c r="I312">
        <v>7.857660000000001</v>
      </c>
      <c r="K312" s="35" t="e">
        <f t="shared" si="24"/>
        <v>#DIV/0!</v>
      </c>
      <c r="L312" s="312" t="e">
        <f t="shared" si="25"/>
        <v>#DIV/0!</v>
      </c>
      <c r="M312" s="310" t="e">
        <f t="shared" si="26"/>
        <v>#DIV/0!</v>
      </c>
      <c r="N312" s="310" t="e">
        <f t="shared" si="27"/>
        <v>#DIV/0!</v>
      </c>
      <c r="O312" s="91" t="e">
        <f t="shared" si="28"/>
        <v>#DIV/0!</v>
      </c>
      <c r="P312" s="62">
        <f t="shared" si="29"/>
        <v>0</v>
      </c>
      <c r="T312" s="310" t="str">
        <f>PE_aug!AP312</f>
        <v>Flussproben</v>
      </c>
    </row>
    <row r="313" spans="1:20">
      <c r="A313" s="251" t="s">
        <v>371</v>
      </c>
      <c r="G313">
        <v>0.99399999999999999</v>
      </c>
      <c r="H313">
        <v>0.105</v>
      </c>
      <c r="I313">
        <v>14.188499999999999</v>
      </c>
      <c r="K313" s="35" t="e">
        <f t="shared" si="24"/>
        <v>#DIV/0!</v>
      </c>
      <c r="L313" s="312" t="e">
        <f t="shared" si="25"/>
        <v>#DIV/0!</v>
      </c>
      <c r="M313" s="310" t="e">
        <f t="shared" si="26"/>
        <v>#DIV/0!</v>
      </c>
      <c r="N313" s="310" t="e">
        <f t="shared" si="27"/>
        <v>#DIV/0!</v>
      </c>
      <c r="O313" s="91" t="e">
        <f t="shared" si="28"/>
        <v>#DIV/0!</v>
      </c>
      <c r="P313" s="62">
        <f t="shared" si="29"/>
        <v>0</v>
      </c>
      <c r="T313" s="310" t="str">
        <f>PE_aug!AP313</f>
        <v>Flussproben</v>
      </c>
    </row>
    <row r="314" spans="1:20">
      <c r="A314" s="251" t="s">
        <v>372</v>
      </c>
      <c r="G314">
        <v>0.1</v>
      </c>
      <c r="H314">
        <v>0.105</v>
      </c>
      <c r="I314">
        <v>11.1106</v>
      </c>
      <c r="K314" s="35" t="e">
        <f t="shared" si="24"/>
        <v>#DIV/0!</v>
      </c>
      <c r="L314" s="312" t="e">
        <f t="shared" si="25"/>
        <v>#DIV/0!</v>
      </c>
      <c r="M314" s="310" t="e">
        <f t="shared" si="26"/>
        <v>#DIV/0!</v>
      </c>
      <c r="N314" s="310" t="e">
        <f t="shared" si="27"/>
        <v>#DIV/0!</v>
      </c>
      <c r="O314" s="91" t="e">
        <f t="shared" si="28"/>
        <v>#DIV/0!</v>
      </c>
      <c r="P314" s="62">
        <f t="shared" si="29"/>
        <v>0</v>
      </c>
      <c r="T314" s="310" t="str">
        <f>PE_aug!AP314</f>
        <v>Flussproben</v>
      </c>
    </row>
    <row r="315" spans="1:20">
      <c r="A315" s="251" t="s">
        <v>373</v>
      </c>
      <c r="G315">
        <v>0.41</v>
      </c>
      <c r="H315">
        <v>2.1000000000000001E-2</v>
      </c>
      <c r="I315">
        <v>7.3926399999999992</v>
      </c>
      <c r="K315" s="35" t="e">
        <f t="shared" si="24"/>
        <v>#DIV/0!</v>
      </c>
      <c r="L315" s="312" t="e">
        <f t="shared" si="25"/>
        <v>#DIV/0!</v>
      </c>
      <c r="M315" s="310" t="e">
        <f t="shared" si="26"/>
        <v>#DIV/0!</v>
      </c>
      <c r="N315" s="310" t="e">
        <f t="shared" si="27"/>
        <v>#DIV/0!</v>
      </c>
      <c r="O315" s="91" t="e">
        <f t="shared" si="28"/>
        <v>#DIV/0!</v>
      </c>
      <c r="P315" s="62">
        <f t="shared" si="29"/>
        <v>0</v>
      </c>
      <c r="T315" s="310" t="str">
        <f>PE_aug!AP315</f>
        <v>Flussproben</v>
      </c>
    </row>
    <row r="316" spans="1:20">
      <c r="A316" s="251" t="s">
        <v>374</v>
      </c>
      <c r="G316">
        <v>0.96</v>
      </c>
      <c r="H316">
        <v>2.1000000000000001E-2</v>
      </c>
      <c r="I316">
        <v>6.2162100000000002</v>
      </c>
      <c r="K316" s="35" t="e">
        <f t="shared" si="24"/>
        <v>#DIV/0!</v>
      </c>
      <c r="L316" s="312" t="e">
        <f t="shared" si="25"/>
        <v>#DIV/0!</v>
      </c>
      <c r="M316" s="310" t="e">
        <f t="shared" si="26"/>
        <v>#DIV/0!</v>
      </c>
      <c r="N316" s="310" t="e">
        <f t="shared" si="27"/>
        <v>#DIV/0!</v>
      </c>
      <c r="O316" s="91" t="e">
        <f t="shared" si="28"/>
        <v>#DIV/0!</v>
      </c>
      <c r="P316" s="62">
        <f t="shared" si="29"/>
        <v>0</v>
      </c>
      <c r="T316" s="310" t="str">
        <f>PE_aug!AP316</f>
        <v>Flussproben</v>
      </c>
    </row>
    <row r="317" spans="1:20">
      <c r="A317" s="251" t="s">
        <v>375</v>
      </c>
      <c r="G317">
        <v>0.84199999999999997</v>
      </c>
      <c r="H317">
        <v>2.1000000000000001E-2</v>
      </c>
      <c r="I317">
        <v>7.15618</v>
      </c>
      <c r="K317" s="35" t="e">
        <f t="shared" si="24"/>
        <v>#DIV/0!</v>
      </c>
      <c r="L317" s="312" t="e">
        <f t="shared" si="25"/>
        <v>#DIV/0!</v>
      </c>
      <c r="M317" s="310" t="e">
        <f t="shared" si="26"/>
        <v>#DIV/0!</v>
      </c>
      <c r="N317" s="310" t="e">
        <f t="shared" si="27"/>
        <v>#DIV/0!</v>
      </c>
      <c r="O317" s="91" t="e">
        <f t="shared" si="28"/>
        <v>#DIV/0!</v>
      </c>
      <c r="P317" s="62">
        <f t="shared" si="29"/>
        <v>0</v>
      </c>
      <c r="T317" s="310" t="str">
        <f>PE_aug!AP317</f>
        <v>Flussproben</v>
      </c>
    </row>
    <row r="318" spans="1:20">
      <c r="A318" s="251" t="s">
        <v>376</v>
      </c>
      <c r="G318">
        <v>0.374</v>
      </c>
      <c r="H318">
        <v>4.5999999999999999E-2</v>
      </c>
      <c r="I318">
        <v>8.03186</v>
      </c>
      <c r="K318" s="35" t="e">
        <f t="shared" si="24"/>
        <v>#DIV/0!</v>
      </c>
      <c r="L318" s="312" t="e">
        <f t="shared" si="25"/>
        <v>#DIV/0!</v>
      </c>
      <c r="M318" s="310" t="e">
        <f t="shared" si="26"/>
        <v>#DIV/0!</v>
      </c>
      <c r="N318" s="310" t="e">
        <f t="shared" si="27"/>
        <v>#DIV/0!</v>
      </c>
      <c r="O318" s="91" t="e">
        <f t="shared" si="28"/>
        <v>#DIV/0!</v>
      </c>
      <c r="P318" s="62">
        <f t="shared" si="29"/>
        <v>0</v>
      </c>
      <c r="T318" s="310" t="str">
        <f>PE_aug!AP318</f>
        <v>Flussproben</v>
      </c>
    </row>
    <row r="319" spans="1:20">
      <c r="A319" s="251" t="s">
        <v>377</v>
      </c>
      <c r="G319">
        <v>0.74099999999999999</v>
      </c>
      <c r="H319">
        <v>4.5999999999999999E-2</v>
      </c>
      <c r="I319">
        <v>8.0254700000000003</v>
      </c>
      <c r="K319" s="35" t="e">
        <f t="shared" si="24"/>
        <v>#DIV/0!</v>
      </c>
      <c r="L319" s="312" t="e">
        <f t="shared" si="25"/>
        <v>#DIV/0!</v>
      </c>
      <c r="M319" s="310" t="e">
        <f t="shared" si="26"/>
        <v>#DIV/0!</v>
      </c>
      <c r="N319" s="310" t="e">
        <f t="shared" si="27"/>
        <v>#DIV/0!</v>
      </c>
      <c r="O319" s="91" t="e">
        <f t="shared" si="28"/>
        <v>#DIV/0!</v>
      </c>
      <c r="P319" s="62">
        <f t="shared" si="29"/>
        <v>0</v>
      </c>
      <c r="T319" s="310" t="str">
        <f>PE_aug!AP319</f>
        <v>Flussproben</v>
      </c>
    </row>
    <row r="320" spans="1:20">
      <c r="A320" s="251" t="s">
        <v>378</v>
      </c>
      <c r="G320">
        <v>1.087</v>
      </c>
      <c r="H320">
        <v>4.5999999999999999E-2</v>
      </c>
      <c r="I320">
        <v>6.2082499999999996</v>
      </c>
      <c r="K320" s="35" t="e">
        <f t="shared" si="24"/>
        <v>#DIV/0!</v>
      </c>
      <c r="L320" s="312" t="e">
        <f t="shared" si="25"/>
        <v>#DIV/0!</v>
      </c>
      <c r="M320" s="310" t="e">
        <f t="shared" si="26"/>
        <v>#DIV/0!</v>
      </c>
      <c r="N320" s="310" t="e">
        <f t="shared" si="27"/>
        <v>#DIV/0!</v>
      </c>
      <c r="O320" s="91" t="e">
        <f t="shared" si="28"/>
        <v>#DIV/0!</v>
      </c>
      <c r="P320" s="62">
        <f t="shared" si="29"/>
        <v>0</v>
      </c>
      <c r="T320" s="310" t="str">
        <f>PE_aug!AP320</f>
        <v>Flussproben</v>
      </c>
    </row>
    <row r="321" spans="1:20">
      <c r="A321" s="251" t="s">
        <v>379</v>
      </c>
      <c r="I321">
        <v>3.4387300000000003E-2</v>
      </c>
      <c r="K321" s="35" t="e">
        <f t="shared" si="24"/>
        <v>#DIV/0!</v>
      </c>
      <c r="L321" s="312" t="e">
        <f t="shared" si="25"/>
        <v>#DIV/0!</v>
      </c>
      <c r="M321" s="310" t="e">
        <f t="shared" si="26"/>
        <v>#DIV/0!</v>
      </c>
      <c r="N321" s="310" t="e">
        <f t="shared" si="27"/>
        <v>#DIV/0!</v>
      </c>
      <c r="O321" s="91" t="e">
        <f t="shared" si="28"/>
        <v>#DIV/0!</v>
      </c>
      <c r="P321" s="62">
        <f t="shared" si="29"/>
        <v>0</v>
      </c>
      <c r="T321" s="310" t="str">
        <f>PE_aug!AP321</f>
        <v>Methode</v>
      </c>
    </row>
    <row r="322" spans="1:20">
      <c r="A322" s="251" t="s">
        <v>380</v>
      </c>
      <c r="G322">
        <v>0.70699999999999996</v>
      </c>
      <c r="H322">
        <v>1.1599999999999999</v>
      </c>
      <c r="I322">
        <v>42.268900000000002</v>
      </c>
      <c r="K322" s="35" t="e">
        <f t="shared" ref="K322:K385" si="30">IF(COUNT(C322:C322)=1,0.33,(COUNT(C322:C322)*(1/(COUNT(C322:C322)+COUNTBLANK(C322:C322)))+(IF(N322&lt;35,1,IF(N322&lt;70,0.5,IF(N322&gt;70,0)))))/2)</f>
        <v>#DIV/0!</v>
      </c>
      <c r="L322" s="312" t="e">
        <f t="shared" ref="L322:L385" si="31">AVERAGE(J322:K322)</f>
        <v>#DIV/0!</v>
      </c>
      <c r="M322" s="310" t="e">
        <f t="shared" ref="M322:M385" si="32">AVERAGE(C322:E322)</f>
        <v>#DIV/0!</v>
      </c>
      <c r="N322" s="310" t="e">
        <f t="shared" ref="N322:N385" si="33">(MAX(C322:C322)-MIN(C322:C322))/M322*100</f>
        <v>#DIV/0!</v>
      </c>
      <c r="O322" s="91" t="e">
        <f t="shared" ref="O322:O385" si="34">AVERAGE(C322:F322)</f>
        <v>#DIV/0!</v>
      </c>
      <c r="P322" s="62">
        <f t="shared" ref="P322:P385" si="35">IFERROR(O322/I322,0)</f>
        <v>0</v>
      </c>
      <c r="T322" s="310" t="str">
        <f>PE_aug!AP322</f>
        <v>Straßenabfluss</v>
      </c>
    </row>
    <row r="323" spans="1:20">
      <c r="A323" s="251" t="s">
        <v>382</v>
      </c>
      <c r="G323">
        <v>0.70699999999999996</v>
      </c>
      <c r="H323">
        <v>1.1599999999999999</v>
      </c>
      <c r="I323">
        <v>8.3740100000000002</v>
      </c>
      <c r="K323" s="35" t="e">
        <f t="shared" si="30"/>
        <v>#DIV/0!</v>
      </c>
      <c r="L323" s="312" t="e">
        <f t="shared" si="31"/>
        <v>#DIV/0!</v>
      </c>
      <c r="M323" s="310" t="e">
        <f t="shared" si="32"/>
        <v>#DIV/0!</v>
      </c>
      <c r="N323" s="310" t="e">
        <f t="shared" si="33"/>
        <v>#DIV/0!</v>
      </c>
      <c r="O323" s="91" t="e">
        <f t="shared" si="34"/>
        <v>#DIV/0!</v>
      </c>
      <c r="P323" s="62">
        <f t="shared" si="35"/>
        <v>0</v>
      </c>
      <c r="T323" s="310" t="str">
        <f>PE_aug!AP323</f>
        <v>Straßenabfluss</v>
      </c>
    </row>
    <row r="324" spans="1:20">
      <c r="A324" s="251" t="s">
        <v>383</v>
      </c>
      <c r="G324">
        <v>0.878</v>
      </c>
      <c r="H324">
        <v>5.1999999999999998E-2</v>
      </c>
      <c r="I324">
        <v>10.1844</v>
      </c>
      <c r="K324" s="35" t="e">
        <f t="shared" si="30"/>
        <v>#DIV/0!</v>
      </c>
      <c r="L324" s="312" t="e">
        <f t="shared" si="31"/>
        <v>#DIV/0!</v>
      </c>
      <c r="M324" s="310" t="e">
        <f t="shared" si="32"/>
        <v>#DIV/0!</v>
      </c>
      <c r="N324" s="310" t="e">
        <f t="shared" si="33"/>
        <v>#DIV/0!</v>
      </c>
      <c r="O324" s="91" t="e">
        <f t="shared" si="34"/>
        <v>#DIV/0!</v>
      </c>
      <c r="P324" s="62">
        <f t="shared" si="35"/>
        <v>0</v>
      </c>
      <c r="T324" s="310" t="str">
        <f>PE_aug!AP324</f>
        <v>Kläranlagen</v>
      </c>
    </row>
    <row r="325" spans="1:20">
      <c r="A325" s="251" t="s">
        <v>384</v>
      </c>
      <c r="G325">
        <v>0.90200000000000002</v>
      </c>
      <c r="H325">
        <v>5.1999999999999998E-2</v>
      </c>
      <c r="I325">
        <v>6.6312749999999996</v>
      </c>
      <c r="K325" s="35" t="e">
        <f t="shared" si="30"/>
        <v>#DIV/0!</v>
      </c>
      <c r="L325" s="312" t="e">
        <f t="shared" si="31"/>
        <v>#DIV/0!</v>
      </c>
      <c r="M325" s="310" t="e">
        <f t="shared" si="32"/>
        <v>#DIV/0!</v>
      </c>
      <c r="N325" s="310" t="e">
        <f t="shared" si="33"/>
        <v>#DIV/0!</v>
      </c>
      <c r="O325" s="91" t="e">
        <f t="shared" si="34"/>
        <v>#DIV/0!</v>
      </c>
      <c r="P325" s="62">
        <f t="shared" si="35"/>
        <v>0</v>
      </c>
      <c r="T325" s="310" t="str">
        <f>PE_aug!AP325</f>
        <v>Kläranlagen</v>
      </c>
    </row>
    <row r="326" spans="1:20">
      <c r="A326" s="251" t="s">
        <v>385</v>
      </c>
      <c r="G326">
        <v>0.44700000000000001</v>
      </c>
      <c r="H326">
        <v>5.1999999999999998E-2</v>
      </c>
      <c r="I326">
        <v>7.7322649999999999</v>
      </c>
      <c r="K326" s="35" t="e">
        <f t="shared" si="30"/>
        <v>#DIV/0!</v>
      </c>
      <c r="L326" s="312" t="e">
        <f t="shared" si="31"/>
        <v>#DIV/0!</v>
      </c>
      <c r="M326" s="310" t="e">
        <f t="shared" si="32"/>
        <v>#DIV/0!</v>
      </c>
      <c r="N326" s="310" t="e">
        <f t="shared" si="33"/>
        <v>#DIV/0!</v>
      </c>
      <c r="O326" s="91" t="e">
        <f t="shared" si="34"/>
        <v>#DIV/0!</v>
      </c>
      <c r="P326" s="62">
        <f t="shared" si="35"/>
        <v>0</v>
      </c>
      <c r="T326" s="310" t="str">
        <f>PE_aug!AP326</f>
        <v>Kläranlagen</v>
      </c>
    </row>
    <row r="327" spans="1:20">
      <c r="A327" s="255" t="s">
        <v>386</v>
      </c>
      <c r="I327">
        <v>6.8653399999999998</v>
      </c>
      <c r="K327" s="35" t="e">
        <f t="shared" si="30"/>
        <v>#DIV/0!</v>
      </c>
      <c r="L327" s="312" t="e">
        <f t="shared" si="31"/>
        <v>#DIV/0!</v>
      </c>
      <c r="M327" s="310" t="e">
        <f t="shared" si="32"/>
        <v>#DIV/0!</v>
      </c>
      <c r="N327" s="310" t="e">
        <f t="shared" si="33"/>
        <v>#DIV/0!</v>
      </c>
      <c r="O327" s="91" t="e">
        <f t="shared" si="34"/>
        <v>#DIV/0!</v>
      </c>
      <c r="P327" s="62">
        <f t="shared" si="35"/>
        <v>0</v>
      </c>
      <c r="T327" s="310" t="str">
        <f>PE_aug!AP327</f>
        <v>Ringversuch</v>
      </c>
    </row>
    <row r="328" spans="1:20">
      <c r="A328" s="255" t="s">
        <v>387</v>
      </c>
      <c r="I328">
        <v>5.2691300000000014</v>
      </c>
      <c r="J328">
        <v>0.5</v>
      </c>
      <c r="K328" s="35" t="e">
        <f t="shared" si="30"/>
        <v>#DIV/0!</v>
      </c>
      <c r="L328" s="312" t="e">
        <f t="shared" si="31"/>
        <v>#DIV/0!</v>
      </c>
      <c r="M328" s="310" t="e">
        <f t="shared" si="32"/>
        <v>#DIV/0!</v>
      </c>
      <c r="N328" s="310" t="e">
        <f t="shared" si="33"/>
        <v>#DIV/0!</v>
      </c>
      <c r="O328" s="91" t="e">
        <f t="shared" si="34"/>
        <v>#DIV/0!</v>
      </c>
      <c r="P328" s="62">
        <f t="shared" si="35"/>
        <v>0</v>
      </c>
      <c r="T328" s="310" t="str">
        <f>PE_aug!AP328</f>
        <v>Kläranlagen, Methode</v>
      </c>
    </row>
    <row r="329" spans="1:20">
      <c r="A329" s="255" t="s">
        <v>388</v>
      </c>
      <c r="D329">
        <v>21.86</v>
      </c>
      <c r="G329">
        <v>0.70699999999999996</v>
      </c>
      <c r="H329">
        <v>0.09</v>
      </c>
      <c r="I329">
        <v>7.6058300000000001</v>
      </c>
      <c r="J329">
        <v>0.25</v>
      </c>
      <c r="K329" s="35">
        <f t="shared" si="30"/>
        <v>0.5</v>
      </c>
      <c r="L329" s="312">
        <f t="shared" si="31"/>
        <v>0.375</v>
      </c>
      <c r="M329" s="310">
        <f t="shared" si="32"/>
        <v>21.86</v>
      </c>
      <c r="N329" s="310">
        <f t="shared" si="33"/>
        <v>0</v>
      </c>
      <c r="O329" s="91">
        <f t="shared" si="34"/>
        <v>21.86</v>
      </c>
      <c r="P329" s="62">
        <f t="shared" si="35"/>
        <v>2.8741110437651116</v>
      </c>
      <c r="T329" s="310" t="str">
        <f>PE_aug!AP329</f>
        <v>Kläranlagen</v>
      </c>
    </row>
    <row r="330" spans="1:20">
      <c r="A330" s="255" t="s">
        <v>389</v>
      </c>
      <c r="G330">
        <v>0.70699999999999996</v>
      </c>
      <c r="H330">
        <v>0.09</v>
      </c>
      <c r="I330">
        <v>7.6572449999999996</v>
      </c>
      <c r="K330" s="35" t="e">
        <f t="shared" si="30"/>
        <v>#DIV/0!</v>
      </c>
      <c r="L330" s="312" t="e">
        <f t="shared" si="31"/>
        <v>#DIV/0!</v>
      </c>
      <c r="M330" s="310" t="e">
        <f t="shared" si="32"/>
        <v>#DIV/0!</v>
      </c>
      <c r="N330" s="310" t="e">
        <f t="shared" si="33"/>
        <v>#DIV/0!</v>
      </c>
      <c r="O330" s="91" t="e">
        <f t="shared" si="34"/>
        <v>#DIV/0!</v>
      </c>
      <c r="P330" s="62">
        <f t="shared" si="35"/>
        <v>0</v>
      </c>
      <c r="T330" s="310" t="str">
        <f>PE_aug!AP330</f>
        <v>Kläranlagen</v>
      </c>
    </row>
    <row r="331" spans="1:20">
      <c r="A331" s="265" t="s">
        <v>390</v>
      </c>
      <c r="G331">
        <v>0.67300000000000004</v>
      </c>
      <c r="H331">
        <v>3.9E-2</v>
      </c>
      <c r="I331">
        <v>8.7565600000000003</v>
      </c>
      <c r="K331" s="35" t="e">
        <f t="shared" si="30"/>
        <v>#DIV/0!</v>
      </c>
      <c r="L331" s="312" t="e">
        <f t="shared" si="31"/>
        <v>#DIV/0!</v>
      </c>
      <c r="M331" s="310" t="e">
        <f t="shared" si="32"/>
        <v>#DIV/0!</v>
      </c>
      <c r="N331" s="310" t="e">
        <f t="shared" si="33"/>
        <v>#DIV/0!</v>
      </c>
      <c r="O331" s="91" t="e">
        <f t="shared" si="34"/>
        <v>#DIV/0!</v>
      </c>
      <c r="P331" s="62">
        <f t="shared" si="35"/>
        <v>0</v>
      </c>
      <c r="T331" s="310" t="str">
        <f>PE_aug!AP331</f>
        <v>KWS, Schlamm</v>
      </c>
    </row>
    <row r="332" spans="1:20">
      <c r="A332" s="265" t="s">
        <v>391</v>
      </c>
      <c r="G332">
        <v>0.89800000000000002</v>
      </c>
      <c r="H332">
        <v>3.9E-2</v>
      </c>
      <c r="I332">
        <v>9.4032400000000003</v>
      </c>
      <c r="K332" s="35" t="e">
        <f t="shared" si="30"/>
        <v>#DIV/0!</v>
      </c>
      <c r="L332" s="312" t="e">
        <f t="shared" si="31"/>
        <v>#DIV/0!</v>
      </c>
      <c r="M332" s="310" t="e">
        <f t="shared" si="32"/>
        <v>#DIV/0!</v>
      </c>
      <c r="N332" s="310" t="e">
        <f t="shared" si="33"/>
        <v>#DIV/0!</v>
      </c>
      <c r="O332" s="91" t="e">
        <f t="shared" si="34"/>
        <v>#DIV/0!</v>
      </c>
      <c r="P332" s="62">
        <f t="shared" si="35"/>
        <v>0</v>
      </c>
      <c r="T332" s="310" t="str">
        <f>PE_aug!AP332</f>
        <v>KWS, Schlamm</v>
      </c>
    </row>
    <row r="333" spans="1:20">
      <c r="A333" s="265" t="s">
        <v>392</v>
      </c>
      <c r="G333">
        <v>0.65100000000000002</v>
      </c>
      <c r="H333">
        <v>3.9E-2</v>
      </c>
      <c r="I333">
        <v>8.4645399999999995</v>
      </c>
      <c r="K333" s="35" t="e">
        <f t="shared" si="30"/>
        <v>#DIV/0!</v>
      </c>
      <c r="L333" s="312" t="e">
        <f t="shared" si="31"/>
        <v>#DIV/0!</v>
      </c>
      <c r="M333" s="310" t="e">
        <f t="shared" si="32"/>
        <v>#DIV/0!</v>
      </c>
      <c r="N333" s="310" t="e">
        <f t="shared" si="33"/>
        <v>#DIV/0!</v>
      </c>
      <c r="O333" s="91" t="e">
        <f t="shared" si="34"/>
        <v>#DIV/0!</v>
      </c>
      <c r="P333" s="62">
        <f t="shared" si="35"/>
        <v>0</v>
      </c>
      <c r="T333" s="310" t="str">
        <f>PE_aug!AP333</f>
        <v>KWS, Schlamm</v>
      </c>
    </row>
    <row r="334" spans="1:20">
      <c r="A334" s="272" t="s">
        <v>393</v>
      </c>
      <c r="I334">
        <v>0.15474299999999999</v>
      </c>
      <c r="K334" s="35" t="e">
        <f t="shared" si="30"/>
        <v>#DIV/0!</v>
      </c>
      <c r="L334" s="312" t="e">
        <f t="shared" si="31"/>
        <v>#DIV/0!</v>
      </c>
      <c r="M334" s="310" t="e">
        <f t="shared" si="32"/>
        <v>#DIV/0!</v>
      </c>
      <c r="N334" s="310" t="e">
        <f t="shared" si="33"/>
        <v>#DIV/0!</v>
      </c>
      <c r="O334" s="91" t="e">
        <f t="shared" si="34"/>
        <v>#DIV/0!</v>
      </c>
      <c r="P334" s="62">
        <f t="shared" si="35"/>
        <v>0</v>
      </c>
      <c r="T334" s="310" t="str">
        <f>PE_aug!AP334</f>
        <v>Sickerwasser</v>
      </c>
    </row>
    <row r="335" spans="1:20">
      <c r="A335" s="272" t="s">
        <v>394</v>
      </c>
      <c r="I335">
        <v>0.34290399999999999</v>
      </c>
      <c r="K335" s="35" t="e">
        <f t="shared" si="30"/>
        <v>#DIV/0!</v>
      </c>
      <c r="L335" s="312" t="e">
        <f t="shared" si="31"/>
        <v>#DIV/0!</v>
      </c>
      <c r="M335" s="310" t="e">
        <f t="shared" si="32"/>
        <v>#DIV/0!</v>
      </c>
      <c r="N335" s="310" t="e">
        <f t="shared" si="33"/>
        <v>#DIV/0!</v>
      </c>
      <c r="O335" s="91" t="e">
        <f t="shared" si="34"/>
        <v>#DIV/0!</v>
      </c>
      <c r="P335" s="62">
        <f t="shared" si="35"/>
        <v>0</v>
      </c>
      <c r="T335" s="310" t="str">
        <f>PE_aug!AP335</f>
        <v>Sickerwasser</v>
      </c>
    </row>
    <row r="336" spans="1:20">
      <c r="A336" s="272" t="s">
        <v>395</v>
      </c>
      <c r="I336">
        <v>-4.0199999999999818</v>
      </c>
      <c r="K336" s="35" t="e">
        <f t="shared" si="30"/>
        <v>#DIV/0!</v>
      </c>
      <c r="L336" s="312" t="e">
        <f t="shared" si="31"/>
        <v>#DIV/0!</v>
      </c>
      <c r="M336" s="310" t="e">
        <f t="shared" si="32"/>
        <v>#DIV/0!</v>
      </c>
      <c r="N336" s="310" t="e">
        <f t="shared" si="33"/>
        <v>#DIV/0!</v>
      </c>
      <c r="O336" s="91" t="e">
        <f t="shared" si="34"/>
        <v>#DIV/0!</v>
      </c>
      <c r="P336" s="62">
        <f t="shared" si="35"/>
        <v>0</v>
      </c>
      <c r="T336" s="310" t="str">
        <f>PE_aug!AP336</f>
        <v>Sickerwasser</v>
      </c>
    </row>
    <row r="337" spans="1:20">
      <c r="A337" s="272" t="s">
        <v>396</v>
      </c>
      <c r="I337">
        <v>0.50999999999999091</v>
      </c>
      <c r="K337" s="35" t="e">
        <f t="shared" si="30"/>
        <v>#DIV/0!</v>
      </c>
      <c r="L337" s="312" t="e">
        <f t="shared" si="31"/>
        <v>#DIV/0!</v>
      </c>
      <c r="M337" s="310" t="e">
        <f t="shared" si="32"/>
        <v>#DIV/0!</v>
      </c>
      <c r="N337" s="310" t="e">
        <f t="shared" si="33"/>
        <v>#DIV/0!</v>
      </c>
      <c r="O337" s="91" t="e">
        <f t="shared" si="34"/>
        <v>#DIV/0!</v>
      </c>
      <c r="P337" s="62">
        <f t="shared" si="35"/>
        <v>0</v>
      </c>
      <c r="T337" s="310" t="str">
        <f>PE_aug!AP337</f>
        <v>Sickerwasser</v>
      </c>
    </row>
    <row r="338" spans="1:20">
      <c r="A338" s="272" t="s">
        <v>397</v>
      </c>
      <c r="I338">
        <v>0.98000000000001819</v>
      </c>
      <c r="K338" s="35" t="e">
        <f t="shared" si="30"/>
        <v>#DIV/0!</v>
      </c>
      <c r="L338" s="312" t="e">
        <f t="shared" si="31"/>
        <v>#DIV/0!</v>
      </c>
      <c r="M338" s="310" t="e">
        <f t="shared" si="32"/>
        <v>#DIV/0!</v>
      </c>
      <c r="N338" s="310" t="e">
        <f t="shared" si="33"/>
        <v>#DIV/0!</v>
      </c>
      <c r="O338" s="91" t="e">
        <f t="shared" si="34"/>
        <v>#DIV/0!</v>
      </c>
      <c r="P338" s="62">
        <f t="shared" si="35"/>
        <v>0</v>
      </c>
      <c r="T338" s="310" t="str">
        <f>PE_aug!AP338</f>
        <v>Sickerwasser</v>
      </c>
    </row>
    <row r="339" spans="1:20">
      <c r="A339" s="272" t="s">
        <v>398</v>
      </c>
      <c r="I339">
        <v>11.670000000000069</v>
      </c>
      <c r="J339">
        <v>0.5</v>
      </c>
      <c r="K339" s="35" t="e">
        <f t="shared" si="30"/>
        <v>#DIV/0!</v>
      </c>
      <c r="L339" s="312" t="e">
        <f t="shared" si="31"/>
        <v>#DIV/0!</v>
      </c>
      <c r="M339" s="310" t="e">
        <f t="shared" si="32"/>
        <v>#DIV/0!</v>
      </c>
      <c r="N339" s="310" t="e">
        <f t="shared" si="33"/>
        <v>#DIV/0!</v>
      </c>
      <c r="O339" s="91" t="e">
        <f t="shared" si="34"/>
        <v>#DIV/0!</v>
      </c>
      <c r="P339" s="62">
        <f t="shared" si="35"/>
        <v>0</v>
      </c>
      <c r="T339" s="310" t="str">
        <f>PE_aug!AP339</f>
        <v>Sickerwasser</v>
      </c>
    </row>
    <row r="340" spans="1:20">
      <c r="A340" s="272" t="s">
        <v>399</v>
      </c>
      <c r="I340">
        <v>0.98000000000001819</v>
      </c>
      <c r="K340" s="35" t="e">
        <f t="shared" si="30"/>
        <v>#DIV/0!</v>
      </c>
      <c r="L340" s="312" t="e">
        <f t="shared" si="31"/>
        <v>#DIV/0!</v>
      </c>
      <c r="M340" s="310" t="e">
        <f t="shared" si="32"/>
        <v>#DIV/0!</v>
      </c>
      <c r="N340" s="310" t="e">
        <f t="shared" si="33"/>
        <v>#DIV/0!</v>
      </c>
      <c r="O340" s="91" t="e">
        <f t="shared" si="34"/>
        <v>#DIV/0!</v>
      </c>
      <c r="P340" s="62">
        <f t="shared" si="35"/>
        <v>0</v>
      </c>
      <c r="T340" s="310" t="str">
        <f>PE_aug!AP340</f>
        <v>Sickerwasser</v>
      </c>
    </row>
    <row r="341" spans="1:20">
      <c r="A341" s="274" t="s">
        <v>400</v>
      </c>
      <c r="G341">
        <v>0.56200000000000006</v>
      </c>
      <c r="H341">
        <v>5.6000000000000001E-2</v>
      </c>
      <c r="I341">
        <v>5.7561650000000002</v>
      </c>
      <c r="K341" s="35" t="e">
        <f t="shared" si="30"/>
        <v>#DIV/0!</v>
      </c>
      <c r="L341" s="312" t="e">
        <f t="shared" si="31"/>
        <v>#DIV/0!</v>
      </c>
      <c r="M341" s="310" t="e">
        <f t="shared" si="32"/>
        <v>#DIV/0!</v>
      </c>
      <c r="N341" s="310" t="e">
        <f t="shared" si="33"/>
        <v>#DIV/0!</v>
      </c>
      <c r="O341" s="91" t="e">
        <f t="shared" si="34"/>
        <v>#DIV/0!</v>
      </c>
      <c r="P341" s="62">
        <f t="shared" si="35"/>
        <v>0</v>
      </c>
      <c r="T341" s="310" t="str">
        <f>PE_aug!AP341</f>
        <v>KWS, Schlamm</v>
      </c>
    </row>
    <row r="342" spans="1:20">
      <c r="A342" s="274" t="s">
        <v>401</v>
      </c>
      <c r="G342">
        <v>0.85599999999999998</v>
      </c>
      <c r="H342">
        <v>5.6000000000000001E-2</v>
      </c>
      <c r="I342">
        <v>4.7628300000000001</v>
      </c>
      <c r="K342" s="35" t="e">
        <f t="shared" si="30"/>
        <v>#DIV/0!</v>
      </c>
      <c r="L342" s="312" t="e">
        <f t="shared" si="31"/>
        <v>#DIV/0!</v>
      </c>
      <c r="M342" s="310" t="e">
        <f t="shared" si="32"/>
        <v>#DIV/0!</v>
      </c>
      <c r="N342" s="310" t="e">
        <f t="shared" si="33"/>
        <v>#DIV/0!</v>
      </c>
      <c r="O342" s="91" t="e">
        <f t="shared" si="34"/>
        <v>#DIV/0!</v>
      </c>
      <c r="P342" s="62">
        <f t="shared" si="35"/>
        <v>0</v>
      </c>
      <c r="T342" s="310" t="str">
        <f>PE_aug!AP342</f>
        <v>KWS, Schlamm</v>
      </c>
    </row>
    <row r="343" spans="1:20">
      <c r="A343" s="274" t="s">
        <v>402</v>
      </c>
      <c r="G343">
        <v>0.76500000000000001</v>
      </c>
      <c r="H343">
        <v>5.6000000000000001E-2</v>
      </c>
      <c r="I343">
        <v>6.4529300000000003</v>
      </c>
      <c r="K343" s="35" t="e">
        <f t="shared" si="30"/>
        <v>#DIV/0!</v>
      </c>
      <c r="L343" s="312" t="e">
        <f t="shared" si="31"/>
        <v>#DIV/0!</v>
      </c>
      <c r="M343" s="310" t="e">
        <f t="shared" si="32"/>
        <v>#DIV/0!</v>
      </c>
      <c r="N343" s="310" t="e">
        <f t="shared" si="33"/>
        <v>#DIV/0!</v>
      </c>
      <c r="O343" s="91" t="e">
        <f t="shared" si="34"/>
        <v>#DIV/0!</v>
      </c>
      <c r="P343" s="62">
        <f t="shared" si="35"/>
        <v>0</v>
      </c>
      <c r="T343" s="310" t="str">
        <f>PE_aug!AP343</f>
        <v>KWS, Schlamm</v>
      </c>
    </row>
    <row r="344" spans="1:20">
      <c r="A344" s="274" t="s">
        <v>403</v>
      </c>
      <c r="G344">
        <v>1.071</v>
      </c>
      <c r="H344">
        <v>2.4E-2</v>
      </c>
      <c r="I344">
        <v>10.1638</v>
      </c>
      <c r="K344" s="35" t="e">
        <f t="shared" si="30"/>
        <v>#DIV/0!</v>
      </c>
      <c r="L344" s="312" t="e">
        <f t="shared" si="31"/>
        <v>#DIV/0!</v>
      </c>
      <c r="M344" s="310" t="e">
        <f t="shared" si="32"/>
        <v>#DIV/0!</v>
      </c>
      <c r="N344" s="310" t="e">
        <f t="shared" si="33"/>
        <v>#DIV/0!</v>
      </c>
      <c r="O344" s="91" t="e">
        <f t="shared" si="34"/>
        <v>#DIV/0!</v>
      </c>
      <c r="P344" s="62">
        <f t="shared" si="35"/>
        <v>0</v>
      </c>
      <c r="T344" s="310" t="str">
        <f>PE_aug!AP344</f>
        <v>Flussproben</v>
      </c>
    </row>
    <row r="345" spans="1:20">
      <c r="A345" s="274" t="s">
        <v>404</v>
      </c>
      <c r="G345">
        <v>0.83</v>
      </c>
      <c r="H345">
        <v>2.4E-2</v>
      </c>
      <c r="I345">
        <v>9.1895349999999993</v>
      </c>
      <c r="K345" s="35" t="e">
        <f t="shared" si="30"/>
        <v>#DIV/0!</v>
      </c>
      <c r="L345" s="312" t="e">
        <f t="shared" si="31"/>
        <v>#DIV/0!</v>
      </c>
      <c r="M345" s="310" t="e">
        <f t="shared" si="32"/>
        <v>#DIV/0!</v>
      </c>
      <c r="N345" s="310" t="e">
        <f t="shared" si="33"/>
        <v>#DIV/0!</v>
      </c>
      <c r="O345" s="91" t="e">
        <f t="shared" si="34"/>
        <v>#DIV/0!</v>
      </c>
      <c r="P345" s="62">
        <f t="shared" si="35"/>
        <v>0</v>
      </c>
      <c r="T345" s="310" t="str">
        <f>PE_aug!AP345</f>
        <v>Flussproben</v>
      </c>
    </row>
    <row r="346" spans="1:20">
      <c r="A346" s="274" t="s">
        <v>405</v>
      </c>
      <c r="G346">
        <v>1.127</v>
      </c>
      <c r="H346">
        <v>0.122</v>
      </c>
      <c r="I346">
        <v>8.6095749999999995</v>
      </c>
      <c r="K346" s="35" t="e">
        <f t="shared" si="30"/>
        <v>#DIV/0!</v>
      </c>
      <c r="L346" s="312" t="e">
        <f t="shared" si="31"/>
        <v>#DIV/0!</v>
      </c>
      <c r="M346" s="310" t="e">
        <f t="shared" si="32"/>
        <v>#DIV/0!</v>
      </c>
      <c r="N346" s="310" t="e">
        <f t="shared" si="33"/>
        <v>#DIV/0!</v>
      </c>
      <c r="O346" s="91" t="e">
        <f t="shared" si="34"/>
        <v>#DIV/0!</v>
      </c>
      <c r="P346" s="62">
        <f t="shared" si="35"/>
        <v>0</v>
      </c>
      <c r="T346" s="310" t="str">
        <f>PE_aug!AP346</f>
        <v>Flussproben</v>
      </c>
    </row>
    <row r="347" spans="1:20">
      <c r="A347" s="274" t="s">
        <v>406</v>
      </c>
      <c r="G347">
        <v>0.71899999999999997</v>
      </c>
      <c r="H347">
        <v>0.122</v>
      </c>
      <c r="I347">
        <v>5.6536</v>
      </c>
      <c r="K347" s="35" t="e">
        <f t="shared" si="30"/>
        <v>#DIV/0!</v>
      </c>
      <c r="L347" s="312" t="e">
        <f t="shared" si="31"/>
        <v>#DIV/0!</v>
      </c>
      <c r="M347" s="310" t="e">
        <f t="shared" si="32"/>
        <v>#DIV/0!</v>
      </c>
      <c r="N347" s="310" t="e">
        <f t="shared" si="33"/>
        <v>#DIV/0!</v>
      </c>
      <c r="O347" s="91" t="e">
        <f t="shared" si="34"/>
        <v>#DIV/0!</v>
      </c>
      <c r="P347" s="62">
        <f t="shared" si="35"/>
        <v>0</v>
      </c>
      <c r="T347" s="310" t="str">
        <f>PE_aug!AP347</f>
        <v>Flussproben</v>
      </c>
    </row>
    <row r="348" spans="1:20">
      <c r="A348" s="274" t="s">
        <v>407</v>
      </c>
      <c r="G348">
        <v>0.41699999999999998</v>
      </c>
      <c r="H348">
        <v>0.122</v>
      </c>
      <c r="I348">
        <v>7.3856149999999996</v>
      </c>
      <c r="K348" s="35" t="e">
        <f t="shared" si="30"/>
        <v>#DIV/0!</v>
      </c>
      <c r="L348" s="312" t="e">
        <f t="shared" si="31"/>
        <v>#DIV/0!</v>
      </c>
      <c r="M348" s="310" t="e">
        <f t="shared" si="32"/>
        <v>#DIV/0!</v>
      </c>
      <c r="N348" s="310" t="e">
        <f t="shared" si="33"/>
        <v>#DIV/0!</v>
      </c>
      <c r="O348" s="91" t="e">
        <f t="shared" si="34"/>
        <v>#DIV/0!</v>
      </c>
      <c r="P348" s="62">
        <f t="shared" si="35"/>
        <v>0</v>
      </c>
      <c r="T348" s="310" t="str">
        <f>PE_aug!AP348</f>
        <v>Flussproben</v>
      </c>
    </row>
    <row r="349" spans="1:20">
      <c r="A349" s="274" t="s">
        <v>408</v>
      </c>
      <c r="G349">
        <v>0.34599999999999997</v>
      </c>
      <c r="H349">
        <v>8.4000000000000005E-2</v>
      </c>
      <c r="I349">
        <v>5.9841899999999999</v>
      </c>
      <c r="K349" s="35" t="e">
        <f t="shared" si="30"/>
        <v>#DIV/0!</v>
      </c>
      <c r="L349" s="312" t="e">
        <f t="shared" si="31"/>
        <v>#DIV/0!</v>
      </c>
      <c r="M349" s="310" t="e">
        <f t="shared" si="32"/>
        <v>#DIV/0!</v>
      </c>
      <c r="N349" s="310" t="e">
        <f t="shared" si="33"/>
        <v>#DIV/0!</v>
      </c>
      <c r="O349" s="91" t="e">
        <f t="shared" si="34"/>
        <v>#DIV/0!</v>
      </c>
      <c r="P349" s="62">
        <f t="shared" si="35"/>
        <v>0</v>
      </c>
      <c r="T349" s="310" t="str">
        <f>PE_aug!AP349</f>
        <v>RÜB</v>
      </c>
    </row>
    <row r="350" spans="1:20">
      <c r="A350" s="274" t="s">
        <v>410</v>
      </c>
      <c r="G350">
        <v>0.79300000000000004</v>
      </c>
      <c r="H350">
        <v>8.4000000000000005E-2</v>
      </c>
      <c r="I350">
        <v>5.4765100000000002</v>
      </c>
      <c r="K350" s="35" t="e">
        <f t="shared" si="30"/>
        <v>#DIV/0!</v>
      </c>
      <c r="L350" s="312" t="e">
        <f t="shared" si="31"/>
        <v>#DIV/0!</v>
      </c>
      <c r="M350" s="310" t="e">
        <f t="shared" si="32"/>
        <v>#DIV/0!</v>
      </c>
      <c r="N350" s="310" t="e">
        <f t="shared" si="33"/>
        <v>#DIV/0!</v>
      </c>
      <c r="O350" s="91" t="e">
        <f t="shared" si="34"/>
        <v>#DIV/0!</v>
      </c>
      <c r="P350" s="62">
        <f t="shared" si="35"/>
        <v>0</v>
      </c>
      <c r="T350" s="310" t="str">
        <f>PE_aug!AP350</f>
        <v>RÜB</v>
      </c>
    </row>
    <row r="351" spans="1:20">
      <c r="A351" s="274" t="s">
        <v>411</v>
      </c>
      <c r="G351">
        <v>1.1040000000000001</v>
      </c>
      <c r="H351">
        <v>8.4000000000000005E-2</v>
      </c>
      <c r="I351">
        <v>10.23</v>
      </c>
      <c r="K351" s="35" t="e">
        <f t="shared" si="30"/>
        <v>#DIV/0!</v>
      </c>
      <c r="L351" s="312" t="e">
        <f t="shared" si="31"/>
        <v>#DIV/0!</v>
      </c>
      <c r="M351" s="310" t="e">
        <f t="shared" si="32"/>
        <v>#DIV/0!</v>
      </c>
      <c r="N351" s="310" t="e">
        <f t="shared" si="33"/>
        <v>#DIV/0!</v>
      </c>
      <c r="O351" s="91" t="e">
        <f t="shared" si="34"/>
        <v>#DIV/0!</v>
      </c>
      <c r="P351" s="62">
        <f t="shared" si="35"/>
        <v>0</v>
      </c>
      <c r="T351" s="310" t="str">
        <f>PE_aug!AP351</f>
        <v>RÜB</v>
      </c>
    </row>
    <row r="352" spans="1:20">
      <c r="A352" s="274" t="s">
        <v>589</v>
      </c>
      <c r="G352">
        <v>0.28999999999999998</v>
      </c>
      <c r="H352">
        <v>2.4E-2</v>
      </c>
      <c r="I352">
        <v>9.5406499999999994</v>
      </c>
      <c r="K352" s="35" t="e">
        <f t="shared" si="30"/>
        <v>#DIV/0!</v>
      </c>
      <c r="L352" s="312" t="e">
        <f t="shared" si="31"/>
        <v>#DIV/0!</v>
      </c>
      <c r="M352" s="310" t="e">
        <f t="shared" si="32"/>
        <v>#DIV/0!</v>
      </c>
      <c r="N352" s="310" t="e">
        <f t="shared" si="33"/>
        <v>#DIV/0!</v>
      </c>
      <c r="O352" s="91" t="e">
        <f t="shared" si="34"/>
        <v>#DIV/0!</v>
      </c>
      <c r="P352" s="62">
        <f t="shared" si="35"/>
        <v>0</v>
      </c>
      <c r="T352" s="310" t="str">
        <f>PE_aug!AP352</f>
        <v>KWS</v>
      </c>
    </row>
    <row r="353" spans="1:20">
      <c r="A353" s="280" t="s">
        <v>412</v>
      </c>
      <c r="G353">
        <v>0.90100000000000002</v>
      </c>
      <c r="H353">
        <v>7.0999999999999994E-2</v>
      </c>
      <c r="I353">
        <v>6.1057800000000002</v>
      </c>
      <c r="K353" s="35" t="e">
        <f t="shared" si="30"/>
        <v>#DIV/0!</v>
      </c>
      <c r="L353" s="312" t="e">
        <f t="shared" si="31"/>
        <v>#DIV/0!</v>
      </c>
      <c r="M353" s="310" t="e">
        <f t="shared" si="32"/>
        <v>#DIV/0!</v>
      </c>
      <c r="N353" s="310" t="e">
        <f t="shared" si="33"/>
        <v>#DIV/0!</v>
      </c>
      <c r="O353" s="91" t="e">
        <f t="shared" si="34"/>
        <v>#DIV/0!</v>
      </c>
      <c r="P353" s="62">
        <f t="shared" si="35"/>
        <v>0</v>
      </c>
      <c r="T353" s="310" t="str">
        <f>PE_aug!AP353</f>
        <v>KWS</v>
      </c>
    </row>
    <row r="354" spans="1:20">
      <c r="A354" s="280" t="s">
        <v>413</v>
      </c>
      <c r="G354">
        <v>0.878</v>
      </c>
      <c r="H354">
        <v>7.0999999999999994E-2</v>
      </c>
      <c r="I354">
        <v>4.3622800000000002</v>
      </c>
      <c r="K354" s="35" t="e">
        <f t="shared" si="30"/>
        <v>#DIV/0!</v>
      </c>
      <c r="L354" s="312" t="e">
        <f t="shared" si="31"/>
        <v>#DIV/0!</v>
      </c>
      <c r="M354" s="310" t="e">
        <f t="shared" si="32"/>
        <v>#DIV/0!</v>
      </c>
      <c r="N354" s="310" t="e">
        <f t="shared" si="33"/>
        <v>#DIV/0!</v>
      </c>
      <c r="O354" s="91" t="e">
        <f t="shared" si="34"/>
        <v>#DIV/0!</v>
      </c>
      <c r="P354" s="62">
        <f t="shared" si="35"/>
        <v>0</v>
      </c>
      <c r="T354" s="310" t="str">
        <f>PE_aug!AP354</f>
        <v>KWS</v>
      </c>
    </row>
    <row r="355" spans="1:20">
      <c r="A355" s="280" t="s">
        <v>414</v>
      </c>
      <c r="G355">
        <v>0.44</v>
      </c>
      <c r="H355">
        <v>7.0999999999999994E-2</v>
      </c>
      <c r="I355">
        <v>5.0663900000000002</v>
      </c>
      <c r="K355" s="35" t="e">
        <f t="shared" si="30"/>
        <v>#DIV/0!</v>
      </c>
      <c r="L355" s="312" t="e">
        <f t="shared" si="31"/>
        <v>#DIV/0!</v>
      </c>
      <c r="M355" s="310" t="e">
        <f t="shared" si="32"/>
        <v>#DIV/0!</v>
      </c>
      <c r="N355" s="310" t="e">
        <f t="shared" si="33"/>
        <v>#DIV/0!</v>
      </c>
      <c r="O355" s="91" t="e">
        <f t="shared" si="34"/>
        <v>#DIV/0!</v>
      </c>
      <c r="P355" s="62">
        <f t="shared" si="35"/>
        <v>0</v>
      </c>
      <c r="T355" s="310" t="str">
        <f>PE_aug!AP355</f>
        <v>KWS, Methode</v>
      </c>
    </row>
    <row r="356" spans="1:20">
      <c r="A356" s="280" t="s">
        <v>415</v>
      </c>
      <c r="I356">
        <v>1.5123</v>
      </c>
      <c r="K356" s="35" t="e">
        <f t="shared" si="30"/>
        <v>#DIV/0!</v>
      </c>
      <c r="L356" s="312" t="e">
        <f t="shared" si="31"/>
        <v>#DIV/0!</v>
      </c>
      <c r="M356" s="310" t="e">
        <f t="shared" si="32"/>
        <v>#DIV/0!</v>
      </c>
      <c r="N356" s="310" t="e">
        <f t="shared" si="33"/>
        <v>#DIV/0!</v>
      </c>
      <c r="O356" s="91" t="e">
        <f t="shared" si="34"/>
        <v>#DIV/0!</v>
      </c>
      <c r="P356" s="62">
        <f t="shared" si="35"/>
        <v>0</v>
      </c>
      <c r="T356" s="310" t="str">
        <f>PE_aug!AP356</f>
        <v>Flussproben</v>
      </c>
    </row>
    <row r="357" spans="1:20">
      <c r="A357" s="280" t="s">
        <v>416</v>
      </c>
      <c r="G357">
        <v>0.52600000000000002</v>
      </c>
      <c r="H357">
        <v>0.10299999999999999</v>
      </c>
      <c r="I357">
        <v>9.3551099999999998</v>
      </c>
      <c r="K357" s="35" t="e">
        <f t="shared" si="30"/>
        <v>#DIV/0!</v>
      </c>
      <c r="L357" s="312" t="e">
        <f t="shared" si="31"/>
        <v>#DIV/0!</v>
      </c>
      <c r="M357" s="310" t="e">
        <f t="shared" si="32"/>
        <v>#DIV/0!</v>
      </c>
      <c r="N357" s="310" t="e">
        <f t="shared" si="33"/>
        <v>#DIV/0!</v>
      </c>
      <c r="O357" s="91" t="e">
        <f t="shared" si="34"/>
        <v>#DIV/0!</v>
      </c>
      <c r="P357" s="62">
        <f t="shared" si="35"/>
        <v>0</v>
      </c>
      <c r="T357" s="310" t="str">
        <f>PE_aug!AP357</f>
        <v>Flussproben</v>
      </c>
    </row>
    <row r="358" spans="1:20">
      <c r="A358" s="280" t="s">
        <v>417</v>
      </c>
      <c r="G358">
        <v>1.1419999999999999</v>
      </c>
      <c r="H358">
        <v>0.10299999999999999</v>
      </c>
      <c r="I358">
        <v>4.7532649999999999</v>
      </c>
      <c r="K358" s="35" t="e">
        <f t="shared" si="30"/>
        <v>#DIV/0!</v>
      </c>
      <c r="L358" s="312" t="e">
        <f t="shared" si="31"/>
        <v>#DIV/0!</v>
      </c>
      <c r="M358" s="310" t="e">
        <f t="shared" si="32"/>
        <v>#DIV/0!</v>
      </c>
      <c r="N358" s="310" t="e">
        <f t="shared" si="33"/>
        <v>#DIV/0!</v>
      </c>
      <c r="O358" s="91" t="e">
        <f t="shared" si="34"/>
        <v>#DIV/0!</v>
      </c>
      <c r="P358" s="62">
        <f t="shared" si="35"/>
        <v>0</v>
      </c>
      <c r="T358" s="310" t="str">
        <f>PE_aug!AP358</f>
        <v>Flussproben</v>
      </c>
    </row>
    <row r="359" spans="1:20">
      <c r="A359" s="280" t="s">
        <v>418</v>
      </c>
      <c r="G359">
        <v>0.622</v>
      </c>
      <c r="H359">
        <v>0.10299999999999999</v>
      </c>
      <c r="I359">
        <v>11.220549999999999</v>
      </c>
      <c r="K359" s="35" t="e">
        <f t="shared" si="30"/>
        <v>#DIV/0!</v>
      </c>
      <c r="L359" s="312" t="e">
        <f t="shared" si="31"/>
        <v>#DIV/0!</v>
      </c>
      <c r="M359" s="310" t="e">
        <f t="shared" si="32"/>
        <v>#DIV/0!</v>
      </c>
      <c r="N359" s="310" t="e">
        <f t="shared" si="33"/>
        <v>#DIV/0!</v>
      </c>
      <c r="O359" s="91" t="e">
        <f t="shared" si="34"/>
        <v>#DIV/0!</v>
      </c>
      <c r="P359" s="62">
        <f t="shared" si="35"/>
        <v>0</v>
      </c>
      <c r="T359" s="310" t="str">
        <f>PE_aug!AP359</f>
        <v>Kläranlagen</v>
      </c>
    </row>
    <row r="360" spans="1:20">
      <c r="A360" s="280" t="s">
        <v>419</v>
      </c>
      <c r="G360">
        <v>0.57799999999999996</v>
      </c>
      <c r="H360">
        <v>22.041</v>
      </c>
      <c r="I360">
        <v>9.23292</v>
      </c>
      <c r="K360" s="35" t="e">
        <f t="shared" si="30"/>
        <v>#DIV/0!</v>
      </c>
      <c r="L360" s="312" t="e">
        <f t="shared" si="31"/>
        <v>#DIV/0!</v>
      </c>
      <c r="M360" s="310" t="e">
        <f t="shared" si="32"/>
        <v>#DIV/0!</v>
      </c>
      <c r="N360" s="310" t="e">
        <f t="shared" si="33"/>
        <v>#DIV/0!</v>
      </c>
      <c r="O360" s="91" t="e">
        <f t="shared" si="34"/>
        <v>#DIV/0!</v>
      </c>
      <c r="P360" s="62">
        <f t="shared" si="35"/>
        <v>0</v>
      </c>
      <c r="T360" s="310" t="str">
        <f>PE_aug!AP360</f>
        <v>Kläranlagen</v>
      </c>
    </row>
    <row r="361" spans="1:20">
      <c r="A361" s="280" t="s">
        <v>420</v>
      </c>
      <c r="G361">
        <v>1.1539999999999999</v>
      </c>
      <c r="H361">
        <v>22.041</v>
      </c>
      <c r="I361">
        <v>-99.239099999999993</v>
      </c>
      <c r="K361" s="35" t="e">
        <f t="shared" si="30"/>
        <v>#DIV/0!</v>
      </c>
      <c r="L361" s="312" t="e">
        <f t="shared" si="31"/>
        <v>#DIV/0!</v>
      </c>
      <c r="M361" s="310" t="e">
        <f t="shared" si="32"/>
        <v>#DIV/0!</v>
      </c>
      <c r="N361" s="310" t="e">
        <f t="shared" si="33"/>
        <v>#DIV/0!</v>
      </c>
      <c r="O361" s="91" t="e">
        <f t="shared" si="34"/>
        <v>#DIV/0!</v>
      </c>
      <c r="P361" s="62">
        <f t="shared" si="35"/>
        <v>0</v>
      </c>
      <c r="T361" s="310" t="str">
        <f>PE_aug!AP361</f>
        <v>Kläranlagen</v>
      </c>
    </row>
    <row r="362" spans="1:20">
      <c r="A362" s="280" t="s">
        <v>421</v>
      </c>
      <c r="G362">
        <v>0.57699999999999996</v>
      </c>
      <c r="H362">
        <v>22.041</v>
      </c>
      <c r="I362">
        <v>8.4308049999999994</v>
      </c>
      <c r="K362" s="35" t="e">
        <f t="shared" si="30"/>
        <v>#DIV/0!</v>
      </c>
      <c r="L362" s="312" t="e">
        <f t="shared" si="31"/>
        <v>#DIV/0!</v>
      </c>
      <c r="M362" s="310" t="e">
        <f t="shared" si="32"/>
        <v>#DIV/0!</v>
      </c>
      <c r="N362" s="310" t="e">
        <f t="shared" si="33"/>
        <v>#DIV/0!</v>
      </c>
      <c r="O362" s="91" t="e">
        <f t="shared" si="34"/>
        <v>#DIV/0!</v>
      </c>
      <c r="P362" s="62">
        <f t="shared" si="35"/>
        <v>0</v>
      </c>
      <c r="T362" s="310" t="str">
        <f>PE_aug!AP362</f>
        <v>Münchehofe</v>
      </c>
    </row>
    <row r="363" spans="1:20">
      <c r="A363" s="280" t="s">
        <v>422</v>
      </c>
      <c r="G363">
        <v>0.67400000000000004</v>
      </c>
      <c r="H363">
        <v>5.5E-2</v>
      </c>
      <c r="I363">
        <v>11.3706</v>
      </c>
      <c r="K363" s="35" t="e">
        <f t="shared" si="30"/>
        <v>#DIV/0!</v>
      </c>
      <c r="L363" s="312" t="e">
        <f t="shared" si="31"/>
        <v>#DIV/0!</v>
      </c>
      <c r="M363" s="310" t="e">
        <f t="shared" si="32"/>
        <v>#DIV/0!</v>
      </c>
      <c r="N363" s="310" t="e">
        <f t="shared" si="33"/>
        <v>#DIV/0!</v>
      </c>
      <c r="O363" s="91" t="e">
        <f t="shared" si="34"/>
        <v>#DIV/0!</v>
      </c>
      <c r="P363" s="62">
        <f t="shared" si="35"/>
        <v>0</v>
      </c>
      <c r="T363" s="310" t="str">
        <f>PE_aug!AP363</f>
        <v>Münchehofe</v>
      </c>
    </row>
    <row r="364" spans="1:20">
      <c r="A364" s="280" t="s">
        <v>423</v>
      </c>
      <c r="G364">
        <v>0.98299999999999998</v>
      </c>
      <c r="H364">
        <v>5.5E-2</v>
      </c>
      <c r="I364">
        <v>13.849550000000001</v>
      </c>
      <c r="K364" s="35" t="e">
        <f t="shared" si="30"/>
        <v>#DIV/0!</v>
      </c>
      <c r="L364" s="312" t="e">
        <f t="shared" si="31"/>
        <v>#DIV/0!</v>
      </c>
      <c r="M364" s="310" t="e">
        <f t="shared" si="32"/>
        <v>#DIV/0!</v>
      </c>
      <c r="N364" s="310" t="e">
        <f t="shared" si="33"/>
        <v>#DIV/0!</v>
      </c>
      <c r="O364" s="91" t="e">
        <f t="shared" si="34"/>
        <v>#DIV/0!</v>
      </c>
      <c r="P364" s="62">
        <f t="shared" si="35"/>
        <v>0</v>
      </c>
      <c r="T364" s="310" t="str">
        <f>PE_aug!AP364</f>
        <v>Münchehofe</v>
      </c>
    </row>
    <row r="365" spans="1:20">
      <c r="A365" s="280" t="s">
        <v>424</v>
      </c>
      <c r="G365">
        <v>0.56200000000000006</v>
      </c>
      <c r="H365">
        <v>5.5E-2</v>
      </c>
      <c r="I365">
        <v>11.058949999999999</v>
      </c>
      <c r="K365" s="35" t="e">
        <f t="shared" si="30"/>
        <v>#DIV/0!</v>
      </c>
      <c r="L365" s="312" t="e">
        <f t="shared" si="31"/>
        <v>#DIV/0!</v>
      </c>
      <c r="M365" s="310" t="e">
        <f t="shared" si="32"/>
        <v>#DIV/0!</v>
      </c>
      <c r="N365" s="310" t="e">
        <f t="shared" si="33"/>
        <v>#DIV/0!</v>
      </c>
      <c r="O365" s="91" t="e">
        <f t="shared" si="34"/>
        <v>#DIV/0!</v>
      </c>
      <c r="P365" s="62">
        <f t="shared" si="35"/>
        <v>0</v>
      </c>
      <c r="T365" s="310" t="str">
        <f>PE_aug!AP365</f>
        <v>Münchehofe</v>
      </c>
    </row>
    <row r="366" spans="1:20">
      <c r="A366" s="280" t="s">
        <v>425</v>
      </c>
      <c r="G366">
        <v>0.52800000000000002</v>
      </c>
      <c r="H366">
        <v>4.5999999999999999E-2</v>
      </c>
      <c r="I366">
        <v>5.7891599999999999</v>
      </c>
      <c r="K366" s="35" t="e">
        <f t="shared" si="30"/>
        <v>#DIV/0!</v>
      </c>
      <c r="L366" s="312" t="e">
        <f t="shared" si="31"/>
        <v>#DIV/0!</v>
      </c>
      <c r="M366" s="310" t="e">
        <f t="shared" si="32"/>
        <v>#DIV/0!</v>
      </c>
      <c r="N366" s="310" t="e">
        <f t="shared" si="33"/>
        <v>#DIV/0!</v>
      </c>
      <c r="O366" s="91" t="e">
        <f t="shared" si="34"/>
        <v>#DIV/0!</v>
      </c>
      <c r="P366" s="62">
        <f t="shared" si="35"/>
        <v>0</v>
      </c>
      <c r="T366" s="310" t="str">
        <f>PE_aug!AP366</f>
        <v>Münchehofe</v>
      </c>
    </row>
    <row r="367" spans="1:20">
      <c r="A367" s="280" t="s">
        <v>426</v>
      </c>
      <c r="G367">
        <v>0.86</v>
      </c>
      <c r="H367">
        <v>4.5999999999999999E-2</v>
      </c>
      <c r="I367">
        <v>6.0298299999999996</v>
      </c>
      <c r="K367" s="35" t="e">
        <f t="shared" si="30"/>
        <v>#DIV/0!</v>
      </c>
      <c r="L367" s="312" t="e">
        <f t="shared" si="31"/>
        <v>#DIV/0!</v>
      </c>
      <c r="M367" s="310" t="e">
        <f t="shared" si="32"/>
        <v>#DIV/0!</v>
      </c>
      <c r="N367" s="310" t="e">
        <f t="shared" si="33"/>
        <v>#DIV/0!</v>
      </c>
      <c r="O367" s="91" t="e">
        <f t="shared" si="34"/>
        <v>#DIV/0!</v>
      </c>
      <c r="P367" s="62">
        <f t="shared" si="35"/>
        <v>0</v>
      </c>
      <c r="T367" s="310" t="str">
        <f>PE_aug!AP367</f>
        <v>Münchehofe</v>
      </c>
    </row>
    <row r="368" spans="1:20">
      <c r="A368" s="280" t="s">
        <v>427</v>
      </c>
      <c r="G368">
        <v>0.80300000000000005</v>
      </c>
      <c r="H368">
        <v>4.5999999999999999E-2</v>
      </c>
      <c r="I368">
        <v>6.4604200000000001</v>
      </c>
      <c r="K368" s="35" t="e">
        <f t="shared" si="30"/>
        <v>#DIV/0!</v>
      </c>
      <c r="L368" s="312" t="e">
        <f t="shared" si="31"/>
        <v>#DIV/0!</v>
      </c>
      <c r="M368" s="310" t="e">
        <f t="shared" si="32"/>
        <v>#DIV/0!</v>
      </c>
      <c r="N368" s="310" t="e">
        <f t="shared" si="33"/>
        <v>#DIV/0!</v>
      </c>
      <c r="O368" s="91" t="e">
        <f t="shared" si="34"/>
        <v>#DIV/0!</v>
      </c>
      <c r="P368" s="62">
        <f t="shared" si="35"/>
        <v>0</v>
      </c>
      <c r="T368" s="310" t="str">
        <f>PE_aug!AP368</f>
        <v>RBF</v>
      </c>
    </row>
    <row r="369" spans="1:20">
      <c r="A369" s="280" t="s">
        <v>428</v>
      </c>
      <c r="I369">
        <v>9.5863199999999996E-2</v>
      </c>
      <c r="J369">
        <v>0.5</v>
      </c>
      <c r="K369" s="35" t="e">
        <f t="shared" si="30"/>
        <v>#DIV/0!</v>
      </c>
      <c r="L369" s="312" t="e">
        <f t="shared" si="31"/>
        <v>#DIV/0!</v>
      </c>
      <c r="M369" s="310" t="e">
        <f t="shared" si="32"/>
        <v>#DIV/0!</v>
      </c>
      <c r="N369" s="310" t="e">
        <f t="shared" si="33"/>
        <v>#DIV/0!</v>
      </c>
      <c r="O369" s="91" t="e">
        <f t="shared" si="34"/>
        <v>#DIV/0!</v>
      </c>
      <c r="P369" s="62">
        <f t="shared" si="35"/>
        <v>0</v>
      </c>
      <c r="T369" s="310" t="str">
        <f>PE_aug!AP369</f>
        <v>Methode</v>
      </c>
    </row>
    <row r="370" spans="1:20">
      <c r="A370" s="280" t="s">
        <v>430</v>
      </c>
      <c r="I370">
        <v>3.9970099999999988E-2</v>
      </c>
      <c r="K370" s="35" t="e">
        <f t="shared" si="30"/>
        <v>#DIV/0!</v>
      </c>
      <c r="L370" s="312" t="e">
        <f t="shared" si="31"/>
        <v>#DIV/0!</v>
      </c>
      <c r="M370" s="310" t="e">
        <f t="shared" si="32"/>
        <v>#DIV/0!</v>
      </c>
      <c r="N370" s="310" t="e">
        <f t="shared" si="33"/>
        <v>#DIV/0!</v>
      </c>
      <c r="O370" s="91" t="e">
        <f t="shared" si="34"/>
        <v>#DIV/0!</v>
      </c>
      <c r="P370" s="62">
        <f t="shared" si="35"/>
        <v>0</v>
      </c>
      <c r="T370" s="310" t="str">
        <f>PE_aug!AP370</f>
        <v>Straßenabfluss</v>
      </c>
    </row>
    <row r="371" spans="1:20">
      <c r="A371" s="280" t="s">
        <v>431</v>
      </c>
      <c r="G371">
        <v>0.70699999999999996</v>
      </c>
      <c r="H371">
        <v>4.1000000000000002E-2</v>
      </c>
      <c r="I371">
        <v>12.188499999999999</v>
      </c>
      <c r="K371" s="35" t="e">
        <f t="shared" si="30"/>
        <v>#DIV/0!</v>
      </c>
      <c r="L371" s="312" t="e">
        <f t="shared" si="31"/>
        <v>#DIV/0!</v>
      </c>
      <c r="M371" s="310" t="e">
        <f t="shared" si="32"/>
        <v>#DIV/0!</v>
      </c>
      <c r="N371" s="310" t="e">
        <f t="shared" si="33"/>
        <v>#DIV/0!</v>
      </c>
      <c r="O371" s="91" t="e">
        <f t="shared" si="34"/>
        <v>#DIV/0!</v>
      </c>
      <c r="P371" s="62">
        <f t="shared" si="35"/>
        <v>0</v>
      </c>
      <c r="T371" s="310" t="str">
        <f>PE_aug!AP371</f>
        <v>Straßenabfluss</v>
      </c>
    </row>
    <row r="372" spans="1:20">
      <c r="A372" s="280" t="s">
        <v>432</v>
      </c>
      <c r="G372">
        <v>0.70699999999999996</v>
      </c>
      <c r="H372">
        <v>4.1000000000000002E-2</v>
      </c>
      <c r="I372">
        <v>17.268799999999999</v>
      </c>
      <c r="K372" s="35" t="e">
        <f t="shared" si="30"/>
        <v>#DIV/0!</v>
      </c>
      <c r="L372" s="312" t="e">
        <f t="shared" si="31"/>
        <v>#DIV/0!</v>
      </c>
      <c r="M372" s="310" t="e">
        <f t="shared" si="32"/>
        <v>#DIV/0!</v>
      </c>
      <c r="N372" s="310" t="e">
        <f t="shared" si="33"/>
        <v>#DIV/0!</v>
      </c>
      <c r="O372" s="91" t="e">
        <f t="shared" si="34"/>
        <v>#DIV/0!</v>
      </c>
      <c r="P372" s="62">
        <f t="shared" si="35"/>
        <v>0</v>
      </c>
      <c r="T372" s="310" t="str">
        <f>PE_aug!AP372</f>
        <v>Kläranlagen</v>
      </c>
    </row>
    <row r="373" spans="1:20">
      <c r="A373" s="280" t="s">
        <v>433</v>
      </c>
      <c r="G373">
        <v>0.70699999999999996</v>
      </c>
      <c r="H373">
        <v>6.3E-2</v>
      </c>
      <c r="I373">
        <v>6.0078950000000004</v>
      </c>
      <c r="K373" s="35" t="e">
        <f t="shared" si="30"/>
        <v>#DIV/0!</v>
      </c>
      <c r="L373" s="312" t="e">
        <f t="shared" si="31"/>
        <v>#DIV/0!</v>
      </c>
      <c r="M373" s="310" t="e">
        <f t="shared" si="32"/>
        <v>#DIV/0!</v>
      </c>
      <c r="N373" s="310" t="e">
        <f t="shared" si="33"/>
        <v>#DIV/0!</v>
      </c>
      <c r="O373" s="91" t="e">
        <f t="shared" si="34"/>
        <v>#DIV/0!</v>
      </c>
      <c r="P373" s="62">
        <f t="shared" si="35"/>
        <v>0</v>
      </c>
      <c r="T373" s="310" t="str">
        <f>PE_aug!AP373</f>
        <v>Kläranlagen</v>
      </c>
    </row>
    <row r="374" spans="1:20">
      <c r="A374" s="280" t="s">
        <v>434</v>
      </c>
      <c r="G374">
        <v>0.70699999999999996</v>
      </c>
      <c r="H374">
        <v>6.3E-2</v>
      </c>
      <c r="I374">
        <v>5.5313149999999993</v>
      </c>
      <c r="K374" s="35" t="e">
        <f t="shared" si="30"/>
        <v>#DIV/0!</v>
      </c>
      <c r="L374" s="312" t="e">
        <f t="shared" si="31"/>
        <v>#DIV/0!</v>
      </c>
      <c r="M374" s="310" t="e">
        <f t="shared" si="32"/>
        <v>#DIV/0!</v>
      </c>
      <c r="N374" s="310" t="e">
        <f t="shared" si="33"/>
        <v>#DIV/0!</v>
      </c>
      <c r="O374" s="91" t="e">
        <f t="shared" si="34"/>
        <v>#DIV/0!</v>
      </c>
      <c r="P374" s="62">
        <f t="shared" si="35"/>
        <v>0</v>
      </c>
      <c r="T374" s="310" t="str">
        <f>PE_aug!AP374</f>
        <v>KWS</v>
      </c>
    </row>
    <row r="375" spans="1:20">
      <c r="A375" s="280" t="s">
        <v>419</v>
      </c>
      <c r="G375">
        <v>0.57799999999999996</v>
      </c>
      <c r="H375">
        <v>22.041</v>
      </c>
      <c r="I375">
        <v>9.23292</v>
      </c>
      <c r="K375" s="35" t="e">
        <f t="shared" si="30"/>
        <v>#DIV/0!</v>
      </c>
      <c r="L375" s="312" t="e">
        <f t="shared" si="31"/>
        <v>#DIV/0!</v>
      </c>
      <c r="M375" s="310" t="e">
        <f t="shared" si="32"/>
        <v>#DIV/0!</v>
      </c>
      <c r="N375" s="310" t="e">
        <f t="shared" si="33"/>
        <v>#DIV/0!</v>
      </c>
      <c r="O375" s="91" t="e">
        <f t="shared" si="34"/>
        <v>#DIV/0!</v>
      </c>
      <c r="P375" s="62">
        <f t="shared" si="35"/>
        <v>0</v>
      </c>
      <c r="T375" s="310" t="str">
        <f>PE_aug!AP375</f>
        <v>KWS</v>
      </c>
    </row>
    <row r="376" spans="1:20">
      <c r="A376" s="280" t="s">
        <v>420</v>
      </c>
      <c r="G376">
        <v>1.1539999999999999</v>
      </c>
      <c r="H376">
        <v>22.041</v>
      </c>
      <c r="I376">
        <v>-99.239099999999993</v>
      </c>
      <c r="K376" s="35" t="e">
        <f t="shared" si="30"/>
        <v>#DIV/0!</v>
      </c>
      <c r="L376" s="312" t="e">
        <f t="shared" si="31"/>
        <v>#DIV/0!</v>
      </c>
      <c r="M376" s="310" t="e">
        <f t="shared" si="32"/>
        <v>#DIV/0!</v>
      </c>
      <c r="N376" s="310" t="e">
        <f t="shared" si="33"/>
        <v>#DIV/0!</v>
      </c>
      <c r="O376" s="91" t="e">
        <f t="shared" si="34"/>
        <v>#DIV/0!</v>
      </c>
      <c r="P376" s="62">
        <f t="shared" si="35"/>
        <v>0</v>
      </c>
      <c r="T376" s="310" t="str">
        <f>PE_aug!AP376</f>
        <v>KWS</v>
      </c>
    </row>
    <row r="377" spans="1:20">
      <c r="A377" s="280" t="s">
        <v>421</v>
      </c>
      <c r="G377">
        <v>0.57699999999999996</v>
      </c>
      <c r="H377">
        <v>22.041</v>
      </c>
      <c r="I377">
        <v>8.4308049999999994</v>
      </c>
      <c r="K377" s="35" t="e">
        <f t="shared" si="30"/>
        <v>#DIV/0!</v>
      </c>
      <c r="L377" s="312" t="e">
        <f t="shared" si="31"/>
        <v>#DIV/0!</v>
      </c>
      <c r="M377" s="310" t="e">
        <f t="shared" si="32"/>
        <v>#DIV/0!</v>
      </c>
      <c r="N377" s="310" t="e">
        <f t="shared" si="33"/>
        <v>#DIV/0!</v>
      </c>
      <c r="O377" s="91" t="e">
        <f t="shared" si="34"/>
        <v>#DIV/0!</v>
      </c>
      <c r="P377" s="62">
        <f t="shared" si="35"/>
        <v>0</v>
      </c>
      <c r="T377" s="310" t="str">
        <f>PE_aug!AP377</f>
        <v>KWS</v>
      </c>
    </row>
    <row r="378" spans="1:20">
      <c r="A378" s="282" t="s">
        <v>435</v>
      </c>
      <c r="G378">
        <v>0.14699999999999999</v>
      </c>
      <c r="H378">
        <v>0.29299999999999998</v>
      </c>
      <c r="I378">
        <v>26.531649999999999</v>
      </c>
      <c r="K378" s="35" t="e">
        <f t="shared" si="30"/>
        <v>#DIV/0!</v>
      </c>
      <c r="L378" s="312" t="e">
        <f t="shared" si="31"/>
        <v>#DIV/0!</v>
      </c>
      <c r="M378" s="310" t="e">
        <f t="shared" si="32"/>
        <v>#DIV/0!</v>
      </c>
      <c r="N378" s="310" t="e">
        <f t="shared" si="33"/>
        <v>#DIV/0!</v>
      </c>
      <c r="O378" s="91" t="e">
        <f t="shared" si="34"/>
        <v>#DIV/0!</v>
      </c>
      <c r="P378" s="62">
        <f t="shared" si="35"/>
        <v>0</v>
      </c>
      <c r="T378" s="310" t="str">
        <f>PE_aug!AP378</f>
        <v>KWS</v>
      </c>
    </row>
    <row r="379" spans="1:20">
      <c r="A379" s="282" t="s">
        <v>436</v>
      </c>
      <c r="G379">
        <v>0.92200000000000004</v>
      </c>
      <c r="H379">
        <v>0.29299999999999998</v>
      </c>
      <c r="I379">
        <v>29.1462</v>
      </c>
      <c r="K379" s="35" t="e">
        <f t="shared" si="30"/>
        <v>#DIV/0!</v>
      </c>
      <c r="L379" s="312" t="e">
        <f t="shared" si="31"/>
        <v>#DIV/0!</v>
      </c>
      <c r="M379" s="310" t="e">
        <f t="shared" si="32"/>
        <v>#DIV/0!</v>
      </c>
      <c r="N379" s="310" t="e">
        <f t="shared" si="33"/>
        <v>#DIV/0!</v>
      </c>
      <c r="O379" s="91" t="e">
        <f t="shared" si="34"/>
        <v>#DIV/0!</v>
      </c>
      <c r="P379" s="62">
        <f t="shared" si="35"/>
        <v>0</v>
      </c>
      <c r="T379" s="310" t="str">
        <f>PE_aug!AP379</f>
        <v>KWS</v>
      </c>
    </row>
    <row r="380" spans="1:20">
      <c r="A380" s="282" t="s">
        <v>437</v>
      </c>
      <c r="G380">
        <v>1.0509999999999999</v>
      </c>
      <c r="H380">
        <v>0.29299999999999998</v>
      </c>
      <c r="I380">
        <v>16.288900000000002</v>
      </c>
      <c r="K380" s="35" t="e">
        <f t="shared" si="30"/>
        <v>#DIV/0!</v>
      </c>
      <c r="L380" s="312" t="e">
        <f t="shared" si="31"/>
        <v>#DIV/0!</v>
      </c>
      <c r="M380" s="310" t="e">
        <f t="shared" si="32"/>
        <v>#DIV/0!</v>
      </c>
      <c r="N380" s="310" t="e">
        <f t="shared" si="33"/>
        <v>#DIV/0!</v>
      </c>
      <c r="O380" s="91" t="e">
        <f t="shared" si="34"/>
        <v>#DIV/0!</v>
      </c>
      <c r="P380" s="62">
        <f t="shared" si="35"/>
        <v>0</v>
      </c>
      <c r="T380" s="310" t="str">
        <f>PE_aug!AP380</f>
        <v>Flussproben</v>
      </c>
    </row>
    <row r="381" spans="1:20">
      <c r="A381" s="282" t="s">
        <v>438</v>
      </c>
      <c r="G381">
        <v>0.998</v>
      </c>
      <c r="H381">
        <v>0.246</v>
      </c>
      <c r="I381">
        <v>3.7278199999999999</v>
      </c>
      <c r="K381" s="35" t="e">
        <f t="shared" si="30"/>
        <v>#DIV/0!</v>
      </c>
      <c r="L381" s="312" t="e">
        <f t="shared" si="31"/>
        <v>#DIV/0!</v>
      </c>
      <c r="M381" s="310" t="e">
        <f t="shared" si="32"/>
        <v>#DIV/0!</v>
      </c>
      <c r="N381" s="310" t="e">
        <f t="shared" si="33"/>
        <v>#DIV/0!</v>
      </c>
      <c r="O381" s="91" t="e">
        <f t="shared" si="34"/>
        <v>#DIV/0!</v>
      </c>
      <c r="P381" s="62">
        <f t="shared" si="35"/>
        <v>0</v>
      </c>
      <c r="T381" s="310" t="str">
        <f>PE_aug!AP381</f>
        <v>Flussproben</v>
      </c>
    </row>
    <row r="382" spans="1:20">
      <c r="A382" s="282" t="s">
        <v>439</v>
      </c>
      <c r="G382">
        <v>0.65900000000000003</v>
      </c>
      <c r="H382">
        <v>0.246</v>
      </c>
      <c r="I382">
        <v>6.7965999999999998</v>
      </c>
      <c r="K382" s="35" t="e">
        <f t="shared" si="30"/>
        <v>#DIV/0!</v>
      </c>
      <c r="L382" s="312" t="e">
        <f t="shared" si="31"/>
        <v>#DIV/0!</v>
      </c>
      <c r="M382" s="310" t="e">
        <f t="shared" si="32"/>
        <v>#DIV/0!</v>
      </c>
      <c r="N382" s="310" t="e">
        <f t="shared" si="33"/>
        <v>#DIV/0!</v>
      </c>
      <c r="O382" s="91" t="e">
        <f t="shared" si="34"/>
        <v>#DIV/0!</v>
      </c>
      <c r="P382" s="62">
        <f t="shared" si="35"/>
        <v>0</v>
      </c>
      <c r="T382" s="310" t="str">
        <f>PE_aug!AP382</f>
        <v>Flussproben</v>
      </c>
    </row>
    <row r="383" spans="1:20">
      <c r="A383" s="282" t="s">
        <v>440</v>
      </c>
      <c r="G383">
        <v>0.51400000000000001</v>
      </c>
      <c r="H383">
        <v>0.246</v>
      </c>
      <c r="I383">
        <v>5.0972499999999998</v>
      </c>
      <c r="K383" s="35" t="e">
        <f t="shared" si="30"/>
        <v>#DIV/0!</v>
      </c>
      <c r="L383" s="312" t="e">
        <f t="shared" si="31"/>
        <v>#DIV/0!</v>
      </c>
      <c r="M383" s="310" t="e">
        <f t="shared" si="32"/>
        <v>#DIV/0!</v>
      </c>
      <c r="N383" s="310" t="e">
        <f t="shared" si="33"/>
        <v>#DIV/0!</v>
      </c>
      <c r="O383" s="91" t="e">
        <f t="shared" si="34"/>
        <v>#DIV/0!</v>
      </c>
      <c r="P383" s="62">
        <f t="shared" si="35"/>
        <v>0</v>
      </c>
      <c r="T383" s="310" t="str">
        <f>PE_aug!AP383</f>
        <v>Flussproben, Methode</v>
      </c>
    </row>
    <row r="384" spans="1:20">
      <c r="A384" s="282" t="s">
        <v>441</v>
      </c>
      <c r="G384">
        <v>0.51400000000000001</v>
      </c>
      <c r="H384">
        <v>6.4000000000000001E-2</v>
      </c>
      <c r="I384">
        <v>10.3285</v>
      </c>
      <c r="K384" s="35" t="e">
        <f t="shared" si="30"/>
        <v>#DIV/0!</v>
      </c>
      <c r="L384" s="312" t="e">
        <f t="shared" si="31"/>
        <v>#DIV/0!</v>
      </c>
      <c r="M384" s="310" t="e">
        <f t="shared" si="32"/>
        <v>#DIV/0!</v>
      </c>
      <c r="N384" s="310" t="e">
        <f t="shared" si="33"/>
        <v>#DIV/0!</v>
      </c>
      <c r="O384" s="91" t="e">
        <f t="shared" si="34"/>
        <v>#DIV/0!</v>
      </c>
      <c r="P384" s="62">
        <f t="shared" si="35"/>
        <v>0</v>
      </c>
      <c r="T384" s="310" t="str">
        <f>PE_aug!AP384</f>
        <v>Methode</v>
      </c>
    </row>
    <row r="385" spans="1:20">
      <c r="A385" s="282" t="s">
        <v>442</v>
      </c>
      <c r="G385">
        <v>0.63700000000000001</v>
      </c>
      <c r="H385">
        <v>6.4000000000000001E-2</v>
      </c>
      <c r="I385">
        <v>9.8335849999999994</v>
      </c>
      <c r="K385" s="35" t="e">
        <f t="shared" si="30"/>
        <v>#DIV/0!</v>
      </c>
      <c r="L385" s="312" t="e">
        <f t="shared" si="31"/>
        <v>#DIV/0!</v>
      </c>
      <c r="M385" s="310" t="e">
        <f t="shared" si="32"/>
        <v>#DIV/0!</v>
      </c>
      <c r="N385" s="310" t="e">
        <f t="shared" si="33"/>
        <v>#DIV/0!</v>
      </c>
      <c r="O385" s="91" t="e">
        <f t="shared" si="34"/>
        <v>#DIV/0!</v>
      </c>
      <c r="P385" s="62">
        <f t="shared" si="35"/>
        <v>0</v>
      </c>
      <c r="T385" s="310" t="str">
        <f>PE_aug!AP385</f>
        <v>Methode</v>
      </c>
    </row>
    <row r="386" spans="1:20">
      <c r="A386" s="282" t="s">
        <v>443</v>
      </c>
      <c r="G386">
        <v>1.1459999999999999</v>
      </c>
      <c r="H386">
        <v>6.4000000000000001E-2</v>
      </c>
      <c r="I386">
        <v>16.5566</v>
      </c>
      <c r="K386" s="35" t="e">
        <f t="shared" ref="K386:K448" si="36">IF(COUNT(C386:C386)=1,0.33,(COUNT(C386:C386)*(1/(COUNT(C386:C386)+COUNTBLANK(C386:C386)))+(IF(N386&lt;35,1,IF(N386&lt;70,0.5,IF(N386&gt;70,0)))))/2)</f>
        <v>#DIV/0!</v>
      </c>
      <c r="L386" s="312" t="e">
        <f t="shared" ref="L386:L449" si="37">AVERAGE(J386:K386)</f>
        <v>#DIV/0!</v>
      </c>
      <c r="M386" s="310" t="e">
        <f t="shared" ref="M386:M448" si="38">AVERAGE(C386:E386)</f>
        <v>#DIV/0!</v>
      </c>
      <c r="N386" s="310" t="e">
        <f t="shared" ref="N386:N449" si="39">(MAX(C386:C386)-MIN(C386:C386))/M386*100</f>
        <v>#DIV/0!</v>
      </c>
      <c r="O386" s="91" t="e">
        <f t="shared" ref="O386:O448" si="40">AVERAGE(C386:F386)</f>
        <v>#DIV/0!</v>
      </c>
      <c r="P386" s="62">
        <f t="shared" ref="P386:P449" si="41">IFERROR(O386/I386,0)</f>
        <v>0</v>
      </c>
      <c r="T386" s="310" t="str">
        <f>PE_aug!AP386</f>
        <v>Straßenabfluss</v>
      </c>
    </row>
    <row r="387" spans="1:20">
      <c r="A387" s="282" t="s">
        <v>444</v>
      </c>
      <c r="I387">
        <v>10.1968</v>
      </c>
      <c r="K387" s="35" t="e">
        <f t="shared" si="36"/>
        <v>#DIV/0!</v>
      </c>
      <c r="L387" s="312" t="e">
        <f t="shared" si="37"/>
        <v>#DIV/0!</v>
      </c>
      <c r="M387" s="310" t="e">
        <f t="shared" si="38"/>
        <v>#DIV/0!</v>
      </c>
      <c r="N387" s="310" t="e">
        <f t="shared" si="39"/>
        <v>#DIV/0!</v>
      </c>
      <c r="O387" s="91" t="e">
        <f t="shared" si="40"/>
        <v>#DIV/0!</v>
      </c>
      <c r="P387" s="62">
        <f t="shared" si="41"/>
        <v>0</v>
      </c>
      <c r="T387" s="310" t="str">
        <f>PE_aug!AP387</f>
        <v>Straßenabfluss</v>
      </c>
    </row>
    <row r="388" spans="1:20">
      <c r="A388" s="282" t="s">
        <v>445</v>
      </c>
      <c r="C388">
        <v>1360.24</v>
      </c>
      <c r="D388">
        <v>42.92</v>
      </c>
      <c r="E388">
        <v>84.51</v>
      </c>
      <c r="F388" s="307">
        <v>526.36</v>
      </c>
      <c r="I388">
        <v>0.53195800000000004</v>
      </c>
      <c r="J388">
        <v>0.79</v>
      </c>
      <c r="K388" s="35">
        <f t="shared" si="36"/>
        <v>0.33</v>
      </c>
      <c r="L388" s="312">
        <f t="shared" si="37"/>
        <v>0.56000000000000005</v>
      </c>
      <c r="M388" s="310">
        <f t="shared" si="38"/>
        <v>495.89000000000004</v>
      </c>
      <c r="N388" s="310">
        <f t="shared" si="39"/>
        <v>0</v>
      </c>
      <c r="O388" s="91">
        <f t="shared" si="40"/>
        <v>503.50750000000005</v>
      </c>
      <c r="P388" s="62">
        <f t="shared" si="41"/>
        <v>946.51739423037156</v>
      </c>
      <c r="R388" s="203">
        <f>100*O388/(1000*I388)</f>
        <v>94.651739423037156</v>
      </c>
      <c r="S388" s="203">
        <f>100*M388/(1000*I388)</f>
        <v>93.219765470206298</v>
      </c>
      <c r="T388" s="310" t="str">
        <f>PE_aug!AP388</f>
        <v>KWS, Methode</v>
      </c>
    </row>
    <row r="389" spans="1:20">
      <c r="A389" s="282" t="s">
        <v>446</v>
      </c>
      <c r="I389">
        <v>0.137437</v>
      </c>
      <c r="K389" s="35" t="e">
        <f t="shared" si="36"/>
        <v>#DIV/0!</v>
      </c>
      <c r="L389" s="312" t="e">
        <f t="shared" si="37"/>
        <v>#DIV/0!</v>
      </c>
      <c r="M389" s="310" t="e">
        <f t="shared" si="38"/>
        <v>#DIV/0!</v>
      </c>
      <c r="N389" s="310" t="e">
        <f t="shared" si="39"/>
        <v>#DIV/0!</v>
      </c>
      <c r="O389" s="91" t="e">
        <f t="shared" si="40"/>
        <v>#DIV/0!</v>
      </c>
      <c r="P389" s="62">
        <f t="shared" si="41"/>
        <v>0</v>
      </c>
      <c r="T389" s="310" t="str">
        <f>PE_aug!AP389</f>
        <v>KWS, Methode</v>
      </c>
    </row>
    <row r="390" spans="1:20">
      <c r="A390" s="282" t="s">
        <v>447</v>
      </c>
      <c r="G390">
        <v>0.70699999999999996</v>
      </c>
      <c r="H390">
        <v>1.056</v>
      </c>
      <c r="I390">
        <v>35.156500000000001</v>
      </c>
      <c r="K390" s="35" t="e">
        <f t="shared" si="36"/>
        <v>#DIV/0!</v>
      </c>
      <c r="L390" s="312" t="e">
        <f t="shared" si="37"/>
        <v>#DIV/0!</v>
      </c>
      <c r="M390" s="310" t="e">
        <f t="shared" si="38"/>
        <v>#DIV/0!</v>
      </c>
      <c r="N390" s="310" t="e">
        <f t="shared" si="39"/>
        <v>#DIV/0!</v>
      </c>
      <c r="O390" s="91" t="e">
        <f t="shared" si="40"/>
        <v>#DIV/0!</v>
      </c>
      <c r="P390" s="62">
        <f t="shared" si="41"/>
        <v>0</v>
      </c>
      <c r="T390" s="310" t="str">
        <f>PE_aug!AP390</f>
        <v>KWS, Methode</v>
      </c>
    </row>
    <row r="391" spans="1:20">
      <c r="A391" s="282" t="s">
        <v>448</v>
      </c>
      <c r="G391">
        <v>0.70699999999999996</v>
      </c>
      <c r="H391">
        <v>1.056</v>
      </c>
      <c r="I391">
        <v>42.128500000000003</v>
      </c>
      <c r="K391" s="35" t="e">
        <f t="shared" si="36"/>
        <v>#DIV/0!</v>
      </c>
      <c r="L391" s="312" t="e">
        <f t="shared" si="37"/>
        <v>#DIV/0!</v>
      </c>
      <c r="M391" s="310" t="e">
        <f t="shared" si="38"/>
        <v>#DIV/0!</v>
      </c>
      <c r="N391" s="310" t="e">
        <f t="shared" si="39"/>
        <v>#DIV/0!</v>
      </c>
      <c r="O391" s="91" t="e">
        <f t="shared" si="40"/>
        <v>#DIV/0!</v>
      </c>
      <c r="P391" s="62">
        <f t="shared" si="41"/>
        <v>0</v>
      </c>
      <c r="T391" s="310" t="str">
        <f>PE_aug!AP391</f>
        <v>KWS, Methode</v>
      </c>
    </row>
    <row r="392" spans="1:20">
      <c r="A392" s="282" t="s">
        <v>590</v>
      </c>
      <c r="G392">
        <v>0.14699999999999999</v>
      </c>
      <c r="H392">
        <v>0.29299999999999998</v>
      </c>
      <c r="I392">
        <v>26.531649999999999</v>
      </c>
      <c r="K392" s="35" t="e">
        <f t="shared" si="36"/>
        <v>#DIV/0!</v>
      </c>
      <c r="L392" s="312" t="e">
        <f t="shared" si="37"/>
        <v>#DIV/0!</v>
      </c>
      <c r="M392" s="310" t="e">
        <f t="shared" si="38"/>
        <v>#DIV/0!</v>
      </c>
      <c r="N392" s="310" t="e">
        <f t="shared" si="39"/>
        <v>#DIV/0!</v>
      </c>
      <c r="O392" s="91" t="e">
        <f t="shared" si="40"/>
        <v>#DIV/0!</v>
      </c>
      <c r="P392" s="62">
        <f t="shared" si="41"/>
        <v>0</v>
      </c>
      <c r="T392" s="310" t="str">
        <f>PE_aug!AP392</f>
        <v>KWS, Methode</v>
      </c>
    </row>
    <row r="393" spans="1:20">
      <c r="A393" s="282" t="s">
        <v>591</v>
      </c>
      <c r="G393">
        <v>0.92200000000000004</v>
      </c>
      <c r="H393">
        <v>0.29299999999999998</v>
      </c>
      <c r="I393">
        <v>29.1462</v>
      </c>
      <c r="K393" s="35" t="e">
        <f t="shared" si="36"/>
        <v>#DIV/0!</v>
      </c>
      <c r="L393" s="312" t="e">
        <f t="shared" si="37"/>
        <v>#DIV/0!</v>
      </c>
      <c r="M393" s="310" t="e">
        <f t="shared" si="38"/>
        <v>#DIV/0!</v>
      </c>
      <c r="N393" s="310" t="e">
        <f t="shared" si="39"/>
        <v>#DIV/0!</v>
      </c>
      <c r="O393" s="91" t="e">
        <f t="shared" si="40"/>
        <v>#DIV/0!</v>
      </c>
      <c r="P393" s="62">
        <f t="shared" si="41"/>
        <v>0</v>
      </c>
      <c r="T393" s="310" t="str">
        <f>PE_aug!AP393</f>
        <v>KWS, Methode</v>
      </c>
    </row>
    <row r="394" spans="1:20">
      <c r="A394" s="282" t="s">
        <v>592</v>
      </c>
      <c r="G394">
        <v>1.0509999999999999</v>
      </c>
      <c r="H394">
        <v>0.29299999999999998</v>
      </c>
      <c r="I394">
        <v>16.288900000000002</v>
      </c>
      <c r="K394" s="35" t="e">
        <f t="shared" si="36"/>
        <v>#DIV/0!</v>
      </c>
      <c r="L394" s="312" t="e">
        <f t="shared" si="37"/>
        <v>#DIV/0!</v>
      </c>
      <c r="M394" s="310" t="e">
        <f t="shared" si="38"/>
        <v>#DIV/0!</v>
      </c>
      <c r="N394" s="310" t="e">
        <f t="shared" si="39"/>
        <v>#DIV/0!</v>
      </c>
      <c r="O394" s="91" t="e">
        <f t="shared" si="40"/>
        <v>#DIV/0!</v>
      </c>
      <c r="P394" s="62">
        <f t="shared" si="41"/>
        <v>0</v>
      </c>
      <c r="T394" s="310" t="str">
        <f>PE_aug!AP394</f>
        <v>KWS, Methode</v>
      </c>
    </row>
    <row r="395" spans="1:20">
      <c r="A395" s="282" t="s">
        <v>593</v>
      </c>
      <c r="G395">
        <v>0.998</v>
      </c>
      <c r="H395">
        <v>0.246</v>
      </c>
      <c r="I395">
        <v>3.7278199999999999</v>
      </c>
      <c r="K395" s="35" t="e">
        <f t="shared" si="36"/>
        <v>#DIV/0!</v>
      </c>
      <c r="L395" s="312" t="e">
        <f t="shared" si="37"/>
        <v>#DIV/0!</v>
      </c>
      <c r="M395" s="310" t="e">
        <f t="shared" si="38"/>
        <v>#DIV/0!</v>
      </c>
      <c r="N395" s="310" t="e">
        <f t="shared" si="39"/>
        <v>#DIV/0!</v>
      </c>
      <c r="O395" s="91" t="e">
        <f t="shared" si="40"/>
        <v>#DIV/0!</v>
      </c>
      <c r="P395" s="62">
        <f t="shared" si="41"/>
        <v>0</v>
      </c>
      <c r="T395" s="310" t="str">
        <f>PE_aug!AP395</f>
        <v>KWS, Methode</v>
      </c>
    </row>
    <row r="396" spans="1:20">
      <c r="A396" s="282" t="s">
        <v>594</v>
      </c>
      <c r="G396">
        <v>0.65900000000000003</v>
      </c>
      <c r="H396">
        <v>0.246</v>
      </c>
      <c r="I396">
        <v>6.7965999999999998</v>
      </c>
      <c r="K396" s="35" t="e">
        <f t="shared" si="36"/>
        <v>#DIV/0!</v>
      </c>
      <c r="L396" s="312" t="e">
        <f t="shared" si="37"/>
        <v>#DIV/0!</v>
      </c>
      <c r="M396" s="310" t="e">
        <f t="shared" si="38"/>
        <v>#DIV/0!</v>
      </c>
      <c r="N396" s="310" t="e">
        <f t="shared" si="39"/>
        <v>#DIV/0!</v>
      </c>
      <c r="O396" s="91" t="e">
        <f t="shared" si="40"/>
        <v>#DIV/0!</v>
      </c>
      <c r="P396" s="62">
        <f t="shared" si="41"/>
        <v>0</v>
      </c>
      <c r="T396" s="310" t="str">
        <f>PE_aug!AP396</f>
        <v>Kläranlagen</v>
      </c>
    </row>
    <row r="397" spans="1:20">
      <c r="A397" s="282" t="s">
        <v>595</v>
      </c>
      <c r="G397">
        <v>0.51400000000000001</v>
      </c>
      <c r="H397">
        <v>0.246</v>
      </c>
      <c r="I397">
        <v>5.0972499999999998</v>
      </c>
      <c r="K397" s="35" t="e">
        <f t="shared" si="36"/>
        <v>#DIV/0!</v>
      </c>
      <c r="L397" s="312" t="e">
        <f t="shared" si="37"/>
        <v>#DIV/0!</v>
      </c>
      <c r="M397" s="310" t="e">
        <f t="shared" si="38"/>
        <v>#DIV/0!</v>
      </c>
      <c r="N397" s="310" t="e">
        <f t="shared" si="39"/>
        <v>#DIV/0!</v>
      </c>
      <c r="O397" s="91" t="e">
        <f t="shared" si="40"/>
        <v>#DIV/0!</v>
      </c>
      <c r="P397" s="62">
        <f t="shared" si="41"/>
        <v>0</v>
      </c>
      <c r="T397" s="310" t="str">
        <f>PE_aug!AP397</f>
        <v>Kläranlagen</v>
      </c>
    </row>
    <row r="398" spans="1:20">
      <c r="A398" s="290" t="s">
        <v>449</v>
      </c>
      <c r="B398">
        <v>112.07</v>
      </c>
      <c r="D398">
        <v>28.82</v>
      </c>
      <c r="E398">
        <v>118.36</v>
      </c>
      <c r="G398">
        <v>1.069</v>
      </c>
      <c r="H398">
        <v>0.15</v>
      </c>
      <c r="I398">
        <v>18.248699999999999</v>
      </c>
      <c r="J398">
        <v>0.72</v>
      </c>
      <c r="K398" s="35">
        <f t="shared" si="36"/>
        <v>0.5</v>
      </c>
      <c r="L398" s="312">
        <f t="shared" si="37"/>
        <v>0.61</v>
      </c>
      <c r="M398" s="310">
        <f t="shared" si="38"/>
        <v>73.59</v>
      </c>
      <c r="N398" s="310">
        <f t="shared" si="39"/>
        <v>0</v>
      </c>
      <c r="O398" s="91">
        <f t="shared" si="40"/>
        <v>73.59</v>
      </c>
      <c r="P398" s="62">
        <f t="shared" si="41"/>
        <v>4.032616021963209</v>
      </c>
      <c r="T398" s="310" t="str">
        <f>PE_aug!AP398</f>
        <v>Kläranlagen</v>
      </c>
    </row>
    <row r="399" spans="1:20">
      <c r="A399" s="290" t="s">
        <v>450</v>
      </c>
      <c r="E399">
        <v>97.79</v>
      </c>
      <c r="G399">
        <v>0.439</v>
      </c>
      <c r="H399">
        <v>0.15</v>
      </c>
      <c r="I399">
        <v>10.1747</v>
      </c>
      <c r="J399">
        <v>0.66</v>
      </c>
      <c r="K399" s="35">
        <f t="shared" si="36"/>
        <v>0.5</v>
      </c>
      <c r="L399" s="312">
        <f t="shared" si="37"/>
        <v>0.58000000000000007</v>
      </c>
      <c r="M399" s="310">
        <f t="shared" si="38"/>
        <v>97.79</v>
      </c>
      <c r="N399" s="310">
        <f t="shared" si="39"/>
        <v>0</v>
      </c>
      <c r="O399" s="91">
        <f t="shared" si="40"/>
        <v>97.79</v>
      </c>
      <c r="P399" s="62">
        <f t="shared" si="41"/>
        <v>9.6110941845951245</v>
      </c>
      <c r="T399" s="310" t="str">
        <f>PE_aug!AP399</f>
        <v>Straßenabfluss</v>
      </c>
    </row>
    <row r="400" spans="1:20">
      <c r="A400" s="290" t="s">
        <v>451</v>
      </c>
      <c r="B400">
        <v>134.87</v>
      </c>
      <c r="D400">
        <v>78.260000000000005</v>
      </c>
      <c r="E400">
        <v>53.04</v>
      </c>
      <c r="G400">
        <v>0.30099999999999999</v>
      </c>
      <c r="H400">
        <v>9.7000000000000003E-2</v>
      </c>
      <c r="I400">
        <v>10.7644</v>
      </c>
      <c r="J400">
        <v>0.86</v>
      </c>
      <c r="K400" s="35">
        <f t="shared" si="36"/>
        <v>0.5</v>
      </c>
      <c r="L400" s="312">
        <f t="shared" si="37"/>
        <v>0.67999999999999994</v>
      </c>
      <c r="M400" s="310">
        <f t="shared" si="38"/>
        <v>65.650000000000006</v>
      </c>
      <c r="N400" s="310">
        <f t="shared" si="39"/>
        <v>0</v>
      </c>
      <c r="O400" s="91">
        <f t="shared" si="40"/>
        <v>65.650000000000006</v>
      </c>
      <c r="P400" s="62">
        <f t="shared" si="41"/>
        <v>6.0988071792203939</v>
      </c>
      <c r="T400" s="310" t="str">
        <f>PE_aug!AP400</f>
        <v>Straßenabfluss</v>
      </c>
    </row>
    <row r="401" spans="1:20">
      <c r="A401" s="290" t="s">
        <v>452</v>
      </c>
      <c r="D401">
        <v>42.06</v>
      </c>
      <c r="G401">
        <v>0.95299999999999996</v>
      </c>
      <c r="H401">
        <v>9.7000000000000003E-2</v>
      </c>
      <c r="I401">
        <v>8.0693900000000003</v>
      </c>
      <c r="J401">
        <v>0.9</v>
      </c>
      <c r="K401" s="35">
        <f t="shared" si="36"/>
        <v>0.5</v>
      </c>
      <c r="L401" s="312">
        <f t="shared" si="37"/>
        <v>0.7</v>
      </c>
      <c r="M401" s="310">
        <f t="shared" si="38"/>
        <v>42.06</v>
      </c>
      <c r="N401" s="310">
        <f t="shared" si="39"/>
        <v>0</v>
      </c>
      <c r="O401" s="91">
        <f t="shared" si="40"/>
        <v>42.06</v>
      </c>
      <c r="P401" s="62">
        <f t="shared" si="41"/>
        <v>5.2122899004757484</v>
      </c>
      <c r="T401" s="310" t="str">
        <f>PE_aug!AP401</f>
        <v>Straßenabfluss</v>
      </c>
    </row>
    <row r="402" spans="1:20">
      <c r="A402" s="290" t="s">
        <v>453</v>
      </c>
      <c r="B402">
        <v>241.17</v>
      </c>
      <c r="C402">
        <v>39.770000000000003</v>
      </c>
      <c r="D402">
        <v>105.44</v>
      </c>
      <c r="E402">
        <v>64.459999999999994</v>
      </c>
      <c r="G402">
        <v>0.93</v>
      </c>
      <c r="H402">
        <v>9.7000000000000003E-2</v>
      </c>
      <c r="I402">
        <v>12.1059</v>
      </c>
      <c r="J402">
        <v>0.88</v>
      </c>
      <c r="K402" s="35">
        <f t="shared" si="36"/>
        <v>0.33</v>
      </c>
      <c r="L402" s="312">
        <f t="shared" si="37"/>
        <v>0.60499999999999998</v>
      </c>
      <c r="M402" s="310">
        <f t="shared" si="38"/>
        <v>69.89</v>
      </c>
      <c r="N402" s="310">
        <f t="shared" si="39"/>
        <v>0</v>
      </c>
      <c r="O402" s="91">
        <f t="shared" si="40"/>
        <v>69.89</v>
      </c>
      <c r="P402" s="62">
        <f t="shared" si="41"/>
        <v>5.7732180176608097</v>
      </c>
      <c r="T402" s="310" t="str">
        <f>PE_aug!AP402</f>
        <v>Bodenproben</v>
      </c>
    </row>
    <row r="403" spans="1:20">
      <c r="A403" s="290" t="s">
        <v>454</v>
      </c>
      <c r="B403">
        <v>144.26</v>
      </c>
      <c r="C403">
        <v>129.61000000000001</v>
      </c>
      <c r="D403">
        <v>117.05</v>
      </c>
      <c r="E403">
        <v>91.69</v>
      </c>
      <c r="G403">
        <v>0.315</v>
      </c>
      <c r="H403">
        <v>0.109</v>
      </c>
      <c r="I403">
        <v>8.1649600000000007</v>
      </c>
      <c r="J403">
        <v>0.98</v>
      </c>
      <c r="K403" s="35">
        <f t="shared" si="36"/>
        <v>0.33</v>
      </c>
      <c r="L403" s="312">
        <f t="shared" si="37"/>
        <v>0.65500000000000003</v>
      </c>
      <c r="M403" s="310">
        <f t="shared" si="38"/>
        <v>112.78333333333335</v>
      </c>
      <c r="N403" s="310">
        <f t="shared" si="39"/>
        <v>0</v>
      </c>
      <c r="O403" s="91">
        <f t="shared" si="40"/>
        <v>112.78333333333335</v>
      </c>
      <c r="P403" s="62">
        <f t="shared" si="41"/>
        <v>13.813090735696603</v>
      </c>
      <c r="T403" s="310" t="str">
        <f>PE_aug!AP403</f>
        <v>Bodenproben</v>
      </c>
    </row>
    <row r="404" spans="1:20">
      <c r="A404" s="290" t="s">
        <v>455</v>
      </c>
      <c r="B404">
        <v>63.15</v>
      </c>
      <c r="C404">
        <v>107.18</v>
      </c>
      <c r="D404">
        <v>89.29</v>
      </c>
      <c r="G404">
        <v>0.83199999999999996</v>
      </c>
      <c r="H404">
        <v>0.109</v>
      </c>
      <c r="I404">
        <v>7.0769650000000004</v>
      </c>
      <c r="J404">
        <v>0.94</v>
      </c>
      <c r="K404" s="35">
        <f t="shared" si="36"/>
        <v>0.33</v>
      </c>
      <c r="L404" s="312">
        <f t="shared" si="37"/>
        <v>0.63500000000000001</v>
      </c>
      <c r="M404" s="310">
        <f t="shared" si="38"/>
        <v>98.235000000000014</v>
      </c>
      <c r="N404" s="310">
        <f t="shared" si="39"/>
        <v>0</v>
      </c>
      <c r="O404" s="91">
        <f t="shared" si="40"/>
        <v>98.235000000000014</v>
      </c>
      <c r="P404" s="62">
        <f t="shared" si="41"/>
        <v>13.880950379152646</v>
      </c>
      <c r="T404" s="310" t="str">
        <f>PE_aug!AP404</f>
        <v>Bodenproben</v>
      </c>
    </row>
    <row r="405" spans="1:20">
      <c r="A405" s="290" t="s">
        <v>456</v>
      </c>
      <c r="B405">
        <v>130.07</v>
      </c>
      <c r="C405">
        <v>86.77</v>
      </c>
      <c r="D405">
        <v>91.36</v>
      </c>
      <c r="E405">
        <v>68.23</v>
      </c>
      <c r="G405">
        <v>1.042</v>
      </c>
      <c r="H405">
        <v>0.109</v>
      </c>
      <c r="I405">
        <v>10.223549999999999</v>
      </c>
      <c r="J405">
        <v>0.86</v>
      </c>
      <c r="K405" s="35">
        <f t="shared" si="36"/>
        <v>0.33</v>
      </c>
      <c r="L405" s="312">
        <f t="shared" si="37"/>
        <v>0.59499999999999997</v>
      </c>
      <c r="M405" s="310">
        <f t="shared" si="38"/>
        <v>82.12</v>
      </c>
      <c r="N405" s="310">
        <f t="shared" si="39"/>
        <v>0</v>
      </c>
      <c r="O405" s="91">
        <f t="shared" si="40"/>
        <v>82.12</v>
      </c>
      <c r="P405" s="62">
        <f t="shared" si="41"/>
        <v>8.0324349174210532</v>
      </c>
      <c r="T405" s="310" t="str">
        <f>PE_aug!AP405</f>
        <v>Bodenproben</v>
      </c>
    </row>
    <row r="406" spans="1:20">
      <c r="A406" s="290" t="s">
        <v>457</v>
      </c>
      <c r="G406">
        <v>0.38100000000000001</v>
      </c>
      <c r="H406">
        <v>0.55100000000000005</v>
      </c>
      <c r="I406">
        <v>10.453200000000001</v>
      </c>
      <c r="K406" s="35" t="e">
        <f t="shared" si="36"/>
        <v>#DIV/0!</v>
      </c>
      <c r="L406" s="312" t="e">
        <f t="shared" si="37"/>
        <v>#DIV/0!</v>
      </c>
      <c r="M406" s="310" t="e">
        <f t="shared" si="38"/>
        <v>#DIV/0!</v>
      </c>
      <c r="N406" s="310" t="e">
        <f t="shared" si="39"/>
        <v>#DIV/0!</v>
      </c>
      <c r="O406" s="91" t="e">
        <f t="shared" si="40"/>
        <v>#DIV/0!</v>
      </c>
      <c r="P406" s="62">
        <f t="shared" si="41"/>
        <v>0</v>
      </c>
      <c r="T406" s="310" t="str">
        <f>PE_aug!AP406</f>
        <v>Bodenproben</v>
      </c>
    </row>
    <row r="407" spans="1:20">
      <c r="A407" s="290" t="s">
        <v>458</v>
      </c>
      <c r="G407">
        <v>0.95099999999999996</v>
      </c>
      <c r="H407">
        <v>0.55100000000000005</v>
      </c>
      <c r="I407">
        <v>8.8926250000000007</v>
      </c>
      <c r="K407" s="35" t="e">
        <f t="shared" si="36"/>
        <v>#DIV/0!</v>
      </c>
      <c r="L407" s="312" t="e">
        <f t="shared" si="37"/>
        <v>#DIV/0!</v>
      </c>
      <c r="M407" s="310" t="e">
        <f t="shared" si="38"/>
        <v>#DIV/0!</v>
      </c>
      <c r="N407" s="310" t="e">
        <f t="shared" si="39"/>
        <v>#DIV/0!</v>
      </c>
      <c r="O407" s="91" t="e">
        <f t="shared" si="40"/>
        <v>#DIV/0!</v>
      </c>
      <c r="P407" s="62">
        <f t="shared" si="41"/>
        <v>0</v>
      </c>
      <c r="T407" s="310" t="str">
        <f>PE_aug!AP407</f>
        <v>Bodenproben</v>
      </c>
    </row>
    <row r="408" spans="1:20">
      <c r="A408" s="290" t="s">
        <v>459</v>
      </c>
      <c r="G408">
        <v>0.79900000000000004</v>
      </c>
      <c r="H408">
        <v>0.55100000000000005</v>
      </c>
      <c r="I408">
        <v>10.5664</v>
      </c>
      <c r="K408" s="35" t="e">
        <f t="shared" si="36"/>
        <v>#DIV/0!</v>
      </c>
      <c r="L408" s="312" t="e">
        <f t="shared" si="37"/>
        <v>#DIV/0!</v>
      </c>
      <c r="M408" s="310" t="e">
        <f t="shared" si="38"/>
        <v>#DIV/0!</v>
      </c>
      <c r="N408" s="310" t="e">
        <f t="shared" si="39"/>
        <v>#DIV/0!</v>
      </c>
      <c r="O408" s="91" t="e">
        <f t="shared" si="40"/>
        <v>#DIV/0!</v>
      </c>
      <c r="P408" s="62">
        <f t="shared" si="41"/>
        <v>0</v>
      </c>
      <c r="T408" s="310" t="str">
        <f>PE_aug!AP408</f>
        <v>Bodenproben</v>
      </c>
    </row>
    <row r="409" spans="1:20">
      <c r="A409" s="290" t="s">
        <v>460</v>
      </c>
      <c r="G409">
        <v>0.41199999999999998</v>
      </c>
      <c r="H409">
        <v>7.2999999999999995E-2</v>
      </c>
      <c r="I409">
        <v>12.769600000000001</v>
      </c>
      <c r="K409" s="35" t="e">
        <f t="shared" si="36"/>
        <v>#DIV/0!</v>
      </c>
      <c r="L409" s="312" t="e">
        <f t="shared" si="37"/>
        <v>#DIV/0!</v>
      </c>
      <c r="M409" s="310" t="e">
        <f t="shared" si="38"/>
        <v>#DIV/0!</v>
      </c>
      <c r="N409" s="310" t="e">
        <f t="shared" si="39"/>
        <v>#DIV/0!</v>
      </c>
      <c r="O409" s="91" t="e">
        <f t="shared" si="40"/>
        <v>#DIV/0!</v>
      </c>
      <c r="P409" s="62">
        <f t="shared" si="41"/>
        <v>0</v>
      </c>
      <c r="T409" s="310" t="str">
        <f>PE_aug!AP409</f>
        <v>Bodenproben</v>
      </c>
    </row>
    <row r="410" spans="1:20">
      <c r="A410" s="290" t="s">
        <v>461</v>
      </c>
      <c r="G410">
        <v>1.075</v>
      </c>
      <c r="H410">
        <v>7.2999999999999995E-2</v>
      </c>
      <c r="I410">
        <v>9.5862499999999997</v>
      </c>
      <c r="K410" s="35" t="e">
        <f t="shared" si="36"/>
        <v>#DIV/0!</v>
      </c>
      <c r="L410" s="312" t="e">
        <f t="shared" si="37"/>
        <v>#DIV/0!</v>
      </c>
      <c r="M410" s="310" t="e">
        <f t="shared" si="38"/>
        <v>#DIV/0!</v>
      </c>
      <c r="N410" s="310" t="e">
        <f t="shared" si="39"/>
        <v>#DIV/0!</v>
      </c>
      <c r="O410" s="91" t="e">
        <f t="shared" si="40"/>
        <v>#DIV/0!</v>
      </c>
      <c r="P410" s="62">
        <f t="shared" si="41"/>
        <v>0</v>
      </c>
      <c r="T410" s="310" t="str">
        <f>PE_aug!AP410</f>
        <v>Bodenproben</v>
      </c>
    </row>
    <row r="411" spans="1:20">
      <c r="A411" s="290" t="s">
        <v>462</v>
      </c>
      <c r="G411">
        <v>0.74</v>
      </c>
      <c r="H411">
        <v>7.2999999999999995E-2</v>
      </c>
      <c r="I411">
        <v>13.754300000000001</v>
      </c>
      <c r="K411" s="35" t="e">
        <f t="shared" si="36"/>
        <v>#DIV/0!</v>
      </c>
      <c r="L411" s="312" t="e">
        <f t="shared" si="37"/>
        <v>#DIV/0!</v>
      </c>
      <c r="M411" s="310" t="e">
        <f t="shared" si="38"/>
        <v>#DIV/0!</v>
      </c>
      <c r="N411" s="310" t="e">
        <f t="shared" si="39"/>
        <v>#DIV/0!</v>
      </c>
      <c r="O411" s="91" t="e">
        <f t="shared" si="40"/>
        <v>#DIV/0!</v>
      </c>
      <c r="P411" s="62">
        <f t="shared" si="41"/>
        <v>0</v>
      </c>
      <c r="T411" s="310" t="str">
        <f>PE_aug!AP411</f>
        <v>Bodenproben</v>
      </c>
    </row>
    <row r="412" spans="1:20">
      <c r="A412" s="294" t="s">
        <v>463</v>
      </c>
      <c r="G412">
        <v>0.70699999999999996</v>
      </c>
      <c r="H412">
        <v>0.129</v>
      </c>
      <c r="I412">
        <v>5.9239199999999999</v>
      </c>
      <c r="K412" s="35" t="e">
        <f t="shared" si="36"/>
        <v>#DIV/0!</v>
      </c>
      <c r="L412" s="312" t="e">
        <f t="shared" si="37"/>
        <v>#DIV/0!</v>
      </c>
      <c r="M412" s="310" t="e">
        <f t="shared" si="38"/>
        <v>#DIV/0!</v>
      </c>
      <c r="N412" s="310" t="e">
        <f t="shared" si="39"/>
        <v>#DIV/0!</v>
      </c>
      <c r="O412" s="91" t="e">
        <f t="shared" si="40"/>
        <v>#DIV/0!</v>
      </c>
      <c r="P412" s="62">
        <f t="shared" si="41"/>
        <v>0</v>
      </c>
      <c r="T412" s="310" t="str">
        <f>PE_aug!AP412</f>
        <v>Bodenproben</v>
      </c>
    </row>
    <row r="413" spans="1:20">
      <c r="A413" s="294" t="s">
        <v>464</v>
      </c>
      <c r="G413">
        <v>0.70699999999999996</v>
      </c>
      <c r="H413">
        <v>0.129</v>
      </c>
      <c r="I413">
        <v>11.6953</v>
      </c>
      <c r="K413" s="35" t="e">
        <f t="shared" si="36"/>
        <v>#DIV/0!</v>
      </c>
      <c r="L413" s="312" t="e">
        <f t="shared" si="37"/>
        <v>#DIV/0!</v>
      </c>
      <c r="M413" s="310" t="e">
        <f t="shared" si="38"/>
        <v>#DIV/0!</v>
      </c>
      <c r="N413" s="310" t="e">
        <f t="shared" si="39"/>
        <v>#DIV/0!</v>
      </c>
      <c r="O413" s="91" t="e">
        <f t="shared" si="40"/>
        <v>#DIV/0!</v>
      </c>
      <c r="P413" s="62">
        <f t="shared" si="41"/>
        <v>0</v>
      </c>
      <c r="T413" s="310" t="str">
        <f>PE_aug!AP413</f>
        <v>Bodenproben</v>
      </c>
    </row>
    <row r="414" spans="1:20">
      <c r="A414" s="294" t="s">
        <v>465</v>
      </c>
      <c r="G414">
        <v>0.70699999999999996</v>
      </c>
      <c r="H414">
        <v>8.4000000000000005E-2</v>
      </c>
      <c r="I414">
        <v>5.3761700000000001</v>
      </c>
      <c r="K414" s="35" t="e">
        <f t="shared" si="36"/>
        <v>#DIV/0!</v>
      </c>
      <c r="L414" s="312" t="e">
        <f t="shared" si="37"/>
        <v>#DIV/0!</v>
      </c>
      <c r="M414" s="310" t="e">
        <f t="shared" si="38"/>
        <v>#DIV/0!</v>
      </c>
      <c r="N414" s="310" t="e">
        <f t="shared" si="39"/>
        <v>#DIV/0!</v>
      </c>
      <c r="O414" s="91" t="e">
        <f t="shared" si="40"/>
        <v>#DIV/0!</v>
      </c>
      <c r="P414" s="62">
        <f t="shared" si="41"/>
        <v>0</v>
      </c>
      <c r="T414" s="310" t="str">
        <f>PE_aug!AP414</f>
        <v>Bodenproben</v>
      </c>
    </row>
    <row r="415" spans="1:20">
      <c r="A415" s="294" t="s">
        <v>466</v>
      </c>
      <c r="G415">
        <v>0.70699999999999996</v>
      </c>
      <c r="H415">
        <v>8.4000000000000005E-2</v>
      </c>
      <c r="I415">
        <v>9.5681949999999993</v>
      </c>
      <c r="K415" s="35" t="e">
        <f t="shared" si="36"/>
        <v>#DIV/0!</v>
      </c>
      <c r="L415" s="312" t="e">
        <f t="shared" si="37"/>
        <v>#DIV/0!</v>
      </c>
      <c r="M415" s="310" t="e">
        <f t="shared" si="38"/>
        <v>#DIV/0!</v>
      </c>
      <c r="N415" s="310" t="e">
        <f t="shared" si="39"/>
        <v>#DIV/0!</v>
      </c>
      <c r="O415" s="91" t="e">
        <f t="shared" si="40"/>
        <v>#DIV/0!</v>
      </c>
      <c r="P415" s="62">
        <f t="shared" si="41"/>
        <v>0</v>
      </c>
      <c r="T415" s="310" t="str">
        <f>PE_aug!AP415</f>
        <v>Bodenproben</v>
      </c>
    </row>
    <row r="416" spans="1:20">
      <c r="A416" s="294" t="s">
        <v>467</v>
      </c>
      <c r="G416">
        <v>0.70699999999999996</v>
      </c>
      <c r="H416">
        <v>2.7E-2</v>
      </c>
      <c r="I416">
        <v>7.2167450000000004</v>
      </c>
      <c r="K416" s="35" t="e">
        <f t="shared" si="36"/>
        <v>#DIV/0!</v>
      </c>
      <c r="L416" s="312" t="e">
        <f t="shared" si="37"/>
        <v>#DIV/0!</v>
      </c>
      <c r="M416" s="310" t="e">
        <f t="shared" si="38"/>
        <v>#DIV/0!</v>
      </c>
      <c r="N416" s="310" t="e">
        <f t="shared" si="39"/>
        <v>#DIV/0!</v>
      </c>
      <c r="O416" s="91" t="e">
        <f t="shared" si="40"/>
        <v>#DIV/0!</v>
      </c>
      <c r="P416" s="62">
        <f t="shared" si="41"/>
        <v>0</v>
      </c>
      <c r="T416" s="310" t="str">
        <f>PE_aug!AP416</f>
        <v>KWS, Methode</v>
      </c>
    </row>
    <row r="417" spans="1:20">
      <c r="A417" s="294" t="s">
        <v>468</v>
      </c>
      <c r="G417">
        <v>0.70699999999999996</v>
      </c>
      <c r="H417">
        <v>2.7E-2</v>
      </c>
      <c r="I417">
        <v>6.6940000000000008</v>
      </c>
      <c r="K417" s="35" t="e">
        <f t="shared" si="36"/>
        <v>#DIV/0!</v>
      </c>
      <c r="L417" s="312" t="e">
        <f t="shared" si="37"/>
        <v>#DIV/0!</v>
      </c>
      <c r="M417" s="310" t="e">
        <f t="shared" si="38"/>
        <v>#DIV/0!</v>
      </c>
      <c r="N417" s="310" t="e">
        <f t="shared" si="39"/>
        <v>#DIV/0!</v>
      </c>
      <c r="O417" s="91" t="e">
        <f t="shared" si="40"/>
        <v>#DIV/0!</v>
      </c>
      <c r="P417" s="62">
        <f t="shared" si="41"/>
        <v>0</v>
      </c>
      <c r="T417" s="310" t="str">
        <f>PE_aug!AP417</f>
        <v>KWS, Methode</v>
      </c>
    </row>
    <row r="418" spans="1:20">
      <c r="A418" s="294" t="s">
        <v>469</v>
      </c>
      <c r="G418">
        <v>0.70699999999999996</v>
      </c>
      <c r="H418">
        <v>7.4999999999999997E-2</v>
      </c>
      <c r="I418">
        <v>9.5514899999999994</v>
      </c>
      <c r="J418">
        <v>0.4</v>
      </c>
      <c r="K418" s="35" t="e">
        <f t="shared" si="36"/>
        <v>#DIV/0!</v>
      </c>
      <c r="L418" s="312" t="e">
        <f t="shared" si="37"/>
        <v>#DIV/0!</v>
      </c>
      <c r="M418" s="310" t="e">
        <f t="shared" si="38"/>
        <v>#DIV/0!</v>
      </c>
      <c r="N418" s="310" t="e">
        <f t="shared" si="39"/>
        <v>#DIV/0!</v>
      </c>
      <c r="O418" s="91" t="e">
        <f t="shared" si="40"/>
        <v>#DIV/0!</v>
      </c>
      <c r="P418" s="62">
        <f t="shared" si="41"/>
        <v>0</v>
      </c>
      <c r="T418" s="310" t="str">
        <f>PE_aug!AP418</f>
        <v>KWS, Methode</v>
      </c>
    </row>
    <row r="419" spans="1:20">
      <c r="A419" s="294" t="s">
        <v>470</v>
      </c>
      <c r="G419">
        <v>0.70699999999999996</v>
      </c>
      <c r="H419">
        <v>0.13500000000000001</v>
      </c>
      <c r="I419">
        <v>10.0252</v>
      </c>
      <c r="K419" s="35" t="e">
        <f t="shared" si="36"/>
        <v>#DIV/0!</v>
      </c>
      <c r="L419" s="312" t="e">
        <f t="shared" si="37"/>
        <v>#DIV/0!</v>
      </c>
      <c r="M419" s="310" t="e">
        <f t="shared" si="38"/>
        <v>#DIV/0!</v>
      </c>
      <c r="N419" s="310" t="e">
        <f t="shared" si="39"/>
        <v>#DIV/0!</v>
      </c>
      <c r="O419" s="91" t="e">
        <f t="shared" si="40"/>
        <v>#DIV/0!</v>
      </c>
      <c r="P419" s="62">
        <f t="shared" si="41"/>
        <v>0</v>
      </c>
      <c r="T419" s="310" t="str">
        <f>PE_aug!AP419</f>
        <v>KWS, Methode</v>
      </c>
    </row>
    <row r="420" spans="1:20">
      <c r="A420" s="294" t="s">
        <v>471</v>
      </c>
      <c r="G420">
        <v>0.70699999999999996</v>
      </c>
      <c r="H420">
        <v>0.104</v>
      </c>
      <c r="I420">
        <v>9.7563600000000008</v>
      </c>
      <c r="K420" s="35" t="e">
        <f t="shared" si="36"/>
        <v>#DIV/0!</v>
      </c>
      <c r="L420" s="312" t="e">
        <f t="shared" si="37"/>
        <v>#DIV/0!</v>
      </c>
      <c r="M420" s="310" t="e">
        <f t="shared" si="38"/>
        <v>#DIV/0!</v>
      </c>
      <c r="N420" s="310" t="e">
        <f t="shared" si="39"/>
        <v>#DIV/0!</v>
      </c>
      <c r="O420" s="91" t="e">
        <f t="shared" si="40"/>
        <v>#DIV/0!</v>
      </c>
      <c r="P420" s="62">
        <f t="shared" si="41"/>
        <v>0</v>
      </c>
      <c r="T420" s="310" t="str">
        <f>PE_aug!AP420</f>
        <v>Flussproben, Methode</v>
      </c>
    </row>
    <row r="421" spans="1:20">
      <c r="A421" s="294" t="s">
        <v>472</v>
      </c>
      <c r="G421">
        <v>0.70699999999999996</v>
      </c>
      <c r="H421">
        <v>0.104</v>
      </c>
      <c r="I421">
        <v>6.7526899999999994</v>
      </c>
      <c r="K421" s="35" t="e">
        <f t="shared" si="36"/>
        <v>#DIV/0!</v>
      </c>
      <c r="L421" s="312" t="e">
        <f t="shared" si="37"/>
        <v>#DIV/0!</v>
      </c>
      <c r="M421" s="310" t="e">
        <f t="shared" si="38"/>
        <v>#DIV/0!</v>
      </c>
      <c r="N421" s="310" t="e">
        <f t="shared" si="39"/>
        <v>#DIV/0!</v>
      </c>
      <c r="O421" s="91" t="e">
        <f t="shared" si="40"/>
        <v>#DIV/0!</v>
      </c>
      <c r="P421" s="62">
        <f t="shared" si="41"/>
        <v>0</v>
      </c>
      <c r="T421" s="310" t="str">
        <f>PE_aug!AP421</f>
        <v>Methode</v>
      </c>
    </row>
    <row r="422" spans="1:20">
      <c r="A422" s="294" t="s">
        <v>473</v>
      </c>
      <c r="G422">
        <v>0.70699999999999996</v>
      </c>
      <c r="H422">
        <v>7.4999999999999997E-2</v>
      </c>
      <c r="I422">
        <v>6.7782600000000004</v>
      </c>
      <c r="K422" s="35" t="e">
        <f t="shared" si="36"/>
        <v>#DIV/0!</v>
      </c>
      <c r="L422" s="312" t="e">
        <f t="shared" si="37"/>
        <v>#DIV/0!</v>
      </c>
      <c r="M422" s="310" t="e">
        <f t="shared" si="38"/>
        <v>#DIV/0!</v>
      </c>
      <c r="N422" s="310" t="e">
        <f t="shared" si="39"/>
        <v>#DIV/0!</v>
      </c>
      <c r="O422" s="91" t="e">
        <f t="shared" si="40"/>
        <v>#DIV/0!</v>
      </c>
      <c r="P422" s="62">
        <f t="shared" si="41"/>
        <v>0</v>
      </c>
      <c r="T422" s="310" t="str">
        <f>PE_aug!AP422</f>
        <v>Methode</v>
      </c>
    </row>
    <row r="423" spans="1:20">
      <c r="A423" s="294" t="s">
        <v>474</v>
      </c>
      <c r="G423">
        <v>0.70699999999999996</v>
      </c>
      <c r="H423">
        <v>0.13500000000000001</v>
      </c>
      <c r="I423">
        <v>4.1185499999999999</v>
      </c>
      <c r="K423" s="35" t="e">
        <f t="shared" si="36"/>
        <v>#DIV/0!</v>
      </c>
      <c r="L423" s="312" t="e">
        <f t="shared" si="37"/>
        <v>#DIV/0!</v>
      </c>
      <c r="M423" s="310" t="e">
        <f t="shared" si="38"/>
        <v>#DIV/0!</v>
      </c>
      <c r="N423" s="310" t="e">
        <f t="shared" si="39"/>
        <v>#DIV/0!</v>
      </c>
      <c r="O423" s="91" t="e">
        <f t="shared" si="40"/>
        <v>#DIV/0!</v>
      </c>
      <c r="P423" s="62">
        <f t="shared" si="41"/>
        <v>0</v>
      </c>
      <c r="T423" s="310" t="str">
        <f>PE_aug!AP423</f>
        <v>Straßenabfluss, Methode</v>
      </c>
    </row>
    <row r="424" spans="1:20">
      <c r="A424" s="305" t="s">
        <v>475</v>
      </c>
      <c r="I424" s="51">
        <v>18.433900000000001</v>
      </c>
      <c r="K424" s="35" t="e">
        <f t="shared" si="36"/>
        <v>#DIV/0!</v>
      </c>
      <c r="L424" s="312" t="e">
        <f t="shared" si="37"/>
        <v>#DIV/0!</v>
      </c>
      <c r="M424" s="310" t="e">
        <f t="shared" si="38"/>
        <v>#DIV/0!</v>
      </c>
      <c r="N424" s="310" t="e">
        <f t="shared" si="39"/>
        <v>#DIV/0!</v>
      </c>
      <c r="O424" s="91" t="e">
        <f t="shared" si="40"/>
        <v>#DIV/0!</v>
      </c>
      <c r="P424" s="62">
        <f t="shared" si="41"/>
        <v>0</v>
      </c>
      <c r="T424" s="310" t="str">
        <f>PE_aug!AP424</f>
        <v>Straßenabfluss</v>
      </c>
    </row>
    <row r="425" spans="1:20">
      <c r="A425" s="305" t="s">
        <v>476</v>
      </c>
      <c r="I425">
        <v>16.974799999999998</v>
      </c>
      <c r="K425" s="35" t="e">
        <f t="shared" si="36"/>
        <v>#DIV/0!</v>
      </c>
      <c r="L425" s="312" t="e">
        <f t="shared" si="37"/>
        <v>#DIV/0!</v>
      </c>
      <c r="M425" s="310" t="e">
        <f t="shared" si="38"/>
        <v>#DIV/0!</v>
      </c>
      <c r="N425" s="310" t="e">
        <f t="shared" si="39"/>
        <v>#DIV/0!</v>
      </c>
      <c r="O425" s="91" t="e">
        <f t="shared" si="40"/>
        <v>#DIV/0!</v>
      </c>
      <c r="P425" s="62">
        <f t="shared" si="41"/>
        <v>0</v>
      </c>
      <c r="T425" s="310" t="str">
        <f>PE_aug!AP425</f>
        <v>Straßenabfluss</v>
      </c>
    </row>
    <row r="426" spans="1:20">
      <c r="A426" s="305" t="s">
        <v>477</v>
      </c>
      <c r="I426">
        <v>2.40835</v>
      </c>
      <c r="J426">
        <v>0.94</v>
      </c>
      <c r="K426" s="35" t="e">
        <f t="shared" si="36"/>
        <v>#DIV/0!</v>
      </c>
      <c r="L426" s="312" t="e">
        <f t="shared" si="37"/>
        <v>#DIV/0!</v>
      </c>
      <c r="M426" s="310" t="e">
        <f t="shared" si="38"/>
        <v>#DIV/0!</v>
      </c>
      <c r="N426" s="310" t="e">
        <f t="shared" si="39"/>
        <v>#DIV/0!</v>
      </c>
      <c r="O426" s="91" t="e">
        <f t="shared" si="40"/>
        <v>#DIV/0!</v>
      </c>
      <c r="P426" s="62">
        <f t="shared" si="41"/>
        <v>0</v>
      </c>
      <c r="T426" s="310" t="str">
        <f>PE_aug!AP426</f>
        <v>Straßenabfluss</v>
      </c>
    </row>
    <row r="427" spans="1:20">
      <c r="A427" s="305" t="s">
        <v>478</v>
      </c>
      <c r="G427">
        <v>0.81699999999999995</v>
      </c>
      <c r="H427">
        <v>9.4E-2</v>
      </c>
      <c r="I427">
        <v>7.2383749999999996</v>
      </c>
      <c r="J427">
        <v>0.4</v>
      </c>
      <c r="K427" s="35" t="e">
        <f t="shared" si="36"/>
        <v>#DIV/0!</v>
      </c>
      <c r="L427" s="312" t="e">
        <f t="shared" si="37"/>
        <v>#DIV/0!</v>
      </c>
      <c r="M427" s="310" t="e">
        <f t="shared" si="38"/>
        <v>#DIV/0!</v>
      </c>
      <c r="N427" s="310" t="e">
        <f t="shared" si="39"/>
        <v>#DIV/0!</v>
      </c>
      <c r="O427" s="91" t="e">
        <f t="shared" si="40"/>
        <v>#DIV/0!</v>
      </c>
      <c r="P427" s="62">
        <f t="shared" si="41"/>
        <v>0</v>
      </c>
      <c r="T427" s="310" t="str">
        <f>PE_aug!AP427</f>
        <v>Straßenabfluss</v>
      </c>
    </row>
    <row r="428" spans="1:20">
      <c r="A428" s="305" t="s">
        <v>479</v>
      </c>
      <c r="G428">
        <v>0.72399999999999998</v>
      </c>
      <c r="H428">
        <v>9.4E-2</v>
      </c>
      <c r="I428">
        <v>10.759</v>
      </c>
      <c r="J428">
        <v>0.4</v>
      </c>
      <c r="K428" s="35" t="e">
        <f t="shared" si="36"/>
        <v>#DIV/0!</v>
      </c>
      <c r="L428" s="312" t="e">
        <f t="shared" si="37"/>
        <v>#DIV/0!</v>
      </c>
      <c r="M428" s="310" t="e">
        <f t="shared" si="38"/>
        <v>#DIV/0!</v>
      </c>
      <c r="N428" s="310" t="e">
        <f t="shared" si="39"/>
        <v>#DIV/0!</v>
      </c>
      <c r="O428" s="91" t="e">
        <f t="shared" si="40"/>
        <v>#DIV/0!</v>
      </c>
      <c r="P428" s="62">
        <f t="shared" si="41"/>
        <v>0</v>
      </c>
      <c r="T428" s="310" t="str">
        <f>PE_aug!AP428</f>
        <v>Straßenabfluss, Methode</v>
      </c>
    </row>
    <row r="429" spans="1:20">
      <c r="A429" s="305" t="s">
        <v>480</v>
      </c>
      <c r="I429">
        <v>6.9593999999999996</v>
      </c>
      <c r="J429">
        <v>0.4</v>
      </c>
      <c r="K429" s="35" t="e">
        <f t="shared" si="36"/>
        <v>#DIV/0!</v>
      </c>
      <c r="L429" s="312" t="e">
        <f t="shared" si="37"/>
        <v>#DIV/0!</v>
      </c>
      <c r="M429" s="310" t="e">
        <f t="shared" si="38"/>
        <v>#DIV/0!</v>
      </c>
      <c r="N429" s="310" t="e">
        <f t="shared" si="39"/>
        <v>#DIV/0!</v>
      </c>
      <c r="O429" s="91" t="e">
        <f t="shared" si="40"/>
        <v>#DIV/0!</v>
      </c>
      <c r="P429" s="62">
        <f t="shared" si="41"/>
        <v>0</v>
      </c>
      <c r="T429" s="310" t="str">
        <f>PE_aug!AP429</f>
        <v>Straßenabfluss</v>
      </c>
    </row>
    <row r="430" spans="1:20">
      <c r="A430" s="305" t="s">
        <v>481</v>
      </c>
      <c r="I430">
        <v>6.5583899999999993</v>
      </c>
      <c r="K430" s="35" t="e">
        <f t="shared" si="36"/>
        <v>#DIV/0!</v>
      </c>
      <c r="L430" s="312" t="e">
        <f t="shared" si="37"/>
        <v>#DIV/0!</v>
      </c>
      <c r="M430" s="310" t="e">
        <f t="shared" si="38"/>
        <v>#DIV/0!</v>
      </c>
      <c r="N430" s="310" t="e">
        <f t="shared" si="39"/>
        <v>#DIV/0!</v>
      </c>
      <c r="O430" s="91" t="e">
        <f t="shared" si="40"/>
        <v>#DIV/0!</v>
      </c>
      <c r="P430" s="62">
        <f t="shared" si="41"/>
        <v>0</v>
      </c>
      <c r="T430" s="310" t="str">
        <f>PE_aug!AP430</f>
        <v>Straßenabfluss</v>
      </c>
    </row>
    <row r="431" spans="1:20">
      <c r="A431" s="305" t="s">
        <v>482</v>
      </c>
      <c r="I431" s="313">
        <v>5.7743099999999999E-2</v>
      </c>
      <c r="K431" s="35" t="e">
        <f t="shared" si="36"/>
        <v>#DIV/0!</v>
      </c>
      <c r="L431" s="312" t="e">
        <f t="shared" si="37"/>
        <v>#DIV/0!</v>
      </c>
      <c r="M431" s="310" t="e">
        <f t="shared" si="38"/>
        <v>#DIV/0!</v>
      </c>
      <c r="N431" s="310" t="e">
        <f t="shared" si="39"/>
        <v>#DIV/0!</v>
      </c>
      <c r="O431" s="91" t="e">
        <f t="shared" si="40"/>
        <v>#DIV/0!</v>
      </c>
      <c r="P431" s="62">
        <f t="shared" si="41"/>
        <v>0</v>
      </c>
      <c r="T431" s="310" t="str">
        <f>PE_aug!AP431</f>
        <v>Straßenabfluss</v>
      </c>
    </row>
    <row r="432" spans="1:20">
      <c r="A432" s="305" t="s">
        <v>483</v>
      </c>
      <c r="I432">
        <v>0.1338</v>
      </c>
      <c r="K432" s="35" t="e">
        <f t="shared" si="36"/>
        <v>#DIV/0!</v>
      </c>
      <c r="L432" s="312" t="e">
        <f t="shared" si="37"/>
        <v>#DIV/0!</v>
      </c>
      <c r="M432" s="310" t="e">
        <f t="shared" si="38"/>
        <v>#DIV/0!</v>
      </c>
      <c r="N432" s="310" t="e">
        <f t="shared" si="39"/>
        <v>#DIV/0!</v>
      </c>
      <c r="O432" s="91" t="e">
        <f t="shared" si="40"/>
        <v>#DIV/0!</v>
      </c>
      <c r="P432" s="62">
        <f t="shared" si="41"/>
        <v>0</v>
      </c>
      <c r="T432" s="310" t="str">
        <f>PE_aug!AP432</f>
        <v>Straßenabfluss</v>
      </c>
    </row>
    <row r="433" spans="1:20">
      <c r="A433" s="305" t="s">
        <v>484</v>
      </c>
      <c r="I433">
        <v>4.8291000000000004</v>
      </c>
      <c r="K433" s="35" t="e">
        <f t="shared" si="36"/>
        <v>#DIV/0!</v>
      </c>
      <c r="L433" s="312" t="e">
        <f t="shared" si="37"/>
        <v>#DIV/0!</v>
      </c>
      <c r="M433" s="310" t="e">
        <f t="shared" si="38"/>
        <v>#DIV/0!</v>
      </c>
      <c r="N433" s="310" t="e">
        <f t="shared" si="39"/>
        <v>#DIV/0!</v>
      </c>
      <c r="O433" s="91" t="e">
        <f t="shared" si="40"/>
        <v>#DIV/0!</v>
      </c>
      <c r="P433" s="62">
        <f t="shared" si="41"/>
        <v>0</v>
      </c>
      <c r="T433" s="310" t="str">
        <f>PE_aug!AP433</f>
        <v>Straßenabfluss</v>
      </c>
    </row>
    <row r="434" spans="1:20">
      <c r="A434" s="305" t="s">
        <v>486</v>
      </c>
      <c r="G434">
        <v>0.70699999999999996</v>
      </c>
      <c r="H434">
        <v>5.2999999999999999E-2</v>
      </c>
      <c r="I434">
        <v>13.0227</v>
      </c>
      <c r="K434" s="35" t="e">
        <f t="shared" si="36"/>
        <v>#DIV/0!</v>
      </c>
      <c r="L434" s="312" t="e">
        <f t="shared" si="37"/>
        <v>#DIV/0!</v>
      </c>
      <c r="M434" s="310" t="e">
        <f t="shared" si="38"/>
        <v>#DIV/0!</v>
      </c>
      <c r="N434" s="310" t="e">
        <f t="shared" si="39"/>
        <v>#DIV/0!</v>
      </c>
      <c r="O434" s="91" t="e">
        <f t="shared" si="40"/>
        <v>#DIV/0!</v>
      </c>
      <c r="P434" s="62">
        <f t="shared" si="41"/>
        <v>0</v>
      </c>
      <c r="T434" s="310" t="str">
        <f>PE_aug!AP434</f>
        <v>Straßenabfluss</v>
      </c>
    </row>
    <row r="435" spans="1:20">
      <c r="A435" s="305" t="s">
        <v>487</v>
      </c>
      <c r="G435">
        <v>0.70699999999999996</v>
      </c>
      <c r="H435">
        <v>5.2999999999999999E-2</v>
      </c>
      <c r="I435">
        <v>10.6518</v>
      </c>
      <c r="K435" s="35" t="e">
        <f t="shared" si="36"/>
        <v>#DIV/0!</v>
      </c>
      <c r="L435" s="312" t="e">
        <f t="shared" si="37"/>
        <v>#DIV/0!</v>
      </c>
      <c r="M435" s="310" t="e">
        <f t="shared" si="38"/>
        <v>#DIV/0!</v>
      </c>
      <c r="N435" s="310" t="e">
        <f t="shared" si="39"/>
        <v>#DIV/0!</v>
      </c>
      <c r="O435" s="91" t="e">
        <f t="shared" si="40"/>
        <v>#DIV/0!</v>
      </c>
      <c r="P435" s="62">
        <f t="shared" si="41"/>
        <v>0</v>
      </c>
      <c r="T435" s="310" t="str">
        <f>PE_aug!AP435</f>
        <v>Straßenabfluss</v>
      </c>
    </row>
    <row r="436" spans="1:20">
      <c r="A436" s="305" t="s">
        <v>488</v>
      </c>
      <c r="G436">
        <v>0.70699999999999996</v>
      </c>
      <c r="H436">
        <v>0.01</v>
      </c>
      <c r="I436">
        <v>11.817399999999999</v>
      </c>
      <c r="K436" s="35" t="e">
        <f t="shared" si="36"/>
        <v>#DIV/0!</v>
      </c>
      <c r="L436" s="312" t="e">
        <f t="shared" si="37"/>
        <v>#DIV/0!</v>
      </c>
      <c r="M436" s="310" t="e">
        <f t="shared" si="38"/>
        <v>#DIV/0!</v>
      </c>
      <c r="N436" s="310" t="e">
        <f t="shared" si="39"/>
        <v>#DIV/0!</v>
      </c>
      <c r="O436" s="91" t="e">
        <f t="shared" si="40"/>
        <v>#DIV/0!</v>
      </c>
      <c r="P436" s="62">
        <f t="shared" si="41"/>
        <v>0</v>
      </c>
      <c r="T436" s="310" t="str">
        <f>PE_aug!AP436</f>
        <v>Straßenabfluss</v>
      </c>
    </row>
    <row r="437" spans="1:20">
      <c r="A437" s="305" t="s">
        <v>489</v>
      </c>
      <c r="G437">
        <v>0.70699999999999996</v>
      </c>
      <c r="H437">
        <v>0.01</v>
      </c>
      <c r="I437">
        <v>11.172000000000001</v>
      </c>
      <c r="K437" s="35" t="e">
        <f t="shared" si="36"/>
        <v>#DIV/0!</v>
      </c>
      <c r="L437" s="312" t="e">
        <f t="shared" si="37"/>
        <v>#DIV/0!</v>
      </c>
      <c r="M437" s="310" t="e">
        <f t="shared" si="38"/>
        <v>#DIV/0!</v>
      </c>
      <c r="N437" s="310" t="e">
        <f t="shared" si="39"/>
        <v>#DIV/0!</v>
      </c>
      <c r="O437" s="91" t="e">
        <f t="shared" si="40"/>
        <v>#DIV/0!</v>
      </c>
      <c r="P437" s="62">
        <f t="shared" si="41"/>
        <v>0</v>
      </c>
      <c r="T437" s="310" t="str">
        <f>PE_aug!AP437</f>
        <v>Straßenabfluss</v>
      </c>
    </row>
    <row r="438" spans="1:20">
      <c r="A438" s="305" t="s">
        <v>568</v>
      </c>
      <c r="I438">
        <v>5.7991000000000001</v>
      </c>
      <c r="K438" s="35" t="e">
        <f t="shared" si="36"/>
        <v>#DIV/0!</v>
      </c>
      <c r="L438" s="312" t="e">
        <f t="shared" si="37"/>
        <v>#DIV/0!</v>
      </c>
      <c r="M438" s="310" t="e">
        <f t="shared" si="38"/>
        <v>#DIV/0!</v>
      </c>
      <c r="N438" s="310" t="e">
        <f t="shared" si="39"/>
        <v>#DIV/0!</v>
      </c>
      <c r="O438" s="91" t="e">
        <f t="shared" si="40"/>
        <v>#DIV/0!</v>
      </c>
      <c r="P438" s="62">
        <f t="shared" si="41"/>
        <v>0</v>
      </c>
      <c r="T438" s="310" t="str">
        <f>PE_aug!AP438</f>
        <v>Straßenabfluss</v>
      </c>
    </row>
    <row r="439" spans="1:20">
      <c r="A439" s="305" t="s">
        <v>491</v>
      </c>
      <c r="G439">
        <v>0.70699999999999996</v>
      </c>
      <c r="H439">
        <v>3.7999999999999999E-2</v>
      </c>
      <c r="I439">
        <v>9.7790800000000004</v>
      </c>
      <c r="K439" s="35" t="e">
        <f t="shared" si="36"/>
        <v>#DIV/0!</v>
      </c>
      <c r="L439" s="312" t="e">
        <f t="shared" si="37"/>
        <v>#DIV/0!</v>
      </c>
      <c r="M439" s="310" t="e">
        <f t="shared" si="38"/>
        <v>#DIV/0!</v>
      </c>
      <c r="N439" s="310" t="e">
        <f t="shared" si="39"/>
        <v>#DIV/0!</v>
      </c>
      <c r="O439" s="91" t="e">
        <f t="shared" si="40"/>
        <v>#DIV/0!</v>
      </c>
      <c r="P439" s="62">
        <f t="shared" si="41"/>
        <v>0</v>
      </c>
      <c r="T439" s="310" t="str">
        <f>PE_aug!AP439</f>
        <v>KWS, Methode</v>
      </c>
    </row>
    <row r="440" spans="1:20">
      <c r="A440" s="305" t="s">
        <v>492</v>
      </c>
      <c r="G440">
        <v>0.70699999999999996</v>
      </c>
      <c r="H440">
        <v>3.7999999999999999E-2</v>
      </c>
      <c r="I440">
        <v>11.240500000000001</v>
      </c>
      <c r="K440" s="35" t="e">
        <f t="shared" si="36"/>
        <v>#DIV/0!</v>
      </c>
      <c r="L440" s="312" t="e">
        <f t="shared" si="37"/>
        <v>#DIV/0!</v>
      </c>
      <c r="M440" s="310" t="e">
        <f t="shared" si="38"/>
        <v>#DIV/0!</v>
      </c>
      <c r="N440" s="310" t="e">
        <f t="shared" si="39"/>
        <v>#DIV/0!</v>
      </c>
      <c r="O440" s="91" t="e">
        <f t="shared" si="40"/>
        <v>#DIV/0!</v>
      </c>
      <c r="P440" s="62">
        <f t="shared" si="41"/>
        <v>0</v>
      </c>
      <c r="T440" s="310" t="str">
        <f>PE_aug!AP440</f>
        <v>Methode</v>
      </c>
    </row>
    <row r="441" spans="1:20">
      <c r="A441" s="305" t="s">
        <v>493</v>
      </c>
      <c r="G441">
        <v>0.70699999999999996</v>
      </c>
      <c r="H441">
        <v>0.114</v>
      </c>
      <c r="I441">
        <v>8.0438550000000006</v>
      </c>
      <c r="K441" s="35" t="e">
        <f t="shared" si="36"/>
        <v>#DIV/0!</v>
      </c>
      <c r="L441" s="312" t="e">
        <f t="shared" si="37"/>
        <v>#DIV/0!</v>
      </c>
      <c r="M441" s="310" t="e">
        <f t="shared" si="38"/>
        <v>#DIV/0!</v>
      </c>
      <c r="N441" s="310" t="e">
        <f t="shared" si="39"/>
        <v>#DIV/0!</v>
      </c>
      <c r="O441" s="91" t="e">
        <f t="shared" si="40"/>
        <v>#DIV/0!</v>
      </c>
      <c r="P441" s="62">
        <f t="shared" si="41"/>
        <v>0</v>
      </c>
      <c r="T441" s="310" t="str">
        <f>PE_aug!AP441</f>
        <v>Straßenabfluss</v>
      </c>
    </row>
    <row r="442" spans="1:20">
      <c r="A442" s="305" t="s">
        <v>494</v>
      </c>
      <c r="G442">
        <v>0.70699999999999996</v>
      </c>
      <c r="H442">
        <v>0.114</v>
      </c>
      <c r="I442">
        <v>12.492749999999999</v>
      </c>
      <c r="K442" s="35" t="e">
        <f t="shared" si="36"/>
        <v>#DIV/0!</v>
      </c>
      <c r="L442" s="312" t="e">
        <f t="shared" si="37"/>
        <v>#DIV/0!</v>
      </c>
      <c r="M442" s="310" t="e">
        <f t="shared" si="38"/>
        <v>#DIV/0!</v>
      </c>
      <c r="N442" s="310" t="e">
        <f t="shared" si="39"/>
        <v>#DIV/0!</v>
      </c>
      <c r="O442" s="91" t="e">
        <f t="shared" si="40"/>
        <v>#DIV/0!</v>
      </c>
      <c r="P442" s="62">
        <f t="shared" si="41"/>
        <v>0</v>
      </c>
      <c r="T442" s="310" t="str">
        <f>PE_aug!AP442</f>
        <v>Straßenabfluss</v>
      </c>
    </row>
    <row r="443" spans="1:20">
      <c r="A443" s="305" t="s">
        <v>495</v>
      </c>
      <c r="G443">
        <v>0.70699999999999996</v>
      </c>
      <c r="H443">
        <v>0.46899999999999997</v>
      </c>
      <c r="I443">
        <v>9.6039899999999996</v>
      </c>
      <c r="K443" s="35" t="e">
        <f t="shared" si="36"/>
        <v>#DIV/0!</v>
      </c>
      <c r="L443" s="312" t="e">
        <f t="shared" si="37"/>
        <v>#DIV/0!</v>
      </c>
      <c r="M443" s="310" t="e">
        <f t="shared" si="38"/>
        <v>#DIV/0!</v>
      </c>
      <c r="N443" s="310" t="e">
        <f t="shared" si="39"/>
        <v>#DIV/0!</v>
      </c>
      <c r="O443" s="91" t="e">
        <f t="shared" si="40"/>
        <v>#DIV/0!</v>
      </c>
      <c r="P443" s="62">
        <f t="shared" si="41"/>
        <v>0</v>
      </c>
      <c r="T443" s="310" t="str">
        <f>PE_aug!AP443</f>
        <v>Straßenabfluss</v>
      </c>
    </row>
    <row r="444" spans="1:20">
      <c r="A444" s="305" t="s">
        <v>496</v>
      </c>
      <c r="G444">
        <v>0.70699999999999996</v>
      </c>
      <c r="H444">
        <v>0.46899999999999997</v>
      </c>
      <c r="I444">
        <v>12.9993</v>
      </c>
      <c r="K444" s="35" t="e">
        <f t="shared" si="36"/>
        <v>#DIV/0!</v>
      </c>
      <c r="L444" s="312" t="e">
        <f t="shared" si="37"/>
        <v>#DIV/0!</v>
      </c>
      <c r="M444" s="310" t="e">
        <f t="shared" si="38"/>
        <v>#DIV/0!</v>
      </c>
      <c r="N444" s="310" t="e">
        <f t="shared" si="39"/>
        <v>#DIV/0!</v>
      </c>
      <c r="O444" s="91" t="e">
        <f t="shared" si="40"/>
        <v>#DIV/0!</v>
      </c>
      <c r="P444" s="62">
        <f t="shared" si="41"/>
        <v>0</v>
      </c>
      <c r="T444" s="310" t="str">
        <f>PE_aug!AP444</f>
        <v>Straßenabfluss</v>
      </c>
    </row>
    <row r="445" spans="1:20">
      <c r="A445" s="305" t="s">
        <v>497</v>
      </c>
      <c r="G445">
        <v>0.70699999999999996</v>
      </c>
      <c r="H445">
        <v>0.17399999999999999</v>
      </c>
      <c r="I445">
        <v>8.3272600000000008</v>
      </c>
      <c r="K445" s="35" t="e">
        <f t="shared" si="36"/>
        <v>#DIV/0!</v>
      </c>
      <c r="L445" s="312" t="e">
        <f t="shared" si="37"/>
        <v>#DIV/0!</v>
      </c>
      <c r="M445" s="310" t="e">
        <f t="shared" si="38"/>
        <v>#DIV/0!</v>
      </c>
      <c r="N445" s="310" t="e">
        <f t="shared" si="39"/>
        <v>#DIV/0!</v>
      </c>
      <c r="O445" s="91" t="e">
        <f t="shared" si="40"/>
        <v>#DIV/0!</v>
      </c>
      <c r="P445" s="62">
        <f t="shared" si="41"/>
        <v>0</v>
      </c>
      <c r="T445" s="310" t="str">
        <f>PE_aug!AP445</f>
        <v>Straßenabfluss</v>
      </c>
    </row>
    <row r="446" spans="1:20">
      <c r="A446" s="305" t="s">
        <v>498</v>
      </c>
      <c r="G446">
        <v>0.70699999999999996</v>
      </c>
      <c r="H446">
        <v>0.17399999999999999</v>
      </c>
      <c r="I446">
        <v>5.5668749999999996</v>
      </c>
      <c r="K446" s="35" t="e">
        <f t="shared" si="36"/>
        <v>#DIV/0!</v>
      </c>
      <c r="L446" s="312" t="e">
        <f t="shared" si="37"/>
        <v>#DIV/0!</v>
      </c>
      <c r="M446" s="310" t="e">
        <f t="shared" si="38"/>
        <v>#DIV/0!</v>
      </c>
      <c r="N446" s="310" t="e">
        <f t="shared" si="39"/>
        <v>#DIV/0!</v>
      </c>
      <c r="O446" s="91" t="e">
        <f t="shared" si="40"/>
        <v>#DIV/0!</v>
      </c>
      <c r="P446" s="62">
        <f t="shared" si="41"/>
        <v>0</v>
      </c>
      <c r="T446" s="310" t="str">
        <f>PE_aug!AP446</f>
        <v>Straßenabfluss</v>
      </c>
    </row>
    <row r="447" spans="1:20">
      <c r="A447" s="305" t="s">
        <v>499</v>
      </c>
      <c r="G447">
        <v>0.70699999999999996</v>
      </c>
      <c r="H447">
        <v>0.12</v>
      </c>
      <c r="I447">
        <v>10.570399999999999</v>
      </c>
      <c r="K447" s="35" t="e">
        <f t="shared" si="36"/>
        <v>#DIV/0!</v>
      </c>
      <c r="L447" s="312" t="e">
        <f t="shared" si="37"/>
        <v>#DIV/0!</v>
      </c>
      <c r="M447" s="310" t="e">
        <f t="shared" si="38"/>
        <v>#DIV/0!</v>
      </c>
      <c r="N447" s="310" t="e">
        <f t="shared" si="39"/>
        <v>#DIV/0!</v>
      </c>
      <c r="O447" s="91" t="e">
        <f t="shared" si="40"/>
        <v>#DIV/0!</v>
      </c>
      <c r="P447" s="62">
        <f t="shared" si="41"/>
        <v>0</v>
      </c>
      <c r="T447" s="310" t="str">
        <f>PE_aug!AP447</f>
        <v>Straßenabfluss</v>
      </c>
    </row>
    <row r="448" spans="1:20">
      <c r="A448" s="305" t="s">
        <v>500</v>
      </c>
      <c r="G448">
        <v>0.70699999999999996</v>
      </c>
      <c r="H448">
        <v>0.12</v>
      </c>
      <c r="I448">
        <v>7.1077349999999999</v>
      </c>
      <c r="K448" s="35" t="e">
        <f t="shared" si="36"/>
        <v>#DIV/0!</v>
      </c>
      <c r="L448" s="312" t="e">
        <f t="shared" si="37"/>
        <v>#DIV/0!</v>
      </c>
      <c r="M448" s="310" t="e">
        <f t="shared" si="38"/>
        <v>#DIV/0!</v>
      </c>
      <c r="N448" s="310" t="e">
        <f t="shared" si="39"/>
        <v>#DIV/0!</v>
      </c>
      <c r="O448" s="91" t="e">
        <f t="shared" si="40"/>
        <v>#DIV/0!</v>
      </c>
      <c r="P448" s="62">
        <f t="shared" si="41"/>
        <v>0</v>
      </c>
      <c r="T448" s="310" t="str">
        <f>PE_aug!AP448</f>
        <v>Straßenabfluss</v>
      </c>
    </row>
    <row r="449" spans="1:20">
      <c r="A449" s="318" t="s">
        <v>501</v>
      </c>
      <c r="T449" s="310" t="str">
        <f>PE_aug!AP449</f>
        <v>Straßenabfluss</v>
      </c>
    </row>
    <row r="450" spans="1:20">
      <c r="A450" s="318" t="s">
        <v>502</v>
      </c>
      <c r="I450">
        <v>5.9147600000000002E-2</v>
      </c>
      <c r="T450" s="310" t="str">
        <f>PE_aug!AP450</f>
        <v>Straßenabfluss</v>
      </c>
    </row>
    <row r="451" spans="1:20">
      <c r="A451" s="318" t="s">
        <v>503</v>
      </c>
      <c r="G451">
        <v>0.70699999999999996</v>
      </c>
      <c r="H451">
        <v>0.152</v>
      </c>
      <c r="I451">
        <v>9.0048200000000005</v>
      </c>
      <c r="T451" s="310" t="str">
        <f>PE_aug!AP451</f>
        <v>Straßenabfluss</v>
      </c>
    </row>
    <row r="452" spans="1:20">
      <c r="A452" s="318" t="s">
        <v>504</v>
      </c>
      <c r="G452">
        <v>0.70699999999999996</v>
      </c>
      <c r="H452">
        <v>0.152</v>
      </c>
      <c r="I452">
        <v>7.3795650000000004</v>
      </c>
      <c r="T452" s="310" t="str">
        <f>PE_aug!AP452</f>
        <v>Straßenabfluss</v>
      </c>
    </row>
    <row r="453" spans="1:20">
      <c r="A453" s="318" t="s">
        <v>505</v>
      </c>
      <c r="I453">
        <v>4.4695199999999993</v>
      </c>
      <c r="T453" s="310" t="str">
        <f>PE_aug!AP453</f>
        <v>Straßenabfluss</v>
      </c>
    </row>
    <row r="454" spans="1:20">
      <c r="A454" s="318" t="s">
        <v>506</v>
      </c>
      <c r="G454">
        <v>0.70699999999999996</v>
      </c>
      <c r="H454">
        <v>0.16500000000000001</v>
      </c>
      <c r="I454">
        <v>7.4709699999999986</v>
      </c>
      <c r="T454" s="310" t="str">
        <f>PE_aug!AP454</f>
        <v>Straßenabfluss</v>
      </c>
    </row>
    <row r="455" spans="1:20">
      <c r="A455" s="318" t="s">
        <v>507</v>
      </c>
      <c r="G455">
        <v>0.70699999999999996</v>
      </c>
      <c r="H455">
        <v>0.16500000000000001</v>
      </c>
      <c r="I455">
        <v>5.5076400000000003</v>
      </c>
      <c r="T455" s="310" t="str">
        <f>PE_aug!AP455</f>
        <v>Straßenabfluss</v>
      </c>
    </row>
    <row r="456" spans="1:20">
      <c r="A456" s="318" t="s">
        <v>508</v>
      </c>
      <c r="G456">
        <v>0.70699999999999996</v>
      </c>
      <c r="H456">
        <v>0.20300000000000001</v>
      </c>
      <c r="I456">
        <v>5.2079999999999993</v>
      </c>
      <c r="T456" s="310" t="e">
        <f>PE_aug!#REF!</f>
        <v>#REF!</v>
      </c>
    </row>
    <row r="457" spans="1:20">
      <c r="A457" s="318" t="s">
        <v>509</v>
      </c>
      <c r="G457">
        <v>0.70699999999999996</v>
      </c>
      <c r="H457">
        <v>0.20300000000000001</v>
      </c>
      <c r="I457">
        <v>7.9878200000000001</v>
      </c>
      <c r="T457" s="310" t="e">
        <f>PE_aug!#REF!</f>
        <v>#REF!</v>
      </c>
    </row>
    <row r="458" spans="1:20">
      <c r="A458" s="318" t="s">
        <v>510</v>
      </c>
      <c r="G458">
        <v>0.70699999999999996</v>
      </c>
      <c r="H458">
        <v>0.42699999999999999</v>
      </c>
      <c r="I458">
        <v>5.3934150000000001</v>
      </c>
      <c r="T458" s="310" t="str">
        <f>PE_aug!AP456</f>
        <v>VTA</v>
      </c>
    </row>
    <row r="459" spans="1:20">
      <c r="A459" s="318" t="s">
        <v>511</v>
      </c>
      <c r="G459">
        <v>0.70699999999999996</v>
      </c>
      <c r="H459">
        <v>0.42699999999999999</v>
      </c>
      <c r="I459">
        <v>8.8179449999999999</v>
      </c>
      <c r="T459" s="310" t="str">
        <f>PE_aug!AP461</f>
        <v>VTA</v>
      </c>
    </row>
    <row r="460" spans="1:20">
      <c r="A460" s="318" t="s">
        <v>512</v>
      </c>
      <c r="G460">
        <v>0.70699999999999996</v>
      </c>
      <c r="H460">
        <v>0.22</v>
      </c>
      <c r="I460">
        <v>20.2043</v>
      </c>
      <c r="J460">
        <v>0.5</v>
      </c>
      <c r="T460" s="310" t="str">
        <f>PE_aug!AP462</f>
        <v>VTA</v>
      </c>
    </row>
    <row r="461" spans="1:20">
      <c r="A461" s="318" t="s">
        <v>513</v>
      </c>
      <c r="G461">
        <v>0.70699999999999996</v>
      </c>
      <c r="H461">
        <v>0.22</v>
      </c>
      <c r="I461">
        <v>29.867599999999999</v>
      </c>
      <c r="J461">
        <v>0.83</v>
      </c>
      <c r="T461" s="310" t="str">
        <f>PE_aug!AP463</f>
        <v>VTA</v>
      </c>
    </row>
    <row r="462" spans="1:20">
      <c r="A462" s="318" t="s">
        <v>514</v>
      </c>
      <c r="G462">
        <v>0.70699999999999996</v>
      </c>
      <c r="H462">
        <v>0.34499999999999997</v>
      </c>
      <c r="I462">
        <v>2.8785050000000001</v>
      </c>
      <c r="T462" s="310" t="str">
        <f>PE_aug!AP464</f>
        <v>VTA</v>
      </c>
    </row>
    <row r="463" spans="1:20">
      <c r="A463" s="318" t="s">
        <v>515</v>
      </c>
      <c r="G463">
        <v>0.70699999999999996</v>
      </c>
      <c r="H463">
        <v>0.34499999999999997</v>
      </c>
      <c r="I463">
        <v>2.8527499999999999</v>
      </c>
      <c r="T463" s="310" t="str">
        <f>PE_aug!AP465</f>
        <v>VTA</v>
      </c>
    </row>
    <row r="464" spans="1:20">
      <c r="A464" s="318" t="s">
        <v>516</v>
      </c>
      <c r="G464">
        <v>0.70699999999999996</v>
      </c>
      <c r="H464">
        <v>3.5000000000000003E-2</v>
      </c>
      <c r="I464">
        <v>3.5029300000000001</v>
      </c>
      <c r="T464" s="310" t="str">
        <f>PE_aug!AP466</f>
        <v>VTA</v>
      </c>
    </row>
    <row r="465" spans="1:20">
      <c r="A465" s="318" t="s">
        <v>517</v>
      </c>
      <c r="G465">
        <v>0.70699999999999996</v>
      </c>
      <c r="H465">
        <v>3.5000000000000003E-2</v>
      </c>
      <c r="I465">
        <v>3.8363700000000001</v>
      </c>
      <c r="T465" s="310" t="str">
        <f>PE_aug!AP467</f>
        <v>VTA</v>
      </c>
    </row>
    <row r="466" spans="1:20">
      <c r="A466" s="318" t="s">
        <v>596</v>
      </c>
      <c r="I466">
        <v>8.5403399999999987</v>
      </c>
      <c r="T466" s="310" t="str">
        <f>PE_aug!AP468</f>
        <v>VTA</v>
      </c>
    </row>
    <row r="467" spans="1:20">
      <c r="A467" s="327" t="s">
        <v>518</v>
      </c>
      <c r="B467"/>
      <c r="C467"/>
      <c r="D467"/>
      <c r="E467"/>
      <c r="F467"/>
      <c r="G467">
        <v>1.077</v>
      </c>
      <c r="H467">
        <v>0.317</v>
      </c>
      <c r="I467">
        <v>10.067399999999999</v>
      </c>
      <c r="J467"/>
    </row>
    <row r="468" spans="1:20">
      <c r="A468" s="327" t="s">
        <v>519</v>
      </c>
      <c r="B468"/>
      <c r="C468"/>
      <c r="D468"/>
      <c r="E468"/>
      <c r="F468"/>
      <c r="G468">
        <v>0.191</v>
      </c>
      <c r="H468">
        <v>0.317</v>
      </c>
      <c r="I468">
        <v>16.639399999999998</v>
      </c>
      <c r="J468"/>
    </row>
    <row r="469" spans="1:20">
      <c r="A469" s="327" t="s">
        <v>520</v>
      </c>
      <c r="B469"/>
      <c r="C469"/>
      <c r="D469"/>
      <c r="E469"/>
      <c r="F469"/>
      <c r="G469">
        <v>0.89200000000000002</v>
      </c>
      <c r="H469">
        <v>0.317</v>
      </c>
      <c r="I469">
        <v>22.4757</v>
      </c>
      <c r="J469"/>
    </row>
    <row r="470" spans="1:20">
      <c r="A470" s="327" t="s">
        <v>521</v>
      </c>
      <c r="B470"/>
      <c r="C470"/>
      <c r="D470"/>
      <c r="E470"/>
      <c r="F470"/>
      <c r="G470">
        <v>0.51300000000000001</v>
      </c>
      <c r="H470">
        <v>6.6000000000000003E-2</v>
      </c>
      <c r="I470">
        <v>15.794600000000001</v>
      </c>
      <c r="J470"/>
    </row>
    <row r="471" spans="1:20">
      <c r="A471" s="327" t="s">
        <v>522</v>
      </c>
      <c r="B471"/>
      <c r="C471"/>
      <c r="D471"/>
      <c r="E471"/>
      <c r="F471"/>
      <c r="G471">
        <v>1.075</v>
      </c>
      <c r="H471">
        <v>6.6000000000000003E-2</v>
      </c>
      <c r="I471">
        <v>9.8204600000000006</v>
      </c>
      <c r="J471"/>
    </row>
    <row r="472" spans="1:20">
      <c r="A472" s="327" t="s">
        <v>523</v>
      </c>
      <c r="B472"/>
      <c r="C472"/>
      <c r="D472"/>
      <c r="E472"/>
      <c r="F472"/>
      <c r="G472">
        <v>0.66700000000000004</v>
      </c>
      <c r="H472">
        <v>6.6000000000000003E-2</v>
      </c>
      <c r="I472">
        <v>22.010100000000001</v>
      </c>
      <c r="J472"/>
    </row>
    <row r="473" spans="1:20">
      <c r="A473" s="327" t="s">
        <v>524</v>
      </c>
      <c r="B473"/>
      <c r="C473"/>
      <c r="D473"/>
      <c r="E473"/>
      <c r="F473"/>
      <c r="G473">
        <v>0.79500000000000004</v>
      </c>
      <c r="H473">
        <v>0.19</v>
      </c>
      <c r="I473">
        <v>7.557525</v>
      </c>
      <c r="J473"/>
    </row>
    <row r="474" spans="1:20">
      <c r="A474" s="327" t="s">
        <v>525</v>
      </c>
      <c r="B474"/>
      <c r="C474"/>
      <c r="D474"/>
      <c r="E474"/>
      <c r="F474"/>
      <c r="G474">
        <v>0.315</v>
      </c>
      <c r="H474">
        <v>0.19</v>
      </c>
      <c r="I474">
        <v>12.8439</v>
      </c>
      <c r="J474"/>
    </row>
    <row r="475" spans="1:20">
      <c r="A475" s="327" t="s">
        <v>526</v>
      </c>
      <c r="B475"/>
      <c r="C475"/>
      <c r="D475"/>
      <c r="E475"/>
      <c r="F475"/>
      <c r="G475">
        <v>1.105</v>
      </c>
      <c r="H475">
        <v>0.19</v>
      </c>
      <c r="I475">
        <v>19.5275</v>
      </c>
      <c r="J475"/>
    </row>
    <row r="476" spans="1:20">
      <c r="A476" s="327" t="s">
        <v>527</v>
      </c>
      <c r="B476"/>
      <c r="C476"/>
      <c r="D476"/>
      <c r="E476"/>
      <c r="F476"/>
      <c r="G476">
        <v>1.0509999999999999</v>
      </c>
      <c r="H476">
        <v>5.2999999999999999E-2</v>
      </c>
      <c r="I476">
        <v>11.5001</v>
      </c>
      <c r="J476"/>
    </row>
    <row r="477" spans="1:20">
      <c r="A477" s="327" t="s">
        <v>528</v>
      </c>
      <c r="B477"/>
      <c r="C477"/>
      <c r="D477"/>
      <c r="E477"/>
      <c r="F477"/>
      <c r="G477">
        <v>0.20499999999999999</v>
      </c>
      <c r="H477">
        <v>5.2999999999999999E-2</v>
      </c>
      <c r="I477">
        <v>14.7828</v>
      </c>
      <c r="J477"/>
    </row>
    <row r="478" spans="1:20">
      <c r="A478" s="327" t="s">
        <v>529</v>
      </c>
      <c r="B478"/>
      <c r="C478"/>
      <c r="D478"/>
      <c r="E478"/>
      <c r="F478"/>
      <c r="G478">
        <v>0.90200000000000002</v>
      </c>
      <c r="H478">
        <v>5.2999999999999999E-2</v>
      </c>
      <c r="I478">
        <v>15.0672</v>
      </c>
      <c r="J478"/>
    </row>
    <row r="479" spans="1:20">
      <c r="A479" s="327" t="s">
        <v>530</v>
      </c>
      <c r="B479"/>
      <c r="C479"/>
      <c r="D479"/>
      <c r="E479"/>
      <c r="F479"/>
      <c r="G479">
        <v>0.79700000000000004</v>
      </c>
      <c r="H479">
        <v>2.7E-2</v>
      </c>
      <c r="I479">
        <v>10.63255</v>
      </c>
      <c r="J479"/>
    </row>
    <row r="480" spans="1:20">
      <c r="A480" s="327" t="s">
        <v>531</v>
      </c>
      <c r="B480"/>
      <c r="C480"/>
      <c r="D480"/>
      <c r="E480"/>
      <c r="F480"/>
      <c r="G480">
        <v>0.626</v>
      </c>
      <c r="H480">
        <v>2.7E-2</v>
      </c>
      <c r="I480">
        <v>10.5519</v>
      </c>
      <c r="J480"/>
    </row>
    <row r="481" spans="1:10">
      <c r="A481" s="327" t="s">
        <v>532</v>
      </c>
      <c r="B481"/>
      <c r="C481"/>
      <c r="D481"/>
      <c r="E481"/>
      <c r="F481"/>
      <c r="G481">
        <v>0.80500000000000005</v>
      </c>
      <c r="H481">
        <v>2.7E-2</v>
      </c>
      <c r="I481">
        <v>8.6896950000000004</v>
      </c>
      <c r="J481"/>
    </row>
    <row r="482" spans="1:10">
      <c r="A482" s="327" t="s">
        <v>533</v>
      </c>
      <c r="B482"/>
      <c r="C482"/>
      <c r="D482"/>
      <c r="E482"/>
      <c r="F482"/>
      <c r="G482"/>
      <c r="H482"/>
      <c r="I482">
        <v>9.8886500000000002</v>
      </c>
      <c r="J482"/>
    </row>
  </sheetData>
  <autoFilter ref="A1:U217" xr:uid="{00000000-0009-0000-0000-000005000000}"/>
  <conditionalFormatting sqref="N1:O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num" val="0"/>
        <cfvo type="percentile" val="20"/>
        <cfvo type="num" val="10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8"/>
  <sheetViews>
    <sheetView topLeftCell="A192" zoomScale="80" zoomScaleNormal="80" workbookViewId="0">
      <selection activeCell="T67" sqref="T67"/>
    </sheetView>
  </sheetViews>
  <sheetFormatPr baseColWidth="10" defaultColWidth="11.42578125" defaultRowHeight="15"/>
  <cols>
    <col min="1" max="1" width="64" style="275" customWidth="1"/>
    <col min="2" max="2" width="11.5703125" style="306" customWidth="1"/>
    <col min="3" max="6" width="11.42578125" style="323" customWidth="1"/>
    <col min="7" max="7" width="11.42578125" style="307" customWidth="1"/>
    <col min="8" max="20" width="11.42578125" style="323" customWidth="1"/>
    <col min="21" max="21" width="33" style="323" bestFit="1" customWidth="1"/>
    <col min="22" max="41" width="11.42578125" style="323" customWidth="1"/>
    <col min="42" max="16384" width="11.42578125" style="323"/>
  </cols>
  <sheetData>
    <row r="1" spans="1:22" ht="37.5" customHeight="1">
      <c r="A1" s="221" t="s">
        <v>0</v>
      </c>
      <c r="B1" s="76" t="s">
        <v>582</v>
      </c>
      <c r="C1" s="112" t="s">
        <v>583</v>
      </c>
      <c r="D1" s="113" t="s">
        <v>584</v>
      </c>
      <c r="E1" s="75" t="s">
        <v>585</v>
      </c>
      <c r="F1" s="110" t="s">
        <v>586</v>
      </c>
      <c r="G1" s="164" t="s">
        <v>597</v>
      </c>
      <c r="H1" s="101" t="s">
        <v>13</v>
      </c>
      <c r="I1" s="101" t="s">
        <v>14</v>
      </c>
      <c r="J1" s="101" t="s">
        <v>15</v>
      </c>
      <c r="K1" s="40" t="s">
        <v>16</v>
      </c>
      <c r="L1" s="37" t="s">
        <v>17</v>
      </c>
      <c r="M1" s="42" t="s">
        <v>551</v>
      </c>
      <c r="N1" s="42" t="s">
        <v>587</v>
      </c>
      <c r="O1" s="61" t="s">
        <v>574</v>
      </c>
      <c r="P1" s="61" t="s">
        <v>588</v>
      </c>
      <c r="Q1" s="37" t="s">
        <v>25</v>
      </c>
      <c r="R1" s="42" t="s">
        <v>26</v>
      </c>
      <c r="S1" s="44" t="s">
        <v>580</v>
      </c>
      <c r="T1" s="44" t="s">
        <v>28</v>
      </c>
      <c r="U1" s="45" t="s">
        <v>29</v>
      </c>
      <c r="V1" s="59" t="s">
        <v>581</v>
      </c>
    </row>
    <row r="2" spans="1:22" s="51" customFormat="1">
      <c r="A2" s="84" t="s">
        <v>32</v>
      </c>
      <c r="B2" s="63"/>
      <c r="G2" s="78"/>
      <c r="J2" s="117">
        <v>8.8879999999999999</v>
      </c>
      <c r="L2" s="82" t="e">
        <f t="shared" ref="L2:L65" si="0">IF(COUNT(C2:C2)=1,0.33,(COUNT(C2:C2)*(1/(COUNT(C2:C2)+COUNTBLANK(C2:C2)))+(IF(O2&lt;35,1,IF(O2&lt;70,0.5,IF(O2&gt;70,0)))))/2)</f>
        <v>#DIV/0!</v>
      </c>
      <c r="M2" s="83" t="e">
        <f t="shared" ref="M2:M65" si="1">AVERAGE(K2:L2)</f>
        <v>#DIV/0!</v>
      </c>
      <c r="N2" s="90" t="e">
        <f t="shared" ref="N2:N65" si="2">AVERAGE(C2:E2)</f>
        <v>#DIV/0!</v>
      </c>
      <c r="O2" s="90" t="e">
        <f t="shared" ref="O2:O65" si="3">(MAX(C2:C2)-MIN(C2:C2))/N2*100</f>
        <v>#DIV/0!</v>
      </c>
      <c r="P2" s="93" t="e">
        <f t="shared" ref="P2:P65" si="4">AVERAGE(C2:G2)</f>
        <v>#DIV/0!</v>
      </c>
      <c r="Q2" s="62">
        <f t="shared" ref="Q2:Q65" si="5">IFERROR(P2/J2,0)</f>
        <v>0</v>
      </c>
      <c r="U2" s="310" t="str">
        <f>PE_aug!AP2</f>
        <v>Massenbilanz KWS</v>
      </c>
    </row>
    <row r="3" spans="1:22">
      <c r="A3" s="84" t="s">
        <v>36</v>
      </c>
      <c r="J3" s="115">
        <v>8.9664000000000001</v>
      </c>
      <c r="L3" s="35" t="e">
        <f t="shared" si="0"/>
        <v>#DIV/0!</v>
      </c>
      <c r="M3" s="312" t="e">
        <f t="shared" si="1"/>
        <v>#DIV/0!</v>
      </c>
      <c r="N3" s="310" t="e">
        <f t="shared" si="2"/>
        <v>#DIV/0!</v>
      </c>
      <c r="O3" s="310" t="e">
        <f t="shared" si="3"/>
        <v>#DIV/0!</v>
      </c>
      <c r="P3" s="91" t="e">
        <f t="shared" si="4"/>
        <v>#DIV/0!</v>
      </c>
      <c r="Q3" s="62">
        <f t="shared" si="5"/>
        <v>0</v>
      </c>
      <c r="U3" s="310" t="str">
        <f>PE_aug!AP3</f>
        <v>Massenbilanz KWS</v>
      </c>
    </row>
    <row r="4" spans="1:22">
      <c r="A4" s="84" t="s">
        <v>37</v>
      </c>
      <c r="J4" s="115">
        <v>4.3002000000000002</v>
      </c>
      <c r="L4" s="35" t="e">
        <f t="shared" si="0"/>
        <v>#DIV/0!</v>
      </c>
      <c r="M4" s="312" t="e">
        <f t="shared" si="1"/>
        <v>#DIV/0!</v>
      </c>
      <c r="N4" s="310" t="e">
        <f t="shared" si="2"/>
        <v>#DIV/0!</v>
      </c>
      <c r="O4" s="310" t="e">
        <f t="shared" si="3"/>
        <v>#DIV/0!</v>
      </c>
      <c r="P4" s="91" t="e">
        <f t="shared" si="4"/>
        <v>#DIV/0!</v>
      </c>
      <c r="Q4" s="62">
        <f t="shared" si="5"/>
        <v>0</v>
      </c>
      <c r="U4" s="310" t="str">
        <f>PE_aug!AP4</f>
        <v>Massenbilanz KWS</v>
      </c>
    </row>
    <row r="5" spans="1:22">
      <c r="A5" s="84" t="s">
        <v>38</v>
      </c>
      <c r="E5">
        <v>93.59</v>
      </c>
      <c r="J5" s="115">
        <v>7.8087999999999997</v>
      </c>
      <c r="K5">
        <v>0.43</v>
      </c>
      <c r="L5" s="35">
        <f t="shared" si="0"/>
        <v>0.5</v>
      </c>
      <c r="M5" s="312">
        <f t="shared" si="1"/>
        <v>0.46499999999999997</v>
      </c>
      <c r="N5" s="310">
        <f t="shared" si="2"/>
        <v>93.59</v>
      </c>
      <c r="O5" s="310">
        <f t="shared" si="3"/>
        <v>0</v>
      </c>
      <c r="P5" s="91">
        <f t="shared" si="4"/>
        <v>93.59</v>
      </c>
      <c r="Q5" s="62">
        <f t="shared" si="5"/>
        <v>11.98519618891507</v>
      </c>
      <c r="U5" s="310" t="str">
        <f>PE_aug!AP5</f>
        <v>Massenbilanz KWS</v>
      </c>
    </row>
    <row r="6" spans="1:22">
      <c r="A6" s="84" t="s">
        <v>39</v>
      </c>
      <c r="E6">
        <v>89.63</v>
      </c>
      <c r="J6" s="115">
        <v>6.5256999999999996</v>
      </c>
      <c r="K6">
        <v>0.4</v>
      </c>
      <c r="L6" s="35">
        <f t="shared" si="0"/>
        <v>0.5</v>
      </c>
      <c r="M6" s="312">
        <f t="shared" si="1"/>
        <v>0.45</v>
      </c>
      <c r="N6" s="310">
        <f t="shared" si="2"/>
        <v>89.63</v>
      </c>
      <c r="O6" s="310">
        <f t="shared" si="3"/>
        <v>0</v>
      </c>
      <c r="P6" s="91">
        <f t="shared" si="4"/>
        <v>89.63</v>
      </c>
      <c r="Q6" s="62">
        <f t="shared" si="5"/>
        <v>13.73492498889008</v>
      </c>
      <c r="U6" s="310" t="str">
        <f>PE_aug!AP6</f>
        <v>Massenbilanz KWS</v>
      </c>
    </row>
    <row r="7" spans="1:22">
      <c r="A7" s="84" t="s">
        <v>40</v>
      </c>
      <c r="E7">
        <v>88.34</v>
      </c>
      <c r="J7" s="115">
        <v>8.0249000000000006</v>
      </c>
      <c r="K7">
        <v>0.5</v>
      </c>
      <c r="L7" s="35">
        <f t="shared" si="0"/>
        <v>0.5</v>
      </c>
      <c r="M7" s="312">
        <f t="shared" si="1"/>
        <v>0.5</v>
      </c>
      <c r="N7" s="310">
        <f t="shared" si="2"/>
        <v>88.34</v>
      </c>
      <c r="O7" s="310">
        <f t="shared" si="3"/>
        <v>0</v>
      </c>
      <c r="P7" s="91">
        <f t="shared" si="4"/>
        <v>88.34</v>
      </c>
      <c r="Q7" s="62">
        <f t="shared" si="5"/>
        <v>11.008236862764644</v>
      </c>
      <c r="U7" s="310" t="str">
        <f>PE_aug!AP7</f>
        <v>Massenbilanz KWS</v>
      </c>
    </row>
    <row r="8" spans="1:22">
      <c r="A8" s="84" t="s">
        <v>41</v>
      </c>
      <c r="J8" s="115">
        <v>7.6868999999999996</v>
      </c>
      <c r="L8" s="35" t="e">
        <f t="shared" si="0"/>
        <v>#DIV/0!</v>
      </c>
      <c r="M8" s="312" t="e">
        <f t="shared" si="1"/>
        <v>#DIV/0!</v>
      </c>
      <c r="N8" s="310" t="e">
        <f t="shared" si="2"/>
        <v>#DIV/0!</v>
      </c>
      <c r="O8" s="310" t="e">
        <f t="shared" si="3"/>
        <v>#DIV/0!</v>
      </c>
      <c r="P8" s="91" t="e">
        <f t="shared" si="4"/>
        <v>#DIV/0!</v>
      </c>
      <c r="Q8" s="62">
        <f t="shared" si="5"/>
        <v>0</v>
      </c>
      <c r="U8" s="310" t="str">
        <f>PE_aug!AP8</f>
        <v>Kläranlage</v>
      </c>
    </row>
    <row r="9" spans="1:22">
      <c r="A9" s="84" t="s">
        <v>43</v>
      </c>
      <c r="J9" s="115">
        <v>7.1997</v>
      </c>
      <c r="L9" s="35" t="e">
        <f t="shared" si="0"/>
        <v>#DIV/0!</v>
      </c>
      <c r="M9" s="312" t="e">
        <f t="shared" si="1"/>
        <v>#DIV/0!</v>
      </c>
      <c r="N9" s="310" t="e">
        <f t="shared" si="2"/>
        <v>#DIV/0!</v>
      </c>
      <c r="O9" s="310" t="e">
        <f t="shared" si="3"/>
        <v>#DIV/0!</v>
      </c>
      <c r="P9" s="91" t="e">
        <f t="shared" si="4"/>
        <v>#DIV/0!</v>
      </c>
      <c r="Q9" s="62">
        <f t="shared" si="5"/>
        <v>0</v>
      </c>
      <c r="U9" s="310" t="str">
        <f>PE_aug!AP9</f>
        <v>Kläranlage</v>
      </c>
    </row>
    <row r="10" spans="1:22">
      <c r="A10" s="84" t="s">
        <v>44</v>
      </c>
      <c r="J10" s="115">
        <v>5.3699000000000003</v>
      </c>
      <c r="L10" s="35" t="e">
        <f t="shared" si="0"/>
        <v>#DIV/0!</v>
      </c>
      <c r="M10" s="312" t="e">
        <f t="shared" si="1"/>
        <v>#DIV/0!</v>
      </c>
      <c r="N10" s="310" t="e">
        <f t="shared" si="2"/>
        <v>#DIV/0!</v>
      </c>
      <c r="O10" s="310" t="e">
        <f t="shared" si="3"/>
        <v>#DIV/0!</v>
      </c>
      <c r="P10" s="91" t="e">
        <f t="shared" si="4"/>
        <v>#DIV/0!</v>
      </c>
      <c r="Q10" s="62">
        <f t="shared" si="5"/>
        <v>0</v>
      </c>
      <c r="U10" s="310" t="str">
        <f>PE_aug!AP10</f>
        <v>Kläranlage</v>
      </c>
    </row>
    <row r="11" spans="1:22">
      <c r="A11" s="84" t="s">
        <v>45</v>
      </c>
      <c r="J11" s="115">
        <v>5.4539999999999997</v>
      </c>
      <c r="L11" s="35" t="e">
        <f t="shared" si="0"/>
        <v>#DIV/0!</v>
      </c>
      <c r="M11" s="312" t="e">
        <f t="shared" si="1"/>
        <v>#DIV/0!</v>
      </c>
      <c r="N11" s="310" t="e">
        <f t="shared" si="2"/>
        <v>#DIV/0!</v>
      </c>
      <c r="O11" s="310" t="e">
        <f t="shared" si="3"/>
        <v>#DIV/0!</v>
      </c>
      <c r="P11" s="91" t="e">
        <f t="shared" si="4"/>
        <v>#DIV/0!</v>
      </c>
      <c r="Q11" s="62">
        <f t="shared" si="5"/>
        <v>0</v>
      </c>
      <c r="U11" s="310" t="str">
        <f>PE_aug!AP11</f>
        <v>Referenzmessung BS</v>
      </c>
    </row>
    <row r="12" spans="1:22">
      <c r="A12" s="84" t="s">
        <v>47</v>
      </c>
      <c r="J12" s="115">
        <v>10.198399999999999</v>
      </c>
      <c r="L12" s="35" t="e">
        <f t="shared" si="0"/>
        <v>#DIV/0!</v>
      </c>
      <c r="M12" s="312" t="e">
        <f t="shared" si="1"/>
        <v>#DIV/0!</v>
      </c>
      <c r="N12" s="310" t="e">
        <f t="shared" si="2"/>
        <v>#DIV/0!</v>
      </c>
      <c r="O12" s="310" t="e">
        <f t="shared" si="3"/>
        <v>#DIV/0!</v>
      </c>
      <c r="P12" s="91" t="e">
        <f t="shared" si="4"/>
        <v>#DIV/0!</v>
      </c>
      <c r="Q12" s="62">
        <f t="shared" si="5"/>
        <v>0</v>
      </c>
      <c r="U12" s="310" t="str">
        <f>PE_aug!AP12</f>
        <v>Referenzmessung BS</v>
      </c>
    </row>
    <row r="13" spans="1:22">
      <c r="A13" s="86" t="s">
        <v>48</v>
      </c>
      <c r="H13" s="51"/>
      <c r="I13" s="51"/>
      <c r="J13" s="117">
        <v>8.5540000000000003</v>
      </c>
      <c r="L13" s="35" t="e">
        <f t="shared" si="0"/>
        <v>#DIV/0!</v>
      </c>
      <c r="M13" s="312" t="e">
        <f t="shared" si="1"/>
        <v>#DIV/0!</v>
      </c>
      <c r="N13" s="310" t="e">
        <f t="shared" si="2"/>
        <v>#DIV/0!</v>
      </c>
      <c r="O13" s="310" t="e">
        <f t="shared" si="3"/>
        <v>#DIV/0!</v>
      </c>
      <c r="P13" s="91" t="e">
        <f t="shared" si="4"/>
        <v>#DIV/0!</v>
      </c>
      <c r="Q13" s="62">
        <f t="shared" si="5"/>
        <v>0</v>
      </c>
      <c r="U13" s="310" t="str">
        <f>PE_aug!AP13</f>
        <v>KWS, Methode</v>
      </c>
    </row>
    <row r="14" spans="1:22">
      <c r="A14" s="86" t="s">
        <v>50</v>
      </c>
      <c r="J14" s="115">
        <v>7.1116999999999999</v>
      </c>
      <c r="L14" s="35" t="e">
        <f t="shared" si="0"/>
        <v>#DIV/0!</v>
      </c>
      <c r="M14" s="312" t="e">
        <f t="shared" si="1"/>
        <v>#DIV/0!</v>
      </c>
      <c r="N14" s="310" t="e">
        <f t="shared" si="2"/>
        <v>#DIV/0!</v>
      </c>
      <c r="O14" s="310" t="e">
        <f t="shared" si="3"/>
        <v>#DIV/0!</v>
      </c>
      <c r="P14" s="91" t="e">
        <f t="shared" si="4"/>
        <v>#DIV/0!</v>
      </c>
      <c r="Q14" s="62">
        <f t="shared" si="5"/>
        <v>0</v>
      </c>
      <c r="U14" s="310" t="str">
        <f>PE_aug!AP14</f>
        <v>KWS, Methode</v>
      </c>
    </row>
    <row r="15" spans="1:22">
      <c r="A15" s="86" t="s">
        <v>51</v>
      </c>
      <c r="J15" s="115">
        <v>7.8148999999999997</v>
      </c>
      <c r="L15" s="35" t="e">
        <f t="shared" si="0"/>
        <v>#DIV/0!</v>
      </c>
      <c r="M15" s="312" t="e">
        <f t="shared" si="1"/>
        <v>#DIV/0!</v>
      </c>
      <c r="N15" s="310" t="e">
        <f t="shared" si="2"/>
        <v>#DIV/0!</v>
      </c>
      <c r="O15" s="310" t="e">
        <f t="shared" si="3"/>
        <v>#DIV/0!</v>
      </c>
      <c r="P15" s="91" t="e">
        <f t="shared" si="4"/>
        <v>#DIV/0!</v>
      </c>
      <c r="Q15" s="62">
        <f t="shared" si="5"/>
        <v>0</v>
      </c>
      <c r="U15" s="310" t="str">
        <f>PE_aug!AP15</f>
        <v>KWS, Methode</v>
      </c>
    </row>
    <row r="16" spans="1:22">
      <c r="A16" s="95" t="s">
        <v>554</v>
      </c>
      <c r="H16" s="51"/>
      <c r="I16" s="51"/>
      <c r="J16" s="117">
        <v>5.2794999999999996</v>
      </c>
      <c r="L16" s="35" t="e">
        <f t="shared" si="0"/>
        <v>#DIV/0!</v>
      </c>
      <c r="M16" s="312" t="e">
        <f t="shared" si="1"/>
        <v>#DIV/0!</v>
      </c>
      <c r="N16" s="310" t="e">
        <f t="shared" si="2"/>
        <v>#DIV/0!</v>
      </c>
      <c r="O16" s="310" t="e">
        <f t="shared" si="3"/>
        <v>#DIV/0!</v>
      </c>
      <c r="P16" s="91" t="e">
        <f t="shared" si="4"/>
        <v>#DIV/0!</v>
      </c>
      <c r="Q16" s="62">
        <f t="shared" si="5"/>
        <v>0</v>
      </c>
      <c r="U16" s="310" t="str">
        <f>PE_aug!AP16</f>
        <v>Referenzmessung BS</v>
      </c>
    </row>
    <row r="17" spans="1:21">
      <c r="A17" s="95" t="s">
        <v>555</v>
      </c>
      <c r="J17" s="115">
        <v>4.8700999999999999</v>
      </c>
      <c r="L17" s="35" t="e">
        <f t="shared" si="0"/>
        <v>#DIV/0!</v>
      </c>
      <c r="M17" s="312" t="e">
        <f t="shared" si="1"/>
        <v>#DIV/0!</v>
      </c>
      <c r="N17" s="310" t="e">
        <f t="shared" si="2"/>
        <v>#DIV/0!</v>
      </c>
      <c r="O17" s="310" t="e">
        <f t="shared" si="3"/>
        <v>#DIV/0!</v>
      </c>
      <c r="P17" s="91" t="e">
        <f t="shared" si="4"/>
        <v>#DIV/0!</v>
      </c>
      <c r="Q17" s="62">
        <f t="shared" si="5"/>
        <v>0</v>
      </c>
      <c r="U17" s="310" t="str">
        <f>PE_aug!AP17</f>
        <v>Referenzmessung BS</v>
      </c>
    </row>
    <row r="18" spans="1:21">
      <c r="A18" s="95" t="s">
        <v>556</v>
      </c>
      <c r="H18" s="85"/>
      <c r="I18" s="85"/>
      <c r="J18" s="118">
        <v>9.1433999999999997</v>
      </c>
      <c r="L18" s="35" t="e">
        <f t="shared" si="0"/>
        <v>#DIV/0!</v>
      </c>
      <c r="M18" s="312" t="e">
        <f t="shared" si="1"/>
        <v>#DIV/0!</v>
      </c>
      <c r="N18" s="310" t="e">
        <f t="shared" si="2"/>
        <v>#DIV/0!</v>
      </c>
      <c r="O18" s="310" t="e">
        <f t="shared" si="3"/>
        <v>#DIV/0!</v>
      </c>
      <c r="P18" s="91" t="e">
        <f t="shared" si="4"/>
        <v>#DIV/0!</v>
      </c>
      <c r="Q18" s="62">
        <f t="shared" si="5"/>
        <v>0</v>
      </c>
      <c r="U18" s="310" t="str">
        <f>PE_aug!AP18</f>
        <v>Referenzmessung BS</v>
      </c>
    </row>
    <row r="19" spans="1:21">
      <c r="A19" s="95" t="s">
        <v>55</v>
      </c>
      <c r="H19" s="51"/>
      <c r="I19" s="51"/>
      <c r="J19" s="117">
        <v>8.1303000000000001</v>
      </c>
      <c r="L19" s="35" t="e">
        <f t="shared" si="0"/>
        <v>#DIV/0!</v>
      </c>
      <c r="M19" s="312" t="e">
        <f t="shared" si="1"/>
        <v>#DIV/0!</v>
      </c>
      <c r="N19" s="310" t="e">
        <f t="shared" si="2"/>
        <v>#DIV/0!</v>
      </c>
      <c r="O19" s="310" t="e">
        <f t="shared" si="3"/>
        <v>#DIV/0!</v>
      </c>
      <c r="P19" s="91" t="e">
        <f t="shared" si="4"/>
        <v>#DIV/0!</v>
      </c>
      <c r="Q19" s="62">
        <f t="shared" si="5"/>
        <v>0</v>
      </c>
      <c r="U19" s="310" t="str">
        <f>PE_aug!AP19</f>
        <v>Massenbilanz KWS</v>
      </c>
    </row>
    <row r="20" spans="1:21">
      <c r="A20" s="95" t="s">
        <v>56</v>
      </c>
      <c r="J20" s="115">
        <v>7.2693000000000003</v>
      </c>
      <c r="L20" s="35" t="e">
        <f t="shared" si="0"/>
        <v>#DIV/0!</v>
      </c>
      <c r="M20" s="312" t="e">
        <f t="shared" si="1"/>
        <v>#DIV/0!</v>
      </c>
      <c r="N20" s="310" t="e">
        <f t="shared" si="2"/>
        <v>#DIV/0!</v>
      </c>
      <c r="O20" s="310" t="e">
        <f t="shared" si="3"/>
        <v>#DIV/0!</v>
      </c>
      <c r="P20" s="91" t="e">
        <f t="shared" si="4"/>
        <v>#DIV/0!</v>
      </c>
      <c r="Q20" s="62">
        <f t="shared" si="5"/>
        <v>0</v>
      </c>
      <c r="U20" s="310" t="str">
        <f>PE_aug!AP20</f>
        <v>Massenbilanz KWS</v>
      </c>
    </row>
    <row r="21" spans="1:21">
      <c r="A21" s="95" t="s">
        <v>57</v>
      </c>
      <c r="H21" s="85"/>
      <c r="I21" s="85"/>
      <c r="J21" s="118">
        <v>9.1760999999999999</v>
      </c>
      <c r="L21" s="35" t="e">
        <f t="shared" si="0"/>
        <v>#DIV/0!</v>
      </c>
      <c r="M21" s="312" t="e">
        <f t="shared" si="1"/>
        <v>#DIV/0!</v>
      </c>
      <c r="N21" s="310" t="e">
        <f t="shared" si="2"/>
        <v>#DIV/0!</v>
      </c>
      <c r="O21" s="310" t="e">
        <f t="shared" si="3"/>
        <v>#DIV/0!</v>
      </c>
      <c r="P21" s="91" t="e">
        <f t="shared" si="4"/>
        <v>#DIV/0!</v>
      </c>
      <c r="Q21" s="62">
        <f t="shared" si="5"/>
        <v>0</v>
      </c>
      <c r="U21" s="310" t="str">
        <f>PE_aug!AP21</f>
        <v>Massenbilanz KWS</v>
      </c>
    </row>
    <row r="22" spans="1:21">
      <c r="A22" s="95" t="s">
        <v>58</v>
      </c>
      <c r="H22" s="51"/>
      <c r="I22" s="51"/>
      <c r="J22" s="117">
        <v>2.7290999999999999</v>
      </c>
      <c r="L22" s="35" t="e">
        <f t="shared" si="0"/>
        <v>#DIV/0!</v>
      </c>
      <c r="M22" s="312" t="e">
        <f t="shared" si="1"/>
        <v>#DIV/0!</v>
      </c>
      <c r="N22" s="310" t="e">
        <f t="shared" si="2"/>
        <v>#DIV/0!</v>
      </c>
      <c r="O22" s="310" t="e">
        <f t="shared" si="3"/>
        <v>#DIV/0!</v>
      </c>
      <c r="P22" s="91" t="e">
        <f t="shared" si="4"/>
        <v>#DIV/0!</v>
      </c>
      <c r="Q22" s="62">
        <f t="shared" si="5"/>
        <v>0</v>
      </c>
      <c r="U22" s="310" t="str">
        <f>PE_aug!AP22</f>
        <v>Massenbilanz KWS</v>
      </c>
    </row>
    <row r="23" spans="1:21">
      <c r="A23" s="95" t="s">
        <v>59</v>
      </c>
      <c r="J23" s="115">
        <v>3.5952000000000002</v>
      </c>
      <c r="L23" s="35" t="e">
        <f t="shared" si="0"/>
        <v>#DIV/0!</v>
      </c>
      <c r="M23" s="312" t="e">
        <f t="shared" si="1"/>
        <v>#DIV/0!</v>
      </c>
      <c r="N23" s="310" t="e">
        <f t="shared" si="2"/>
        <v>#DIV/0!</v>
      </c>
      <c r="O23" s="310" t="e">
        <f t="shared" si="3"/>
        <v>#DIV/0!</v>
      </c>
      <c r="P23" s="91" t="e">
        <f t="shared" si="4"/>
        <v>#DIV/0!</v>
      </c>
      <c r="Q23" s="62">
        <f t="shared" si="5"/>
        <v>0</v>
      </c>
      <c r="U23" s="310" t="str">
        <f>PE_aug!AP23</f>
        <v>Massenbilanz KWS</v>
      </c>
    </row>
    <row r="24" spans="1:21">
      <c r="A24" s="95" t="s">
        <v>60</v>
      </c>
      <c r="H24" s="85"/>
      <c r="I24" s="85"/>
      <c r="J24" s="118">
        <v>9.2985000000000007</v>
      </c>
      <c r="L24" s="35" t="e">
        <f t="shared" si="0"/>
        <v>#DIV/0!</v>
      </c>
      <c r="M24" s="312" t="e">
        <f t="shared" si="1"/>
        <v>#DIV/0!</v>
      </c>
      <c r="N24" s="310" t="e">
        <f t="shared" si="2"/>
        <v>#DIV/0!</v>
      </c>
      <c r="O24" s="310" t="e">
        <f t="shared" si="3"/>
        <v>#DIV/0!</v>
      </c>
      <c r="P24" s="91" t="e">
        <f t="shared" si="4"/>
        <v>#DIV/0!</v>
      </c>
      <c r="Q24" s="62">
        <f t="shared" si="5"/>
        <v>0</v>
      </c>
      <c r="U24" s="310" t="str">
        <f>PE_aug!AP24</f>
        <v>Massenbilanz KWS</v>
      </c>
    </row>
    <row r="25" spans="1:21">
      <c r="A25" s="95" t="s">
        <v>61</v>
      </c>
      <c r="E25">
        <v>92.72</v>
      </c>
      <c r="J25" s="115">
        <v>2.0716999999999999</v>
      </c>
      <c r="K25">
        <v>0</v>
      </c>
      <c r="L25" s="35">
        <f t="shared" si="0"/>
        <v>0.5</v>
      </c>
      <c r="M25" s="312">
        <f t="shared" si="1"/>
        <v>0.25</v>
      </c>
      <c r="N25" s="310">
        <f t="shared" si="2"/>
        <v>92.72</v>
      </c>
      <c r="O25" s="310">
        <f t="shared" si="3"/>
        <v>0</v>
      </c>
      <c r="P25" s="91">
        <f t="shared" si="4"/>
        <v>92.72</v>
      </c>
      <c r="Q25" s="62">
        <f t="shared" si="5"/>
        <v>44.75551479461312</v>
      </c>
      <c r="U25" s="310" t="str">
        <f>PE_aug!AP25</f>
        <v>Referenzmessung BS</v>
      </c>
    </row>
    <row r="26" spans="1:21">
      <c r="A26" s="95" t="s">
        <v>62</v>
      </c>
      <c r="E26">
        <v>88.26</v>
      </c>
      <c r="J26" s="115">
        <v>0.66539999999999999</v>
      </c>
      <c r="K26">
        <v>0</v>
      </c>
      <c r="L26" s="35">
        <f t="shared" si="0"/>
        <v>0.5</v>
      </c>
      <c r="M26" s="312">
        <f t="shared" si="1"/>
        <v>0.25</v>
      </c>
      <c r="N26" s="310">
        <f t="shared" si="2"/>
        <v>88.26</v>
      </c>
      <c r="O26" s="310">
        <f t="shared" si="3"/>
        <v>0</v>
      </c>
      <c r="P26" s="91">
        <f t="shared" si="4"/>
        <v>88.26</v>
      </c>
      <c r="Q26" s="62">
        <f t="shared" si="5"/>
        <v>132.64201983769163</v>
      </c>
      <c r="U26" s="310" t="str">
        <f>PE_aug!AP26</f>
        <v>Referenzmessung BS</v>
      </c>
    </row>
    <row r="27" spans="1:21">
      <c r="A27" s="95" t="s">
        <v>63</v>
      </c>
      <c r="C27">
        <v>576.54</v>
      </c>
      <c r="E27">
        <v>431.68</v>
      </c>
      <c r="F27">
        <v>793.12</v>
      </c>
      <c r="J27" s="115">
        <v>211.9</v>
      </c>
      <c r="K27">
        <v>0.56000000000000005</v>
      </c>
      <c r="L27" s="35">
        <f t="shared" si="0"/>
        <v>0.33</v>
      </c>
      <c r="M27" s="312">
        <f t="shared" si="1"/>
        <v>0.44500000000000006</v>
      </c>
      <c r="N27" s="310">
        <f t="shared" si="2"/>
        <v>504.11</v>
      </c>
      <c r="O27" s="310">
        <f t="shared" si="3"/>
        <v>0</v>
      </c>
      <c r="P27" s="91">
        <f t="shared" si="4"/>
        <v>600.44666666666672</v>
      </c>
      <c r="Q27" s="62">
        <f t="shared" si="5"/>
        <v>2.8336322164543026</v>
      </c>
      <c r="T27" s="309">
        <f>100*P27/J27</f>
        <v>283.36322164543026</v>
      </c>
      <c r="U27" s="310" t="str">
        <f>PE_aug!AP27</f>
        <v>Methode</v>
      </c>
    </row>
    <row r="28" spans="1:21">
      <c r="A28" s="95" t="s">
        <v>65</v>
      </c>
      <c r="E28">
        <v>87.78</v>
      </c>
      <c r="J28" s="115">
        <v>47.3</v>
      </c>
      <c r="K28">
        <v>0.1</v>
      </c>
      <c r="L28" s="35">
        <f t="shared" si="0"/>
        <v>0.5</v>
      </c>
      <c r="M28" s="312">
        <f t="shared" si="1"/>
        <v>0.3</v>
      </c>
      <c r="N28" s="310">
        <f t="shared" si="2"/>
        <v>87.78</v>
      </c>
      <c r="O28" s="310">
        <f t="shared" si="3"/>
        <v>0</v>
      </c>
      <c r="P28" s="91">
        <f t="shared" si="4"/>
        <v>87.78</v>
      </c>
      <c r="Q28" s="62">
        <f t="shared" si="5"/>
        <v>1.8558139534883722</v>
      </c>
      <c r="U28" s="310" t="str">
        <f>PE_aug!AP28</f>
        <v>Methode</v>
      </c>
    </row>
    <row r="29" spans="1:21">
      <c r="A29" s="111" t="s">
        <v>66</v>
      </c>
      <c r="E29">
        <v>84.76</v>
      </c>
      <c r="H29" s="51"/>
      <c r="I29" s="51"/>
      <c r="J29" s="117">
        <v>2.4357000000000002</v>
      </c>
      <c r="K29">
        <v>0.5</v>
      </c>
      <c r="L29" s="35">
        <f t="shared" si="0"/>
        <v>0.5</v>
      </c>
      <c r="M29" s="312">
        <f t="shared" si="1"/>
        <v>0.5</v>
      </c>
      <c r="N29" s="310">
        <f t="shared" si="2"/>
        <v>84.76</v>
      </c>
      <c r="O29" s="310">
        <f t="shared" si="3"/>
        <v>0</v>
      </c>
      <c r="P29" s="91">
        <f t="shared" si="4"/>
        <v>84.76</v>
      </c>
      <c r="Q29" s="62">
        <f t="shared" si="5"/>
        <v>34.799031079361171</v>
      </c>
      <c r="U29" s="310" t="str">
        <f>PE_aug!AP29</f>
        <v>Methodenvergleich</v>
      </c>
    </row>
    <row r="30" spans="1:21">
      <c r="A30" s="111" t="s">
        <v>68</v>
      </c>
      <c r="E30">
        <v>87.32</v>
      </c>
      <c r="J30" s="115">
        <v>4.8849</v>
      </c>
      <c r="K30">
        <v>0.4</v>
      </c>
      <c r="L30" s="35">
        <f t="shared" si="0"/>
        <v>0.5</v>
      </c>
      <c r="M30" s="312">
        <f t="shared" si="1"/>
        <v>0.45</v>
      </c>
      <c r="N30" s="310">
        <f t="shared" si="2"/>
        <v>87.32</v>
      </c>
      <c r="O30" s="310">
        <f t="shared" si="3"/>
        <v>0</v>
      </c>
      <c r="P30" s="91">
        <f t="shared" si="4"/>
        <v>87.32</v>
      </c>
      <c r="Q30" s="62">
        <f t="shared" si="5"/>
        <v>17.875493868861184</v>
      </c>
      <c r="U30" s="310" t="str">
        <f>PE_aug!AP30</f>
        <v>Methode</v>
      </c>
    </row>
    <row r="31" spans="1:21">
      <c r="A31" s="111" t="s">
        <v>69</v>
      </c>
      <c r="J31" s="115"/>
      <c r="K31">
        <v>0.5</v>
      </c>
      <c r="L31" s="35" t="e">
        <f t="shared" si="0"/>
        <v>#DIV/0!</v>
      </c>
      <c r="M31" s="312" t="e">
        <f t="shared" si="1"/>
        <v>#DIV/0!</v>
      </c>
      <c r="N31" s="310" t="e">
        <f t="shared" si="2"/>
        <v>#DIV/0!</v>
      </c>
      <c r="O31" s="310" t="e">
        <f t="shared" si="3"/>
        <v>#DIV/0!</v>
      </c>
      <c r="P31" s="91" t="e">
        <f t="shared" si="4"/>
        <v>#DIV/0!</v>
      </c>
      <c r="Q31" s="62">
        <f t="shared" si="5"/>
        <v>0</v>
      </c>
      <c r="U31" s="310" t="str">
        <f>PE_aug!AP31</f>
        <v>KWS, neue Schlammbehandlung</v>
      </c>
    </row>
    <row r="32" spans="1:21">
      <c r="A32" s="111" t="s">
        <v>71</v>
      </c>
      <c r="E32">
        <v>101.05</v>
      </c>
      <c r="J32" s="115">
        <v>8.4742072000000004</v>
      </c>
      <c r="K32">
        <v>0.5</v>
      </c>
      <c r="L32" s="35">
        <f t="shared" si="0"/>
        <v>0.5</v>
      </c>
      <c r="M32" s="312">
        <f t="shared" si="1"/>
        <v>0.5</v>
      </c>
      <c r="N32" s="310">
        <f t="shared" si="2"/>
        <v>101.05</v>
      </c>
      <c r="O32" s="310">
        <f t="shared" si="3"/>
        <v>0</v>
      </c>
      <c r="P32" s="91">
        <f t="shared" si="4"/>
        <v>101.05</v>
      </c>
      <c r="Q32" s="62">
        <f t="shared" si="5"/>
        <v>11.924419313230858</v>
      </c>
      <c r="U32" s="310" t="str">
        <f>PE_aug!AP32</f>
        <v>Methode</v>
      </c>
    </row>
    <row r="33" spans="1:21">
      <c r="A33" s="111" t="s">
        <v>72</v>
      </c>
      <c r="J33" s="115">
        <v>9.5027999999999988</v>
      </c>
      <c r="K33">
        <v>0.5</v>
      </c>
      <c r="L33" s="35" t="e">
        <f t="shared" si="0"/>
        <v>#DIV/0!</v>
      </c>
      <c r="M33" s="312" t="e">
        <f t="shared" si="1"/>
        <v>#DIV/0!</v>
      </c>
      <c r="N33" s="310" t="e">
        <f t="shared" si="2"/>
        <v>#DIV/0!</v>
      </c>
      <c r="O33" s="310" t="e">
        <f t="shared" si="3"/>
        <v>#DIV/0!</v>
      </c>
      <c r="P33" s="91" t="e">
        <f t="shared" si="4"/>
        <v>#DIV/0!</v>
      </c>
      <c r="Q33" s="62">
        <f t="shared" si="5"/>
        <v>0</v>
      </c>
      <c r="U33" s="310" t="str">
        <f>PE_aug!AP33</f>
        <v>Methode</v>
      </c>
    </row>
    <row r="34" spans="1:21">
      <c r="A34" s="111" t="s">
        <v>73</v>
      </c>
      <c r="E34">
        <v>93.63</v>
      </c>
      <c r="J34" s="115">
        <v>6.3264996</v>
      </c>
      <c r="K34">
        <v>0.44</v>
      </c>
      <c r="L34" s="35">
        <f t="shared" si="0"/>
        <v>0.5</v>
      </c>
      <c r="M34" s="312">
        <f t="shared" si="1"/>
        <v>0.47</v>
      </c>
      <c r="N34" s="310">
        <f t="shared" si="2"/>
        <v>93.63</v>
      </c>
      <c r="O34" s="310">
        <f t="shared" si="3"/>
        <v>0</v>
      </c>
      <c r="P34" s="91">
        <f t="shared" si="4"/>
        <v>93.63</v>
      </c>
      <c r="Q34" s="62">
        <f t="shared" si="5"/>
        <v>14.799653192106421</v>
      </c>
      <c r="U34" s="310" t="str">
        <f>PE_aug!AP34</f>
        <v>Methode</v>
      </c>
    </row>
    <row r="35" spans="1:21">
      <c r="A35" s="111" t="s">
        <v>74</v>
      </c>
      <c r="E35">
        <v>88.75</v>
      </c>
      <c r="J35" s="115">
        <v>20.927900000000001</v>
      </c>
      <c r="K35">
        <v>0.5</v>
      </c>
      <c r="L35" s="35">
        <f t="shared" si="0"/>
        <v>0.5</v>
      </c>
      <c r="M35" s="312">
        <f t="shared" si="1"/>
        <v>0.5</v>
      </c>
      <c r="N35" s="310">
        <f t="shared" si="2"/>
        <v>88.75</v>
      </c>
      <c r="O35" s="310">
        <f t="shared" si="3"/>
        <v>0</v>
      </c>
      <c r="P35" s="91">
        <f t="shared" si="4"/>
        <v>88.75</v>
      </c>
      <c r="Q35" s="62">
        <f t="shared" si="5"/>
        <v>4.240750385848556</v>
      </c>
      <c r="U35" s="310" t="str">
        <f>PE_aug!AP35</f>
        <v>GWI Algen</v>
      </c>
    </row>
    <row r="36" spans="1:21">
      <c r="A36" s="111" t="s">
        <v>76</v>
      </c>
      <c r="E36">
        <v>98.08</v>
      </c>
      <c r="J36" s="115">
        <v>5.5827999999999998</v>
      </c>
      <c r="K36">
        <v>0.4</v>
      </c>
      <c r="L36" s="35">
        <f t="shared" si="0"/>
        <v>0.5</v>
      </c>
      <c r="M36" s="312">
        <f t="shared" si="1"/>
        <v>0.45</v>
      </c>
      <c r="N36" s="310">
        <f t="shared" si="2"/>
        <v>98.08</v>
      </c>
      <c r="O36" s="310">
        <f t="shared" si="3"/>
        <v>0</v>
      </c>
      <c r="P36" s="91">
        <f t="shared" si="4"/>
        <v>98.08</v>
      </c>
      <c r="Q36" s="62">
        <f t="shared" si="5"/>
        <v>17.568245324926561</v>
      </c>
      <c r="U36" s="310" t="str">
        <f>PE_aug!AP36</f>
        <v>KWS, neue Schlammbehandlung</v>
      </c>
    </row>
    <row r="37" spans="1:21">
      <c r="A37" s="111" t="s">
        <v>77</v>
      </c>
      <c r="E37">
        <v>94.61</v>
      </c>
      <c r="J37" s="115">
        <v>9.077</v>
      </c>
      <c r="K37">
        <v>0.5</v>
      </c>
      <c r="L37" s="35">
        <f t="shared" si="0"/>
        <v>0.5</v>
      </c>
      <c r="M37" s="312">
        <f t="shared" si="1"/>
        <v>0.5</v>
      </c>
      <c r="N37" s="310">
        <f t="shared" si="2"/>
        <v>94.61</v>
      </c>
      <c r="O37" s="310">
        <f t="shared" si="3"/>
        <v>0</v>
      </c>
      <c r="P37" s="91">
        <f t="shared" si="4"/>
        <v>94.61</v>
      </c>
      <c r="Q37" s="62">
        <f t="shared" si="5"/>
        <v>10.423047262311336</v>
      </c>
      <c r="U37" s="310" t="str">
        <f>PE_aug!AP37</f>
        <v>KWS, neue Schlammbehandlung</v>
      </c>
    </row>
    <row r="38" spans="1:21">
      <c r="A38" s="111" t="s">
        <v>78</v>
      </c>
      <c r="E38">
        <v>100.54</v>
      </c>
      <c r="J38" s="115">
        <v>4.5395000000000003</v>
      </c>
      <c r="K38">
        <v>0.5</v>
      </c>
      <c r="L38" s="35">
        <f t="shared" si="0"/>
        <v>0.5</v>
      </c>
      <c r="M38" s="312">
        <f t="shared" si="1"/>
        <v>0.5</v>
      </c>
      <c r="N38" s="310">
        <f t="shared" si="2"/>
        <v>100.54</v>
      </c>
      <c r="O38" s="310">
        <f t="shared" si="3"/>
        <v>0</v>
      </c>
      <c r="P38" s="91">
        <f t="shared" si="4"/>
        <v>100.54</v>
      </c>
      <c r="Q38" s="62">
        <f t="shared" si="5"/>
        <v>22.147813635862981</v>
      </c>
      <c r="U38" s="310" t="str">
        <f>PE_aug!AP38</f>
        <v>KWS, neue Schlammbehandlung</v>
      </c>
    </row>
    <row r="39" spans="1:21">
      <c r="A39" s="111" t="s">
        <v>79</v>
      </c>
      <c r="E39">
        <v>97.18</v>
      </c>
      <c r="J39" s="115">
        <v>11.981299999999999</v>
      </c>
      <c r="K39">
        <v>0</v>
      </c>
      <c r="L39" s="35">
        <f t="shared" si="0"/>
        <v>0.5</v>
      </c>
      <c r="M39" s="312">
        <f t="shared" si="1"/>
        <v>0.25</v>
      </c>
      <c r="N39" s="310">
        <f t="shared" si="2"/>
        <v>97.18</v>
      </c>
      <c r="O39" s="310">
        <f t="shared" si="3"/>
        <v>0</v>
      </c>
      <c r="P39" s="91">
        <f t="shared" si="4"/>
        <v>97.18</v>
      </c>
      <c r="Q39" s="62">
        <f t="shared" si="5"/>
        <v>8.110972932820312</v>
      </c>
      <c r="U39" s="310" t="str">
        <f>PE_aug!AP39</f>
        <v>KWS, neue Schlammbehandlung</v>
      </c>
    </row>
    <row r="40" spans="1:21">
      <c r="A40" s="111" t="s">
        <v>80</v>
      </c>
      <c r="J40" s="115">
        <v>22.0534</v>
      </c>
      <c r="L40" s="35" t="e">
        <f t="shared" si="0"/>
        <v>#DIV/0!</v>
      </c>
      <c r="M40" s="312" t="e">
        <f t="shared" si="1"/>
        <v>#DIV/0!</v>
      </c>
      <c r="N40" s="310" t="e">
        <f t="shared" si="2"/>
        <v>#DIV/0!</v>
      </c>
      <c r="O40" s="310" t="e">
        <f t="shared" si="3"/>
        <v>#DIV/0!</v>
      </c>
      <c r="P40" s="91" t="e">
        <f t="shared" si="4"/>
        <v>#DIV/0!</v>
      </c>
      <c r="Q40" s="62">
        <f t="shared" si="5"/>
        <v>0</v>
      </c>
      <c r="U40" s="310" t="str">
        <f>PE_aug!AP40</f>
        <v>KWS, neue Schlammbehandlung</v>
      </c>
    </row>
    <row r="41" spans="1:21">
      <c r="A41" s="111" t="s">
        <v>81</v>
      </c>
      <c r="J41" s="115">
        <v>14.983700000000001</v>
      </c>
      <c r="K41">
        <v>0.67</v>
      </c>
      <c r="L41" s="35" t="e">
        <f t="shared" si="0"/>
        <v>#DIV/0!</v>
      </c>
      <c r="M41" s="312" t="e">
        <f t="shared" si="1"/>
        <v>#DIV/0!</v>
      </c>
      <c r="N41" s="310" t="e">
        <f t="shared" si="2"/>
        <v>#DIV/0!</v>
      </c>
      <c r="O41" s="310" t="e">
        <f t="shared" si="3"/>
        <v>#DIV/0!</v>
      </c>
      <c r="P41" s="91" t="e">
        <f t="shared" si="4"/>
        <v>#DIV/0!</v>
      </c>
      <c r="Q41" s="62">
        <f t="shared" si="5"/>
        <v>0</v>
      </c>
      <c r="U41" s="310" t="str">
        <f>PE_aug!AP41</f>
        <v>KWS, neue Schlammbehandlung</v>
      </c>
    </row>
    <row r="42" spans="1:21">
      <c r="A42" s="111" t="s">
        <v>82</v>
      </c>
      <c r="E42">
        <v>87.12</v>
      </c>
      <c r="J42" s="115">
        <v>2.3340000000000001</v>
      </c>
      <c r="K42">
        <v>0.5</v>
      </c>
      <c r="L42" s="35">
        <f t="shared" si="0"/>
        <v>0.5</v>
      </c>
      <c r="M42" s="312">
        <f t="shared" si="1"/>
        <v>0.5</v>
      </c>
      <c r="N42" s="310">
        <f t="shared" si="2"/>
        <v>87.12</v>
      </c>
      <c r="O42" s="310">
        <f t="shared" si="3"/>
        <v>0</v>
      </c>
      <c r="P42" s="91">
        <f t="shared" si="4"/>
        <v>87.12</v>
      </c>
      <c r="Q42" s="62">
        <f t="shared" si="5"/>
        <v>37.326478149100261</v>
      </c>
      <c r="U42" s="310" t="str">
        <f>PE_aug!AP42</f>
        <v>Methodenvergleich</v>
      </c>
    </row>
    <row r="43" spans="1:21">
      <c r="A43" s="111" t="s">
        <v>83</v>
      </c>
      <c r="E43">
        <v>92.22</v>
      </c>
      <c r="J43" s="115">
        <v>5.1288999999999998</v>
      </c>
      <c r="K43">
        <v>0.5</v>
      </c>
      <c r="L43" s="35">
        <f t="shared" si="0"/>
        <v>0.5</v>
      </c>
      <c r="M43" s="312">
        <f t="shared" si="1"/>
        <v>0.5</v>
      </c>
      <c r="N43" s="310">
        <f t="shared" si="2"/>
        <v>92.22</v>
      </c>
      <c r="O43" s="310">
        <f t="shared" si="3"/>
        <v>0</v>
      </c>
      <c r="P43" s="91">
        <f t="shared" si="4"/>
        <v>92.22</v>
      </c>
      <c r="Q43" s="62">
        <f t="shared" si="5"/>
        <v>17.980463647175807</v>
      </c>
      <c r="U43" s="310" t="str">
        <f>PE_aug!AP43</f>
        <v>Methodenvergleich</v>
      </c>
    </row>
    <row r="44" spans="1:21">
      <c r="A44" s="111" t="s">
        <v>84</v>
      </c>
      <c r="E44">
        <v>91.74</v>
      </c>
      <c r="J44" s="115">
        <v>2.7223000000000002</v>
      </c>
      <c r="K44">
        <v>0.4</v>
      </c>
      <c r="L44" s="35">
        <f t="shared" si="0"/>
        <v>0.5</v>
      </c>
      <c r="M44" s="312">
        <f t="shared" si="1"/>
        <v>0.45</v>
      </c>
      <c r="N44" s="310">
        <f t="shared" si="2"/>
        <v>91.74</v>
      </c>
      <c r="O44" s="310">
        <f t="shared" si="3"/>
        <v>0</v>
      </c>
      <c r="P44" s="91">
        <f t="shared" si="4"/>
        <v>91.74</v>
      </c>
      <c r="Q44" s="62">
        <f t="shared" si="5"/>
        <v>33.699445321970387</v>
      </c>
      <c r="U44" s="310" t="str">
        <f>PE_aug!AP44</f>
        <v>Methodenvergleich</v>
      </c>
    </row>
    <row r="45" spans="1:21">
      <c r="A45" s="111" t="s">
        <v>85</v>
      </c>
      <c r="E45">
        <v>90.72</v>
      </c>
      <c r="J45" s="115">
        <v>2.6141000000000001</v>
      </c>
      <c r="K45">
        <v>0.5</v>
      </c>
      <c r="L45" s="35">
        <f t="shared" si="0"/>
        <v>0.5</v>
      </c>
      <c r="M45" s="312">
        <f t="shared" si="1"/>
        <v>0.5</v>
      </c>
      <c r="N45" s="310">
        <f t="shared" si="2"/>
        <v>90.72</v>
      </c>
      <c r="O45" s="310">
        <f t="shared" si="3"/>
        <v>0</v>
      </c>
      <c r="P45" s="91">
        <f t="shared" si="4"/>
        <v>90.72</v>
      </c>
      <c r="Q45" s="62">
        <f t="shared" si="5"/>
        <v>34.704104663172792</v>
      </c>
      <c r="U45" s="310" t="str">
        <f>PE_aug!AP45</f>
        <v>Methodenvergleich</v>
      </c>
    </row>
    <row r="46" spans="1:21">
      <c r="A46" s="111" t="s">
        <v>86</v>
      </c>
      <c r="E46">
        <v>95.22</v>
      </c>
      <c r="J46" s="115">
        <v>3.3165</v>
      </c>
      <c r="K46">
        <v>0.5</v>
      </c>
      <c r="L46" s="35">
        <f t="shared" si="0"/>
        <v>0.5</v>
      </c>
      <c r="M46" s="312">
        <f t="shared" si="1"/>
        <v>0.5</v>
      </c>
      <c r="N46" s="310">
        <f t="shared" si="2"/>
        <v>95.22</v>
      </c>
      <c r="O46" s="310">
        <f t="shared" si="3"/>
        <v>0</v>
      </c>
      <c r="P46" s="91">
        <f t="shared" si="4"/>
        <v>95.22</v>
      </c>
      <c r="Q46" s="62">
        <f t="shared" si="5"/>
        <v>28.710990502035276</v>
      </c>
      <c r="U46" s="310" t="str">
        <f>PE_aug!AP46</f>
        <v>Methodenvergleich</v>
      </c>
    </row>
    <row r="47" spans="1:21">
      <c r="A47" s="111" t="s">
        <v>87</v>
      </c>
      <c r="E47">
        <v>95.57</v>
      </c>
      <c r="J47" s="115">
        <v>2.6827000000000001</v>
      </c>
      <c r="K47">
        <v>0.5</v>
      </c>
      <c r="L47" s="35">
        <f t="shared" si="0"/>
        <v>0.5</v>
      </c>
      <c r="M47" s="312">
        <f t="shared" si="1"/>
        <v>0.5</v>
      </c>
      <c r="N47" s="310">
        <f t="shared" si="2"/>
        <v>95.57</v>
      </c>
      <c r="O47" s="310">
        <f t="shared" si="3"/>
        <v>0</v>
      </c>
      <c r="P47" s="91">
        <f t="shared" si="4"/>
        <v>95.57</v>
      </c>
      <c r="Q47" s="62">
        <f t="shared" si="5"/>
        <v>35.624557348939497</v>
      </c>
      <c r="U47" s="310" t="str">
        <f>PE_aug!AP47</f>
        <v>Methodenvergleich</v>
      </c>
    </row>
    <row r="48" spans="1:21">
      <c r="A48" s="111" t="s">
        <v>88</v>
      </c>
      <c r="E48">
        <v>92.98</v>
      </c>
      <c r="J48" s="115">
        <v>4.9345999999999997</v>
      </c>
      <c r="K48">
        <v>0.5</v>
      </c>
      <c r="L48" s="35">
        <f t="shared" si="0"/>
        <v>0.5</v>
      </c>
      <c r="M48" s="312">
        <f t="shared" si="1"/>
        <v>0.5</v>
      </c>
      <c r="N48" s="310">
        <f t="shared" si="2"/>
        <v>92.98</v>
      </c>
      <c r="O48" s="310">
        <f t="shared" si="3"/>
        <v>0</v>
      </c>
      <c r="P48" s="91">
        <f t="shared" si="4"/>
        <v>92.98</v>
      </c>
      <c r="Q48" s="62">
        <f t="shared" si="5"/>
        <v>18.842459368540514</v>
      </c>
      <c r="U48" s="310" t="str">
        <f>PE_aug!AP48</f>
        <v>Methodenvergleich</v>
      </c>
    </row>
    <row r="49" spans="1:21">
      <c r="A49" s="111" t="s">
        <v>89</v>
      </c>
      <c r="E49">
        <v>93.06</v>
      </c>
      <c r="J49" s="115">
        <v>5.2786</v>
      </c>
      <c r="K49">
        <v>0.5</v>
      </c>
      <c r="L49" s="35">
        <f t="shared" si="0"/>
        <v>0.5</v>
      </c>
      <c r="M49" s="312">
        <f t="shared" si="1"/>
        <v>0.5</v>
      </c>
      <c r="N49" s="310">
        <f t="shared" si="2"/>
        <v>93.06</v>
      </c>
      <c r="O49" s="310">
        <f t="shared" si="3"/>
        <v>0</v>
      </c>
      <c r="P49" s="91">
        <f t="shared" si="4"/>
        <v>93.06</v>
      </c>
      <c r="Q49" s="62">
        <f t="shared" si="5"/>
        <v>17.62967453491456</v>
      </c>
      <c r="U49" s="310" t="str">
        <f>PE_aug!AP49</f>
        <v>Methodenvergleich</v>
      </c>
    </row>
    <row r="50" spans="1:21">
      <c r="A50" s="116" t="s">
        <v>90</v>
      </c>
      <c r="E50">
        <v>94.18</v>
      </c>
      <c r="H50" s="51"/>
      <c r="I50" s="51"/>
      <c r="J50" s="117">
        <v>6.4586099999999994E-2</v>
      </c>
      <c r="K50">
        <v>0.25</v>
      </c>
      <c r="L50" s="35">
        <f t="shared" si="0"/>
        <v>0.5</v>
      </c>
      <c r="M50" s="312">
        <f t="shared" si="1"/>
        <v>0.375</v>
      </c>
      <c r="N50" s="310">
        <f t="shared" si="2"/>
        <v>94.18</v>
      </c>
      <c r="O50" s="310">
        <f t="shared" si="3"/>
        <v>0</v>
      </c>
      <c r="P50" s="91">
        <f t="shared" si="4"/>
        <v>94.18</v>
      </c>
      <c r="Q50" s="62">
        <f t="shared" si="5"/>
        <v>1458.2084999713563</v>
      </c>
      <c r="U50" s="310" t="str">
        <f>PE_aug!AP50</f>
        <v>Methode</v>
      </c>
    </row>
    <row r="51" spans="1:21">
      <c r="A51" s="116" t="s">
        <v>91</v>
      </c>
      <c r="J51" s="115">
        <v>9.7091999999999992</v>
      </c>
      <c r="L51" s="35" t="e">
        <f t="shared" si="0"/>
        <v>#DIV/0!</v>
      </c>
      <c r="M51" s="312" t="e">
        <f t="shared" si="1"/>
        <v>#DIV/0!</v>
      </c>
      <c r="N51" s="310" t="e">
        <f t="shared" si="2"/>
        <v>#DIV/0!</v>
      </c>
      <c r="O51" s="310" t="e">
        <f t="shared" si="3"/>
        <v>#DIV/0!</v>
      </c>
      <c r="P51" s="91" t="e">
        <f t="shared" si="4"/>
        <v>#DIV/0!</v>
      </c>
      <c r="Q51" s="62">
        <f t="shared" si="5"/>
        <v>0</v>
      </c>
      <c r="U51" s="310" t="str">
        <f>PE_aug!AP51</f>
        <v>Referenzmessung BS</v>
      </c>
    </row>
    <row r="52" spans="1:21">
      <c r="A52" s="116" t="s">
        <v>92</v>
      </c>
      <c r="J52" s="115">
        <v>13.1975</v>
      </c>
      <c r="L52" s="35" t="e">
        <f t="shared" si="0"/>
        <v>#DIV/0!</v>
      </c>
      <c r="M52" s="312" t="e">
        <f t="shared" si="1"/>
        <v>#DIV/0!</v>
      </c>
      <c r="N52" s="310" t="e">
        <f t="shared" si="2"/>
        <v>#DIV/0!</v>
      </c>
      <c r="O52" s="310" t="e">
        <f t="shared" si="3"/>
        <v>#DIV/0!</v>
      </c>
      <c r="P52" s="91" t="e">
        <f t="shared" si="4"/>
        <v>#DIV/0!</v>
      </c>
      <c r="Q52" s="62">
        <f t="shared" si="5"/>
        <v>0</v>
      </c>
      <c r="U52" s="310" t="str">
        <f>PE_aug!AP52</f>
        <v>Referenzmessung BS</v>
      </c>
    </row>
    <row r="53" spans="1:21">
      <c r="A53" s="116" t="s">
        <v>93</v>
      </c>
      <c r="J53" s="115">
        <v>13.651300000000001</v>
      </c>
      <c r="L53" s="35" t="e">
        <f t="shared" si="0"/>
        <v>#DIV/0!</v>
      </c>
      <c r="M53" s="312" t="e">
        <f t="shared" si="1"/>
        <v>#DIV/0!</v>
      </c>
      <c r="N53" s="310" t="e">
        <f t="shared" si="2"/>
        <v>#DIV/0!</v>
      </c>
      <c r="O53" s="310" t="e">
        <f t="shared" si="3"/>
        <v>#DIV/0!</v>
      </c>
      <c r="P53" s="91" t="e">
        <f t="shared" si="4"/>
        <v>#DIV/0!</v>
      </c>
      <c r="Q53" s="62">
        <f t="shared" si="5"/>
        <v>0</v>
      </c>
      <c r="U53" s="310" t="str">
        <f>PE_aug!AP53</f>
        <v>Referenzmessung BS</v>
      </c>
    </row>
    <row r="54" spans="1:21">
      <c r="A54" s="116" t="s">
        <v>94</v>
      </c>
      <c r="J54" s="115">
        <v>12.703900000000001</v>
      </c>
      <c r="L54" s="35" t="e">
        <f t="shared" si="0"/>
        <v>#DIV/0!</v>
      </c>
      <c r="M54" s="312" t="e">
        <f t="shared" si="1"/>
        <v>#DIV/0!</v>
      </c>
      <c r="N54" s="310" t="e">
        <f t="shared" si="2"/>
        <v>#DIV/0!</v>
      </c>
      <c r="O54" s="310" t="e">
        <f t="shared" si="3"/>
        <v>#DIV/0!</v>
      </c>
      <c r="P54" s="91" t="e">
        <f t="shared" si="4"/>
        <v>#DIV/0!</v>
      </c>
      <c r="Q54" s="62">
        <f t="shared" si="5"/>
        <v>0</v>
      </c>
      <c r="U54" s="310" t="str">
        <f>PE_aug!AP54</f>
        <v>Referenzmessung BS</v>
      </c>
    </row>
    <row r="55" spans="1:21">
      <c r="A55" s="116" t="s">
        <v>95</v>
      </c>
      <c r="J55" s="115">
        <v>7.2664999999999997</v>
      </c>
      <c r="L55" s="35" t="e">
        <f t="shared" si="0"/>
        <v>#DIV/0!</v>
      </c>
      <c r="M55" s="312" t="e">
        <f t="shared" si="1"/>
        <v>#DIV/0!</v>
      </c>
      <c r="N55" s="310" t="e">
        <f t="shared" si="2"/>
        <v>#DIV/0!</v>
      </c>
      <c r="O55" s="310" t="e">
        <f t="shared" si="3"/>
        <v>#DIV/0!</v>
      </c>
      <c r="P55" s="91" t="e">
        <f t="shared" si="4"/>
        <v>#DIV/0!</v>
      </c>
      <c r="Q55" s="62">
        <f t="shared" si="5"/>
        <v>0</v>
      </c>
      <c r="U55" s="310" t="str">
        <f>PE_aug!AP55</f>
        <v>Referenzmessung BS</v>
      </c>
    </row>
    <row r="56" spans="1:21">
      <c r="A56" s="116" t="s">
        <v>96</v>
      </c>
      <c r="J56" s="115">
        <v>10.364800000000001</v>
      </c>
      <c r="L56" s="35" t="e">
        <f t="shared" si="0"/>
        <v>#DIV/0!</v>
      </c>
      <c r="M56" s="312" t="e">
        <f t="shared" si="1"/>
        <v>#DIV/0!</v>
      </c>
      <c r="N56" s="310" t="e">
        <f t="shared" si="2"/>
        <v>#DIV/0!</v>
      </c>
      <c r="O56" s="310" t="e">
        <f t="shared" si="3"/>
        <v>#DIV/0!</v>
      </c>
      <c r="P56" s="91" t="e">
        <f t="shared" si="4"/>
        <v>#DIV/0!</v>
      </c>
      <c r="Q56" s="62">
        <f t="shared" si="5"/>
        <v>0</v>
      </c>
      <c r="U56" s="310" t="str">
        <f>PE_aug!AP56</f>
        <v>Referenzmessung BS</v>
      </c>
    </row>
    <row r="57" spans="1:21">
      <c r="A57" s="116" t="s">
        <v>97</v>
      </c>
      <c r="J57" s="115">
        <v>10.887700000000001</v>
      </c>
      <c r="L57" s="35" t="e">
        <f t="shared" si="0"/>
        <v>#DIV/0!</v>
      </c>
      <c r="M57" s="312" t="e">
        <f t="shared" si="1"/>
        <v>#DIV/0!</v>
      </c>
      <c r="N57" s="310" t="e">
        <f t="shared" si="2"/>
        <v>#DIV/0!</v>
      </c>
      <c r="O57" s="310" t="e">
        <f t="shared" si="3"/>
        <v>#DIV/0!</v>
      </c>
      <c r="P57" s="91" t="e">
        <f t="shared" si="4"/>
        <v>#DIV/0!</v>
      </c>
      <c r="Q57" s="62">
        <f t="shared" si="5"/>
        <v>0</v>
      </c>
      <c r="U57" s="310" t="str">
        <f>PE_aug!AP57</f>
        <v>Referenzmessung BS</v>
      </c>
    </row>
    <row r="58" spans="1:21">
      <c r="A58" s="116" t="s">
        <v>98</v>
      </c>
      <c r="E58">
        <v>88.52</v>
      </c>
      <c r="J58" s="115">
        <v>8.7660999999999998</v>
      </c>
      <c r="K58">
        <v>0.5</v>
      </c>
      <c r="L58" s="35">
        <f t="shared" si="0"/>
        <v>0.5</v>
      </c>
      <c r="M58" s="312">
        <f t="shared" si="1"/>
        <v>0.5</v>
      </c>
      <c r="N58" s="310">
        <f t="shared" si="2"/>
        <v>88.52</v>
      </c>
      <c r="O58" s="310">
        <f t="shared" si="3"/>
        <v>0</v>
      </c>
      <c r="P58" s="91">
        <f t="shared" si="4"/>
        <v>88.52</v>
      </c>
      <c r="Q58" s="62">
        <f t="shared" si="5"/>
        <v>10.097991124901609</v>
      </c>
      <c r="U58" s="310" t="str">
        <f>PE_aug!AP58</f>
        <v>Referenzmessung BS</v>
      </c>
    </row>
    <row r="59" spans="1:21">
      <c r="A59" s="116" t="s">
        <v>99</v>
      </c>
      <c r="E59">
        <v>89.94</v>
      </c>
      <c r="J59" s="115">
        <v>11.4666</v>
      </c>
      <c r="K59">
        <v>0.5</v>
      </c>
      <c r="L59" s="35">
        <f t="shared" si="0"/>
        <v>0.5</v>
      </c>
      <c r="M59" s="312">
        <f t="shared" si="1"/>
        <v>0.5</v>
      </c>
      <c r="N59" s="310">
        <f t="shared" si="2"/>
        <v>89.94</v>
      </c>
      <c r="O59" s="310">
        <f t="shared" si="3"/>
        <v>0</v>
      </c>
      <c r="P59" s="91">
        <f t="shared" si="4"/>
        <v>89.94</v>
      </c>
      <c r="Q59" s="62">
        <f t="shared" si="5"/>
        <v>7.8436502537805453</v>
      </c>
      <c r="U59" s="310" t="str">
        <f>PE_aug!AP59</f>
        <v>Referenzmessung BS</v>
      </c>
    </row>
    <row r="60" spans="1:21">
      <c r="A60" s="116" t="s">
        <v>100</v>
      </c>
      <c r="J60" s="115">
        <v>8.7931000000000008</v>
      </c>
      <c r="L60" s="35" t="e">
        <f t="shared" si="0"/>
        <v>#DIV/0!</v>
      </c>
      <c r="M60" s="312" t="e">
        <f t="shared" si="1"/>
        <v>#DIV/0!</v>
      </c>
      <c r="N60" s="310" t="e">
        <f t="shared" si="2"/>
        <v>#DIV/0!</v>
      </c>
      <c r="O60" s="310" t="e">
        <f t="shared" si="3"/>
        <v>#DIV/0!</v>
      </c>
      <c r="P60" s="91" t="e">
        <f t="shared" si="4"/>
        <v>#DIV/0!</v>
      </c>
      <c r="Q60" s="62">
        <f t="shared" si="5"/>
        <v>0</v>
      </c>
      <c r="U60" s="310" t="str">
        <f>PE_aug!AP60</f>
        <v>Referenzmessung BS</v>
      </c>
    </row>
    <row r="61" spans="1:21">
      <c r="A61" s="116" t="s">
        <v>101</v>
      </c>
      <c r="J61" s="115">
        <v>7.7481</v>
      </c>
      <c r="L61" s="35" t="e">
        <f t="shared" si="0"/>
        <v>#DIV/0!</v>
      </c>
      <c r="M61" s="312" t="e">
        <f t="shared" si="1"/>
        <v>#DIV/0!</v>
      </c>
      <c r="N61" s="310" t="e">
        <f t="shared" si="2"/>
        <v>#DIV/0!</v>
      </c>
      <c r="O61" s="310" t="e">
        <f t="shared" si="3"/>
        <v>#DIV/0!</v>
      </c>
      <c r="P61" s="91" t="e">
        <f t="shared" si="4"/>
        <v>#DIV/0!</v>
      </c>
      <c r="Q61" s="62">
        <f t="shared" si="5"/>
        <v>0</v>
      </c>
      <c r="U61" s="310" t="str">
        <f>PE_aug!AP61</f>
        <v>Referenzmessung BS</v>
      </c>
    </row>
    <row r="62" spans="1:21">
      <c r="A62" s="116" t="s">
        <v>102</v>
      </c>
      <c r="J62" s="115">
        <v>9.3953000000000007</v>
      </c>
      <c r="L62" s="35" t="e">
        <f t="shared" si="0"/>
        <v>#DIV/0!</v>
      </c>
      <c r="M62" s="312" t="e">
        <f t="shared" si="1"/>
        <v>#DIV/0!</v>
      </c>
      <c r="N62" s="310" t="e">
        <f t="shared" si="2"/>
        <v>#DIV/0!</v>
      </c>
      <c r="O62" s="310" t="e">
        <f t="shared" si="3"/>
        <v>#DIV/0!</v>
      </c>
      <c r="P62" s="91" t="e">
        <f t="shared" si="4"/>
        <v>#DIV/0!</v>
      </c>
      <c r="Q62" s="62">
        <f t="shared" si="5"/>
        <v>0</v>
      </c>
      <c r="U62" s="310" t="str">
        <f>PE_aug!AP62</f>
        <v>Referenzmessung BS</v>
      </c>
    </row>
    <row r="63" spans="1:21">
      <c r="A63" s="116" t="s">
        <v>103</v>
      </c>
      <c r="J63" s="115">
        <v>10.911199999999999</v>
      </c>
      <c r="L63" s="35" t="e">
        <f t="shared" si="0"/>
        <v>#DIV/0!</v>
      </c>
      <c r="M63" s="312" t="e">
        <f t="shared" si="1"/>
        <v>#DIV/0!</v>
      </c>
      <c r="N63" s="310" t="e">
        <f t="shared" si="2"/>
        <v>#DIV/0!</v>
      </c>
      <c r="O63" s="310" t="e">
        <f t="shared" si="3"/>
        <v>#DIV/0!</v>
      </c>
      <c r="P63" s="91" t="e">
        <f t="shared" si="4"/>
        <v>#DIV/0!</v>
      </c>
      <c r="Q63" s="62">
        <f t="shared" si="5"/>
        <v>0</v>
      </c>
      <c r="U63" s="310" t="str">
        <f>PE_aug!AP63</f>
        <v>Referenzmessung BS</v>
      </c>
    </row>
    <row r="64" spans="1:21">
      <c r="A64" s="116" t="s">
        <v>104</v>
      </c>
      <c r="J64" s="115">
        <v>9.3252000000000006</v>
      </c>
      <c r="L64" s="35" t="e">
        <f t="shared" si="0"/>
        <v>#DIV/0!</v>
      </c>
      <c r="M64" s="312" t="e">
        <f t="shared" si="1"/>
        <v>#DIV/0!</v>
      </c>
      <c r="N64" s="310" t="e">
        <f t="shared" si="2"/>
        <v>#DIV/0!</v>
      </c>
      <c r="O64" s="310" t="e">
        <f t="shared" si="3"/>
        <v>#DIV/0!</v>
      </c>
      <c r="P64" s="91" t="e">
        <f t="shared" si="4"/>
        <v>#DIV/0!</v>
      </c>
      <c r="Q64" s="62">
        <f t="shared" si="5"/>
        <v>0</v>
      </c>
      <c r="U64" s="310" t="str">
        <f>PE_aug!AP64</f>
        <v>Referenzmessung BS</v>
      </c>
    </row>
    <row r="65" spans="1:21">
      <c r="A65" s="116" t="s">
        <v>105</v>
      </c>
      <c r="J65" s="115">
        <v>10.133599999999999</v>
      </c>
      <c r="L65" s="35" t="e">
        <f t="shared" si="0"/>
        <v>#DIV/0!</v>
      </c>
      <c r="M65" s="312" t="e">
        <f t="shared" si="1"/>
        <v>#DIV/0!</v>
      </c>
      <c r="N65" s="310" t="e">
        <f t="shared" si="2"/>
        <v>#DIV/0!</v>
      </c>
      <c r="O65" s="310" t="e">
        <f t="shared" si="3"/>
        <v>#DIV/0!</v>
      </c>
      <c r="P65" s="91" t="e">
        <f t="shared" si="4"/>
        <v>#DIV/0!</v>
      </c>
      <c r="Q65" s="62">
        <f t="shared" si="5"/>
        <v>0</v>
      </c>
      <c r="U65" s="310" t="str">
        <f>PE_aug!AP65</f>
        <v>Referenzmessung BS</v>
      </c>
    </row>
    <row r="66" spans="1:21">
      <c r="A66" s="116" t="s">
        <v>106</v>
      </c>
      <c r="J66" s="115">
        <v>5.3752000000000004</v>
      </c>
      <c r="L66" s="35" t="e">
        <f t="shared" ref="L66:L129" si="6">IF(COUNT(C66:C66)=1,0.33,(COUNT(C66:C66)*(1/(COUNT(C66:C66)+COUNTBLANK(C66:C66)))+(IF(O66&lt;35,1,IF(O66&lt;70,0.5,IF(O66&gt;70,0)))))/2)</f>
        <v>#DIV/0!</v>
      </c>
      <c r="M66" s="312" t="e">
        <f t="shared" ref="M66:M129" si="7">AVERAGE(K66:L66)</f>
        <v>#DIV/0!</v>
      </c>
      <c r="N66" s="310" t="e">
        <f t="shared" ref="N66:N129" si="8">AVERAGE(C66:E66)</f>
        <v>#DIV/0!</v>
      </c>
      <c r="O66" s="310" t="e">
        <f t="shared" ref="O66:O129" si="9">(MAX(C66:C66)-MIN(C66:C66))/N66*100</f>
        <v>#DIV/0!</v>
      </c>
      <c r="P66" s="91" t="e">
        <f t="shared" ref="P66:P129" si="10">AVERAGE(C66:G66)</f>
        <v>#DIV/0!</v>
      </c>
      <c r="Q66" s="62">
        <f t="shared" ref="Q66:Q129" si="11">IFERROR(P66/J66,0)</f>
        <v>0</v>
      </c>
      <c r="U66" s="310" t="str">
        <f>PE_aug!AP66</f>
        <v>Massenbilanz KWS, Methode</v>
      </c>
    </row>
    <row r="67" spans="1:21">
      <c r="A67" s="116" t="s">
        <v>108</v>
      </c>
      <c r="C67">
        <v>55.75</v>
      </c>
      <c r="D67">
        <v>73.06</v>
      </c>
      <c r="E67">
        <v>157.46</v>
      </c>
      <c r="F67">
        <v>293.33999999999997</v>
      </c>
      <c r="G67" s="307">
        <v>68.98</v>
      </c>
      <c r="J67" s="115">
        <v>3.4369000000000001</v>
      </c>
      <c r="K67">
        <v>0.88</v>
      </c>
      <c r="L67" s="35">
        <f t="shared" si="6"/>
        <v>0.33</v>
      </c>
      <c r="M67" s="312">
        <f t="shared" si="7"/>
        <v>0.60499999999999998</v>
      </c>
      <c r="N67" s="310">
        <f t="shared" si="8"/>
        <v>95.423333333333332</v>
      </c>
      <c r="O67" s="310">
        <f t="shared" si="9"/>
        <v>0</v>
      </c>
      <c r="P67" s="91">
        <f t="shared" si="10"/>
        <v>129.71799999999999</v>
      </c>
      <c r="Q67" s="62">
        <f t="shared" si="11"/>
        <v>37.742733277081086</v>
      </c>
      <c r="R67">
        <f>PE_aug!AM67</f>
        <v>3.5472000000000001</v>
      </c>
      <c r="S67">
        <f>PE_aug!AN67</f>
        <v>0.1103</v>
      </c>
      <c r="T67" s="309">
        <f>(P67/(S67*1000))*100</f>
        <v>117.60471441523117</v>
      </c>
      <c r="U67" s="310" t="str">
        <f>PE_aug!AP67</f>
        <v>Massenbilanz KWS, Methode</v>
      </c>
    </row>
    <row r="68" spans="1:21">
      <c r="A68" s="127" t="s">
        <v>109</v>
      </c>
      <c r="H68" s="227">
        <v>0.72500766269002093</v>
      </c>
      <c r="I68" s="227">
        <v>2.3223591542813038</v>
      </c>
      <c r="J68">
        <v>24.244299999999999</v>
      </c>
      <c r="L68" s="35" t="e">
        <f t="shared" si="6"/>
        <v>#DIV/0!</v>
      </c>
      <c r="M68" s="312" t="e">
        <f t="shared" si="7"/>
        <v>#DIV/0!</v>
      </c>
      <c r="N68" s="310" t="e">
        <f t="shared" si="8"/>
        <v>#DIV/0!</v>
      </c>
      <c r="O68" s="310" t="e">
        <f t="shared" si="9"/>
        <v>#DIV/0!</v>
      </c>
      <c r="P68" s="91" t="e">
        <f t="shared" si="10"/>
        <v>#DIV/0!</v>
      </c>
      <c r="Q68" s="62">
        <f t="shared" si="11"/>
        <v>0</v>
      </c>
      <c r="U68" s="310" t="str">
        <f>PE_aug!AP68</f>
        <v>Mischwasserüberlauf</v>
      </c>
    </row>
    <row r="69" spans="1:21">
      <c r="A69" s="127" t="s">
        <v>111</v>
      </c>
      <c r="H69" s="227">
        <v>1.1387065290790079</v>
      </c>
      <c r="I69" s="227">
        <v>2.3223591542813038</v>
      </c>
      <c r="J69">
        <v>21.4099</v>
      </c>
      <c r="L69" s="35" t="e">
        <f t="shared" si="6"/>
        <v>#DIV/0!</v>
      </c>
      <c r="M69" s="312" t="e">
        <f t="shared" si="7"/>
        <v>#DIV/0!</v>
      </c>
      <c r="N69" s="310" t="e">
        <f t="shared" si="8"/>
        <v>#DIV/0!</v>
      </c>
      <c r="O69" s="310" t="e">
        <f t="shared" si="9"/>
        <v>#DIV/0!</v>
      </c>
      <c r="P69" s="91" t="e">
        <f t="shared" si="10"/>
        <v>#DIV/0!</v>
      </c>
      <c r="Q69" s="62">
        <f t="shared" si="11"/>
        <v>0</v>
      </c>
      <c r="U69" s="310" t="str">
        <f>PE_aug!AP69</f>
        <v>Mischwasserüberlauf</v>
      </c>
    </row>
    <row r="70" spans="1:21">
      <c r="A70" s="127" t="s">
        <v>112</v>
      </c>
      <c r="E70">
        <v>86.54</v>
      </c>
      <c r="H70" s="227">
        <v>0.41413423453421311</v>
      </c>
      <c r="I70" s="227">
        <v>2.3223591542813038</v>
      </c>
      <c r="J70">
        <v>19.963000000000001</v>
      </c>
      <c r="K70">
        <v>0.19</v>
      </c>
      <c r="L70" s="35">
        <f t="shared" si="6"/>
        <v>0.5</v>
      </c>
      <c r="M70" s="312">
        <f t="shared" si="7"/>
        <v>0.34499999999999997</v>
      </c>
      <c r="N70" s="310">
        <f t="shared" si="8"/>
        <v>86.54</v>
      </c>
      <c r="O70" s="310">
        <f t="shared" si="9"/>
        <v>0</v>
      </c>
      <c r="P70" s="91">
        <f t="shared" si="10"/>
        <v>86.54</v>
      </c>
      <c r="Q70" s="62">
        <f t="shared" si="11"/>
        <v>4.33501978660522</v>
      </c>
      <c r="U70" s="310" t="str">
        <f>PE_aug!AP70</f>
        <v>Mischwasserüberlauf</v>
      </c>
    </row>
    <row r="71" spans="1:21">
      <c r="A71" s="127" t="s">
        <v>113</v>
      </c>
      <c r="E71">
        <v>91.02</v>
      </c>
      <c r="H71" s="227">
        <v>0.62561317936058813</v>
      </c>
      <c r="I71" s="227">
        <v>0.28260061430444122</v>
      </c>
      <c r="J71">
        <v>22.075199999999999</v>
      </c>
      <c r="K71">
        <v>0</v>
      </c>
      <c r="L71" s="35">
        <f t="shared" si="6"/>
        <v>0.5</v>
      </c>
      <c r="M71" s="312">
        <f t="shared" si="7"/>
        <v>0.25</v>
      </c>
      <c r="N71" s="310">
        <f t="shared" si="8"/>
        <v>91.02</v>
      </c>
      <c r="O71" s="310">
        <f t="shared" si="9"/>
        <v>0</v>
      </c>
      <c r="P71" s="91">
        <f t="shared" si="10"/>
        <v>91.02</v>
      </c>
      <c r="Q71" s="62">
        <f t="shared" si="11"/>
        <v>4.1231789519460751</v>
      </c>
      <c r="U71" s="310" t="str">
        <f>PE_aug!AP71</f>
        <v>Mischwasserüberlauf</v>
      </c>
    </row>
    <row r="72" spans="1:21">
      <c r="A72" s="127" t="s">
        <v>114</v>
      </c>
      <c r="H72" s="227">
        <v>0.52425544744513741</v>
      </c>
      <c r="I72" s="227">
        <v>0.28260061430444122</v>
      </c>
      <c r="J72">
        <v>19.199200000000001</v>
      </c>
      <c r="L72" s="35" t="e">
        <f t="shared" si="6"/>
        <v>#DIV/0!</v>
      </c>
      <c r="M72" s="312" t="e">
        <f t="shared" si="7"/>
        <v>#DIV/0!</v>
      </c>
      <c r="N72" s="310" t="e">
        <f t="shared" si="8"/>
        <v>#DIV/0!</v>
      </c>
      <c r="O72" s="310" t="e">
        <f t="shared" si="9"/>
        <v>#DIV/0!</v>
      </c>
      <c r="P72" s="91" t="e">
        <f t="shared" si="10"/>
        <v>#DIV/0!</v>
      </c>
      <c r="Q72" s="62">
        <f t="shared" si="11"/>
        <v>0</v>
      </c>
      <c r="U72" s="310" t="str">
        <f>PE_aug!AP72</f>
        <v>Mischwasserüberlauf</v>
      </c>
    </row>
    <row r="73" spans="1:21">
      <c r="A73" s="127" t="s">
        <v>115</v>
      </c>
      <c r="E73">
        <v>92.71</v>
      </c>
      <c r="H73" s="227">
        <v>1.138537379406299</v>
      </c>
      <c r="I73" s="227">
        <v>0.28260061430444122</v>
      </c>
      <c r="J73">
        <v>32.165999999999997</v>
      </c>
      <c r="K73">
        <v>0.25</v>
      </c>
      <c r="L73" s="35">
        <f t="shared" si="6"/>
        <v>0.5</v>
      </c>
      <c r="M73" s="312">
        <f t="shared" si="7"/>
        <v>0.375</v>
      </c>
      <c r="N73" s="310">
        <f t="shared" si="8"/>
        <v>92.71</v>
      </c>
      <c r="O73" s="310">
        <f t="shared" si="9"/>
        <v>0</v>
      </c>
      <c r="P73" s="91">
        <f t="shared" si="10"/>
        <v>92.71</v>
      </c>
      <c r="Q73" s="62">
        <f t="shared" si="11"/>
        <v>2.8822359012622023</v>
      </c>
      <c r="U73" s="310" t="str">
        <f>PE_aug!AP73</f>
        <v>Mischwasserüberlauf</v>
      </c>
    </row>
    <row r="74" spans="1:21">
      <c r="A74" s="127" t="s">
        <v>116</v>
      </c>
      <c r="H74" s="227"/>
      <c r="I74" s="227"/>
      <c r="J74">
        <v>0.48601299999999997</v>
      </c>
      <c r="L74" s="35" t="e">
        <f t="shared" si="6"/>
        <v>#DIV/0!</v>
      </c>
      <c r="M74" s="312" t="e">
        <f t="shared" si="7"/>
        <v>#DIV/0!</v>
      </c>
      <c r="N74" s="310" t="e">
        <f t="shared" si="8"/>
        <v>#DIV/0!</v>
      </c>
      <c r="O74" s="310" t="e">
        <f t="shared" si="9"/>
        <v>#DIV/0!</v>
      </c>
      <c r="P74" s="91" t="e">
        <f t="shared" si="10"/>
        <v>#DIV/0!</v>
      </c>
      <c r="Q74" s="62">
        <f t="shared" si="11"/>
        <v>0</v>
      </c>
      <c r="U74" s="310" t="str">
        <f>PE_aug!AP74</f>
        <v>Methode</v>
      </c>
    </row>
    <row r="75" spans="1:21">
      <c r="A75" s="127" t="s">
        <v>117</v>
      </c>
      <c r="H75" s="227"/>
      <c r="I75" s="227"/>
      <c r="J75">
        <v>31.152699999999999</v>
      </c>
      <c r="L75" s="35" t="e">
        <f t="shared" si="6"/>
        <v>#DIV/0!</v>
      </c>
      <c r="M75" s="312" t="e">
        <f t="shared" si="7"/>
        <v>#DIV/0!</v>
      </c>
      <c r="N75" s="310" t="e">
        <f t="shared" si="8"/>
        <v>#DIV/0!</v>
      </c>
      <c r="O75" s="310" t="e">
        <f t="shared" si="9"/>
        <v>#DIV/0!</v>
      </c>
      <c r="P75" s="91" t="e">
        <f t="shared" si="10"/>
        <v>#DIV/0!</v>
      </c>
      <c r="Q75" s="62">
        <f t="shared" si="11"/>
        <v>0</v>
      </c>
      <c r="U75" s="310" t="str">
        <f>PE_aug!AP75</f>
        <v>KWS, Methode</v>
      </c>
    </row>
    <row r="76" spans="1:21">
      <c r="A76" s="127" t="s">
        <v>118</v>
      </c>
      <c r="H76" s="227">
        <v>0.92741006348580879</v>
      </c>
      <c r="I76" s="227">
        <v>0.93563404694108665</v>
      </c>
      <c r="J76">
        <v>10.7529</v>
      </c>
      <c r="L76" s="35" t="e">
        <f t="shared" si="6"/>
        <v>#DIV/0!</v>
      </c>
      <c r="M76" s="312" t="e">
        <f t="shared" si="7"/>
        <v>#DIV/0!</v>
      </c>
      <c r="N76" s="310" t="e">
        <f t="shared" si="8"/>
        <v>#DIV/0!</v>
      </c>
      <c r="O76" s="310" t="e">
        <f t="shared" si="9"/>
        <v>#DIV/0!</v>
      </c>
      <c r="P76" s="91" t="e">
        <f t="shared" si="10"/>
        <v>#DIV/0!</v>
      </c>
      <c r="Q76" s="62">
        <f t="shared" si="11"/>
        <v>0</v>
      </c>
      <c r="U76" s="310" t="str">
        <f>PE_aug!AP76</f>
        <v>KWS, neue Schlammbehandlung</v>
      </c>
    </row>
    <row r="77" spans="1:21">
      <c r="A77" s="127" t="s">
        <v>119</v>
      </c>
      <c r="H77" s="227">
        <v>0.6165271278721236</v>
      </c>
      <c r="I77" s="227">
        <v>0.93563404694108665</v>
      </c>
      <c r="J77">
        <v>24.845700000000001</v>
      </c>
      <c r="L77" s="35" t="e">
        <f t="shared" si="6"/>
        <v>#DIV/0!</v>
      </c>
      <c r="M77" s="312" t="e">
        <f t="shared" si="7"/>
        <v>#DIV/0!</v>
      </c>
      <c r="N77" s="310" t="e">
        <f t="shared" si="8"/>
        <v>#DIV/0!</v>
      </c>
      <c r="O77" s="310" t="e">
        <f t="shared" si="9"/>
        <v>#DIV/0!</v>
      </c>
      <c r="P77" s="91" t="e">
        <f t="shared" si="10"/>
        <v>#DIV/0!</v>
      </c>
      <c r="Q77" s="62">
        <f t="shared" si="11"/>
        <v>0</v>
      </c>
      <c r="U77" s="310" t="str">
        <f>PE_aug!AP77</f>
        <v>KWS, neue Schlammbehandlung</v>
      </c>
    </row>
    <row r="78" spans="1:21">
      <c r="A78" s="127" t="s">
        <v>120</v>
      </c>
      <c r="H78" s="227">
        <v>0.69209679096893473</v>
      </c>
      <c r="I78" s="227">
        <v>0.93563404694108665</v>
      </c>
      <c r="J78">
        <v>8.3593499999999992</v>
      </c>
      <c r="L78" s="35" t="e">
        <f t="shared" si="6"/>
        <v>#DIV/0!</v>
      </c>
      <c r="M78" s="312" t="e">
        <f t="shared" si="7"/>
        <v>#DIV/0!</v>
      </c>
      <c r="N78" s="310" t="e">
        <f t="shared" si="8"/>
        <v>#DIV/0!</v>
      </c>
      <c r="O78" s="310" t="e">
        <f t="shared" si="9"/>
        <v>#DIV/0!</v>
      </c>
      <c r="P78" s="91" t="e">
        <f t="shared" si="10"/>
        <v>#DIV/0!</v>
      </c>
      <c r="Q78" s="62">
        <f t="shared" si="11"/>
        <v>0</v>
      </c>
      <c r="U78" s="310" t="str">
        <f>PE_aug!AP78</f>
        <v>KWS, neue Schlammbehandlung</v>
      </c>
    </row>
    <row r="79" spans="1:21">
      <c r="A79" s="127" t="s">
        <v>121</v>
      </c>
      <c r="H79" s="227"/>
      <c r="I79" s="227"/>
      <c r="J79">
        <v>22.5444</v>
      </c>
      <c r="L79" s="35" t="e">
        <f t="shared" si="6"/>
        <v>#DIV/0!</v>
      </c>
      <c r="M79" s="312" t="e">
        <f t="shared" si="7"/>
        <v>#DIV/0!</v>
      </c>
      <c r="N79" s="310" t="e">
        <f t="shared" si="8"/>
        <v>#DIV/0!</v>
      </c>
      <c r="O79" s="310" t="e">
        <f t="shared" si="9"/>
        <v>#DIV/0!</v>
      </c>
      <c r="P79" s="91" t="e">
        <f t="shared" si="10"/>
        <v>#DIV/0!</v>
      </c>
      <c r="Q79" s="62">
        <f t="shared" si="11"/>
        <v>0</v>
      </c>
      <c r="U79" s="310" t="str">
        <f>PE_aug!AP79</f>
        <v>KWS, neue Schlammbehandlung</v>
      </c>
    </row>
    <row r="80" spans="1:21">
      <c r="A80" s="127" t="s">
        <v>122</v>
      </c>
      <c r="H80" s="227">
        <v>0.59884540222007288</v>
      </c>
      <c r="I80" s="227">
        <v>0.72751809830295933</v>
      </c>
      <c r="J80">
        <v>4.5157999999999996</v>
      </c>
      <c r="L80" s="35" t="e">
        <f t="shared" si="6"/>
        <v>#DIV/0!</v>
      </c>
      <c r="M80" s="312" t="e">
        <f t="shared" si="7"/>
        <v>#DIV/0!</v>
      </c>
      <c r="N80" s="310" t="e">
        <f t="shared" si="8"/>
        <v>#DIV/0!</v>
      </c>
      <c r="O80" s="310" t="e">
        <f t="shared" si="9"/>
        <v>#DIV/0!</v>
      </c>
      <c r="P80" s="91" t="e">
        <f t="shared" si="10"/>
        <v>#DIV/0!</v>
      </c>
      <c r="Q80" s="62">
        <f t="shared" si="11"/>
        <v>0</v>
      </c>
      <c r="U80" s="310" t="str">
        <f>PE_aug!AP80</f>
        <v>Flussproben</v>
      </c>
    </row>
    <row r="81" spans="1:21">
      <c r="A81" s="127" t="s">
        <v>124</v>
      </c>
      <c r="H81" s="227">
        <v>0.61625653571817318</v>
      </c>
      <c r="I81" s="227">
        <v>0.72751809830295933</v>
      </c>
      <c r="J81">
        <v>10.894500000000001</v>
      </c>
      <c r="L81" s="35" t="e">
        <f t="shared" si="6"/>
        <v>#DIV/0!</v>
      </c>
      <c r="M81" s="312" t="e">
        <f t="shared" si="7"/>
        <v>#DIV/0!</v>
      </c>
      <c r="N81" s="310" t="e">
        <f t="shared" si="8"/>
        <v>#DIV/0!</v>
      </c>
      <c r="O81" s="310" t="e">
        <f t="shared" si="9"/>
        <v>#DIV/0!</v>
      </c>
      <c r="P81" s="91" t="e">
        <f t="shared" si="10"/>
        <v>#DIV/0!</v>
      </c>
      <c r="Q81" s="62">
        <f t="shared" si="11"/>
        <v>0</v>
      </c>
      <c r="U81" s="310" t="str">
        <f>PE_aug!AP81</f>
        <v>Flussproben</v>
      </c>
    </row>
    <row r="82" spans="1:21">
      <c r="A82" s="127" t="s">
        <v>125</v>
      </c>
      <c r="H82" s="227">
        <v>0.57667479250297526</v>
      </c>
      <c r="I82" s="227">
        <v>0.72751809830295933</v>
      </c>
      <c r="J82">
        <v>10.5124</v>
      </c>
      <c r="L82" s="35" t="e">
        <f t="shared" si="6"/>
        <v>#DIV/0!</v>
      </c>
      <c r="M82" s="312" t="e">
        <f t="shared" si="7"/>
        <v>#DIV/0!</v>
      </c>
      <c r="N82" s="310" t="e">
        <f t="shared" si="8"/>
        <v>#DIV/0!</v>
      </c>
      <c r="O82" s="310" t="e">
        <f t="shared" si="9"/>
        <v>#DIV/0!</v>
      </c>
      <c r="P82" s="91" t="e">
        <f t="shared" si="10"/>
        <v>#DIV/0!</v>
      </c>
      <c r="Q82" s="62">
        <f t="shared" si="11"/>
        <v>0</v>
      </c>
      <c r="U82" s="310" t="str">
        <f>PE_aug!AP82</f>
        <v>Flussproben</v>
      </c>
    </row>
    <row r="83" spans="1:21">
      <c r="A83" s="127" t="s">
        <v>126</v>
      </c>
      <c r="H83" s="227">
        <v>1.3019092601025839</v>
      </c>
      <c r="I83" s="227">
        <v>0.72751809830295933</v>
      </c>
      <c r="J83">
        <v>7.32599</v>
      </c>
      <c r="L83" s="35" t="e">
        <f t="shared" si="6"/>
        <v>#DIV/0!</v>
      </c>
      <c r="M83" s="312" t="e">
        <f t="shared" si="7"/>
        <v>#DIV/0!</v>
      </c>
      <c r="N83" s="310" t="e">
        <f t="shared" si="8"/>
        <v>#DIV/0!</v>
      </c>
      <c r="O83" s="310" t="e">
        <f t="shared" si="9"/>
        <v>#DIV/0!</v>
      </c>
      <c r="P83" s="91" t="e">
        <f t="shared" si="10"/>
        <v>#DIV/0!</v>
      </c>
      <c r="Q83" s="62">
        <f t="shared" si="11"/>
        <v>0</v>
      </c>
      <c r="U83" s="310" t="str">
        <f>PE_aug!AP83</f>
        <v>Flussproben, Methode</v>
      </c>
    </row>
    <row r="84" spans="1:21">
      <c r="A84" s="127" t="s">
        <v>128</v>
      </c>
      <c r="E84">
        <v>101.45</v>
      </c>
      <c r="H84" s="227">
        <v>0.58906099485757879</v>
      </c>
      <c r="I84" s="227">
        <v>0.99528059171618266</v>
      </c>
      <c r="J84">
        <v>13.3148</v>
      </c>
      <c r="K84">
        <v>0.5</v>
      </c>
      <c r="L84" s="35">
        <f t="shared" si="6"/>
        <v>0.5</v>
      </c>
      <c r="M84" s="312">
        <f t="shared" si="7"/>
        <v>0.5</v>
      </c>
      <c r="N84" s="310">
        <f t="shared" si="8"/>
        <v>101.45</v>
      </c>
      <c r="O84" s="310">
        <f t="shared" si="9"/>
        <v>0</v>
      </c>
      <c r="P84" s="91">
        <f t="shared" si="10"/>
        <v>101.45</v>
      </c>
      <c r="Q84" s="62">
        <f t="shared" si="11"/>
        <v>7.6193408838285217</v>
      </c>
      <c r="U84" s="310" t="str">
        <f>PE_aug!AP84</f>
        <v>Flussproben</v>
      </c>
    </row>
    <row r="85" spans="1:21">
      <c r="A85" s="127" t="s">
        <v>129</v>
      </c>
      <c r="E85">
        <v>95.74</v>
      </c>
      <c r="H85" s="227">
        <v>0.51486739662881298</v>
      </c>
      <c r="I85" s="227">
        <v>0.99528059171618266</v>
      </c>
      <c r="J85">
        <v>11.510199999999999</v>
      </c>
      <c r="K85">
        <v>0.5</v>
      </c>
      <c r="L85" s="35">
        <f t="shared" si="6"/>
        <v>0.5</v>
      </c>
      <c r="M85" s="312">
        <f t="shared" si="7"/>
        <v>0.5</v>
      </c>
      <c r="N85" s="310">
        <f t="shared" si="8"/>
        <v>95.74</v>
      </c>
      <c r="O85" s="310">
        <f t="shared" si="9"/>
        <v>0</v>
      </c>
      <c r="P85" s="91">
        <f t="shared" si="10"/>
        <v>95.74</v>
      </c>
      <c r="Q85" s="62">
        <f t="shared" si="11"/>
        <v>8.3178398290212154</v>
      </c>
      <c r="U85" s="310" t="str">
        <f>PE_aug!AP85</f>
        <v>Flussproben</v>
      </c>
    </row>
    <row r="86" spans="1:21">
      <c r="A86" s="127" t="s">
        <v>130</v>
      </c>
      <c r="E86">
        <v>92.52</v>
      </c>
      <c r="H86" s="227">
        <v>0.43495871571275968</v>
      </c>
      <c r="I86" s="227">
        <v>0.99528059171618266</v>
      </c>
      <c r="J86">
        <v>13.69835</v>
      </c>
      <c r="K86">
        <v>0.5</v>
      </c>
      <c r="L86" s="35">
        <f t="shared" si="6"/>
        <v>0.5</v>
      </c>
      <c r="M86" s="312">
        <f t="shared" si="7"/>
        <v>0.5</v>
      </c>
      <c r="N86" s="310">
        <f t="shared" si="8"/>
        <v>92.52</v>
      </c>
      <c r="O86" s="310">
        <f t="shared" si="9"/>
        <v>0</v>
      </c>
      <c r="P86" s="91">
        <f t="shared" si="10"/>
        <v>92.52</v>
      </c>
      <c r="Q86" s="62">
        <f t="shared" si="11"/>
        <v>6.7540981213065807</v>
      </c>
      <c r="U86" s="310" t="str">
        <f>PE_aug!AP86</f>
        <v>Flussproben</v>
      </c>
    </row>
    <row r="87" spans="1:21">
      <c r="A87" s="127" t="s">
        <v>131</v>
      </c>
      <c r="E87">
        <v>92.11</v>
      </c>
      <c r="H87" s="227">
        <v>1.463439595231159</v>
      </c>
      <c r="I87" s="227">
        <v>0.99528059171618266</v>
      </c>
      <c r="J87">
        <v>4.7008900000000002</v>
      </c>
      <c r="K87">
        <v>0.25</v>
      </c>
      <c r="L87" s="35">
        <f t="shared" si="6"/>
        <v>0.5</v>
      </c>
      <c r="M87" s="312">
        <f t="shared" si="7"/>
        <v>0.375</v>
      </c>
      <c r="N87" s="310">
        <f t="shared" si="8"/>
        <v>92.11</v>
      </c>
      <c r="O87" s="310">
        <f t="shared" si="9"/>
        <v>0</v>
      </c>
      <c r="P87" s="91">
        <f t="shared" si="10"/>
        <v>92.11</v>
      </c>
      <c r="Q87" s="62">
        <f t="shared" si="11"/>
        <v>19.594161956565671</v>
      </c>
      <c r="U87" s="310" t="str">
        <f>PE_aug!AP87</f>
        <v>Flussproben, Methode</v>
      </c>
    </row>
    <row r="88" spans="1:21">
      <c r="A88" s="127" t="s">
        <v>557</v>
      </c>
      <c r="E88">
        <v>110.54</v>
      </c>
      <c r="H88" s="227">
        <v>0.44252277258406802</v>
      </c>
      <c r="I88" s="227">
        <v>0.56732019691233859</v>
      </c>
      <c r="J88">
        <v>7.9326249999999998</v>
      </c>
      <c r="K88">
        <v>0</v>
      </c>
      <c r="L88" s="35">
        <f t="shared" si="6"/>
        <v>0.5</v>
      </c>
      <c r="M88" s="312">
        <f t="shared" si="7"/>
        <v>0.25</v>
      </c>
      <c r="N88" s="310">
        <f t="shared" si="8"/>
        <v>110.54</v>
      </c>
      <c r="O88" s="310">
        <f t="shared" si="9"/>
        <v>0</v>
      </c>
      <c r="P88" s="91">
        <f t="shared" si="10"/>
        <v>110.54</v>
      </c>
      <c r="Q88" s="62">
        <f t="shared" si="11"/>
        <v>13.934857629095037</v>
      </c>
      <c r="U88" s="310" t="str">
        <f>PE_aug!AP88</f>
        <v>Mischwasserüberlauf</v>
      </c>
    </row>
    <row r="89" spans="1:21">
      <c r="A89" s="127" t="s">
        <v>558</v>
      </c>
      <c r="E89">
        <v>95.81</v>
      </c>
      <c r="H89" s="227">
        <v>0.70058927453223541</v>
      </c>
      <c r="I89" s="227">
        <v>0.56732019691233859</v>
      </c>
      <c r="J89">
        <v>5.5930400000000002</v>
      </c>
      <c r="K89">
        <v>0.4</v>
      </c>
      <c r="L89" s="35">
        <f t="shared" si="6"/>
        <v>0.5</v>
      </c>
      <c r="M89" s="312">
        <f t="shared" si="7"/>
        <v>0.45</v>
      </c>
      <c r="N89" s="310">
        <f t="shared" si="8"/>
        <v>95.81</v>
      </c>
      <c r="O89" s="310">
        <f t="shared" si="9"/>
        <v>0</v>
      </c>
      <c r="P89" s="91">
        <f t="shared" si="10"/>
        <v>95.81</v>
      </c>
      <c r="Q89" s="62">
        <f t="shared" si="11"/>
        <v>17.130218986454594</v>
      </c>
      <c r="U89" s="310" t="str">
        <f>PE_aug!AP89</f>
        <v>Mischwasserüberlauf</v>
      </c>
    </row>
    <row r="90" spans="1:21">
      <c r="A90" s="127" t="s">
        <v>559</v>
      </c>
      <c r="E90">
        <v>91.05</v>
      </c>
      <c r="H90" s="227">
        <v>1.1131218618954</v>
      </c>
      <c r="I90" s="227">
        <v>0.56732019691233859</v>
      </c>
      <c r="J90">
        <v>4.9848800000000004</v>
      </c>
      <c r="K90">
        <v>0</v>
      </c>
      <c r="L90" s="35">
        <f t="shared" si="6"/>
        <v>0.5</v>
      </c>
      <c r="M90" s="312">
        <f t="shared" si="7"/>
        <v>0.25</v>
      </c>
      <c r="N90" s="310">
        <f t="shared" si="8"/>
        <v>91.05</v>
      </c>
      <c r="O90" s="310">
        <f t="shared" si="9"/>
        <v>0</v>
      </c>
      <c r="P90" s="91">
        <f t="shared" si="10"/>
        <v>91.05</v>
      </c>
      <c r="Q90" s="62">
        <f t="shared" si="11"/>
        <v>18.26523406782109</v>
      </c>
      <c r="U90" s="310" t="str">
        <f>PE_aug!AP90</f>
        <v>Mischwasserüberlauf</v>
      </c>
    </row>
    <row r="91" spans="1:21">
      <c r="A91" s="127" t="s">
        <v>135</v>
      </c>
      <c r="H91" s="227">
        <v>0.95520554433141691</v>
      </c>
      <c r="I91" s="227">
        <v>0.15301122576532269</v>
      </c>
      <c r="J91">
        <v>9.8550500000000003</v>
      </c>
      <c r="L91" s="35" t="e">
        <f t="shared" si="6"/>
        <v>#DIV/0!</v>
      </c>
      <c r="M91" s="312" t="e">
        <f t="shared" si="7"/>
        <v>#DIV/0!</v>
      </c>
      <c r="N91" s="310" t="e">
        <f t="shared" si="8"/>
        <v>#DIV/0!</v>
      </c>
      <c r="O91" s="310" t="e">
        <f t="shared" si="9"/>
        <v>#DIV/0!</v>
      </c>
      <c r="P91" s="91" t="e">
        <f t="shared" si="10"/>
        <v>#DIV/0!</v>
      </c>
      <c r="Q91" s="62">
        <f t="shared" si="11"/>
        <v>0</v>
      </c>
      <c r="U91" s="310" t="str">
        <f>PE_aug!AP91</f>
        <v>KWS, neue Schlammbehandlung</v>
      </c>
    </row>
    <row r="92" spans="1:21">
      <c r="A92" s="127" t="s">
        <v>136</v>
      </c>
      <c r="H92" s="227">
        <v>8.1601885331415172E-2</v>
      </c>
      <c r="I92" s="227">
        <v>0.15301122576532269</v>
      </c>
      <c r="J92">
        <v>8.9800300000000011</v>
      </c>
      <c r="L92" s="35" t="e">
        <f t="shared" si="6"/>
        <v>#DIV/0!</v>
      </c>
      <c r="M92" s="312" t="e">
        <f t="shared" si="7"/>
        <v>#DIV/0!</v>
      </c>
      <c r="N92" s="310" t="e">
        <f t="shared" si="8"/>
        <v>#DIV/0!</v>
      </c>
      <c r="O92" s="310" t="e">
        <f t="shared" si="9"/>
        <v>#DIV/0!</v>
      </c>
      <c r="P92" s="91" t="e">
        <f t="shared" si="10"/>
        <v>#DIV/0!</v>
      </c>
      <c r="Q92" s="62">
        <f t="shared" si="11"/>
        <v>0</v>
      </c>
      <c r="U92" s="310" t="str">
        <f>PE_aug!AP92</f>
        <v>KWS, neue Schlammbehandlung</v>
      </c>
    </row>
    <row r="93" spans="1:21">
      <c r="A93" s="127" t="s">
        <v>137</v>
      </c>
      <c r="H93" s="227">
        <v>1.0305923510445369</v>
      </c>
      <c r="I93" s="227">
        <v>0.15301122576532269</v>
      </c>
      <c r="J93">
        <v>8.0890199999999997</v>
      </c>
      <c r="L93" s="35" t="e">
        <f t="shared" si="6"/>
        <v>#DIV/0!</v>
      </c>
      <c r="M93" s="312" t="e">
        <f t="shared" si="7"/>
        <v>#DIV/0!</v>
      </c>
      <c r="N93" s="310" t="e">
        <f t="shared" si="8"/>
        <v>#DIV/0!</v>
      </c>
      <c r="O93" s="310" t="e">
        <f t="shared" si="9"/>
        <v>#DIV/0!</v>
      </c>
      <c r="P93" s="91" t="e">
        <f t="shared" si="10"/>
        <v>#DIV/0!</v>
      </c>
      <c r="Q93" s="62">
        <f t="shared" si="11"/>
        <v>0</v>
      </c>
      <c r="U93" s="310" t="str">
        <f>PE_aug!AP93</f>
        <v>KWS, neue Schlammbehandlung</v>
      </c>
    </row>
    <row r="94" spans="1:21">
      <c r="A94" s="127" t="s">
        <v>138</v>
      </c>
      <c r="H94" s="227"/>
      <c r="I94" s="227"/>
      <c r="J94">
        <v>1.39551</v>
      </c>
      <c r="L94" s="35" t="e">
        <f t="shared" si="6"/>
        <v>#DIV/0!</v>
      </c>
      <c r="M94" s="312" t="e">
        <f t="shared" si="7"/>
        <v>#DIV/0!</v>
      </c>
      <c r="N94" s="310" t="e">
        <f t="shared" si="8"/>
        <v>#DIV/0!</v>
      </c>
      <c r="O94" s="310" t="e">
        <f t="shared" si="9"/>
        <v>#DIV/0!</v>
      </c>
      <c r="P94" s="91" t="e">
        <f t="shared" si="10"/>
        <v>#DIV/0!</v>
      </c>
      <c r="Q94" s="62">
        <f t="shared" si="11"/>
        <v>0</v>
      </c>
      <c r="U94" s="310" t="str">
        <f>PE_aug!AP94</f>
        <v>Methode</v>
      </c>
    </row>
    <row r="95" spans="1:21">
      <c r="A95" s="136" t="s">
        <v>139</v>
      </c>
      <c r="B95">
        <v>112.76</v>
      </c>
      <c r="C95">
        <v>982.46</v>
      </c>
      <c r="D95">
        <v>222.72</v>
      </c>
      <c r="E95">
        <v>522.73</v>
      </c>
      <c r="J95">
        <v>3.2955000000000001</v>
      </c>
      <c r="K95">
        <v>0.74</v>
      </c>
      <c r="L95" s="35">
        <f t="shared" si="6"/>
        <v>0.33</v>
      </c>
      <c r="M95" s="312">
        <f t="shared" si="7"/>
        <v>0.53500000000000003</v>
      </c>
      <c r="N95" s="310">
        <f t="shared" si="8"/>
        <v>575.97</v>
      </c>
      <c r="O95" s="310">
        <f t="shared" si="9"/>
        <v>0</v>
      </c>
      <c r="P95" s="91">
        <f t="shared" si="10"/>
        <v>575.97</v>
      </c>
      <c r="Q95" s="62">
        <f t="shared" si="11"/>
        <v>174.77469276285845</v>
      </c>
      <c r="S95">
        <f>0.527-0.0907898</f>
        <v>0.43621019999999999</v>
      </c>
      <c r="T95" s="309">
        <f>(P95/(S95*1000))*100</f>
        <v>132.03955340796711</v>
      </c>
      <c r="U95" s="310" t="str">
        <f>PE_aug!AP95</f>
        <v>Methode</v>
      </c>
    </row>
    <row r="96" spans="1:21">
      <c r="A96" s="136" t="s">
        <v>140</v>
      </c>
      <c r="E96">
        <v>93.88</v>
      </c>
      <c r="H96">
        <v>0.70699999999999996</v>
      </c>
      <c r="I96">
        <v>1.143</v>
      </c>
      <c r="J96">
        <v>5.1746699999999999</v>
      </c>
      <c r="K96">
        <v>0</v>
      </c>
      <c r="L96" s="35">
        <f t="shared" si="6"/>
        <v>0.5</v>
      </c>
      <c r="M96" s="312">
        <f t="shared" si="7"/>
        <v>0.25</v>
      </c>
      <c r="N96" s="310">
        <f t="shared" si="8"/>
        <v>93.88</v>
      </c>
      <c r="O96" s="310">
        <f t="shared" si="9"/>
        <v>0</v>
      </c>
      <c r="P96" s="91">
        <f t="shared" si="10"/>
        <v>93.88</v>
      </c>
      <c r="Q96" s="62">
        <f t="shared" si="11"/>
        <v>18.142219697101456</v>
      </c>
      <c r="U96" s="310" t="str">
        <f>PE_aug!AP96</f>
        <v>Algen</v>
      </c>
    </row>
    <row r="97" spans="1:21">
      <c r="A97" s="136" t="s">
        <v>142</v>
      </c>
      <c r="E97">
        <v>97.46</v>
      </c>
      <c r="H97">
        <v>0.70699999999999996</v>
      </c>
      <c r="I97">
        <v>1.143</v>
      </c>
      <c r="J97">
        <v>8.3862100000000002</v>
      </c>
      <c r="K97">
        <v>0</v>
      </c>
      <c r="L97" s="35">
        <f t="shared" si="6"/>
        <v>0.5</v>
      </c>
      <c r="M97" s="312">
        <f t="shared" si="7"/>
        <v>0.25</v>
      </c>
      <c r="N97" s="310">
        <f t="shared" si="8"/>
        <v>97.46</v>
      </c>
      <c r="O97" s="310">
        <f t="shared" si="9"/>
        <v>0</v>
      </c>
      <c r="P97" s="91">
        <f t="shared" si="10"/>
        <v>97.46</v>
      </c>
      <c r="Q97" s="62">
        <f t="shared" si="11"/>
        <v>11.621459515084883</v>
      </c>
      <c r="U97" s="310" t="str">
        <f>PE_aug!AP97</f>
        <v>Algen</v>
      </c>
    </row>
    <row r="98" spans="1:21">
      <c r="A98" s="136" t="s">
        <v>143</v>
      </c>
      <c r="E98">
        <v>89.82</v>
      </c>
      <c r="H98">
        <v>0.70699999999999996</v>
      </c>
      <c r="I98">
        <v>0.104</v>
      </c>
      <c r="J98">
        <v>19.356549999999999</v>
      </c>
      <c r="K98">
        <v>0</v>
      </c>
      <c r="L98" s="35">
        <f t="shared" si="6"/>
        <v>0.5</v>
      </c>
      <c r="M98" s="312">
        <f t="shared" si="7"/>
        <v>0.25</v>
      </c>
      <c r="N98" s="310">
        <f t="shared" si="8"/>
        <v>89.82</v>
      </c>
      <c r="O98" s="310">
        <f t="shared" si="9"/>
        <v>0</v>
      </c>
      <c r="P98" s="91">
        <f t="shared" si="10"/>
        <v>89.82</v>
      </c>
      <c r="Q98" s="62">
        <f t="shared" si="11"/>
        <v>4.6402897210504968</v>
      </c>
      <c r="U98" s="310" t="str">
        <f>PE_aug!AP98</f>
        <v>Algen</v>
      </c>
    </row>
    <row r="99" spans="1:21">
      <c r="A99" s="136" t="s">
        <v>144</v>
      </c>
      <c r="E99">
        <v>87.09</v>
      </c>
      <c r="H99">
        <v>0.70699999999999996</v>
      </c>
      <c r="I99">
        <v>0.104</v>
      </c>
      <c r="J99">
        <v>14.0021</v>
      </c>
      <c r="K99">
        <v>0</v>
      </c>
      <c r="L99" s="35">
        <f t="shared" si="6"/>
        <v>0.5</v>
      </c>
      <c r="M99" s="312">
        <f t="shared" si="7"/>
        <v>0.25</v>
      </c>
      <c r="N99" s="310">
        <f t="shared" si="8"/>
        <v>87.09</v>
      </c>
      <c r="O99" s="310">
        <f t="shared" si="9"/>
        <v>0</v>
      </c>
      <c r="P99" s="91">
        <f t="shared" si="10"/>
        <v>87.09</v>
      </c>
      <c r="Q99" s="62">
        <f t="shared" si="11"/>
        <v>6.2197813185165085</v>
      </c>
      <c r="U99" s="310" t="str">
        <f>PE_aug!AP99</f>
        <v>Algen</v>
      </c>
    </row>
    <row r="100" spans="1:21">
      <c r="A100" s="136" t="s">
        <v>145</v>
      </c>
      <c r="E100">
        <v>89.71</v>
      </c>
      <c r="J100">
        <v>3.68384</v>
      </c>
      <c r="K100">
        <v>0</v>
      </c>
      <c r="L100" s="35">
        <f t="shared" si="6"/>
        <v>0.5</v>
      </c>
      <c r="M100" s="312">
        <f t="shared" si="7"/>
        <v>0.25</v>
      </c>
      <c r="N100" s="310">
        <f t="shared" si="8"/>
        <v>89.71</v>
      </c>
      <c r="O100" s="310">
        <f t="shared" si="9"/>
        <v>0</v>
      </c>
      <c r="P100" s="91">
        <f t="shared" si="10"/>
        <v>89.71</v>
      </c>
      <c r="Q100" s="62">
        <f t="shared" si="11"/>
        <v>24.352306289089643</v>
      </c>
      <c r="U100" s="310" t="str">
        <f>PE_aug!AP100</f>
        <v>KWS</v>
      </c>
    </row>
    <row r="101" spans="1:21">
      <c r="A101" s="136" t="s">
        <v>147</v>
      </c>
      <c r="H101">
        <v>0.70699999999999996</v>
      </c>
      <c r="I101">
        <v>4.2000000000000003E-2</v>
      </c>
      <c r="J101">
        <v>4.4491899999999998</v>
      </c>
      <c r="L101" s="35" t="e">
        <f t="shared" si="6"/>
        <v>#DIV/0!</v>
      </c>
      <c r="M101" s="312" t="e">
        <f t="shared" si="7"/>
        <v>#DIV/0!</v>
      </c>
      <c r="N101" s="310" t="e">
        <f t="shared" si="8"/>
        <v>#DIV/0!</v>
      </c>
      <c r="O101" s="310" t="e">
        <f t="shared" si="9"/>
        <v>#DIV/0!</v>
      </c>
      <c r="P101" s="91" t="e">
        <f t="shared" si="10"/>
        <v>#DIV/0!</v>
      </c>
      <c r="Q101" s="62">
        <f t="shared" si="11"/>
        <v>0</v>
      </c>
      <c r="U101" s="310" t="str">
        <f>PE_aug!AP101</f>
        <v>KWS</v>
      </c>
    </row>
    <row r="102" spans="1:21">
      <c r="A102" s="136" t="s">
        <v>148</v>
      </c>
      <c r="E102">
        <v>85.85</v>
      </c>
      <c r="H102">
        <v>0.70699999999999996</v>
      </c>
      <c r="I102">
        <v>4.2000000000000003E-2</v>
      </c>
      <c r="J102">
        <v>4.2668999999999997</v>
      </c>
      <c r="K102">
        <v>0.5</v>
      </c>
      <c r="L102" s="35">
        <f t="shared" si="6"/>
        <v>0.5</v>
      </c>
      <c r="M102" s="312">
        <f t="shared" si="7"/>
        <v>0.5</v>
      </c>
      <c r="N102" s="310">
        <f t="shared" si="8"/>
        <v>85.85</v>
      </c>
      <c r="O102" s="310">
        <f t="shared" si="9"/>
        <v>0</v>
      </c>
      <c r="P102" s="91">
        <f t="shared" si="10"/>
        <v>85.85</v>
      </c>
      <c r="Q102" s="62">
        <f t="shared" si="11"/>
        <v>20.119993437858867</v>
      </c>
      <c r="U102" s="310" t="str">
        <f>PE_aug!AP102</f>
        <v>KWS</v>
      </c>
    </row>
    <row r="103" spans="1:21">
      <c r="A103" s="136" t="s">
        <v>149</v>
      </c>
      <c r="H103">
        <v>0.70699999999999996</v>
      </c>
      <c r="I103">
        <v>0.16900000000000001</v>
      </c>
      <c r="J103">
        <v>8.0275499999999997</v>
      </c>
      <c r="L103" s="35" t="e">
        <f t="shared" si="6"/>
        <v>#DIV/0!</v>
      </c>
      <c r="M103" s="312" t="e">
        <f t="shared" si="7"/>
        <v>#DIV/0!</v>
      </c>
      <c r="N103" s="310" t="e">
        <f t="shared" si="8"/>
        <v>#DIV/0!</v>
      </c>
      <c r="O103" s="310" t="e">
        <f t="shared" si="9"/>
        <v>#DIV/0!</v>
      </c>
      <c r="P103" s="91" t="e">
        <f t="shared" si="10"/>
        <v>#DIV/0!</v>
      </c>
      <c r="Q103" s="62">
        <f t="shared" si="11"/>
        <v>0</v>
      </c>
      <c r="U103" s="310" t="str">
        <f>PE_aug!AP103</f>
        <v>Münchehofe</v>
      </c>
    </row>
    <row r="104" spans="1:21">
      <c r="A104" s="136" t="s">
        <v>151</v>
      </c>
      <c r="H104">
        <v>0.70699999999999996</v>
      </c>
      <c r="I104">
        <v>0.16900000000000001</v>
      </c>
      <c r="J104">
        <v>5.2789650000000004</v>
      </c>
      <c r="L104" s="35" t="e">
        <f t="shared" si="6"/>
        <v>#DIV/0!</v>
      </c>
      <c r="M104" s="312" t="e">
        <f t="shared" si="7"/>
        <v>#DIV/0!</v>
      </c>
      <c r="N104" s="310" t="e">
        <f t="shared" si="8"/>
        <v>#DIV/0!</v>
      </c>
      <c r="O104" s="310" t="e">
        <f t="shared" si="9"/>
        <v>#DIV/0!</v>
      </c>
      <c r="P104" s="91" t="e">
        <f t="shared" si="10"/>
        <v>#DIV/0!</v>
      </c>
      <c r="Q104" s="62">
        <f t="shared" si="11"/>
        <v>0</v>
      </c>
      <c r="U104" s="310" t="str">
        <f>PE_aug!AP104</f>
        <v>Münchehofe</v>
      </c>
    </row>
    <row r="105" spans="1:21">
      <c r="A105" s="136" t="s">
        <v>152</v>
      </c>
      <c r="H105">
        <v>0.42299999999999999</v>
      </c>
      <c r="I105">
        <v>1.327</v>
      </c>
      <c r="J105">
        <v>8.4861800000000009</v>
      </c>
      <c r="L105" s="35" t="e">
        <f t="shared" si="6"/>
        <v>#DIV/0!</v>
      </c>
      <c r="M105" s="312" t="e">
        <f t="shared" si="7"/>
        <v>#DIV/0!</v>
      </c>
      <c r="N105" s="310" t="e">
        <f t="shared" si="8"/>
        <v>#DIV/0!</v>
      </c>
      <c r="O105" s="310" t="e">
        <f t="shared" si="9"/>
        <v>#DIV/0!</v>
      </c>
      <c r="P105" s="91" t="e">
        <f t="shared" si="10"/>
        <v>#DIV/0!</v>
      </c>
      <c r="Q105" s="62">
        <f t="shared" si="11"/>
        <v>0</v>
      </c>
      <c r="U105" s="310" t="str">
        <f>PE_aug!AP105</f>
        <v>Flussproben Spree</v>
      </c>
    </row>
    <row r="106" spans="1:21">
      <c r="A106" s="136" t="s">
        <v>154</v>
      </c>
      <c r="H106">
        <v>0.71199999999999997</v>
      </c>
      <c r="I106">
        <v>1.327</v>
      </c>
      <c r="J106">
        <v>10.4887</v>
      </c>
      <c r="L106" s="35" t="e">
        <f t="shared" si="6"/>
        <v>#DIV/0!</v>
      </c>
      <c r="M106" s="312" t="e">
        <f t="shared" si="7"/>
        <v>#DIV/0!</v>
      </c>
      <c r="N106" s="310" t="e">
        <f t="shared" si="8"/>
        <v>#DIV/0!</v>
      </c>
      <c r="O106" s="310" t="e">
        <f t="shared" si="9"/>
        <v>#DIV/0!</v>
      </c>
      <c r="P106" s="91" t="e">
        <f t="shared" si="10"/>
        <v>#DIV/0!</v>
      </c>
      <c r="Q106" s="62">
        <f t="shared" si="11"/>
        <v>0</v>
      </c>
      <c r="U106" s="310" t="str">
        <f>PE_aug!AP106</f>
        <v>Flussproben Spree</v>
      </c>
    </row>
    <row r="107" spans="1:21">
      <c r="A107" s="136" t="s">
        <v>155</v>
      </c>
      <c r="E107">
        <v>229.21</v>
      </c>
      <c r="F107">
        <v>296.70999999999998</v>
      </c>
      <c r="G107" s="307">
        <v>606.47</v>
      </c>
      <c r="H107">
        <v>1.1220000000000001</v>
      </c>
      <c r="I107">
        <v>1.327</v>
      </c>
      <c r="J107">
        <v>5.2791800000000002</v>
      </c>
      <c r="K107">
        <v>0.25</v>
      </c>
      <c r="L107" s="35">
        <f t="shared" si="6"/>
        <v>0.5</v>
      </c>
      <c r="M107" s="312">
        <f t="shared" si="7"/>
        <v>0.375</v>
      </c>
      <c r="N107" s="310">
        <f t="shared" si="8"/>
        <v>229.21</v>
      </c>
      <c r="O107" s="310">
        <f t="shared" si="9"/>
        <v>0</v>
      </c>
      <c r="P107" s="91">
        <f t="shared" si="10"/>
        <v>377.46333333333331</v>
      </c>
      <c r="Q107" s="62">
        <f t="shared" si="11"/>
        <v>71.500371901191713</v>
      </c>
      <c r="U107" s="310" t="str">
        <f>PE_aug!AP107</f>
        <v>Methode</v>
      </c>
    </row>
    <row r="108" spans="1:21">
      <c r="A108" s="136" t="s">
        <v>156</v>
      </c>
      <c r="H108">
        <v>0.70699999999999996</v>
      </c>
      <c r="I108">
        <v>6.7000000000000004E-2</v>
      </c>
      <c r="J108">
        <v>12.811</v>
      </c>
      <c r="L108" s="35" t="e">
        <f t="shared" si="6"/>
        <v>#DIV/0!</v>
      </c>
      <c r="M108" s="312" t="e">
        <f t="shared" si="7"/>
        <v>#DIV/0!</v>
      </c>
      <c r="N108" s="310" t="e">
        <f t="shared" si="8"/>
        <v>#DIV/0!</v>
      </c>
      <c r="O108" s="310" t="e">
        <f t="shared" si="9"/>
        <v>#DIV/0!</v>
      </c>
      <c r="P108" s="91" t="e">
        <f t="shared" si="10"/>
        <v>#DIV/0!</v>
      </c>
      <c r="Q108" s="62">
        <f t="shared" si="11"/>
        <v>0</v>
      </c>
      <c r="U108" s="310" t="str">
        <f>PE_aug!AP108</f>
        <v>Flussproben Spree</v>
      </c>
    </row>
    <row r="109" spans="1:21">
      <c r="A109" s="136" t="s">
        <v>157</v>
      </c>
      <c r="H109">
        <v>0.70699999999999996</v>
      </c>
      <c r="I109">
        <v>6.7000000000000004E-2</v>
      </c>
      <c r="J109">
        <v>9.2412299999999998</v>
      </c>
      <c r="L109" s="35" t="e">
        <f t="shared" si="6"/>
        <v>#DIV/0!</v>
      </c>
      <c r="M109" s="312" t="e">
        <f t="shared" si="7"/>
        <v>#DIV/0!</v>
      </c>
      <c r="N109" s="310" t="e">
        <f t="shared" si="8"/>
        <v>#DIV/0!</v>
      </c>
      <c r="O109" s="310" t="e">
        <f t="shared" si="9"/>
        <v>#DIV/0!</v>
      </c>
      <c r="P109" s="91" t="e">
        <f t="shared" si="10"/>
        <v>#DIV/0!</v>
      </c>
      <c r="Q109" s="62">
        <f t="shared" si="11"/>
        <v>0</v>
      </c>
      <c r="U109" s="310" t="str">
        <f>PE_aug!AP109</f>
        <v>Flussproben Spree</v>
      </c>
    </row>
    <row r="110" spans="1:21">
      <c r="A110" s="139" t="s">
        <v>158</v>
      </c>
      <c r="H110">
        <v>1.0109999999999999</v>
      </c>
      <c r="I110">
        <v>0.113</v>
      </c>
      <c r="J110">
        <v>9.0289600000000014</v>
      </c>
      <c r="L110" s="35" t="e">
        <f t="shared" si="6"/>
        <v>#DIV/0!</v>
      </c>
      <c r="M110" s="312" t="e">
        <f t="shared" si="7"/>
        <v>#DIV/0!</v>
      </c>
      <c r="N110" s="310" t="e">
        <f t="shared" si="8"/>
        <v>#DIV/0!</v>
      </c>
      <c r="O110" s="310" t="e">
        <f t="shared" si="9"/>
        <v>#DIV/0!</v>
      </c>
      <c r="P110" s="91" t="e">
        <f t="shared" si="10"/>
        <v>#DIV/0!</v>
      </c>
      <c r="Q110" s="62">
        <f t="shared" si="11"/>
        <v>0</v>
      </c>
      <c r="U110" s="310" t="str">
        <f>PE_aug!AP110</f>
        <v>Kläranlage</v>
      </c>
    </row>
    <row r="111" spans="1:21">
      <c r="A111" s="139" t="s">
        <v>159</v>
      </c>
      <c r="H111">
        <v>0.60199999999999998</v>
      </c>
      <c r="I111">
        <v>0.113</v>
      </c>
      <c r="J111">
        <v>9.4451499999999999</v>
      </c>
      <c r="L111" s="35" t="e">
        <f t="shared" si="6"/>
        <v>#DIV/0!</v>
      </c>
      <c r="M111" s="312" t="e">
        <f t="shared" si="7"/>
        <v>#DIV/0!</v>
      </c>
      <c r="N111" s="310" t="e">
        <f t="shared" si="8"/>
        <v>#DIV/0!</v>
      </c>
      <c r="O111" s="310" t="e">
        <f t="shared" si="9"/>
        <v>#DIV/0!</v>
      </c>
      <c r="P111" s="91" t="e">
        <f t="shared" si="10"/>
        <v>#DIV/0!</v>
      </c>
      <c r="Q111" s="62">
        <f t="shared" si="11"/>
        <v>0</v>
      </c>
      <c r="U111" s="310" t="str">
        <f>PE_aug!AP111</f>
        <v>Kläranlage</v>
      </c>
    </row>
    <row r="112" spans="1:21">
      <c r="A112" s="139" t="s">
        <v>160</v>
      </c>
      <c r="H112">
        <v>0.63600000000000001</v>
      </c>
      <c r="I112">
        <v>0.113</v>
      </c>
      <c r="J112">
        <v>8.1411800000000003</v>
      </c>
      <c r="L112" s="35" t="e">
        <f t="shared" si="6"/>
        <v>#DIV/0!</v>
      </c>
      <c r="M112" s="312" t="e">
        <f t="shared" si="7"/>
        <v>#DIV/0!</v>
      </c>
      <c r="N112" s="310" t="e">
        <f t="shared" si="8"/>
        <v>#DIV/0!</v>
      </c>
      <c r="O112" s="310" t="e">
        <f t="shared" si="9"/>
        <v>#DIV/0!</v>
      </c>
      <c r="P112" s="91" t="e">
        <f t="shared" si="10"/>
        <v>#DIV/0!</v>
      </c>
      <c r="Q112" s="62">
        <f t="shared" si="11"/>
        <v>0</v>
      </c>
      <c r="U112" s="310" t="str">
        <f>PE_aug!AP112</f>
        <v>Kläranlage</v>
      </c>
    </row>
    <row r="113" spans="1:21">
      <c r="A113" s="139" t="s">
        <v>161</v>
      </c>
      <c r="F113">
        <v>181.02</v>
      </c>
      <c r="H113">
        <v>0.60099999999999998</v>
      </c>
      <c r="I113">
        <v>0.121</v>
      </c>
      <c r="J113">
        <v>7.5561999999999996</v>
      </c>
      <c r="K113">
        <v>0.67</v>
      </c>
      <c r="L113" s="35" t="e">
        <f t="shared" si="6"/>
        <v>#DIV/0!</v>
      </c>
      <c r="M113" s="312" t="e">
        <f t="shared" si="7"/>
        <v>#DIV/0!</v>
      </c>
      <c r="N113" s="310" t="e">
        <f t="shared" si="8"/>
        <v>#DIV/0!</v>
      </c>
      <c r="O113" s="310" t="e">
        <f t="shared" si="9"/>
        <v>#DIV/0!</v>
      </c>
      <c r="P113" s="91">
        <f t="shared" si="10"/>
        <v>181.02</v>
      </c>
      <c r="Q113" s="62">
        <f t="shared" si="11"/>
        <v>23.95648606442392</v>
      </c>
      <c r="U113" s="310" t="str">
        <f>PE_aug!AP113</f>
        <v>Kläranlage</v>
      </c>
    </row>
    <row r="114" spans="1:21">
      <c r="A114" s="139" t="s">
        <v>162</v>
      </c>
      <c r="F114">
        <v>139.88999999999999</v>
      </c>
      <c r="H114">
        <v>0.873</v>
      </c>
      <c r="I114">
        <v>0.121</v>
      </c>
      <c r="J114">
        <v>4.8253199999999996</v>
      </c>
      <c r="K114">
        <v>0.5</v>
      </c>
      <c r="L114" s="35" t="e">
        <f t="shared" si="6"/>
        <v>#DIV/0!</v>
      </c>
      <c r="M114" s="312" t="e">
        <f t="shared" si="7"/>
        <v>#DIV/0!</v>
      </c>
      <c r="N114" s="310" t="e">
        <f t="shared" si="8"/>
        <v>#DIV/0!</v>
      </c>
      <c r="O114" s="310" t="e">
        <f t="shared" si="9"/>
        <v>#DIV/0!</v>
      </c>
      <c r="P114" s="91">
        <f t="shared" si="10"/>
        <v>139.88999999999999</v>
      </c>
      <c r="Q114" s="62">
        <f t="shared" si="11"/>
        <v>28.990823406530552</v>
      </c>
      <c r="U114" s="310" t="str">
        <f>PE_aug!AP114</f>
        <v>Kläranlage</v>
      </c>
    </row>
    <row r="115" spans="1:21">
      <c r="A115" s="139" t="s">
        <v>163</v>
      </c>
      <c r="F115">
        <v>172.84</v>
      </c>
      <c r="H115">
        <v>0.76100000000000001</v>
      </c>
      <c r="I115">
        <v>0.121</v>
      </c>
      <c r="J115">
        <v>6.5425250000000004</v>
      </c>
      <c r="K115">
        <v>0.83</v>
      </c>
      <c r="L115" s="35" t="e">
        <f t="shared" si="6"/>
        <v>#DIV/0!</v>
      </c>
      <c r="M115" s="312" t="e">
        <f t="shared" si="7"/>
        <v>#DIV/0!</v>
      </c>
      <c r="N115" s="310" t="e">
        <f t="shared" si="8"/>
        <v>#DIV/0!</v>
      </c>
      <c r="O115" s="310" t="e">
        <f t="shared" si="9"/>
        <v>#DIV/0!</v>
      </c>
      <c r="P115" s="91">
        <f t="shared" si="10"/>
        <v>172.84</v>
      </c>
      <c r="Q115" s="62">
        <f t="shared" si="11"/>
        <v>26.417934971589712</v>
      </c>
      <c r="U115" s="310" t="str">
        <f>PE_aug!AP115</f>
        <v>Kläranlage</v>
      </c>
    </row>
    <row r="116" spans="1:21">
      <c r="A116" s="139" t="s">
        <v>164</v>
      </c>
      <c r="F116">
        <v>290.35000000000002</v>
      </c>
      <c r="H116">
        <v>0.93300000000000005</v>
      </c>
      <c r="I116">
        <v>0.16900000000000001</v>
      </c>
      <c r="J116">
        <v>10.150700000000001</v>
      </c>
      <c r="K116">
        <v>0.67</v>
      </c>
      <c r="L116" s="35" t="e">
        <f t="shared" si="6"/>
        <v>#DIV/0!</v>
      </c>
      <c r="M116" s="312" t="e">
        <f t="shared" si="7"/>
        <v>#DIV/0!</v>
      </c>
      <c r="N116" s="310" t="e">
        <f t="shared" si="8"/>
        <v>#DIV/0!</v>
      </c>
      <c r="O116" s="310" t="e">
        <f t="shared" si="9"/>
        <v>#DIV/0!</v>
      </c>
      <c r="P116" s="91">
        <f t="shared" si="10"/>
        <v>290.35000000000002</v>
      </c>
      <c r="Q116" s="62">
        <f t="shared" si="11"/>
        <v>28.603938644625494</v>
      </c>
      <c r="U116" s="310" t="str">
        <f>PE_aug!AP116</f>
        <v>Kläranlage</v>
      </c>
    </row>
    <row r="117" spans="1:21">
      <c r="A117" s="139" t="s">
        <v>165</v>
      </c>
      <c r="F117">
        <v>306.11</v>
      </c>
      <c r="H117">
        <v>0.48299999999999998</v>
      </c>
      <c r="I117">
        <v>0.16900000000000001</v>
      </c>
      <c r="J117">
        <v>8.5572100000000013</v>
      </c>
      <c r="K117">
        <v>0.67</v>
      </c>
      <c r="L117" s="35" t="e">
        <f t="shared" si="6"/>
        <v>#DIV/0!</v>
      </c>
      <c r="M117" s="312" t="e">
        <f t="shared" si="7"/>
        <v>#DIV/0!</v>
      </c>
      <c r="N117" s="310" t="e">
        <f t="shared" si="8"/>
        <v>#DIV/0!</v>
      </c>
      <c r="O117" s="310" t="e">
        <f t="shared" si="9"/>
        <v>#DIV/0!</v>
      </c>
      <c r="P117" s="91">
        <f t="shared" si="10"/>
        <v>306.11</v>
      </c>
      <c r="Q117" s="62">
        <f t="shared" si="11"/>
        <v>35.772173406986617</v>
      </c>
      <c r="U117" s="310" t="str">
        <f>PE_aug!AP117</f>
        <v>Kläranlage</v>
      </c>
    </row>
    <row r="118" spans="1:21">
      <c r="A118" s="139" t="s">
        <v>166</v>
      </c>
      <c r="F118">
        <v>574.53</v>
      </c>
      <c r="H118">
        <v>0.752</v>
      </c>
      <c r="I118">
        <v>0.16900000000000001</v>
      </c>
      <c r="J118">
        <v>10.0943</v>
      </c>
      <c r="K118">
        <v>0.67</v>
      </c>
      <c r="L118" s="35" t="e">
        <f t="shared" si="6"/>
        <v>#DIV/0!</v>
      </c>
      <c r="M118" s="312" t="e">
        <f t="shared" si="7"/>
        <v>#DIV/0!</v>
      </c>
      <c r="N118" s="310" t="e">
        <f t="shared" si="8"/>
        <v>#DIV/0!</v>
      </c>
      <c r="O118" s="310" t="e">
        <f t="shared" si="9"/>
        <v>#DIV/0!</v>
      </c>
      <c r="P118" s="91">
        <f t="shared" si="10"/>
        <v>574.53</v>
      </c>
      <c r="Q118" s="62">
        <f t="shared" si="11"/>
        <v>56.916279484461519</v>
      </c>
      <c r="U118" s="310" t="str">
        <f>PE_aug!AP118</f>
        <v>Kläranlage</v>
      </c>
    </row>
    <row r="119" spans="1:21">
      <c r="A119" s="139" t="s">
        <v>167</v>
      </c>
      <c r="E119">
        <v>91.22</v>
      </c>
      <c r="H119">
        <v>0.70699999999999996</v>
      </c>
      <c r="I119">
        <v>8.1000000000000003E-2</v>
      </c>
      <c r="J119">
        <v>11.9978</v>
      </c>
      <c r="K119">
        <v>0.5</v>
      </c>
      <c r="L119" s="35">
        <f t="shared" si="6"/>
        <v>0.5</v>
      </c>
      <c r="M119" s="312">
        <f t="shared" si="7"/>
        <v>0.5</v>
      </c>
      <c r="N119" s="310">
        <f t="shared" si="8"/>
        <v>91.22</v>
      </c>
      <c r="O119" s="310">
        <f t="shared" si="9"/>
        <v>0</v>
      </c>
      <c r="P119" s="91">
        <f t="shared" si="10"/>
        <v>91.22</v>
      </c>
      <c r="Q119" s="62">
        <f t="shared" si="11"/>
        <v>7.6030605611028692</v>
      </c>
      <c r="U119" s="310" t="str">
        <f>PE_aug!AP119</f>
        <v>Flussproben</v>
      </c>
    </row>
    <row r="120" spans="1:21">
      <c r="A120" s="139" t="s">
        <v>168</v>
      </c>
      <c r="H120">
        <v>0.70699999999999996</v>
      </c>
      <c r="I120">
        <v>8.1000000000000003E-2</v>
      </c>
      <c r="J120">
        <v>18.2178</v>
      </c>
      <c r="L120" s="35" t="e">
        <f t="shared" si="6"/>
        <v>#DIV/0!</v>
      </c>
      <c r="M120" s="312" t="e">
        <f t="shared" si="7"/>
        <v>#DIV/0!</v>
      </c>
      <c r="N120" s="310" t="e">
        <f t="shared" si="8"/>
        <v>#DIV/0!</v>
      </c>
      <c r="O120" s="310" t="e">
        <f t="shared" si="9"/>
        <v>#DIV/0!</v>
      </c>
      <c r="P120" s="91" t="e">
        <f t="shared" si="10"/>
        <v>#DIV/0!</v>
      </c>
      <c r="Q120" s="62">
        <f t="shared" si="11"/>
        <v>0</v>
      </c>
      <c r="U120" s="310" t="str">
        <f>PE_aug!AP120</f>
        <v>Flussproben</v>
      </c>
    </row>
    <row r="121" spans="1:21">
      <c r="A121" s="139" t="s">
        <v>169</v>
      </c>
      <c r="J121">
        <v>14.882400000000001</v>
      </c>
      <c r="L121" s="35" t="e">
        <f t="shared" si="6"/>
        <v>#DIV/0!</v>
      </c>
      <c r="M121" s="312" t="e">
        <f t="shared" si="7"/>
        <v>#DIV/0!</v>
      </c>
      <c r="N121" s="310" t="e">
        <f t="shared" si="8"/>
        <v>#DIV/0!</v>
      </c>
      <c r="O121" s="310" t="e">
        <f t="shared" si="9"/>
        <v>#DIV/0!</v>
      </c>
      <c r="P121" s="91" t="e">
        <f t="shared" si="10"/>
        <v>#DIV/0!</v>
      </c>
      <c r="Q121" s="62">
        <f t="shared" si="11"/>
        <v>0</v>
      </c>
      <c r="U121" s="310" t="str">
        <f>PE_aug!AP121</f>
        <v>Flussproben, Methode</v>
      </c>
    </row>
    <row r="122" spans="1:21">
      <c r="A122" s="139" t="s">
        <v>170</v>
      </c>
      <c r="J122">
        <v>11.2957</v>
      </c>
      <c r="L122" s="35" t="e">
        <f t="shared" si="6"/>
        <v>#DIV/0!</v>
      </c>
      <c r="M122" s="312" t="e">
        <f t="shared" si="7"/>
        <v>#DIV/0!</v>
      </c>
      <c r="N122" s="310" t="e">
        <f t="shared" si="8"/>
        <v>#DIV/0!</v>
      </c>
      <c r="O122" s="310" t="e">
        <f t="shared" si="9"/>
        <v>#DIV/0!</v>
      </c>
      <c r="P122" s="91" t="e">
        <f t="shared" si="10"/>
        <v>#DIV/0!</v>
      </c>
      <c r="Q122" s="62">
        <f t="shared" si="11"/>
        <v>0</v>
      </c>
      <c r="U122" s="310" t="str">
        <f>PE_aug!AP122</f>
        <v>Flussproben, Methode</v>
      </c>
    </row>
    <row r="123" spans="1:21">
      <c r="A123" s="139" t="s">
        <v>171</v>
      </c>
      <c r="J123">
        <v>8.4538799999999998</v>
      </c>
      <c r="L123" s="35" t="e">
        <f t="shared" si="6"/>
        <v>#DIV/0!</v>
      </c>
      <c r="M123" s="312" t="e">
        <f t="shared" si="7"/>
        <v>#DIV/0!</v>
      </c>
      <c r="N123" s="310" t="e">
        <f t="shared" si="8"/>
        <v>#DIV/0!</v>
      </c>
      <c r="O123" s="310" t="e">
        <f t="shared" si="9"/>
        <v>#DIV/0!</v>
      </c>
      <c r="P123" s="91" t="e">
        <f t="shared" si="10"/>
        <v>#DIV/0!</v>
      </c>
      <c r="Q123" s="62">
        <f t="shared" si="11"/>
        <v>0</v>
      </c>
      <c r="U123" s="310" t="str">
        <f>PE_aug!AP123</f>
        <v>Flussproben, Methode</v>
      </c>
    </row>
    <row r="124" spans="1:21">
      <c r="A124" s="139" t="s">
        <v>172</v>
      </c>
      <c r="J124">
        <v>13.7104</v>
      </c>
      <c r="L124" s="35" t="e">
        <f t="shared" si="6"/>
        <v>#DIV/0!</v>
      </c>
      <c r="M124" s="312" t="e">
        <f t="shared" si="7"/>
        <v>#DIV/0!</v>
      </c>
      <c r="N124" s="310" t="e">
        <f t="shared" si="8"/>
        <v>#DIV/0!</v>
      </c>
      <c r="O124" s="310" t="e">
        <f t="shared" si="9"/>
        <v>#DIV/0!</v>
      </c>
      <c r="P124" s="91" t="e">
        <f t="shared" si="10"/>
        <v>#DIV/0!</v>
      </c>
      <c r="Q124" s="62">
        <f t="shared" si="11"/>
        <v>0</v>
      </c>
      <c r="U124" s="310" t="str">
        <f>PE_aug!AP124</f>
        <v>Flussproben, Methode</v>
      </c>
    </row>
    <row r="125" spans="1:21">
      <c r="A125" s="139" t="s">
        <v>173</v>
      </c>
      <c r="H125">
        <v>1.0009999999999999</v>
      </c>
      <c r="I125">
        <v>0.155</v>
      </c>
      <c r="J125">
        <v>10.5603</v>
      </c>
      <c r="L125" s="35" t="e">
        <f t="shared" si="6"/>
        <v>#DIV/0!</v>
      </c>
      <c r="M125" s="312" t="e">
        <f t="shared" si="7"/>
        <v>#DIV/0!</v>
      </c>
      <c r="N125" s="310" t="e">
        <f t="shared" si="8"/>
        <v>#DIV/0!</v>
      </c>
      <c r="O125" s="310" t="e">
        <f t="shared" si="9"/>
        <v>#DIV/0!</v>
      </c>
      <c r="P125" s="91" t="e">
        <f t="shared" si="10"/>
        <v>#DIV/0!</v>
      </c>
      <c r="Q125" s="62">
        <f t="shared" si="11"/>
        <v>0</v>
      </c>
      <c r="U125" s="310" t="str">
        <f>PE_aug!AP125</f>
        <v>Flussproben</v>
      </c>
    </row>
    <row r="126" spans="1:21">
      <c r="A126" s="139" t="s">
        <v>174</v>
      </c>
      <c r="H126">
        <v>0.25800000000000001</v>
      </c>
      <c r="I126">
        <v>0.155</v>
      </c>
      <c r="J126">
        <v>11.7896</v>
      </c>
      <c r="L126" s="35" t="e">
        <f t="shared" si="6"/>
        <v>#DIV/0!</v>
      </c>
      <c r="M126" s="312" t="e">
        <f t="shared" si="7"/>
        <v>#DIV/0!</v>
      </c>
      <c r="N126" s="310" t="e">
        <f t="shared" si="8"/>
        <v>#DIV/0!</v>
      </c>
      <c r="O126" s="310" t="e">
        <f t="shared" si="9"/>
        <v>#DIV/0!</v>
      </c>
      <c r="P126" s="91" t="e">
        <f t="shared" si="10"/>
        <v>#DIV/0!</v>
      </c>
      <c r="Q126" s="62">
        <f t="shared" si="11"/>
        <v>0</v>
      </c>
      <c r="U126" s="310" t="str">
        <f>PE_aug!AP126</f>
        <v>Flussproben</v>
      </c>
    </row>
    <row r="127" spans="1:21">
      <c r="A127" s="139" t="s">
        <v>175</v>
      </c>
      <c r="H127">
        <v>0.93400000000000005</v>
      </c>
      <c r="I127">
        <v>0.155</v>
      </c>
      <c r="J127">
        <v>12.7499</v>
      </c>
      <c r="L127" s="35" t="e">
        <f t="shared" si="6"/>
        <v>#DIV/0!</v>
      </c>
      <c r="M127" s="312" t="e">
        <f t="shared" si="7"/>
        <v>#DIV/0!</v>
      </c>
      <c r="N127" s="310" t="e">
        <f t="shared" si="8"/>
        <v>#DIV/0!</v>
      </c>
      <c r="O127" s="310" t="e">
        <f t="shared" si="9"/>
        <v>#DIV/0!</v>
      </c>
      <c r="P127" s="91" t="e">
        <f t="shared" si="10"/>
        <v>#DIV/0!</v>
      </c>
      <c r="Q127" s="62">
        <f t="shared" si="11"/>
        <v>0</v>
      </c>
      <c r="U127" s="310" t="str">
        <f>PE_aug!AP127</f>
        <v>Flussproben</v>
      </c>
    </row>
    <row r="128" spans="1:21">
      <c r="A128" s="139" t="s">
        <v>176</v>
      </c>
      <c r="H128">
        <v>0.64800000000000002</v>
      </c>
      <c r="I128">
        <v>0.41199999999999998</v>
      </c>
      <c r="J128">
        <v>8.2120499999999996</v>
      </c>
      <c r="L128" s="35" t="e">
        <f t="shared" si="6"/>
        <v>#DIV/0!</v>
      </c>
      <c r="M128" s="312" t="e">
        <f t="shared" si="7"/>
        <v>#DIV/0!</v>
      </c>
      <c r="N128" s="310" t="e">
        <f t="shared" si="8"/>
        <v>#DIV/0!</v>
      </c>
      <c r="O128" s="310" t="e">
        <f t="shared" si="9"/>
        <v>#DIV/0!</v>
      </c>
      <c r="P128" s="91" t="e">
        <f t="shared" si="10"/>
        <v>#DIV/0!</v>
      </c>
      <c r="Q128" s="62">
        <f t="shared" si="11"/>
        <v>0</v>
      </c>
      <c r="U128" s="310" t="str">
        <f>PE_aug!AP128</f>
        <v>Mischwasserüberlauf</v>
      </c>
    </row>
    <row r="129" spans="1:21">
      <c r="A129" s="139" t="s">
        <v>177</v>
      </c>
      <c r="H129">
        <v>0.73</v>
      </c>
      <c r="I129">
        <v>0.41199999999999998</v>
      </c>
      <c r="J129">
        <v>11.8268</v>
      </c>
      <c r="L129" s="35" t="e">
        <f t="shared" si="6"/>
        <v>#DIV/0!</v>
      </c>
      <c r="M129" s="312" t="e">
        <f t="shared" si="7"/>
        <v>#DIV/0!</v>
      </c>
      <c r="N129" s="310" t="e">
        <f t="shared" si="8"/>
        <v>#DIV/0!</v>
      </c>
      <c r="O129" s="310" t="e">
        <f t="shared" si="9"/>
        <v>#DIV/0!</v>
      </c>
      <c r="P129" s="91" t="e">
        <f t="shared" si="10"/>
        <v>#DIV/0!</v>
      </c>
      <c r="Q129" s="62">
        <f t="shared" si="11"/>
        <v>0</v>
      </c>
      <c r="U129" s="310" t="str">
        <f>PE_aug!AP129</f>
        <v>Mischwasserüberlauf</v>
      </c>
    </row>
    <row r="130" spans="1:21">
      <c r="A130" s="139" t="s">
        <v>178</v>
      </c>
      <c r="H130">
        <v>0.83599999999999997</v>
      </c>
      <c r="I130">
        <v>0.41199999999999998</v>
      </c>
      <c r="J130">
        <v>6.7368800000000002</v>
      </c>
      <c r="L130" s="35" t="e">
        <f t="shared" ref="L130:L193" si="12">IF(COUNT(C130:C130)=1,0.33,(COUNT(C130:C130)*(1/(COUNT(C130:C130)+COUNTBLANK(C130:C130)))+(IF(O130&lt;35,1,IF(O130&lt;70,0.5,IF(O130&gt;70,0)))))/2)</f>
        <v>#DIV/0!</v>
      </c>
      <c r="M130" s="312" t="e">
        <f t="shared" ref="M130:M193" si="13">AVERAGE(K130:L130)</f>
        <v>#DIV/0!</v>
      </c>
      <c r="N130" s="310" t="e">
        <f t="shared" ref="N130:N193" si="14">AVERAGE(C130:E130)</f>
        <v>#DIV/0!</v>
      </c>
      <c r="O130" s="310" t="e">
        <f t="shared" ref="O130:O193" si="15">(MAX(C130:C130)-MIN(C130:C130))/N130*100</f>
        <v>#DIV/0!</v>
      </c>
      <c r="P130" s="91" t="e">
        <f t="shared" ref="P130:P193" si="16">AVERAGE(C130:G130)</f>
        <v>#DIV/0!</v>
      </c>
      <c r="Q130" s="62">
        <f t="shared" ref="Q130:Q193" si="17">IFERROR(P130/J130,0)</f>
        <v>0</v>
      </c>
      <c r="U130" s="310" t="str">
        <f>PE_aug!AP130</f>
        <v>Mischwasserüberlauf</v>
      </c>
    </row>
    <row r="131" spans="1:21">
      <c r="A131" s="139" t="s">
        <v>179</v>
      </c>
      <c r="H131">
        <v>0.31900000000000001</v>
      </c>
      <c r="I131">
        <v>6.6000000000000003E-2</v>
      </c>
      <c r="J131">
        <v>9.8973499999999994</v>
      </c>
      <c r="L131" s="35" t="e">
        <f t="shared" si="12"/>
        <v>#DIV/0!</v>
      </c>
      <c r="M131" s="312" t="e">
        <f t="shared" si="13"/>
        <v>#DIV/0!</v>
      </c>
      <c r="N131" s="310" t="e">
        <f t="shared" si="14"/>
        <v>#DIV/0!</v>
      </c>
      <c r="O131" s="310" t="e">
        <f t="shared" si="15"/>
        <v>#DIV/0!</v>
      </c>
      <c r="P131" s="91" t="e">
        <f t="shared" si="16"/>
        <v>#DIV/0!</v>
      </c>
      <c r="Q131" s="62">
        <f t="shared" si="17"/>
        <v>0</v>
      </c>
      <c r="U131" s="310" t="str">
        <f>PE_aug!AP131</f>
        <v>Mischwasserüberlauf</v>
      </c>
    </row>
    <row r="132" spans="1:21">
      <c r="A132" s="139" t="s">
        <v>180</v>
      </c>
      <c r="H132">
        <v>0.98799999999999999</v>
      </c>
      <c r="I132">
        <v>6.6000000000000003E-2</v>
      </c>
      <c r="J132">
        <v>7.9930649999999996</v>
      </c>
      <c r="L132" s="35" t="e">
        <f t="shared" si="12"/>
        <v>#DIV/0!</v>
      </c>
      <c r="M132" s="312" t="e">
        <f t="shared" si="13"/>
        <v>#DIV/0!</v>
      </c>
      <c r="N132" s="310" t="e">
        <f t="shared" si="14"/>
        <v>#DIV/0!</v>
      </c>
      <c r="O132" s="310" t="e">
        <f t="shared" si="15"/>
        <v>#DIV/0!</v>
      </c>
      <c r="P132" s="91" t="e">
        <f t="shared" si="16"/>
        <v>#DIV/0!</v>
      </c>
      <c r="Q132" s="62">
        <f t="shared" si="17"/>
        <v>0</v>
      </c>
      <c r="U132" s="310" t="str">
        <f>PE_aug!AP132</f>
        <v>Mischwasserüberlauf</v>
      </c>
    </row>
    <row r="133" spans="1:21">
      <c r="A133" s="139" t="s">
        <v>181</v>
      </c>
      <c r="H133">
        <v>0.86799999999999999</v>
      </c>
      <c r="I133">
        <v>6.6000000000000003E-2</v>
      </c>
      <c r="J133">
        <v>12.607849999999999</v>
      </c>
      <c r="L133" s="35" t="e">
        <f t="shared" si="12"/>
        <v>#DIV/0!</v>
      </c>
      <c r="M133" s="312" t="e">
        <f t="shared" si="13"/>
        <v>#DIV/0!</v>
      </c>
      <c r="N133" s="310" t="e">
        <f t="shared" si="14"/>
        <v>#DIV/0!</v>
      </c>
      <c r="O133" s="310" t="e">
        <f t="shared" si="15"/>
        <v>#DIV/0!</v>
      </c>
      <c r="P133" s="91" t="e">
        <f t="shared" si="16"/>
        <v>#DIV/0!</v>
      </c>
      <c r="Q133" s="62">
        <f t="shared" si="17"/>
        <v>0</v>
      </c>
      <c r="U133" s="310" t="str">
        <f>PE_aug!AP133</f>
        <v>Mischwasserüberlauf</v>
      </c>
    </row>
    <row r="134" spans="1:21">
      <c r="A134" s="139" t="s">
        <v>182</v>
      </c>
      <c r="H134">
        <v>0.75</v>
      </c>
      <c r="I134">
        <v>5.2999999999999999E-2</v>
      </c>
      <c r="J134">
        <v>13.6172</v>
      </c>
      <c r="L134" s="35" t="e">
        <f t="shared" si="12"/>
        <v>#DIV/0!</v>
      </c>
      <c r="M134" s="312" t="e">
        <f t="shared" si="13"/>
        <v>#DIV/0!</v>
      </c>
      <c r="N134" s="310" t="e">
        <f t="shared" si="14"/>
        <v>#DIV/0!</v>
      </c>
      <c r="O134" s="310" t="e">
        <f t="shared" si="15"/>
        <v>#DIV/0!</v>
      </c>
      <c r="P134" s="91" t="e">
        <f t="shared" si="16"/>
        <v>#DIV/0!</v>
      </c>
      <c r="Q134" s="62">
        <f t="shared" si="17"/>
        <v>0</v>
      </c>
      <c r="U134" s="310" t="str">
        <f>PE_aug!AP134</f>
        <v>Mischwasserüberlauf</v>
      </c>
    </row>
    <row r="135" spans="1:21">
      <c r="A135" s="139" t="s">
        <v>183</v>
      </c>
      <c r="H135">
        <v>0.89700000000000002</v>
      </c>
      <c r="I135">
        <v>5.2999999999999999E-2</v>
      </c>
      <c r="J135">
        <v>7.6774300000000002</v>
      </c>
      <c r="L135" s="35" t="e">
        <f t="shared" si="12"/>
        <v>#DIV/0!</v>
      </c>
      <c r="M135" s="312" t="e">
        <f t="shared" si="13"/>
        <v>#DIV/0!</v>
      </c>
      <c r="N135" s="310" t="e">
        <f t="shared" si="14"/>
        <v>#DIV/0!</v>
      </c>
      <c r="O135" s="310" t="e">
        <f t="shared" si="15"/>
        <v>#DIV/0!</v>
      </c>
      <c r="P135" s="91" t="e">
        <f t="shared" si="16"/>
        <v>#DIV/0!</v>
      </c>
      <c r="Q135" s="62">
        <f t="shared" si="17"/>
        <v>0</v>
      </c>
      <c r="U135" s="310" t="str">
        <f>PE_aug!AP135</f>
        <v>Mischwasserüberlauf</v>
      </c>
    </row>
    <row r="136" spans="1:21">
      <c r="A136" s="139" t="s">
        <v>184</v>
      </c>
      <c r="H136">
        <v>0.59099999999999997</v>
      </c>
      <c r="I136">
        <v>5.2999999999999999E-2</v>
      </c>
      <c r="J136">
        <v>12.9139</v>
      </c>
      <c r="L136" s="35" t="e">
        <f t="shared" si="12"/>
        <v>#DIV/0!</v>
      </c>
      <c r="M136" s="312" t="e">
        <f t="shared" si="13"/>
        <v>#DIV/0!</v>
      </c>
      <c r="N136" s="310" t="e">
        <f t="shared" si="14"/>
        <v>#DIV/0!</v>
      </c>
      <c r="O136" s="310" t="e">
        <f t="shared" si="15"/>
        <v>#DIV/0!</v>
      </c>
      <c r="P136" s="91" t="e">
        <f t="shared" si="16"/>
        <v>#DIV/0!</v>
      </c>
      <c r="Q136" s="62">
        <f t="shared" si="17"/>
        <v>0</v>
      </c>
      <c r="U136" s="310" t="str">
        <f>PE_aug!AP136</f>
        <v>Mischwasserüberlauf</v>
      </c>
    </row>
    <row r="137" spans="1:21">
      <c r="A137" s="139" t="s">
        <v>185</v>
      </c>
      <c r="L137" s="35" t="e">
        <f t="shared" si="12"/>
        <v>#DIV/0!</v>
      </c>
      <c r="M137" s="312" t="e">
        <f t="shared" si="13"/>
        <v>#DIV/0!</v>
      </c>
      <c r="N137" s="310" t="e">
        <f t="shared" si="14"/>
        <v>#DIV/0!</v>
      </c>
      <c r="O137" s="310" t="e">
        <f t="shared" si="15"/>
        <v>#DIV/0!</v>
      </c>
      <c r="P137" s="91" t="e">
        <f t="shared" si="16"/>
        <v>#DIV/0!</v>
      </c>
      <c r="Q137" s="62">
        <f t="shared" si="17"/>
        <v>0</v>
      </c>
      <c r="U137" s="310" t="str">
        <f>PE_aug!AP137</f>
        <v>Sickerwasser</v>
      </c>
    </row>
    <row r="138" spans="1:21">
      <c r="A138" s="139" t="s">
        <v>187</v>
      </c>
      <c r="E138">
        <v>108.29</v>
      </c>
      <c r="K138">
        <v>0</v>
      </c>
      <c r="L138" s="35">
        <f t="shared" si="12"/>
        <v>0.5</v>
      </c>
      <c r="M138" s="312">
        <f t="shared" si="13"/>
        <v>0.25</v>
      </c>
      <c r="N138" s="310">
        <f t="shared" si="14"/>
        <v>108.29</v>
      </c>
      <c r="O138" s="310">
        <f t="shared" si="15"/>
        <v>0</v>
      </c>
      <c r="P138" s="91">
        <f t="shared" si="16"/>
        <v>108.29</v>
      </c>
      <c r="Q138" s="62">
        <f t="shared" si="17"/>
        <v>0</v>
      </c>
      <c r="U138" s="310" t="str">
        <f>PE_aug!AP138</f>
        <v>Sickerwasser</v>
      </c>
    </row>
    <row r="139" spans="1:21">
      <c r="A139" s="139" t="s">
        <v>188</v>
      </c>
      <c r="L139" s="35" t="e">
        <f t="shared" si="12"/>
        <v>#DIV/0!</v>
      </c>
      <c r="M139" s="312" t="e">
        <f t="shared" si="13"/>
        <v>#DIV/0!</v>
      </c>
      <c r="N139" s="310" t="e">
        <f t="shared" si="14"/>
        <v>#DIV/0!</v>
      </c>
      <c r="O139" s="310" t="e">
        <f t="shared" si="15"/>
        <v>#DIV/0!</v>
      </c>
      <c r="P139" s="91" t="e">
        <f t="shared" si="16"/>
        <v>#DIV/0!</v>
      </c>
      <c r="Q139" s="62">
        <f t="shared" si="17"/>
        <v>0</v>
      </c>
      <c r="U139" s="310" t="str">
        <f>PE_aug!AP139</f>
        <v>Sickerwasser</v>
      </c>
    </row>
    <row r="140" spans="1:21">
      <c r="A140" s="139" t="s">
        <v>189</v>
      </c>
      <c r="L140" s="35" t="e">
        <f t="shared" si="12"/>
        <v>#DIV/0!</v>
      </c>
      <c r="M140" s="312" t="e">
        <f t="shared" si="13"/>
        <v>#DIV/0!</v>
      </c>
      <c r="N140" s="310" t="e">
        <f t="shared" si="14"/>
        <v>#DIV/0!</v>
      </c>
      <c r="O140" s="310" t="e">
        <f t="shared" si="15"/>
        <v>#DIV/0!</v>
      </c>
      <c r="P140" s="91" t="e">
        <f t="shared" si="16"/>
        <v>#DIV/0!</v>
      </c>
      <c r="Q140" s="62">
        <f t="shared" si="17"/>
        <v>0</v>
      </c>
      <c r="U140" s="310" t="str">
        <f>PE_aug!AP140</f>
        <v>Sickerwasser</v>
      </c>
    </row>
    <row r="141" spans="1:21">
      <c r="A141" s="139" t="s">
        <v>190</v>
      </c>
      <c r="J141">
        <v>0.61838899999999997</v>
      </c>
      <c r="L141" s="35" t="e">
        <f t="shared" si="12"/>
        <v>#DIV/0!</v>
      </c>
      <c r="M141" s="312" t="e">
        <f t="shared" si="13"/>
        <v>#DIV/0!</v>
      </c>
      <c r="N141" s="310" t="e">
        <f t="shared" si="14"/>
        <v>#DIV/0!</v>
      </c>
      <c r="O141" s="310" t="e">
        <f t="shared" si="15"/>
        <v>#DIV/0!</v>
      </c>
      <c r="P141" s="91" t="e">
        <f t="shared" si="16"/>
        <v>#DIV/0!</v>
      </c>
      <c r="Q141" s="62">
        <f t="shared" si="17"/>
        <v>0</v>
      </c>
      <c r="U141" s="310" t="str">
        <f>PE_aug!AP141</f>
        <v>Bodenretentionsfilter</v>
      </c>
    </row>
    <row r="142" spans="1:21">
      <c r="A142" s="139" t="s">
        <v>192</v>
      </c>
      <c r="J142">
        <v>0.122319</v>
      </c>
      <c r="L142" s="35" t="e">
        <f t="shared" si="12"/>
        <v>#DIV/0!</v>
      </c>
      <c r="M142" s="312" t="e">
        <f t="shared" si="13"/>
        <v>#DIV/0!</v>
      </c>
      <c r="N142" s="310" t="e">
        <f t="shared" si="14"/>
        <v>#DIV/0!</v>
      </c>
      <c r="O142" s="310" t="e">
        <f t="shared" si="15"/>
        <v>#DIV/0!</v>
      </c>
      <c r="P142" s="91" t="e">
        <f t="shared" si="16"/>
        <v>#DIV/0!</v>
      </c>
      <c r="Q142" s="62">
        <f t="shared" si="17"/>
        <v>0</v>
      </c>
      <c r="U142" s="310" t="str">
        <f>PE_aug!AP142</f>
        <v>Bodenretentionsfilter</v>
      </c>
    </row>
    <row r="143" spans="1:21">
      <c r="A143" s="140" t="s">
        <v>193</v>
      </c>
      <c r="H143">
        <v>1.093</v>
      </c>
      <c r="I143">
        <v>0.10100000000000001</v>
      </c>
      <c r="J143">
        <v>5.5792199999999994</v>
      </c>
      <c r="L143" s="35" t="e">
        <f t="shared" si="12"/>
        <v>#DIV/0!</v>
      </c>
      <c r="M143" s="312" t="e">
        <f t="shared" si="13"/>
        <v>#DIV/0!</v>
      </c>
      <c r="N143" s="310" t="e">
        <f t="shared" si="14"/>
        <v>#DIV/0!</v>
      </c>
      <c r="O143" s="310" t="e">
        <f t="shared" si="15"/>
        <v>#DIV/0!</v>
      </c>
      <c r="P143" s="91" t="e">
        <f t="shared" si="16"/>
        <v>#DIV/0!</v>
      </c>
      <c r="Q143" s="62">
        <f t="shared" si="17"/>
        <v>0</v>
      </c>
      <c r="U143" s="310" t="str">
        <f>PE_aug!AP143</f>
        <v>Kläranlage</v>
      </c>
    </row>
    <row r="144" spans="1:21">
      <c r="A144" s="140" t="s">
        <v>194</v>
      </c>
      <c r="H144">
        <v>0.40500000000000003</v>
      </c>
      <c r="I144">
        <v>0.10100000000000001</v>
      </c>
      <c r="J144">
        <v>9.1932700000000001</v>
      </c>
      <c r="L144" s="35" t="e">
        <f t="shared" si="12"/>
        <v>#DIV/0!</v>
      </c>
      <c r="M144" s="312" t="e">
        <f t="shared" si="13"/>
        <v>#DIV/0!</v>
      </c>
      <c r="N144" s="310" t="e">
        <f t="shared" si="14"/>
        <v>#DIV/0!</v>
      </c>
      <c r="O144" s="310" t="e">
        <f t="shared" si="15"/>
        <v>#DIV/0!</v>
      </c>
      <c r="P144" s="91" t="e">
        <f t="shared" si="16"/>
        <v>#DIV/0!</v>
      </c>
      <c r="Q144" s="62">
        <f t="shared" si="17"/>
        <v>0</v>
      </c>
      <c r="U144" s="310" t="str">
        <f>PE_aug!AP144</f>
        <v>Kläranlage</v>
      </c>
    </row>
    <row r="145" spans="1:21">
      <c r="A145" s="140" t="s">
        <v>195</v>
      </c>
      <c r="H145">
        <v>0.74</v>
      </c>
      <c r="I145">
        <v>0.10100000000000001</v>
      </c>
      <c r="J145">
        <v>9.9659200000000006</v>
      </c>
      <c r="L145" s="35" t="e">
        <f t="shared" si="12"/>
        <v>#DIV/0!</v>
      </c>
      <c r="M145" s="312" t="e">
        <f t="shared" si="13"/>
        <v>#DIV/0!</v>
      </c>
      <c r="N145" s="310" t="e">
        <f t="shared" si="14"/>
        <v>#DIV/0!</v>
      </c>
      <c r="O145" s="310" t="e">
        <f t="shared" si="15"/>
        <v>#DIV/0!</v>
      </c>
      <c r="P145" s="91" t="e">
        <f t="shared" si="16"/>
        <v>#DIV/0!</v>
      </c>
      <c r="Q145" s="62">
        <f t="shared" si="17"/>
        <v>0</v>
      </c>
      <c r="U145" s="310" t="str">
        <f>PE_aug!AP145</f>
        <v>Kläranlage</v>
      </c>
    </row>
    <row r="146" spans="1:21">
      <c r="A146" s="140" t="s">
        <v>196</v>
      </c>
      <c r="H146">
        <v>0.41599999999999998</v>
      </c>
      <c r="I146">
        <v>0.19</v>
      </c>
      <c r="J146">
        <v>7.4657300000000006</v>
      </c>
      <c r="L146" s="35" t="e">
        <f t="shared" si="12"/>
        <v>#DIV/0!</v>
      </c>
      <c r="M146" s="312" t="e">
        <f t="shared" si="13"/>
        <v>#DIV/0!</v>
      </c>
      <c r="N146" s="310" t="e">
        <f t="shared" si="14"/>
        <v>#DIV/0!</v>
      </c>
      <c r="O146" s="310" t="e">
        <f t="shared" si="15"/>
        <v>#DIV/0!</v>
      </c>
      <c r="P146" s="91" t="e">
        <f t="shared" si="16"/>
        <v>#DIV/0!</v>
      </c>
      <c r="Q146" s="62">
        <f t="shared" si="17"/>
        <v>0</v>
      </c>
      <c r="U146" s="310" t="str">
        <f>PE_aug!AP146</f>
        <v>KWS</v>
      </c>
    </row>
    <row r="147" spans="1:21">
      <c r="A147" s="140" t="s">
        <v>197</v>
      </c>
      <c r="H147">
        <v>1.0229999999999999</v>
      </c>
      <c r="I147">
        <v>0.19</v>
      </c>
      <c r="J147">
        <v>6.9106949999999996</v>
      </c>
      <c r="L147" s="35" t="e">
        <f t="shared" si="12"/>
        <v>#DIV/0!</v>
      </c>
      <c r="M147" s="312" t="e">
        <f t="shared" si="13"/>
        <v>#DIV/0!</v>
      </c>
      <c r="N147" s="310" t="e">
        <f t="shared" si="14"/>
        <v>#DIV/0!</v>
      </c>
      <c r="O147" s="310" t="e">
        <f t="shared" si="15"/>
        <v>#DIV/0!</v>
      </c>
      <c r="P147" s="91" t="e">
        <f t="shared" si="16"/>
        <v>#DIV/0!</v>
      </c>
      <c r="Q147" s="62">
        <f t="shared" si="17"/>
        <v>0</v>
      </c>
      <c r="U147" s="310" t="str">
        <f>PE_aug!AP147</f>
        <v>KWS</v>
      </c>
    </row>
    <row r="148" spans="1:21">
      <c r="A148" s="140" t="s">
        <v>198</v>
      </c>
      <c r="H148">
        <v>0.80500000000000005</v>
      </c>
      <c r="I148">
        <v>0.19</v>
      </c>
      <c r="J148">
        <v>6.5458299999999996</v>
      </c>
      <c r="L148" s="35" t="e">
        <f t="shared" si="12"/>
        <v>#DIV/0!</v>
      </c>
      <c r="M148" s="312" t="e">
        <f t="shared" si="13"/>
        <v>#DIV/0!</v>
      </c>
      <c r="N148" s="310" t="e">
        <f t="shared" si="14"/>
        <v>#DIV/0!</v>
      </c>
      <c r="O148" s="310" t="e">
        <f t="shared" si="15"/>
        <v>#DIV/0!</v>
      </c>
      <c r="P148" s="91" t="e">
        <f t="shared" si="16"/>
        <v>#DIV/0!</v>
      </c>
      <c r="Q148" s="62">
        <f t="shared" si="17"/>
        <v>0</v>
      </c>
      <c r="U148" s="310" t="str">
        <f>PE_aug!AP148</f>
        <v>KWS</v>
      </c>
    </row>
    <row r="149" spans="1:21">
      <c r="A149" s="140" t="s">
        <v>199</v>
      </c>
      <c r="H149">
        <v>0.79200000000000004</v>
      </c>
      <c r="I149">
        <v>8.5999999999999993E-2</v>
      </c>
      <c r="J149">
        <v>11.9077</v>
      </c>
      <c r="L149" s="35" t="e">
        <f t="shared" si="12"/>
        <v>#DIV/0!</v>
      </c>
      <c r="M149" s="312" t="e">
        <f t="shared" si="13"/>
        <v>#DIV/0!</v>
      </c>
      <c r="N149" s="310" t="e">
        <f t="shared" si="14"/>
        <v>#DIV/0!</v>
      </c>
      <c r="O149" s="310" t="e">
        <f t="shared" si="15"/>
        <v>#DIV/0!</v>
      </c>
      <c r="P149" s="91" t="e">
        <f t="shared" si="16"/>
        <v>#DIV/0!</v>
      </c>
      <c r="Q149" s="62">
        <f t="shared" si="17"/>
        <v>0</v>
      </c>
      <c r="U149" s="310" t="str">
        <f>PE_aug!AP149</f>
        <v>KWS</v>
      </c>
    </row>
    <row r="150" spans="1:21">
      <c r="A150" s="140" t="s">
        <v>200</v>
      </c>
      <c r="H150">
        <v>0.34799999999999998</v>
      </c>
      <c r="I150">
        <v>8.5999999999999993E-2</v>
      </c>
      <c r="J150">
        <v>8.1406600000000005</v>
      </c>
      <c r="L150" s="35" t="e">
        <f t="shared" si="12"/>
        <v>#DIV/0!</v>
      </c>
      <c r="M150" s="312" t="e">
        <f t="shared" si="13"/>
        <v>#DIV/0!</v>
      </c>
      <c r="N150" s="310" t="e">
        <f t="shared" si="14"/>
        <v>#DIV/0!</v>
      </c>
      <c r="O150" s="310" t="e">
        <f t="shared" si="15"/>
        <v>#DIV/0!</v>
      </c>
      <c r="P150" s="91" t="e">
        <f t="shared" si="16"/>
        <v>#DIV/0!</v>
      </c>
      <c r="Q150" s="62">
        <f t="shared" si="17"/>
        <v>0</v>
      </c>
      <c r="U150" s="310" t="str">
        <f>PE_aug!AP150</f>
        <v>KWS</v>
      </c>
    </row>
    <row r="151" spans="1:21">
      <c r="A151" s="140" t="s">
        <v>201</v>
      </c>
      <c r="H151">
        <v>1.0620000000000001</v>
      </c>
      <c r="I151">
        <v>8.5999999999999993E-2</v>
      </c>
      <c r="J151">
        <v>9.8009899999999988</v>
      </c>
      <c r="L151" s="35" t="e">
        <f t="shared" si="12"/>
        <v>#DIV/0!</v>
      </c>
      <c r="M151" s="312" t="e">
        <f t="shared" si="13"/>
        <v>#DIV/0!</v>
      </c>
      <c r="N151" s="310" t="e">
        <f t="shared" si="14"/>
        <v>#DIV/0!</v>
      </c>
      <c r="O151" s="310" t="e">
        <f t="shared" si="15"/>
        <v>#DIV/0!</v>
      </c>
      <c r="P151" s="91" t="e">
        <f t="shared" si="16"/>
        <v>#DIV/0!</v>
      </c>
      <c r="Q151" s="62">
        <f t="shared" si="17"/>
        <v>0</v>
      </c>
      <c r="U151" s="310" t="str">
        <f>PE_aug!AP151</f>
        <v>KWS</v>
      </c>
    </row>
    <row r="152" spans="1:21">
      <c r="A152" s="140" t="s">
        <v>202</v>
      </c>
      <c r="H152">
        <v>0.191</v>
      </c>
      <c r="I152">
        <v>0.17599999999999999</v>
      </c>
      <c r="J152">
        <v>8.4228899999999989</v>
      </c>
      <c r="L152" s="35" t="e">
        <f t="shared" si="12"/>
        <v>#DIV/0!</v>
      </c>
      <c r="M152" s="312" t="e">
        <f t="shared" si="13"/>
        <v>#DIV/0!</v>
      </c>
      <c r="N152" s="310" t="e">
        <f t="shared" si="14"/>
        <v>#DIV/0!</v>
      </c>
      <c r="O152" s="310" t="e">
        <f t="shared" si="15"/>
        <v>#DIV/0!</v>
      </c>
      <c r="P152" s="91" t="e">
        <f t="shared" si="16"/>
        <v>#DIV/0!</v>
      </c>
      <c r="Q152" s="62">
        <f t="shared" si="17"/>
        <v>0</v>
      </c>
      <c r="U152" s="310" t="str">
        <f>PE_aug!AP152</f>
        <v>KWS, Schlamm</v>
      </c>
    </row>
    <row r="153" spans="1:21">
      <c r="A153" s="140" t="s">
        <v>204</v>
      </c>
      <c r="H153">
        <v>0.95699999999999996</v>
      </c>
      <c r="I153">
        <v>0.17599999999999999</v>
      </c>
      <c r="J153">
        <v>5.5259049999999998</v>
      </c>
      <c r="L153" s="35" t="e">
        <f t="shared" si="12"/>
        <v>#DIV/0!</v>
      </c>
      <c r="M153" s="312" t="e">
        <f t="shared" si="13"/>
        <v>#DIV/0!</v>
      </c>
      <c r="N153" s="310" t="e">
        <f t="shared" si="14"/>
        <v>#DIV/0!</v>
      </c>
      <c r="O153" s="310" t="e">
        <f t="shared" si="15"/>
        <v>#DIV/0!</v>
      </c>
      <c r="P153" s="91" t="e">
        <f t="shared" si="16"/>
        <v>#DIV/0!</v>
      </c>
      <c r="Q153" s="62">
        <f t="shared" si="17"/>
        <v>0</v>
      </c>
      <c r="U153" s="310" t="str">
        <f>PE_aug!AP153</f>
        <v>KWS, Schlamm</v>
      </c>
    </row>
    <row r="154" spans="1:21">
      <c r="A154" s="140" t="s">
        <v>205</v>
      </c>
      <c r="H154">
        <v>0.97</v>
      </c>
      <c r="I154">
        <v>0.17599999999999999</v>
      </c>
      <c r="J154">
        <v>12.773300000000001</v>
      </c>
      <c r="L154" s="35" t="e">
        <f t="shared" si="12"/>
        <v>#DIV/0!</v>
      </c>
      <c r="M154" s="312" t="e">
        <f t="shared" si="13"/>
        <v>#DIV/0!</v>
      </c>
      <c r="N154" s="310" t="e">
        <f t="shared" si="14"/>
        <v>#DIV/0!</v>
      </c>
      <c r="O154" s="310" t="e">
        <f t="shared" si="15"/>
        <v>#DIV/0!</v>
      </c>
      <c r="P154" s="91" t="e">
        <f t="shared" si="16"/>
        <v>#DIV/0!</v>
      </c>
      <c r="Q154" s="62">
        <f t="shared" si="17"/>
        <v>0</v>
      </c>
      <c r="U154" s="310" t="str">
        <f>PE_aug!AP154</f>
        <v>KWS, Schlamm</v>
      </c>
    </row>
    <row r="155" spans="1:21">
      <c r="A155" s="140" t="s">
        <v>206</v>
      </c>
      <c r="H155">
        <v>0.34399999999999997</v>
      </c>
      <c r="I155">
        <v>2.3E-2</v>
      </c>
      <c r="J155">
        <v>6.3905200000000004</v>
      </c>
      <c r="L155" s="35" t="e">
        <f t="shared" si="12"/>
        <v>#DIV/0!</v>
      </c>
      <c r="M155" s="312" t="e">
        <f t="shared" si="13"/>
        <v>#DIV/0!</v>
      </c>
      <c r="N155" s="310" t="e">
        <f t="shared" si="14"/>
        <v>#DIV/0!</v>
      </c>
      <c r="O155" s="310" t="e">
        <f t="shared" si="15"/>
        <v>#DIV/0!</v>
      </c>
      <c r="P155" s="91" t="e">
        <f t="shared" si="16"/>
        <v>#DIV/0!</v>
      </c>
      <c r="Q155" s="62">
        <f t="shared" si="17"/>
        <v>0</v>
      </c>
      <c r="U155" s="310" t="str">
        <f>PE_aug!AP155</f>
        <v>Flussproben, Lippe</v>
      </c>
    </row>
    <row r="156" spans="1:21">
      <c r="A156" s="140" t="s">
        <v>208</v>
      </c>
      <c r="H156">
        <v>0.86199999999999999</v>
      </c>
      <c r="I156">
        <v>2.3E-2</v>
      </c>
      <c r="J156">
        <v>7.3049899999999992</v>
      </c>
      <c r="L156" s="35" t="e">
        <f t="shared" si="12"/>
        <v>#DIV/0!</v>
      </c>
      <c r="M156" s="312" t="e">
        <f t="shared" si="13"/>
        <v>#DIV/0!</v>
      </c>
      <c r="N156" s="310" t="e">
        <f t="shared" si="14"/>
        <v>#DIV/0!</v>
      </c>
      <c r="O156" s="310" t="e">
        <f t="shared" si="15"/>
        <v>#DIV/0!</v>
      </c>
      <c r="P156" s="91" t="e">
        <f t="shared" si="16"/>
        <v>#DIV/0!</v>
      </c>
      <c r="Q156" s="62">
        <f t="shared" si="17"/>
        <v>0</v>
      </c>
      <c r="U156" s="310" t="str">
        <f>PE_aug!AP156</f>
        <v>Flussproben, Lippe</v>
      </c>
    </row>
    <row r="157" spans="1:21">
      <c r="A157" s="140" t="s">
        <v>209</v>
      </c>
      <c r="H157">
        <v>1.0049999999999999</v>
      </c>
      <c r="I157">
        <v>2.3E-2</v>
      </c>
      <c r="J157">
        <v>8.3328150000000001</v>
      </c>
      <c r="L157" s="35" t="e">
        <f t="shared" si="12"/>
        <v>#DIV/0!</v>
      </c>
      <c r="M157" s="312" t="e">
        <f t="shared" si="13"/>
        <v>#DIV/0!</v>
      </c>
      <c r="N157" s="310" t="e">
        <f t="shared" si="14"/>
        <v>#DIV/0!</v>
      </c>
      <c r="O157" s="310" t="e">
        <f t="shared" si="15"/>
        <v>#DIV/0!</v>
      </c>
      <c r="P157" s="91" t="e">
        <f t="shared" si="16"/>
        <v>#DIV/0!</v>
      </c>
      <c r="Q157" s="62">
        <f t="shared" si="17"/>
        <v>0</v>
      </c>
      <c r="U157" s="310" t="str">
        <f>PE_aug!AP157</f>
        <v>Flussproben, Lippe</v>
      </c>
    </row>
    <row r="158" spans="1:21">
      <c r="A158" s="140" t="s">
        <v>210</v>
      </c>
      <c r="H158">
        <v>0.44400000000000001</v>
      </c>
      <c r="I158">
        <v>5.8999999999999997E-2</v>
      </c>
      <c r="J158">
        <v>5.7549900000000003</v>
      </c>
      <c r="L158" s="35" t="e">
        <f t="shared" si="12"/>
        <v>#DIV/0!</v>
      </c>
      <c r="M158" s="312" t="e">
        <f t="shared" si="13"/>
        <v>#DIV/0!</v>
      </c>
      <c r="N158" s="310" t="e">
        <f t="shared" si="14"/>
        <v>#DIV/0!</v>
      </c>
      <c r="O158" s="310" t="e">
        <f t="shared" si="15"/>
        <v>#DIV/0!</v>
      </c>
      <c r="P158" s="91" t="e">
        <f t="shared" si="16"/>
        <v>#DIV/0!</v>
      </c>
      <c r="Q158" s="62">
        <f t="shared" si="17"/>
        <v>0</v>
      </c>
      <c r="U158" s="310" t="str">
        <f>PE_aug!AP158</f>
        <v>Flussproben, Lippe</v>
      </c>
    </row>
    <row r="159" spans="1:21">
      <c r="A159" s="140" t="s">
        <v>211</v>
      </c>
      <c r="H159">
        <v>1.101</v>
      </c>
      <c r="I159">
        <v>5.8999999999999997E-2</v>
      </c>
      <c r="J159">
        <v>9.8056399999999986</v>
      </c>
      <c r="L159" s="35" t="e">
        <f t="shared" si="12"/>
        <v>#DIV/0!</v>
      </c>
      <c r="M159" s="312" t="e">
        <f t="shared" si="13"/>
        <v>#DIV/0!</v>
      </c>
      <c r="N159" s="310" t="e">
        <f t="shared" si="14"/>
        <v>#DIV/0!</v>
      </c>
      <c r="O159" s="310" t="e">
        <f t="shared" si="15"/>
        <v>#DIV/0!</v>
      </c>
      <c r="P159" s="91" t="e">
        <f t="shared" si="16"/>
        <v>#DIV/0!</v>
      </c>
      <c r="Q159" s="62">
        <f t="shared" si="17"/>
        <v>0</v>
      </c>
      <c r="U159" s="310" t="str">
        <f>PE_aug!AP159</f>
        <v>Flussproben, Lippe</v>
      </c>
    </row>
    <row r="160" spans="1:21">
      <c r="A160" s="140" t="s">
        <v>212</v>
      </c>
      <c r="H160">
        <v>0.71799999999999997</v>
      </c>
      <c r="I160">
        <v>5.8999999999999997E-2</v>
      </c>
      <c r="J160">
        <v>5.9145799999999999</v>
      </c>
      <c r="L160" s="35" t="e">
        <f t="shared" si="12"/>
        <v>#DIV/0!</v>
      </c>
      <c r="M160" s="312" t="e">
        <f t="shared" si="13"/>
        <v>#DIV/0!</v>
      </c>
      <c r="N160" s="310" t="e">
        <f t="shared" si="14"/>
        <v>#DIV/0!</v>
      </c>
      <c r="O160" s="310" t="e">
        <f t="shared" si="15"/>
        <v>#DIV/0!</v>
      </c>
      <c r="P160" s="91" t="e">
        <f t="shared" si="16"/>
        <v>#DIV/0!</v>
      </c>
      <c r="Q160" s="62">
        <f t="shared" si="17"/>
        <v>0</v>
      </c>
      <c r="U160" s="310" t="str">
        <f>PE_aug!AP160</f>
        <v>Flussproben, Lippe</v>
      </c>
    </row>
    <row r="161" spans="1:21">
      <c r="A161" s="140" t="s">
        <v>213</v>
      </c>
      <c r="H161">
        <v>0.51400000000000001</v>
      </c>
      <c r="I161">
        <v>6.0999999999999999E-2</v>
      </c>
      <c r="J161">
        <v>7.65665</v>
      </c>
      <c r="L161" s="35" t="e">
        <f t="shared" si="12"/>
        <v>#DIV/0!</v>
      </c>
      <c r="M161" s="312" t="e">
        <f t="shared" si="13"/>
        <v>#DIV/0!</v>
      </c>
      <c r="N161" s="310" t="e">
        <f t="shared" si="14"/>
        <v>#DIV/0!</v>
      </c>
      <c r="O161" s="310" t="e">
        <f t="shared" si="15"/>
        <v>#DIV/0!</v>
      </c>
      <c r="P161" s="91" t="e">
        <f t="shared" si="16"/>
        <v>#DIV/0!</v>
      </c>
      <c r="Q161" s="62">
        <f t="shared" si="17"/>
        <v>0</v>
      </c>
      <c r="U161" s="310" t="str">
        <f>PE_aug!AP161</f>
        <v>Flussproben, Lippe</v>
      </c>
    </row>
    <row r="162" spans="1:21">
      <c r="A162" s="140" t="s">
        <v>214</v>
      </c>
      <c r="H162">
        <v>0.621</v>
      </c>
      <c r="I162">
        <v>6.0999999999999999E-2</v>
      </c>
      <c r="J162">
        <v>8.9807000000000006</v>
      </c>
      <c r="L162" s="35" t="e">
        <f t="shared" si="12"/>
        <v>#DIV/0!</v>
      </c>
      <c r="M162" s="312" t="e">
        <f t="shared" si="13"/>
        <v>#DIV/0!</v>
      </c>
      <c r="N162" s="310" t="e">
        <f t="shared" si="14"/>
        <v>#DIV/0!</v>
      </c>
      <c r="O162" s="310" t="e">
        <f t="shared" si="15"/>
        <v>#DIV/0!</v>
      </c>
      <c r="P162" s="91" t="e">
        <f t="shared" si="16"/>
        <v>#DIV/0!</v>
      </c>
      <c r="Q162" s="62">
        <f t="shared" si="17"/>
        <v>0</v>
      </c>
      <c r="U162" s="310" t="str">
        <f>PE_aug!AP162</f>
        <v>Flussproben, Lippe</v>
      </c>
    </row>
    <row r="163" spans="1:21">
      <c r="A163" s="140" t="s">
        <v>215</v>
      </c>
      <c r="H163">
        <v>1.1120000000000001</v>
      </c>
      <c r="I163">
        <v>6.0999999999999999E-2</v>
      </c>
      <c r="J163">
        <v>5.3088700000000006</v>
      </c>
      <c r="L163" s="35" t="e">
        <f t="shared" si="12"/>
        <v>#DIV/0!</v>
      </c>
      <c r="M163" s="312" t="e">
        <f t="shared" si="13"/>
        <v>#DIV/0!</v>
      </c>
      <c r="N163" s="310" t="e">
        <f t="shared" si="14"/>
        <v>#DIV/0!</v>
      </c>
      <c r="O163" s="310" t="e">
        <f t="shared" si="15"/>
        <v>#DIV/0!</v>
      </c>
      <c r="P163" s="91" t="e">
        <f t="shared" si="16"/>
        <v>#DIV/0!</v>
      </c>
      <c r="Q163" s="62">
        <f t="shared" si="17"/>
        <v>0</v>
      </c>
      <c r="U163" s="310" t="str">
        <f>PE_aug!AP163</f>
        <v>Flussproben, Lippe</v>
      </c>
    </row>
    <row r="164" spans="1:21">
      <c r="A164" s="140" t="s">
        <v>216</v>
      </c>
      <c r="H164">
        <v>0.42699999999999999</v>
      </c>
      <c r="I164">
        <v>0.17699999999999999</v>
      </c>
      <c r="J164">
        <v>9.4334749999999996</v>
      </c>
      <c r="L164" s="35" t="e">
        <f t="shared" si="12"/>
        <v>#DIV/0!</v>
      </c>
      <c r="M164" s="312" t="e">
        <f t="shared" si="13"/>
        <v>#DIV/0!</v>
      </c>
      <c r="N164" s="310" t="e">
        <f t="shared" si="14"/>
        <v>#DIV/0!</v>
      </c>
      <c r="O164" s="310" t="e">
        <f t="shared" si="15"/>
        <v>#DIV/0!</v>
      </c>
      <c r="P164" s="91" t="e">
        <f t="shared" si="16"/>
        <v>#DIV/0!</v>
      </c>
      <c r="Q164" s="62">
        <f t="shared" si="17"/>
        <v>0</v>
      </c>
      <c r="U164" s="310" t="str">
        <f>PE_aug!AP164</f>
        <v>Kläranlage</v>
      </c>
    </row>
    <row r="165" spans="1:21">
      <c r="A165" s="140" t="s">
        <v>217</v>
      </c>
      <c r="H165">
        <v>1.0229999999999999</v>
      </c>
      <c r="I165">
        <v>0.17699999999999999</v>
      </c>
      <c r="J165">
        <v>12.192550000000001</v>
      </c>
      <c r="L165" s="35" t="e">
        <f t="shared" si="12"/>
        <v>#DIV/0!</v>
      </c>
      <c r="M165" s="312" t="e">
        <f t="shared" si="13"/>
        <v>#DIV/0!</v>
      </c>
      <c r="N165" s="310" t="e">
        <f t="shared" si="14"/>
        <v>#DIV/0!</v>
      </c>
      <c r="O165" s="310" t="e">
        <f t="shared" si="15"/>
        <v>#DIV/0!</v>
      </c>
      <c r="P165" s="91" t="e">
        <f t="shared" si="16"/>
        <v>#DIV/0!</v>
      </c>
      <c r="Q165" s="62">
        <f t="shared" si="17"/>
        <v>0</v>
      </c>
      <c r="U165" s="310" t="str">
        <f>PE_aug!AP165</f>
        <v>Kläranlage</v>
      </c>
    </row>
    <row r="166" spans="1:21">
      <c r="A166" s="140" t="s">
        <v>218</v>
      </c>
      <c r="H166">
        <v>0.74</v>
      </c>
      <c r="I166">
        <v>0.17699999999999999</v>
      </c>
      <c r="J166">
        <v>7.2366899999999994</v>
      </c>
      <c r="L166" s="35" t="e">
        <f t="shared" si="12"/>
        <v>#DIV/0!</v>
      </c>
      <c r="M166" s="312" t="e">
        <f t="shared" si="13"/>
        <v>#DIV/0!</v>
      </c>
      <c r="N166" s="310" t="e">
        <f t="shared" si="14"/>
        <v>#DIV/0!</v>
      </c>
      <c r="O166" s="310" t="e">
        <f t="shared" si="15"/>
        <v>#DIV/0!</v>
      </c>
      <c r="P166" s="91" t="e">
        <f t="shared" si="16"/>
        <v>#DIV/0!</v>
      </c>
      <c r="Q166" s="62">
        <f t="shared" si="17"/>
        <v>0</v>
      </c>
      <c r="U166" s="310" t="str">
        <f>PE_aug!AP166</f>
        <v>Kläranlage</v>
      </c>
    </row>
    <row r="167" spans="1:21">
      <c r="A167" s="140" t="s">
        <v>219</v>
      </c>
      <c r="J167">
        <v>0.28799999999999998</v>
      </c>
      <c r="L167" s="35" t="e">
        <f t="shared" si="12"/>
        <v>#DIV/0!</v>
      </c>
      <c r="M167" s="312" t="e">
        <f t="shared" si="13"/>
        <v>#DIV/0!</v>
      </c>
      <c r="N167" s="310" t="e">
        <f t="shared" si="14"/>
        <v>#DIV/0!</v>
      </c>
      <c r="O167" s="310" t="e">
        <f t="shared" si="15"/>
        <v>#DIV/0!</v>
      </c>
      <c r="P167" s="91" t="e">
        <f t="shared" si="16"/>
        <v>#DIV/0!</v>
      </c>
      <c r="Q167" s="62">
        <f t="shared" si="17"/>
        <v>0</v>
      </c>
      <c r="U167" s="310" t="str">
        <f>PE_aug!AP167</f>
        <v>Methode</v>
      </c>
    </row>
    <row r="168" spans="1:21">
      <c r="A168" s="140" t="s">
        <v>220</v>
      </c>
      <c r="E168">
        <v>227.28</v>
      </c>
      <c r="F168">
        <v>319.45</v>
      </c>
      <c r="J168">
        <v>0.15598200000000001</v>
      </c>
      <c r="K168">
        <v>0.35</v>
      </c>
      <c r="L168" s="35">
        <f t="shared" si="12"/>
        <v>0.5</v>
      </c>
      <c r="M168" s="312">
        <f t="shared" si="13"/>
        <v>0.42499999999999999</v>
      </c>
      <c r="N168" s="310">
        <f t="shared" si="14"/>
        <v>227.28</v>
      </c>
      <c r="O168" s="310">
        <f t="shared" si="15"/>
        <v>0</v>
      </c>
      <c r="P168" s="91">
        <f t="shared" si="16"/>
        <v>273.36500000000001</v>
      </c>
      <c r="Q168" s="62">
        <f t="shared" si="17"/>
        <v>1752.54195996974</v>
      </c>
      <c r="U168" s="310" t="str">
        <f>PE_aug!AP168</f>
        <v>Methode</v>
      </c>
    </row>
    <row r="169" spans="1:21">
      <c r="A169" s="140" t="s">
        <v>221</v>
      </c>
      <c r="C169">
        <v>615.03</v>
      </c>
      <c r="E169">
        <v>161.22999999999999</v>
      </c>
      <c r="F169">
        <v>393.38</v>
      </c>
      <c r="J169">
        <v>0.40368500000000002</v>
      </c>
      <c r="K169">
        <v>0.7</v>
      </c>
      <c r="L169" s="35">
        <f t="shared" si="12"/>
        <v>0.33</v>
      </c>
      <c r="M169" s="312">
        <f t="shared" si="13"/>
        <v>0.51500000000000001</v>
      </c>
      <c r="N169" s="310">
        <f t="shared" si="14"/>
        <v>388.13</v>
      </c>
      <c r="O169" s="310">
        <f t="shared" si="15"/>
        <v>0</v>
      </c>
      <c r="P169" s="91">
        <f t="shared" si="16"/>
        <v>389.87999999999994</v>
      </c>
      <c r="Q169" s="62">
        <f t="shared" si="17"/>
        <v>965.80254406282108</v>
      </c>
      <c r="S169">
        <f>1000*(J169-0.055481)</f>
        <v>348.20400000000001</v>
      </c>
      <c r="T169" s="309">
        <f>100*P169/S169</f>
        <v>111.96884584898505</v>
      </c>
      <c r="U169" s="310" t="str">
        <f>PE_aug!AP169</f>
        <v>Methode</v>
      </c>
    </row>
    <row r="170" spans="1:21">
      <c r="A170" s="172" t="s">
        <v>222</v>
      </c>
      <c r="H170">
        <v>0.93100000000000005</v>
      </c>
      <c r="I170">
        <v>0.15</v>
      </c>
      <c r="J170">
        <v>6.3953800000000003</v>
      </c>
      <c r="L170" s="35" t="e">
        <f t="shared" si="12"/>
        <v>#DIV/0!</v>
      </c>
      <c r="M170" s="312" t="e">
        <f t="shared" si="13"/>
        <v>#DIV/0!</v>
      </c>
      <c r="N170" s="310" t="e">
        <f t="shared" si="14"/>
        <v>#DIV/0!</v>
      </c>
      <c r="O170" s="310" t="e">
        <f t="shared" si="15"/>
        <v>#DIV/0!</v>
      </c>
      <c r="P170" s="91" t="e">
        <f t="shared" si="16"/>
        <v>#DIV/0!</v>
      </c>
      <c r="Q170" s="62">
        <f t="shared" si="17"/>
        <v>0</v>
      </c>
      <c r="T170" s="309"/>
      <c r="U170" s="310" t="str">
        <f>PE_aug!AP170</f>
        <v>Kläranlage</v>
      </c>
    </row>
    <row r="171" spans="1:21">
      <c r="A171" s="172" t="s">
        <v>223</v>
      </c>
      <c r="H171">
        <v>0.98199999999999998</v>
      </c>
      <c r="I171">
        <v>0.15</v>
      </c>
      <c r="J171">
        <v>14.388500000000001</v>
      </c>
      <c r="L171" s="35" t="e">
        <f t="shared" si="12"/>
        <v>#DIV/0!</v>
      </c>
      <c r="M171" s="312" t="e">
        <f t="shared" si="13"/>
        <v>#DIV/0!</v>
      </c>
      <c r="N171" s="310" t="e">
        <f t="shared" si="14"/>
        <v>#DIV/0!</v>
      </c>
      <c r="O171" s="310" t="e">
        <f t="shared" si="15"/>
        <v>#DIV/0!</v>
      </c>
      <c r="P171" s="91" t="e">
        <f t="shared" si="16"/>
        <v>#DIV/0!</v>
      </c>
      <c r="Q171" s="62">
        <f t="shared" si="17"/>
        <v>0</v>
      </c>
      <c r="T171" s="309"/>
      <c r="U171" s="310" t="str">
        <f>PE_aug!AP171</f>
        <v>Kläranlage</v>
      </c>
    </row>
    <row r="172" spans="1:21">
      <c r="A172" s="172" t="s">
        <v>224</v>
      </c>
      <c r="H172">
        <v>0.24199999999999999</v>
      </c>
      <c r="I172">
        <v>0.15</v>
      </c>
      <c r="J172">
        <v>9.6715149999999994</v>
      </c>
      <c r="L172" s="35" t="e">
        <f t="shared" si="12"/>
        <v>#DIV/0!</v>
      </c>
      <c r="M172" s="312" t="e">
        <f t="shared" si="13"/>
        <v>#DIV/0!</v>
      </c>
      <c r="N172" s="310" t="e">
        <f t="shared" si="14"/>
        <v>#DIV/0!</v>
      </c>
      <c r="O172" s="310" t="e">
        <f t="shared" si="15"/>
        <v>#DIV/0!</v>
      </c>
      <c r="P172" s="91" t="e">
        <f t="shared" si="16"/>
        <v>#DIV/0!</v>
      </c>
      <c r="Q172" s="62">
        <f t="shared" si="17"/>
        <v>0</v>
      </c>
      <c r="T172" s="309"/>
      <c r="U172" s="310" t="str">
        <f>PE_aug!AP172</f>
        <v>Kläranlage</v>
      </c>
    </row>
    <row r="173" spans="1:21">
      <c r="A173" s="172" t="s">
        <v>225</v>
      </c>
      <c r="J173">
        <v>8.4091399999999989</v>
      </c>
      <c r="L173" s="35" t="e">
        <f t="shared" si="12"/>
        <v>#DIV/0!</v>
      </c>
      <c r="M173" s="312" t="e">
        <f t="shared" si="13"/>
        <v>#DIV/0!</v>
      </c>
      <c r="N173" s="310" t="e">
        <f t="shared" si="14"/>
        <v>#DIV/0!</v>
      </c>
      <c r="O173" s="310" t="e">
        <f t="shared" si="15"/>
        <v>#DIV/0!</v>
      </c>
      <c r="P173" s="91" t="e">
        <f t="shared" si="16"/>
        <v>#DIV/0!</v>
      </c>
      <c r="Q173" s="62">
        <f t="shared" si="17"/>
        <v>0</v>
      </c>
      <c r="T173" s="309"/>
      <c r="U173" s="310" t="str">
        <f>PE_aug!AP173</f>
        <v>Kläranlage, Methode</v>
      </c>
    </row>
    <row r="174" spans="1:21">
      <c r="A174" s="172" t="s">
        <v>227</v>
      </c>
      <c r="D174">
        <v>155.66</v>
      </c>
      <c r="J174">
        <v>11.4796</v>
      </c>
      <c r="K174">
        <v>0.8</v>
      </c>
      <c r="L174" s="35">
        <f t="shared" si="12"/>
        <v>0.5</v>
      </c>
      <c r="M174" s="312">
        <f t="shared" si="13"/>
        <v>0.65</v>
      </c>
      <c r="N174" s="310">
        <f t="shared" si="14"/>
        <v>155.66</v>
      </c>
      <c r="O174" s="310">
        <f t="shared" si="15"/>
        <v>0</v>
      </c>
      <c r="P174" s="91">
        <f t="shared" si="16"/>
        <v>155.66</v>
      </c>
      <c r="Q174" s="62">
        <f t="shared" si="17"/>
        <v>13.559705913098018</v>
      </c>
      <c r="S174" s="126">
        <v>0.1421</v>
      </c>
      <c r="T174" s="309">
        <f>100*P174/(1000*S174)</f>
        <v>109.54257565095004</v>
      </c>
      <c r="U174" s="310" t="str">
        <f>PE_aug!AP174</f>
        <v>Kläranlage, Methode</v>
      </c>
    </row>
    <row r="175" spans="1:21">
      <c r="A175" s="172" t="s">
        <v>228</v>
      </c>
      <c r="J175">
        <v>6.8967000000000001</v>
      </c>
      <c r="L175" s="35" t="e">
        <f t="shared" si="12"/>
        <v>#DIV/0!</v>
      </c>
      <c r="M175" s="312" t="e">
        <f t="shared" si="13"/>
        <v>#DIV/0!</v>
      </c>
      <c r="N175" s="310" t="e">
        <f t="shared" si="14"/>
        <v>#DIV/0!</v>
      </c>
      <c r="O175" s="310" t="e">
        <f t="shared" si="15"/>
        <v>#DIV/0!</v>
      </c>
      <c r="P175" s="91" t="e">
        <f t="shared" si="16"/>
        <v>#DIV/0!</v>
      </c>
      <c r="Q175" s="62">
        <f t="shared" si="17"/>
        <v>0</v>
      </c>
      <c r="U175" s="310" t="str">
        <f>PE_aug!AP175</f>
        <v>Kläranlage, Methode</v>
      </c>
    </row>
    <row r="176" spans="1:21">
      <c r="A176" s="172" t="s">
        <v>229</v>
      </c>
      <c r="H176">
        <v>0.70699999999999996</v>
      </c>
      <c r="I176">
        <v>0.122</v>
      </c>
      <c r="J176">
        <v>8.6541700000000006</v>
      </c>
      <c r="L176" s="35" t="e">
        <f t="shared" si="12"/>
        <v>#DIV/0!</v>
      </c>
      <c r="M176" s="312" t="e">
        <f t="shared" si="13"/>
        <v>#DIV/0!</v>
      </c>
      <c r="N176" s="310" t="e">
        <f t="shared" si="14"/>
        <v>#DIV/0!</v>
      </c>
      <c r="O176" s="310" t="e">
        <f t="shared" si="15"/>
        <v>#DIV/0!</v>
      </c>
      <c r="P176" s="91" t="e">
        <f t="shared" si="16"/>
        <v>#DIV/0!</v>
      </c>
      <c r="Q176" s="62">
        <f t="shared" si="17"/>
        <v>0</v>
      </c>
      <c r="U176" s="310" t="str">
        <f>PE_aug!AP176</f>
        <v>Kläranlage</v>
      </c>
    </row>
    <row r="177" spans="1:21">
      <c r="A177" s="172" t="s">
        <v>230</v>
      </c>
      <c r="H177">
        <v>0.70699999999999996</v>
      </c>
      <c r="I177">
        <v>0.122</v>
      </c>
      <c r="J177">
        <v>7.3876200000000001</v>
      </c>
      <c r="L177" s="35" t="e">
        <f t="shared" si="12"/>
        <v>#DIV/0!</v>
      </c>
      <c r="M177" s="312" t="e">
        <f t="shared" si="13"/>
        <v>#DIV/0!</v>
      </c>
      <c r="N177" s="310" t="e">
        <f t="shared" si="14"/>
        <v>#DIV/0!</v>
      </c>
      <c r="O177" s="310" t="e">
        <f t="shared" si="15"/>
        <v>#DIV/0!</v>
      </c>
      <c r="P177" s="91" t="e">
        <f t="shared" si="16"/>
        <v>#DIV/0!</v>
      </c>
      <c r="Q177" s="62">
        <f t="shared" si="17"/>
        <v>0</v>
      </c>
      <c r="U177" s="310" t="str">
        <f>PE_aug!AP177</f>
        <v>Kläranlage</v>
      </c>
    </row>
    <row r="178" spans="1:21">
      <c r="A178" s="172" t="s">
        <v>231</v>
      </c>
      <c r="H178">
        <v>0.81799999999999995</v>
      </c>
      <c r="I178">
        <v>3.5000000000000003E-2</v>
      </c>
      <c r="J178">
        <v>7.5310050000000004</v>
      </c>
      <c r="L178" s="35" t="e">
        <f t="shared" si="12"/>
        <v>#DIV/0!</v>
      </c>
      <c r="M178" s="312" t="e">
        <f t="shared" si="13"/>
        <v>#DIV/0!</v>
      </c>
      <c r="N178" s="310" t="e">
        <f t="shared" si="14"/>
        <v>#DIV/0!</v>
      </c>
      <c r="O178" s="310" t="e">
        <f t="shared" si="15"/>
        <v>#DIV/0!</v>
      </c>
      <c r="P178" s="91" t="e">
        <f t="shared" si="16"/>
        <v>#DIV/0!</v>
      </c>
      <c r="Q178" s="62">
        <f t="shared" si="17"/>
        <v>0</v>
      </c>
      <c r="U178" s="310" t="str">
        <f>PE_aug!AP178</f>
        <v>Kläranlage</v>
      </c>
    </row>
    <row r="179" spans="1:21">
      <c r="A179" s="172" t="s">
        <v>232</v>
      </c>
      <c r="H179">
        <v>0.50800000000000001</v>
      </c>
      <c r="I179">
        <v>3.5000000000000003E-2</v>
      </c>
      <c r="J179">
        <v>7.2204149999999991</v>
      </c>
      <c r="L179" s="35" t="e">
        <f t="shared" si="12"/>
        <v>#DIV/0!</v>
      </c>
      <c r="M179" s="312" t="e">
        <f t="shared" si="13"/>
        <v>#DIV/0!</v>
      </c>
      <c r="N179" s="310" t="e">
        <f t="shared" si="14"/>
        <v>#DIV/0!</v>
      </c>
      <c r="O179" s="310" t="e">
        <f t="shared" si="15"/>
        <v>#DIV/0!</v>
      </c>
      <c r="P179" s="91" t="e">
        <f t="shared" si="16"/>
        <v>#DIV/0!</v>
      </c>
      <c r="Q179" s="62">
        <f t="shared" si="17"/>
        <v>0</v>
      </c>
      <c r="U179" s="310" t="str">
        <f>PE_aug!AP179</f>
        <v>Kläranlage</v>
      </c>
    </row>
    <row r="180" spans="1:21">
      <c r="A180" s="172" t="s">
        <v>233</v>
      </c>
      <c r="H180">
        <v>0.86099999999999999</v>
      </c>
      <c r="I180">
        <v>3.5000000000000003E-2</v>
      </c>
      <c r="J180">
        <v>6.5432199999999998</v>
      </c>
      <c r="L180" s="35" t="e">
        <f t="shared" si="12"/>
        <v>#DIV/0!</v>
      </c>
      <c r="M180" s="312" t="e">
        <f t="shared" si="13"/>
        <v>#DIV/0!</v>
      </c>
      <c r="N180" s="310" t="e">
        <f t="shared" si="14"/>
        <v>#DIV/0!</v>
      </c>
      <c r="O180" s="310" t="e">
        <f t="shared" si="15"/>
        <v>#DIV/0!</v>
      </c>
      <c r="P180" s="91" t="e">
        <f t="shared" si="16"/>
        <v>#DIV/0!</v>
      </c>
      <c r="Q180" s="62">
        <f t="shared" si="17"/>
        <v>0</v>
      </c>
      <c r="U180" s="310" t="str">
        <f>PE_aug!AP180</f>
        <v>Kläranlage</v>
      </c>
    </row>
    <row r="181" spans="1:21">
      <c r="A181" s="172" t="s">
        <v>234</v>
      </c>
      <c r="J181">
        <v>6.5395599999999998</v>
      </c>
      <c r="L181" s="35" t="e">
        <f t="shared" si="12"/>
        <v>#DIV/0!</v>
      </c>
      <c r="M181" s="312" t="e">
        <f t="shared" si="13"/>
        <v>#DIV/0!</v>
      </c>
      <c r="N181" s="310" t="e">
        <f t="shared" si="14"/>
        <v>#DIV/0!</v>
      </c>
      <c r="O181" s="310" t="e">
        <f t="shared" si="15"/>
        <v>#DIV/0!</v>
      </c>
      <c r="P181" s="91" t="e">
        <f t="shared" si="16"/>
        <v>#DIV/0!</v>
      </c>
      <c r="Q181" s="62">
        <f t="shared" si="17"/>
        <v>0</v>
      </c>
      <c r="U181" s="310" t="str">
        <f>PE_aug!AP181</f>
        <v>Kläranlage, Methode</v>
      </c>
    </row>
    <row r="182" spans="1:21">
      <c r="A182" s="172" t="s">
        <v>235</v>
      </c>
      <c r="H182">
        <v>0.70699999999999996</v>
      </c>
      <c r="I182">
        <v>0.14799999999999999</v>
      </c>
      <c r="J182">
        <v>12.27675</v>
      </c>
      <c r="L182" s="35" t="e">
        <f t="shared" si="12"/>
        <v>#DIV/0!</v>
      </c>
      <c r="M182" s="312" t="e">
        <f t="shared" si="13"/>
        <v>#DIV/0!</v>
      </c>
      <c r="N182" s="310" t="e">
        <f t="shared" si="14"/>
        <v>#DIV/0!</v>
      </c>
      <c r="O182" s="310" t="e">
        <f t="shared" si="15"/>
        <v>#DIV/0!</v>
      </c>
      <c r="P182" s="91" t="e">
        <f t="shared" si="16"/>
        <v>#DIV/0!</v>
      </c>
      <c r="Q182" s="62">
        <f t="shared" si="17"/>
        <v>0</v>
      </c>
      <c r="U182" s="310" t="str">
        <f>PE_aug!AP182</f>
        <v>Kläranlage</v>
      </c>
    </row>
    <row r="183" spans="1:21">
      <c r="A183" s="172" t="s">
        <v>236</v>
      </c>
      <c r="H183">
        <v>0.70699999999999996</v>
      </c>
      <c r="I183">
        <v>0.14799999999999999</v>
      </c>
      <c r="J183">
        <v>6.5768300000000002</v>
      </c>
      <c r="L183" s="35" t="e">
        <f t="shared" si="12"/>
        <v>#DIV/0!</v>
      </c>
      <c r="M183" s="312" t="e">
        <f t="shared" si="13"/>
        <v>#DIV/0!</v>
      </c>
      <c r="N183" s="310" t="e">
        <f t="shared" si="14"/>
        <v>#DIV/0!</v>
      </c>
      <c r="O183" s="310" t="e">
        <f t="shared" si="15"/>
        <v>#DIV/0!</v>
      </c>
      <c r="P183" s="91" t="e">
        <f t="shared" si="16"/>
        <v>#DIV/0!</v>
      </c>
      <c r="Q183" s="62">
        <f t="shared" si="17"/>
        <v>0</v>
      </c>
      <c r="U183" s="310" t="str">
        <f>PE_aug!AP183</f>
        <v>Kläranlage</v>
      </c>
    </row>
    <row r="184" spans="1:21">
      <c r="A184" s="172" t="s">
        <v>237</v>
      </c>
      <c r="H184">
        <v>0.70699999999999996</v>
      </c>
      <c r="I184">
        <v>0.34799999999999998</v>
      </c>
      <c r="J184">
        <v>4.1054899999999996</v>
      </c>
      <c r="L184" s="35" t="e">
        <f t="shared" si="12"/>
        <v>#DIV/0!</v>
      </c>
      <c r="M184" s="312" t="e">
        <f t="shared" si="13"/>
        <v>#DIV/0!</v>
      </c>
      <c r="N184" s="310" t="e">
        <f t="shared" si="14"/>
        <v>#DIV/0!</v>
      </c>
      <c r="O184" s="310" t="e">
        <f t="shared" si="15"/>
        <v>#DIV/0!</v>
      </c>
      <c r="P184" s="91" t="e">
        <f t="shared" si="16"/>
        <v>#DIV/0!</v>
      </c>
      <c r="Q184" s="62">
        <f t="shared" si="17"/>
        <v>0</v>
      </c>
      <c r="U184" s="310" t="str">
        <f>PE_aug!AP184</f>
        <v>Kläranlage</v>
      </c>
    </row>
    <row r="185" spans="1:21">
      <c r="A185" s="172" t="s">
        <v>238</v>
      </c>
      <c r="H185">
        <v>0.70699999999999996</v>
      </c>
      <c r="I185">
        <v>0.34799999999999998</v>
      </c>
      <c r="J185">
        <v>7.0180100000000003</v>
      </c>
      <c r="L185" s="35" t="e">
        <f t="shared" si="12"/>
        <v>#DIV/0!</v>
      </c>
      <c r="M185" s="312" t="e">
        <f t="shared" si="13"/>
        <v>#DIV/0!</v>
      </c>
      <c r="N185" s="310" t="e">
        <f t="shared" si="14"/>
        <v>#DIV/0!</v>
      </c>
      <c r="O185" s="310" t="e">
        <f t="shared" si="15"/>
        <v>#DIV/0!</v>
      </c>
      <c r="P185" s="91" t="e">
        <f t="shared" si="16"/>
        <v>#DIV/0!</v>
      </c>
      <c r="Q185" s="62">
        <f t="shared" si="17"/>
        <v>0</v>
      </c>
      <c r="U185" s="310" t="str">
        <f>PE_aug!AP185</f>
        <v>Kläranlage</v>
      </c>
    </row>
    <row r="186" spans="1:21">
      <c r="A186" s="172" t="s">
        <v>239</v>
      </c>
      <c r="E186">
        <v>94.43</v>
      </c>
      <c r="J186">
        <v>7.1787899999999988E-2</v>
      </c>
      <c r="K186">
        <v>0.33</v>
      </c>
      <c r="L186" s="35">
        <f t="shared" si="12"/>
        <v>0.5</v>
      </c>
      <c r="M186" s="312">
        <f t="shared" si="13"/>
        <v>0.41500000000000004</v>
      </c>
      <c r="N186" s="310">
        <f t="shared" si="14"/>
        <v>94.43</v>
      </c>
      <c r="O186" s="310">
        <f t="shared" si="15"/>
        <v>0</v>
      </c>
      <c r="P186" s="91">
        <f t="shared" si="16"/>
        <v>94.43</v>
      </c>
      <c r="Q186" s="62">
        <f t="shared" si="17"/>
        <v>1315.4027350013027</v>
      </c>
      <c r="U186" s="310" t="str">
        <f>PE_aug!AP186</f>
        <v>Methode</v>
      </c>
    </row>
    <row r="187" spans="1:21">
      <c r="A187" s="173" t="s">
        <v>240</v>
      </c>
      <c r="H187">
        <v>0.71699999999999997</v>
      </c>
      <c r="I187">
        <v>0.308</v>
      </c>
      <c r="J187">
        <v>5.5142600000000002</v>
      </c>
      <c r="L187" s="35" t="e">
        <f t="shared" si="12"/>
        <v>#DIV/0!</v>
      </c>
      <c r="M187" s="312" t="e">
        <f t="shared" si="13"/>
        <v>#DIV/0!</v>
      </c>
      <c r="N187" s="310" t="e">
        <f t="shared" si="14"/>
        <v>#DIV/0!</v>
      </c>
      <c r="O187" s="310" t="e">
        <f t="shared" si="15"/>
        <v>#DIV/0!</v>
      </c>
      <c r="P187" s="91" t="e">
        <f t="shared" si="16"/>
        <v>#DIV/0!</v>
      </c>
      <c r="Q187" s="62">
        <f t="shared" si="17"/>
        <v>0</v>
      </c>
      <c r="U187" s="310" t="str">
        <f>PE_aug!AP187</f>
        <v>KWS</v>
      </c>
    </row>
    <row r="188" spans="1:21">
      <c r="A188" s="173" t="s">
        <v>241</v>
      </c>
      <c r="H188">
        <v>0.63600000000000001</v>
      </c>
      <c r="I188">
        <v>0.308</v>
      </c>
      <c r="J188">
        <v>8.6348099999999999</v>
      </c>
      <c r="L188" s="35" t="e">
        <f t="shared" si="12"/>
        <v>#DIV/0!</v>
      </c>
      <c r="M188" s="312" t="e">
        <f t="shared" si="13"/>
        <v>#DIV/0!</v>
      </c>
      <c r="N188" s="310" t="e">
        <f t="shared" si="14"/>
        <v>#DIV/0!</v>
      </c>
      <c r="O188" s="310" t="e">
        <f t="shared" si="15"/>
        <v>#DIV/0!</v>
      </c>
      <c r="P188" s="91" t="e">
        <f t="shared" si="16"/>
        <v>#DIV/0!</v>
      </c>
      <c r="Q188" s="62">
        <f t="shared" si="17"/>
        <v>0</v>
      </c>
      <c r="U188" s="310" t="str">
        <f>PE_aug!AP188</f>
        <v>KWS</v>
      </c>
    </row>
    <row r="189" spans="1:21">
      <c r="A189" s="173" t="s">
        <v>242</v>
      </c>
      <c r="H189">
        <v>0.86399999999999999</v>
      </c>
      <c r="I189">
        <v>0.308</v>
      </c>
      <c r="J189">
        <v>9.2441649999999989</v>
      </c>
      <c r="L189" s="35" t="e">
        <f t="shared" si="12"/>
        <v>#DIV/0!</v>
      </c>
      <c r="M189" s="312" t="e">
        <f t="shared" si="13"/>
        <v>#DIV/0!</v>
      </c>
      <c r="N189" s="310" t="e">
        <f t="shared" si="14"/>
        <v>#DIV/0!</v>
      </c>
      <c r="O189" s="310" t="e">
        <f t="shared" si="15"/>
        <v>#DIV/0!</v>
      </c>
      <c r="P189" s="91" t="e">
        <f t="shared" si="16"/>
        <v>#DIV/0!</v>
      </c>
      <c r="Q189" s="62">
        <f t="shared" si="17"/>
        <v>0</v>
      </c>
      <c r="U189" s="310" t="str">
        <f>PE_aug!AP189</f>
        <v>KWS</v>
      </c>
    </row>
    <row r="190" spans="1:21">
      <c r="A190" s="173" t="s">
        <v>243</v>
      </c>
      <c r="H190">
        <v>0.52</v>
      </c>
      <c r="I190">
        <v>5.7000000000000002E-2</v>
      </c>
      <c r="J190">
        <v>8.5557249999999989</v>
      </c>
      <c r="L190" s="35" t="e">
        <f t="shared" si="12"/>
        <v>#DIV/0!</v>
      </c>
      <c r="M190" s="312" t="e">
        <f t="shared" si="13"/>
        <v>#DIV/0!</v>
      </c>
      <c r="N190" s="310" t="e">
        <f t="shared" si="14"/>
        <v>#DIV/0!</v>
      </c>
      <c r="O190" s="310" t="e">
        <f t="shared" si="15"/>
        <v>#DIV/0!</v>
      </c>
      <c r="P190" s="91" t="e">
        <f t="shared" si="16"/>
        <v>#DIV/0!</v>
      </c>
      <c r="Q190" s="62">
        <f t="shared" si="17"/>
        <v>0</v>
      </c>
      <c r="U190" s="310" t="str">
        <f>PE_aug!AP190</f>
        <v>Kläranlagen</v>
      </c>
    </row>
    <row r="191" spans="1:21">
      <c r="A191" s="173" t="s">
        <v>245</v>
      </c>
      <c r="H191">
        <v>0.77600000000000002</v>
      </c>
      <c r="I191">
        <v>5.7000000000000002E-2</v>
      </c>
      <c r="J191">
        <v>12.1275</v>
      </c>
      <c r="L191" s="35" t="e">
        <f t="shared" si="12"/>
        <v>#DIV/0!</v>
      </c>
      <c r="M191" s="312" t="e">
        <f t="shared" si="13"/>
        <v>#DIV/0!</v>
      </c>
      <c r="N191" s="310" t="e">
        <f t="shared" si="14"/>
        <v>#DIV/0!</v>
      </c>
      <c r="O191" s="310" t="e">
        <f t="shared" si="15"/>
        <v>#DIV/0!</v>
      </c>
      <c r="P191" s="91" t="e">
        <f t="shared" si="16"/>
        <v>#DIV/0!</v>
      </c>
      <c r="Q191" s="62">
        <f t="shared" si="17"/>
        <v>0</v>
      </c>
      <c r="U191" s="310" t="str">
        <f>PE_aug!AP191</f>
        <v>Kläranlagen</v>
      </c>
    </row>
    <row r="192" spans="1:21">
      <c r="A192" s="173" t="s">
        <v>246</v>
      </c>
      <c r="H192">
        <v>0.91</v>
      </c>
      <c r="I192">
        <v>5.7000000000000002E-2</v>
      </c>
      <c r="J192">
        <v>7.9963800000000003</v>
      </c>
      <c r="L192" s="35" t="e">
        <f t="shared" si="12"/>
        <v>#DIV/0!</v>
      </c>
      <c r="M192" s="312" t="e">
        <f t="shared" si="13"/>
        <v>#DIV/0!</v>
      </c>
      <c r="N192" s="310" t="e">
        <f t="shared" si="14"/>
        <v>#DIV/0!</v>
      </c>
      <c r="O192" s="310" t="e">
        <f t="shared" si="15"/>
        <v>#DIV/0!</v>
      </c>
      <c r="P192" s="91" t="e">
        <f t="shared" si="16"/>
        <v>#DIV/0!</v>
      </c>
      <c r="Q192" s="62">
        <f t="shared" si="17"/>
        <v>0</v>
      </c>
      <c r="U192" s="310" t="str">
        <f>PE_aug!AP192</f>
        <v>Kläranlagen</v>
      </c>
    </row>
    <row r="193" spans="1:21">
      <c r="A193" s="173" t="s">
        <v>247</v>
      </c>
      <c r="H193">
        <v>0.70699999999999996</v>
      </c>
      <c r="I193">
        <v>4.3999999999999997E-2</v>
      </c>
      <c r="J193">
        <v>9.1964899999999989</v>
      </c>
      <c r="L193" s="35" t="e">
        <f t="shared" si="12"/>
        <v>#DIV/0!</v>
      </c>
      <c r="M193" s="312" t="e">
        <f t="shared" si="13"/>
        <v>#DIV/0!</v>
      </c>
      <c r="N193" s="310" t="e">
        <f t="shared" si="14"/>
        <v>#DIV/0!</v>
      </c>
      <c r="O193" s="310" t="e">
        <f t="shared" si="15"/>
        <v>#DIV/0!</v>
      </c>
      <c r="P193" s="91" t="e">
        <f t="shared" si="16"/>
        <v>#DIV/0!</v>
      </c>
      <c r="Q193" s="62">
        <f t="shared" si="17"/>
        <v>0</v>
      </c>
      <c r="U193" s="310" t="str">
        <f>PE_aug!AP193</f>
        <v>Kläranlagen</v>
      </c>
    </row>
    <row r="194" spans="1:21">
      <c r="A194" s="173" t="s">
        <v>248</v>
      </c>
      <c r="H194">
        <v>0.70699999999999996</v>
      </c>
      <c r="I194">
        <v>4.3999999999999997E-2</v>
      </c>
      <c r="J194">
        <v>7.59185</v>
      </c>
      <c r="L194" s="35" t="e">
        <f t="shared" ref="L194:L228" si="18">IF(COUNT(C194:C194)=1,0.33,(COUNT(C194:C194)*(1/(COUNT(C194:C194)+COUNTBLANK(C194:C194)))+(IF(O194&lt;35,1,IF(O194&lt;70,0.5,IF(O194&gt;70,0)))))/2)</f>
        <v>#DIV/0!</v>
      </c>
      <c r="M194" s="312" t="e">
        <f t="shared" ref="M194:M257" si="19">AVERAGE(K194:L194)</f>
        <v>#DIV/0!</v>
      </c>
      <c r="N194" s="310" t="e">
        <f t="shared" ref="N194:N228" si="20">AVERAGE(C194:E194)</f>
        <v>#DIV/0!</v>
      </c>
      <c r="O194" s="310" t="e">
        <f t="shared" ref="O194:O257" si="21">(MAX(C194:C194)-MIN(C194:C194))/N194*100</f>
        <v>#DIV/0!</v>
      </c>
      <c r="P194" s="91" t="e">
        <f t="shared" ref="P194:P228" si="22">AVERAGE(C194:G194)</f>
        <v>#DIV/0!</v>
      </c>
      <c r="Q194" s="62">
        <f t="shared" ref="Q194:Q257" si="23">IFERROR(P194/J194,0)</f>
        <v>0</v>
      </c>
      <c r="U194" s="310" t="str">
        <f>PE_aug!AP194</f>
        <v>Kläranlagen</v>
      </c>
    </row>
    <row r="195" spans="1:21">
      <c r="A195" s="173" t="s">
        <v>249</v>
      </c>
      <c r="H195">
        <v>0.70699999999999996</v>
      </c>
      <c r="I195">
        <v>0.17599999999999999</v>
      </c>
      <c r="J195">
        <v>9.1481399999999997</v>
      </c>
      <c r="L195" s="35" t="e">
        <f t="shared" si="18"/>
        <v>#DIV/0!</v>
      </c>
      <c r="M195" s="312" t="e">
        <f t="shared" si="19"/>
        <v>#DIV/0!</v>
      </c>
      <c r="N195" s="310" t="e">
        <f t="shared" si="20"/>
        <v>#DIV/0!</v>
      </c>
      <c r="O195" s="310" t="e">
        <f t="shared" si="21"/>
        <v>#DIV/0!</v>
      </c>
      <c r="P195" s="91" t="e">
        <f t="shared" si="22"/>
        <v>#DIV/0!</v>
      </c>
      <c r="Q195" s="62">
        <f t="shared" si="23"/>
        <v>0</v>
      </c>
      <c r="U195" s="310" t="str">
        <f>PE_aug!AP195</f>
        <v>Kläranlagen</v>
      </c>
    </row>
    <row r="196" spans="1:21">
      <c r="A196" s="173" t="s">
        <v>250</v>
      </c>
      <c r="H196">
        <v>0.70699999999999996</v>
      </c>
      <c r="I196">
        <v>0.17599999999999999</v>
      </c>
      <c r="J196">
        <v>5.17957</v>
      </c>
      <c r="L196" s="35" t="e">
        <f t="shared" si="18"/>
        <v>#DIV/0!</v>
      </c>
      <c r="M196" s="312" t="e">
        <f t="shared" si="19"/>
        <v>#DIV/0!</v>
      </c>
      <c r="N196" s="310" t="e">
        <f t="shared" si="20"/>
        <v>#DIV/0!</v>
      </c>
      <c r="O196" s="310" t="e">
        <f t="shared" si="21"/>
        <v>#DIV/0!</v>
      </c>
      <c r="P196" s="91" t="e">
        <f t="shared" si="22"/>
        <v>#DIV/0!</v>
      </c>
      <c r="Q196" s="62">
        <f t="shared" si="23"/>
        <v>0</v>
      </c>
      <c r="U196" s="310" t="str">
        <f>PE_aug!AP196</f>
        <v>Kläranlagen</v>
      </c>
    </row>
    <row r="197" spans="1:21">
      <c r="A197" s="173" t="s">
        <v>251</v>
      </c>
      <c r="G197" s="307">
        <v>312.89999999999998</v>
      </c>
      <c r="H197">
        <v>0.70699999999999996</v>
      </c>
      <c r="I197">
        <v>5.2999999999999999E-2</v>
      </c>
      <c r="J197">
        <v>9.0249299999999995</v>
      </c>
      <c r="K197">
        <v>0.5</v>
      </c>
      <c r="L197" s="35" t="e">
        <f t="shared" si="18"/>
        <v>#DIV/0!</v>
      </c>
      <c r="M197" s="312" t="e">
        <f t="shared" si="19"/>
        <v>#DIV/0!</v>
      </c>
      <c r="N197" s="310" t="e">
        <f t="shared" si="20"/>
        <v>#DIV/0!</v>
      </c>
      <c r="O197" s="310" t="e">
        <f t="shared" si="21"/>
        <v>#DIV/0!</v>
      </c>
      <c r="P197" s="91">
        <f t="shared" si="22"/>
        <v>312.89999999999998</v>
      </c>
      <c r="Q197" s="62">
        <f t="shared" si="23"/>
        <v>34.670629024269438</v>
      </c>
      <c r="U197" s="310" t="str">
        <f>PE_aug!AP197</f>
        <v>Kläranlagen</v>
      </c>
    </row>
    <row r="198" spans="1:21">
      <c r="A198" s="173" t="s">
        <v>252</v>
      </c>
      <c r="G198" s="307">
        <v>244.17</v>
      </c>
      <c r="H198">
        <v>0.70699999999999996</v>
      </c>
      <c r="I198">
        <v>5.2999999999999999E-2</v>
      </c>
      <c r="J198">
        <v>8.3660199999999989</v>
      </c>
      <c r="K198">
        <v>0.5</v>
      </c>
      <c r="L198" s="35" t="e">
        <f t="shared" si="18"/>
        <v>#DIV/0!</v>
      </c>
      <c r="M198" s="312" t="e">
        <f t="shared" si="19"/>
        <v>#DIV/0!</v>
      </c>
      <c r="N198" s="310" t="e">
        <f t="shared" si="20"/>
        <v>#DIV/0!</v>
      </c>
      <c r="O198" s="310" t="e">
        <f t="shared" si="21"/>
        <v>#DIV/0!</v>
      </c>
      <c r="P198" s="91">
        <f t="shared" si="22"/>
        <v>244.17</v>
      </c>
      <c r="Q198" s="62">
        <f t="shared" si="23"/>
        <v>29.185921142909056</v>
      </c>
      <c r="U198" s="310" t="str">
        <f>PE_aug!AP198</f>
        <v>Kläranlagen</v>
      </c>
    </row>
    <row r="199" spans="1:21">
      <c r="A199" s="173" t="s">
        <v>253</v>
      </c>
      <c r="G199" s="307">
        <v>480.64</v>
      </c>
      <c r="H199">
        <v>0.67700000000000005</v>
      </c>
      <c r="I199">
        <v>4.8000000000000001E-2</v>
      </c>
      <c r="J199">
        <v>8.8748400000000007</v>
      </c>
      <c r="K199">
        <v>0.5</v>
      </c>
      <c r="L199" s="35" t="e">
        <f t="shared" si="18"/>
        <v>#DIV/0!</v>
      </c>
      <c r="M199" s="312" t="e">
        <f t="shared" si="19"/>
        <v>#DIV/0!</v>
      </c>
      <c r="N199" s="310" t="e">
        <f t="shared" si="20"/>
        <v>#DIV/0!</v>
      </c>
      <c r="O199" s="310" t="e">
        <f t="shared" si="21"/>
        <v>#DIV/0!</v>
      </c>
      <c r="P199" s="91">
        <f t="shared" si="22"/>
        <v>480.64</v>
      </c>
      <c r="Q199" s="62">
        <f t="shared" si="23"/>
        <v>54.157596080605394</v>
      </c>
      <c r="U199" s="310" t="str">
        <f>PE_aug!AP199</f>
        <v>Kläranlagen</v>
      </c>
    </row>
    <row r="200" spans="1:21">
      <c r="A200" s="173" t="s">
        <v>254</v>
      </c>
      <c r="G200" s="307">
        <v>580.36</v>
      </c>
      <c r="H200">
        <v>0.87</v>
      </c>
      <c r="I200">
        <v>4.8000000000000001E-2</v>
      </c>
      <c r="J200">
        <v>10.6442</v>
      </c>
      <c r="K200">
        <v>0.5</v>
      </c>
      <c r="L200" s="35" t="e">
        <f t="shared" si="18"/>
        <v>#DIV/0!</v>
      </c>
      <c r="M200" s="312" t="e">
        <f t="shared" si="19"/>
        <v>#DIV/0!</v>
      </c>
      <c r="N200" s="310" t="e">
        <f t="shared" si="20"/>
        <v>#DIV/0!</v>
      </c>
      <c r="O200" s="310" t="e">
        <f t="shared" si="21"/>
        <v>#DIV/0!</v>
      </c>
      <c r="P200" s="91">
        <f t="shared" si="22"/>
        <v>580.36</v>
      </c>
      <c r="Q200" s="62">
        <f t="shared" si="23"/>
        <v>54.523590312094854</v>
      </c>
      <c r="U200" s="310" t="str">
        <f>PE_aug!AP200</f>
        <v>Kläranlagen</v>
      </c>
    </row>
    <row r="201" spans="1:21">
      <c r="A201" s="173" t="s">
        <v>255</v>
      </c>
      <c r="G201" s="307">
        <v>392.5</v>
      </c>
      <c r="H201">
        <v>0.626</v>
      </c>
      <c r="I201">
        <v>4.8000000000000001E-2</v>
      </c>
      <c r="J201">
        <v>8.4144699999999997</v>
      </c>
      <c r="K201">
        <v>0.5</v>
      </c>
      <c r="L201" s="35" t="e">
        <f t="shared" si="18"/>
        <v>#DIV/0!</v>
      </c>
      <c r="M201" s="312" t="e">
        <f t="shared" si="19"/>
        <v>#DIV/0!</v>
      </c>
      <c r="N201" s="310" t="e">
        <f t="shared" si="20"/>
        <v>#DIV/0!</v>
      </c>
      <c r="O201" s="310" t="e">
        <f t="shared" si="21"/>
        <v>#DIV/0!</v>
      </c>
      <c r="P201" s="91">
        <f t="shared" si="22"/>
        <v>392.5</v>
      </c>
      <c r="Q201" s="62">
        <f t="shared" si="23"/>
        <v>46.645837468075825</v>
      </c>
      <c r="U201" s="310" t="str">
        <f>PE_aug!AP201</f>
        <v>Kläranlagen</v>
      </c>
    </row>
    <row r="202" spans="1:21">
      <c r="A202" s="170" t="s">
        <v>256</v>
      </c>
      <c r="H202">
        <v>0.70699999999999996</v>
      </c>
      <c r="I202">
        <v>0.113</v>
      </c>
      <c r="J202">
        <v>4.5994950000000001</v>
      </c>
      <c r="L202" s="35" t="e">
        <f t="shared" si="18"/>
        <v>#DIV/0!</v>
      </c>
      <c r="M202" s="312" t="e">
        <f t="shared" si="19"/>
        <v>#DIV/0!</v>
      </c>
      <c r="N202" s="310" t="e">
        <f t="shared" si="20"/>
        <v>#DIV/0!</v>
      </c>
      <c r="O202" s="310" t="e">
        <f t="shared" si="21"/>
        <v>#DIV/0!</v>
      </c>
      <c r="P202" s="91" t="e">
        <f t="shared" si="22"/>
        <v>#DIV/0!</v>
      </c>
      <c r="Q202" s="62">
        <f t="shared" si="23"/>
        <v>0</v>
      </c>
      <c r="U202" s="310" t="str">
        <f>PE_aug!AP202</f>
        <v>KWS</v>
      </c>
    </row>
    <row r="203" spans="1:21">
      <c r="A203" s="170" t="s">
        <v>257</v>
      </c>
      <c r="H203">
        <v>0.70699999999999996</v>
      </c>
      <c r="I203">
        <v>0.113</v>
      </c>
      <c r="J203">
        <v>6.10121</v>
      </c>
      <c r="L203" s="35" t="e">
        <f t="shared" si="18"/>
        <v>#DIV/0!</v>
      </c>
      <c r="M203" s="312" t="e">
        <f t="shared" si="19"/>
        <v>#DIV/0!</v>
      </c>
      <c r="N203" s="310" t="e">
        <f t="shared" si="20"/>
        <v>#DIV/0!</v>
      </c>
      <c r="O203" s="310" t="e">
        <f t="shared" si="21"/>
        <v>#DIV/0!</v>
      </c>
      <c r="P203" s="91" t="e">
        <f t="shared" si="22"/>
        <v>#DIV/0!</v>
      </c>
      <c r="Q203" s="62">
        <f t="shared" si="23"/>
        <v>0</v>
      </c>
      <c r="U203" s="310" t="str">
        <f>PE_aug!AP203</f>
        <v>KWS</v>
      </c>
    </row>
    <row r="204" spans="1:21">
      <c r="A204" s="170" t="s">
        <v>258</v>
      </c>
      <c r="H204">
        <v>0.70699999999999996</v>
      </c>
      <c r="I204">
        <v>9.7000000000000003E-2</v>
      </c>
      <c r="J204">
        <v>4.843</v>
      </c>
      <c r="L204" s="35" t="e">
        <f t="shared" si="18"/>
        <v>#DIV/0!</v>
      </c>
      <c r="M204" s="312" t="e">
        <f t="shared" si="19"/>
        <v>#DIV/0!</v>
      </c>
      <c r="N204" s="310" t="e">
        <f t="shared" si="20"/>
        <v>#DIV/0!</v>
      </c>
      <c r="O204" s="310" t="e">
        <f t="shared" si="21"/>
        <v>#DIV/0!</v>
      </c>
      <c r="P204" s="91" t="e">
        <f t="shared" si="22"/>
        <v>#DIV/0!</v>
      </c>
      <c r="Q204" s="62">
        <f t="shared" si="23"/>
        <v>0</v>
      </c>
      <c r="U204" s="310" t="str">
        <f>PE_aug!AP204</f>
        <v>KWS</v>
      </c>
    </row>
    <row r="205" spans="1:21">
      <c r="A205" s="170" t="s">
        <v>259</v>
      </c>
      <c r="H205">
        <v>0.70699999999999996</v>
      </c>
      <c r="I205">
        <v>9.7000000000000003E-2</v>
      </c>
      <c r="J205">
        <v>6.6468399999999992</v>
      </c>
      <c r="L205" s="35" t="e">
        <f t="shared" si="18"/>
        <v>#DIV/0!</v>
      </c>
      <c r="M205" s="312" t="e">
        <f t="shared" si="19"/>
        <v>#DIV/0!</v>
      </c>
      <c r="N205" s="310" t="e">
        <f t="shared" si="20"/>
        <v>#DIV/0!</v>
      </c>
      <c r="O205" s="310" t="e">
        <f t="shared" si="21"/>
        <v>#DIV/0!</v>
      </c>
      <c r="P205" s="91" t="e">
        <f t="shared" si="22"/>
        <v>#DIV/0!</v>
      </c>
      <c r="Q205" s="62">
        <f t="shared" si="23"/>
        <v>0</v>
      </c>
      <c r="U205" s="310" t="str">
        <f>PE_aug!AP205</f>
        <v>KWS</v>
      </c>
    </row>
    <row r="206" spans="1:21">
      <c r="A206" s="170" t="s">
        <v>260</v>
      </c>
      <c r="J206">
        <v>-84.199200000000005</v>
      </c>
      <c r="L206" s="35" t="e">
        <f t="shared" si="18"/>
        <v>#DIV/0!</v>
      </c>
      <c r="M206" s="312" t="e">
        <f t="shared" si="19"/>
        <v>#DIV/0!</v>
      </c>
      <c r="N206" s="310" t="e">
        <f t="shared" si="20"/>
        <v>#DIV/0!</v>
      </c>
      <c r="O206" s="310" t="e">
        <f t="shared" si="21"/>
        <v>#DIV/0!</v>
      </c>
      <c r="P206" s="91" t="e">
        <f t="shared" si="22"/>
        <v>#DIV/0!</v>
      </c>
      <c r="Q206" s="62">
        <f t="shared" si="23"/>
        <v>0</v>
      </c>
      <c r="U206" s="310" t="str">
        <f>PE_aug!AP206</f>
        <v>Methode</v>
      </c>
    </row>
    <row r="207" spans="1:21">
      <c r="A207" s="170" t="s">
        <v>261</v>
      </c>
      <c r="J207">
        <v>5.4117899999999999</v>
      </c>
      <c r="L207" s="35" t="e">
        <f t="shared" si="18"/>
        <v>#DIV/0!</v>
      </c>
      <c r="M207" s="312" t="e">
        <f t="shared" si="19"/>
        <v>#DIV/0!</v>
      </c>
      <c r="N207" s="310" t="e">
        <f t="shared" si="20"/>
        <v>#DIV/0!</v>
      </c>
      <c r="O207" s="310" t="e">
        <f t="shared" si="21"/>
        <v>#DIV/0!</v>
      </c>
      <c r="P207" s="91" t="e">
        <f t="shared" si="22"/>
        <v>#DIV/0!</v>
      </c>
      <c r="Q207" s="62">
        <f t="shared" si="23"/>
        <v>0</v>
      </c>
      <c r="U207" s="310" t="str">
        <f>PE_aug!AP207</f>
        <v>KWS, Methode</v>
      </c>
    </row>
    <row r="208" spans="1:21">
      <c r="A208" s="170" t="s">
        <v>262</v>
      </c>
      <c r="J208">
        <v>5.4577400000000003</v>
      </c>
      <c r="L208" s="35" t="e">
        <f t="shared" si="18"/>
        <v>#DIV/0!</v>
      </c>
      <c r="M208" s="312" t="e">
        <f t="shared" si="19"/>
        <v>#DIV/0!</v>
      </c>
      <c r="N208" s="310" t="e">
        <f t="shared" si="20"/>
        <v>#DIV/0!</v>
      </c>
      <c r="O208" s="310" t="e">
        <f t="shared" si="21"/>
        <v>#DIV/0!</v>
      </c>
      <c r="P208" s="91" t="e">
        <f t="shared" si="22"/>
        <v>#DIV/0!</v>
      </c>
      <c r="Q208" s="62">
        <f t="shared" si="23"/>
        <v>0</v>
      </c>
      <c r="U208" s="310" t="str">
        <f>PE_aug!AP208</f>
        <v>KWS, Methode</v>
      </c>
    </row>
    <row r="209" spans="1:21">
      <c r="A209" s="170" t="s">
        <v>263</v>
      </c>
      <c r="L209" s="35" t="e">
        <f t="shared" si="18"/>
        <v>#DIV/0!</v>
      </c>
      <c r="M209" s="312" t="e">
        <f t="shared" si="19"/>
        <v>#DIV/0!</v>
      </c>
      <c r="N209" s="310" t="e">
        <f t="shared" si="20"/>
        <v>#DIV/0!</v>
      </c>
      <c r="O209" s="310" t="e">
        <f t="shared" si="21"/>
        <v>#DIV/0!</v>
      </c>
      <c r="P209" s="91" t="e">
        <f t="shared" si="22"/>
        <v>#DIV/0!</v>
      </c>
      <c r="Q209" s="62">
        <f t="shared" si="23"/>
        <v>0</v>
      </c>
      <c r="U209" s="310" t="str">
        <f>PE_aug!AP209</f>
        <v>KWS, Methode</v>
      </c>
    </row>
    <row r="210" spans="1:21">
      <c r="A210" s="170" t="s">
        <v>264</v>
      </c>
      <c r="H210">
        <v>0.70699999999999996</v>
      </c>
      <c r="I210">
        <v>0.10199999999999999</v>
      </c>
      <c r="J210">
        <v>10.235150000000001</v>
      </c>
      <c r="L210" s="35" t="e">
        <f t="shared" si="18"/>
        <v>#DIV/0!</v>
      </c>
      <c r="M210" s="312" t="e">
        <f t="shared" si="19"/>
        <v>#DIV/0!</v>
      </c>
      <c r="N210" s="310" t="e">
        <f t="shared" si="20"/>
        <v>#DIV/0!</v>
      </c>
      <c r="O210" s="310" t="e">
        <f t="shared" si="21"/>
        <v>#DIV/0!</v>
      </c>
      <c r="P210" s="91" t="e">
        <f t="shared" si="22"/>
        <v>#DIV/0!</v>
      </c>
      <c r="Q210" s="62">
        <f t="shared" si="23"/>
        <v>0</v>
      </c>
      <c r="U210" s="310" t="str">
        <f>PE_aug!AP210</f>
        <v>Kläranlagen</v>
      </c>
    </row>
    <row r="211" spans="1:21">
      <c r="A211" s="170" t="s">
        <v>265</v>
      </c>
      <c r="H211">
        <v>0.70699999999999996</v>
      </c>
      <c r="I211">
        <v>0.10199999999999999</v>
      </c>
      <c r="J211">
        <v>8.9477550000000008</v>
      </c>
      <c r="L211" s="35" t="e">
        <f t="shared" si="18"/>
        <v>#DIV/0!</v>
      </c>
      <c r="M211" s="312" t="e">
        <f t="shared" si="19"/>
        <v>#DIV/0!</v>
      </c>
      <c r="N211" s="310" t="e">
        <f t="shared" si="20"/>
        <v>#DIV/0!</v>
      </c>
      <c r="O211" s="310" t="e">
        <f t="shared" si="21"/>
        <v>#DIV/0!</v>
      </c>
      <c r="P211" s="91" t="e">
        <f t="shared" si="22"/>
        <v>#DIV/0!</v>
      </c>
      <c r="Q211" s="62">
        <f t="shared" si="23"/>
        <v>0</v>
      </c>
      <c r="U211" s="310" t="str">
        <f>PE_aug!AP211</f>
        <v>Kläranlagen</v>
      </c>
    </row>
    <row r="212" spans="1:21">
      <c r="A212" s="170" t="s">
        <v>266</v>
      </c>
      <c r="H212">
        <v>0.70699999999999996</v>
      </c>
      <c r="I212">
        <v>0.96399999999999997</v>
      </c>
      <c r="J212">
        <v>10.384600000000001</v>
      </c>
      <c r="L212" s="35" t="e">
        <f t="shared" si="18"/>
        <v>#DIV/0!</v>
      </c>
      <c r="M212" s="312" t="e">
        <f t="shared" si="19"/>
        <v>#DIV/0!</v>
      </c>
      <c r="N212" s="310" t="e">
        <f t="shared" si="20"/>
        <v>#DIV/0!</v>
      </c>
      <c r="O212" s="310" t="e">
        <f t="shared" si="21"/>
        <v>#DIV/0!</v>
      </c>
      <c r="P212" s="91" t="e">
        <f t="shared" si="22"/>
        <v>#DIV/0!</v>
      </c>
      <c r="Q212" s="62">
        <f t="shared" si="23"/>
        <v>0</v>
      </c>
      <c r="U212" s="310" t="str">
        <f>PE_aug!AP212</f>
        <v>Kläranlagen</v>
      </c>
    </row>
    <row r="213" spans="1:21">
      <c r="A213" s="170" t="s">
        <v>267</v>
      </c>
      <c r="H213">
        <v>0.70699999999999996</v>
      </c>
      <c r="I213">
        <v>0.96399999999999997</v>
      </c>
      <c r="J213">
        <v>9.8753700000000002</v>
      </c>
      <c r="L213" s="35" t="e">
        <f t="shared" si="18"/>
        <v>#DIV/0!</v>
      </c>
      <c r="M213" s="312" t="e">
        <f t="shared" si="19"/>
        <v>#DIV/0!</v>
      </c>
      <c r="N213" s="310" t="e">
        <f t="shared" si="20"/>
        <v>#DIV/0!</v>
      </c>
      <c r="O213" s="310" t="e">
        <f t="shared" si="21"/>
        <v>#DIV/0!</v>
      </c>
      <c r="P213" s="91" t="e">
        <f t="shared" si="22"/>
        <v>#DIV/0!</v>
      </c>
      <c r="Q213" s="62">
        <f t="shared" si="23"/>
        <v>0</v>
      </c>
      <c r="U213" s="310" t="str">
        <f>PE_aug!AP213</f>
        <v>Kläranlagen</v>
      </c>
    </row>
    <row r="214" spans="1:21">
      <c r="A214" s="170" t="s">
        <v>268</v>
      </c>
      <c r="J214">
        <v>6.4336500000000001</v>
      </c>
      <c r="L214" s="35" t="e">
        <f t="shared" si="18"/>
        <v>#DIV/0!</v>
      </c>
      <c r="M214" s="312" t="e">
        <f t="shared" si="19"/>
        <v>#DIV/0!</v>
      </c>
      <c r="N214" s="310" t="e">
        <f t="shared" si="20"/>
        <v>#DIV/0!</v>
      </c>
      <c r="O214" s="310" t="e">
        <f t="shared" si="21"/>
        <v>#DIV/0!</v>
      </c>
      <c r="P214" s="91" t="e">
        <f t="shared" si="22"/>
        <v>#DIV/0!</v>
      </c>
      <c r="Q214" s="62">
        <f t="shared" si="23"/>
        <v>0</v>
      </c>
      <c r="U214" s="310" t="str">
        <f>PE_aug!AP214</f>
        <v>Kläranlagen, Methode</v>
      </c>
    </row>
    <row r="215" spans="1:21">
      <c r="A215" s="170" t="s">
        <v>270</v>
      </c>
      <c r="C215">
        <v>345.96</v>
      </c>
      <c r="E215">
        <v>174.14</v>
      </c>
      <c r="F215">
        <v>359.83</v>
      </c>
      <c r="J215">
        <v>0.232761</v>
      </c>
      <c r="K215">
        <v>0.72</v>
      </c>
      <c r="L215" s="35">
        <f t="shared" si="18"/>
        <v>0.33</v>
      </c>
      <c r="M215" s="312">
        <f t="shared" si="19"/>
        <v>0.52500000000000002</v>
      </c>
      <c r="N215" s="310">
        <f t="shared" si="20"/>
        <v>260.04999999999995</v>
      </c>
      <c r="O215" s="310">
        <f t="shared" si="21"/>
        <v>0</v>
      </c>
      <c r="P215" s="91">
        <f t="shared" si="22"/>
        <v>293.30999999999995</v>
      </c>
      <c r="Q215" s="62">
        <f t="shared" si="23"/>
        <v>1260.1337852990835</v>
      </c>
      <c r="S215" s="168">
        <v>0.14549999999999999</v>
      </c>
      <c r="T215" s="203">
        <f>100*P215/(1000*S215)</f>
        <v>201.58762886597933</v>
      </c>
      <c r="U215" s="310" t="str">
        <f>PE_aug!AP215</f>
        <v>Methode</v>
      </c>
    </row>
    <row r="216" spans="1:21">
      <c r="A216" s="170" t="s">
        <v>271</v>
      </c>
      <c r="K216">
        <v>0</v>
      </c>
      <c r="L216" s="35" t="e">
        <f t="shared" si="18"/>
        <v>#DIV/0!</v>
      </c>
      <c r="M216" s="312" t="e">
        <f t="shared" si="19"/>
        <v>#DIV/0!</v>
      </c>
      <c r="N216" s="310" t="e">
        <f t="shared" si="20"/>
        <v>#DIV/0!</v>
      </c>
      <c r="O216" s="310" t="e">
        <f t="shared" si="21"/>
        <v>#DIV/0!</v>
      </c>
      <c r="P216" s="91" t="e">
        <f t="shared" si="22"/>
        <v>#DIV/0!</v>
      </c>
      <c r="Q216" s="62">
        <f t="shared" si="23"/>
        <v>0</v>
      </c>
      <c r="U216" s="310" t="str">
        <f>PE_aug!AP216</f>
        <v>Methode</v>
      </c>
    </row>
    <row r="217" spans="1:21">
      <c r="A217" s="170" t="s">
        <v>272</v>
      </c>
      <c r="E217">
        <v>195.02</v>
      </c>
      <c r="F217">
        <v>61.35</v>
      </c>
      <c r="G217" s="307">
        <v>145.04</v>
      </c>
      <c r="J217">
        <v>0.18177399999999999</v>
      </c>
      <c r="K217">
        <v>0.35</v>
      </c>
      <c r="L217" s="35">
        <f t="shared" si="18"/>
        <v>0.5</v>
      </c>
      <c r="M217" s="312">
        <f t="shared" si="19"/>
        <v>0.42499999999999999</v>
      </c>
      <c r="N217" s="310">
        <f t="shared" si="20"/>
        <v>195.02</v>
      </c>
      <c r="O217" s="310">
        <f t="shared" si="21"/>
        <v>0</v>
      </c>
      <c r="P217" s="91">
        <f t="shared" si="22"/>
        <v>133.80333333333331</v>
      </c>
      <c r="Q217" s="62">
        <f t="shared" si="23"/>
        <v>736.09720495413717</v>
      </c>
      <c r="S217" s="168"/>
      <c r="T217" s="203"/>
      <c r="U217" s="310" t="str">
        <f>PE_aug!AP217</f>
        <v>Methode</v>
      </c>
    </row>
    <row r="218" spans="1:21">
      <c r="A218" s="218" t="s">
        <v>534</v>
      </c>
      <c r="H218">
        <v>1.133</v>
      </c>
      <c r="I218">
        <v>0.12</v>
      </c>
      <c r="J218">
        <v>11.5961</v>
      </c>
      <c r="L218" s="35" t="e">
        <f t="shared" si="18"/>
        <v>#DIV/0!</v>
      </c>
      <c r="M218" s="312" t="e">
        <f t="shared" si="19"/>
        <v>#DIV/0!</v>
      </c>
      <c r="N218" s="310" t="e">
        <f t="shared" si="20"/>
        <v>#DIV/0!</v>
      </c>
      <c r="O218" s="310" t="e">
        <f t="shared" si="21"/>
        <v>#DIV/0!</v>
      </c>
      <c r="P218" s="91" t="e">
        <f t="shared" si="22"/>
        <v>#DIV/0!</v>
      </c>
      <c r="Q218" s="62">
        <f t="shared" si="23"/>
        <v>0</v>
      </c>
      <c r="U218" s="310" t="str">
        <f>PE_may!AH218</f>
        <v>Methodenvergleich</v>
      </c>
    </row>
    <row r="219" spans="1:21">
      <c r="A219" s="218" t="s">
        <v>535</v>
      </c>
      <c r="H219">
        <v>0.622</v>
      </c>
      <c r="I219">
        <v>0.12</v>
      </c>
      <c r="J219">
        <v>7.643110000000001</v>
      </c>
      <c r="L219" s="35" t="e">
        <f t="shared" si="18"/>
        <v>#DIV/0!</v>
      </c>
      <c r="M219" s="312" t="e">
        <f t="shared" si="19"/>
        <v>#DIV/0!</v>
      </c>
      <c r="N219" s="310" t="e">
        <f t="shared" si="20"/>
        <v>#DIV/0!</v>
      </c>
      <c r="O219" s="310" t="e">
        <f t="shared" si="21"/>
        <v>#DIV/0!</v>
      </c>
      <c r="P219" s="91" t="e">
        <f t="shared" si="22"/>
        <v>#DIV/0!</v>
      </c>
      <c r="Q219" s="62">
        <f t="shared" si="23"/>
        <v>0</v>
      </c>
      <c r="U219" s="310" t="str">
        <f>PE_may!AH219</f>
        <v>Methodenvergleich</v>
      </c>
    </row>
    <row r="220" spans="1:21">
      <c r="A220" s="218" t="s">
        <v>536</v>
      </c>
      <c r="H220">
        <v>0.52700000000000002</v>
      </c>
      <c r="I220">
        <v>0.12</v>
      </c>
      <c r="J220">
        <v>7.9017200000000001</v>
      </c>
      <c r="L220" s="35" t="e">
        <f t="shared" si="18"/>
        <v>#DIV/0!</v>
      </c>
      <c r="M220" s="312" t="e">
        <f t="shared" si="19"/>
        <v>#DIV/0!</v>
      </c>
      <c r="N220" s="310" t="e">
        <f t="shared" si="20"/>
        <v>#DIV/0!</v>
      </c>
      <c r="O220" s="310" t="e">
        <f t="shared" si="21"/>
        <v>#DIV/0!</v>
      </c>
      <c r="P220" s="91" t="e">
        <f t="shared" si="22"/>
        <v>#DIV/0!</v>
      </c>
      <c r="Q220" s="62">
        <f t="shared" si="23"/>
        <v>0</v>
      </c>
      <c r="U220" s="310" t="str">
        <f>PE_may!AH220</f>
        <v>Methodenvergleich</v>
      </c>
    </row>
    <row r="221" spans="1:21">
      <c r="A221" s="218" t="s">
        <v>537</v>
      </c>
      <c r="E221">
        <v>122.2</v>
      </c>
      <c r="K221">
        <v>0.5</v>
      </c>
      <c r="L221" s="35">
        <f t="shared" si="18"/>
        <v>0.5</v>
      </c>
      <c r="M221" s="312">
        <f t="shared" si="19"/>
        <v>0.5</v>
      </c>
      <c r="N221" s="310">
        <f t="shared" si="20"/>
        <v>122.2</v>
      </c>
      <c r="O221" s="310">
        <f t="shared" si="21"/>
        <v>0</v>
      </c>
      <c r="P221" s="91">
        <f t="shared" si="22"/>
        <v>122.2</v>
      </c>
      <c r="Q221" s="62">
        <f t="shared" si="23"/>
        <v>0</v>
      </c>
      <c r="U221" s="310" t="str">
        <f>PE_may!AH221</f>
        <v>Methode</v>
      </c>
    </row>
    <row r="222" spans="1:21">
      <c r="A222" s="218" t="s">
        <v>538</v>
      </c>
      <c r="H222">
        <v>0.878</v>
      </c>
      <c r="I222">
        <v>9.5000000000000001E-2</v>
      </c>
      <c r="J222">
        <v>11.2964</v>
      </c>
      <c r="L222" s="35" t="e">
        <f t="shared" si="18"/>
        <v>#DIV/0!</v>
      </c>
      <c r="M222" s="312" t="e">
        <f t="shared" si="19"/>
        <v>#DIV/0!</v>
      </c>
      <c r="N222" s="310" t="e">
        <f t="shared" si="20"/>
        <v>#DIV/0!</v>
      </c>
      <c r="O222" s="310" t="e">
        <f t="shared" si="21"/>
        <v>#DIV/0!</v>
      </c>
      <c r="P222" s="91" t="e">
        <f t="shared" si="22"/>
        <v>#DIV/0!</v>
      </c>
      <c r="Q222" s="62">
        <f t="shared" si="23"/>
        <v>0</v>
      </c>
      <c r="U222" s="310" t="str">
        <f>PE_may!AH222</f>
        <v>Kläranlagen</v>
      </c>
    </row>
    <row r="223" spans="1:21">
      <c r="A223" s="218" t="s">
        <v>539</v>
      </c>
      <c r="H223">
        <v>1.008</v>
      </c>
      <c r="I223">
        <v>9.5000000000000001E-2</v>
      </c>
      <c r="J223">
        <v>14.131</v>
      </c>
      <c r="L223" s="35" t="e">
        <f t="shared" si="18"/>
        <v>#DIV/0!</v>
      </c>
      <c r="M223" s="312" t="e">
        <f t="shared" si="19"/>
        <v>#DIV/0!</v>
      </c>
      <c r="N223" s="310" t="e">
        <f t="shared" si="20"/>
        <v>#DIV/0!</v>
      </c>
      <c r="O223" s="310" t="e">
        <f t="shared" si="21"/>
        <v>#DIV/0!</v>
      </c>
      <c r="P223" s="91" t="e">
        <f t="shared" si="22"/>
        <v>#DIV/0!</v>
      </c>
      <c r="Q223" s="62">
        <f t="shared" si="23"/>
        <v>0</v>
      </c>
      <c r="U223" s="310" t="str">
        <f>PE_may!AH223</f>
        <v>Kläranlagen</v>
      </c>
    </row>
    <row r="224" spans="1:21">
      <c r="A224" s="218" t="s">
        <v>540</v>
      </c>
      <c r="H224">
        <v>0.317</v>
      </c>
      <c r="I224">
        <v>9.5000000000000001E-2</v>
      </c>
      <c r="J224">
        <v>11.628</v>
      </c>
      <c r="L224" s="35" t="e">
        <f t="shared" si="18"/>
        <v>#DIV/0!</v>
      </c>
      <c r="M224" s="312" t="e">
        <f t="shared" si="19"/>
        <v>#DIV/0!</v>
      </c>
      <c r="N224" s="310" t="e">
        <f t="shared" si="20"/>
        <v>#DIV/0!</v>
      </c>
      <c r="O224" s="310" t="e">
        <f t="shared" si="21"/>
        <v>#DIV/0!</v>
      </c>
      <c r="P224" s="91" t="e">
        <f t="shared" si="22"/>
        <v>#DIV/0!</v>
      </c>
      <c r="Q224" s="62">
        <f t="shared" si="23"/>
        <v>0</v>
      </c>
      <c r="U224" s="310" t="str">
        <f>PE_may!AH224</f>
        <v>Kläranlagen</v>
      </c>
    </row>
    <row r="225" spans="1:21">
      <c r="A225" s="218" t="s">
        <v>541</v>
      </c>
      <c r="H225">
        <v>1.0489999999999999</v>
      </c>
      <c r="I225">
        <v>6.2E-2</v>
      </c>
      <c r="J225">
        <v>7.5634450000000006</v>
      </c>
      <c r="L225" s="35" t="e">
        <f t="shared" si="18"/>
        <v>#DIV/0!</v>
      </c>
      <c r="M225" s="312" t="e">
        <f t="shared" si="19"/>
        <v>#DIV/0!</v>
      </c>
      <c r="N225" s="310" t="e">
        <f t="shared" si="20"/>
        <v>#DIV/0!</v>
      </c>
      <c r="O225" s="310" t="e">
        <f t="shared" si="21"/>
        <v>#DIV/0!</v>
      </c>
      <c r="P225" s="91" t="e">
        <f t="shared" si="22"/>
        <v>#DIV/0!</v>
      </c>
      <c r="Q225" s="62">
        <f t="shared" si="23"/>
        <v>0</v>
      </c>
      <c r="U225" s="310" t="str">
        <f>PE_may!AH225</f>
        <v>Kläranlagen</v>
      </c>
    </row>
    <row r="226" spans="1:21">
      <c r="A226" s="218" t="s">
        <v>542</v>
      </c>
      <c r="H226">
        <v>0.53800000000000003</v>
      </c>
      <c r="I226">
        <v>6.2E-2</v>
      </c>
      <c r="J226">
        <v>9.8938349999999993</v>
      </c>
      <c r="L226" s="35" t="e">
        <f t="shared" si="18"/>
        <v>#DIV/0!</v>
      </c>
      <c r="M226" s="312" t="e">
        <f t="shared" si="19"/>
        <v>#DIV/0!</v>
      </c>
      <c r="N226" s="310" t="e">
        <f t="shared" si="20"/>
        <v>#DIV/0!</v>
      </c>
      <c r="O226" s="310" t="e">
        <f t="shared" si="21"/>
        <v>#DIV/0!</v>
      </c>
      <c r="P226" s="91" t="e">
        <f t="shared" si="22"/>
        <v>#DIV/0!</v>
      </c>
      <c r="Q226" s="62">
        <f t="shared" si="23"/>
        <v>0</v>
      </c>
      <c r="U226" s="310" t="str">
        <f>PE_may!AH226</f>
        <v>Kläranlagen</v>
      </c>
    </row>
    <row r="227" spans="1:21">
      <c r="A227" s="218" t="s">
        <v>543</v>
      </c>
      <c r="H227">
        <v>0.65200000000000002</v>
      </c>
      <c r="I227">
        <v>6.2E-2</v>
      </c>
      <c r="J227">
        <v>10.473699999999999</v>
      </c>
      <c r="L227" s="35" t="e">
        <f t="shared" si="18"/>
        <v>#DIV/0!</v>
      </c>
      <c r="M227" s="312" t="e">
        <f t="shared" si="19"/>
        <v>#DIV/0!</v>
      </c>
      <c r="N227" s="310" t="e">
        <f t="shared" si="20"/>
        <v>#DIV/0!</v>
      </c>
      <c r="O227" s="310" t="e">
        <f t="shared" si="21"/>
        <v>#DIV/0!</v>
      </c>
      <c r="P227" s="91" t="e">
        <f t="shared" si="22"/>
        <v>#DIV/0!</v>
      </c>
      <c r="Q227" s="62">
        <f t="shared" si="23"/>
        <v>0</v>
      </c>
      <c r="U227" s="310" t="str">
        <f>PE_may!AH227</f>
        <v>Kläranlagen</v>
      </c>
    </row>
    <row r="228" spans="1:21">
      <c r="A228" s="218" t="s">
        <v>544</v>
      </c>
      <c r="J228">
        <v>2.2444700000000002</v>
      </c>
      <c r="L228" s="35" t="e">
        <f t="shared" si="18"/>
        <v>#DIV/0!</v>
      </c>
      <c r="M228" s="312" t="e">
        <f t="shared" si="19"/>
        <v>#DIV/0!</v>
      </c>
      <c r="N228" s="310" t="e">
        <f t="shared" si="20"/>
        <v>#DIV/0!</v>
      </c>
      <c r="O228" s="310" t="e">
        <f t="shared" si="21"/>
        <v>#DIV/0!</v>
      </c>
      <c r="P228" s="91" t="e">
        <f t="shared" si="22"/>
        <v>#DIV/0!</v>
      </c>
      <c r="Q228" s="62">
        <f t="shared" si="23"/>
        <v>0</v>
      </c>
      <c r="U228" s="310" t="str">
        <f>PE_may!AH228</f>
        <v>Kläranlagen</v>
      </c>
    </row>
  </sheetData>
  <autoFilter ref="A1:V217" xr:uid="{00000000-0009-0000-0000-000006000000}"/>
  <conditionalFormatting sqref="O1: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num" val="0"/>
        <cfvo type="percentile" val="20"/>
        <cfvo type="num" val="10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82"/>
  <sheetViews>
    <sheetView topLeftCell="A424" zoomScale="80" zoomScaleNormal="80" workbookViewId="0">
      <selection activeCell="H470" sqref="H470"/>
    </sheetView>
  </sheetViews>
  <sheetFormatPr baseColWidth="10" defaultRowHeight="15"/>
  <cols>
    <col min="1" max="1" width="54.140625" style="275" bestFit="1" customWidth="1"/>
    <col min="2" max="2" width="11.42578125" style="307" customWidth="1"/>
    <col min="3" max="5" width="11.42578125" style="323" customWidth="1"/>
    <col min="7" max="7" width="11.42578125" style="307" customWidth="1"/>
    <col min="8" max="8" width="11.42578125" style="323" customWidth="1"/>
    <col min="9" max="9" width="12.140625" style="323" bestFit="1" customWidth="1"/>
    <col min="10" max="10" width="11.42578125" style="323" customWidth="1"/>
    <col min="11" max="11" width="33" style="319" bestFit="1" customWidth="1"/>
  </cols>
  <sheetData>
    <row r="1" spans="1:11" ht="30" customHeight="1">
      <c r="A1" s="277" t="s">
        <v>0</v>
      </c>
      <c r="B1" s="114" t="s">
        <v>598</v>
      </c>
      <c r="C1" s="101" t="s">
        <v>13</v>
      </c>
      <c r="D1" s="101" t="s">
        <v>14</v>
      </c>
      <c r="E1" s="101" t="s">
        <v>15</v>
      </c>
      <c r="F1" s="75" t="s">
        <v>16</v>
      </c>
      <c r="G1" s="37" t="s">
        <v>25</v>
      </c>
      <c r="H1" s="42" t="s">
        <v>26</v>
      </c>
      <c r="I1" s="44" t="s">
        <v>580</v>
      </c>
      <c r="J1" s="44" t="s">
        <v>28</v>
      </c>
      <c r="K1" s="37" t="s">
        <v>29</v>
      </c>
    </row>
    <row r="2" spans="1:11">
      <c r="A2" s="84" t="s">
        <v>32</v>
      </c>
      <c r="C2" s="51"/>
      <c r="D2" s="51"/>
      <c r="E2" s="117">
        <v>8.8879999999999999</v>
      </c>
      <c r="G2" s="64">
        <f t="shared" ref="G2:G65" si="0">B2/E2</f>
        <v>0</v>
      </c>
      <c r="K2" s="319" t="str">
        <f>PE_aug!AP2</f>
        <v>Massenbilanz KWS</v>
      </c>
    </row>
    <row r="3" spans="1:11">
      <c r="A3" s="84" t="s">
        <v>36</v>
      </c>
      <c r="E3" s="115">
        <v>8.9664000000000001</v>
      </c>
      <c r="G3" s="64">
        <f t="shared" si="0"/>
        <v>0</v>
      </c>
      <c r="K3" s="319" t="str">
        <f>PE_aug!AP3</f>
        <v>Massenbilanz KWS</v>
      </c>
    </row>
    <row r="4" spans="1:11">
      <c r="A4" s="84" t="s">
        <v>37</v>
      </c>
      <c r="E4" s="115">
        <v>4.3002000000000002</v>
      </c>
      <c r="G4" s="64">
        <f t="shared" si="0"/>
        <v>0</v>
      </c>
      <c r="K4" s="319" t="str">
        <f>PE_aug!AP4</f>
        <v>Massenbilanz KWS</v>
      </c>
    </row>
    <row r="5" spans="1:11">
      <c r="A5" s="84" t="s">
        <v>38</v>
      </c>
      <c r="E5" s="115">
        <v>7.8087999999999997</v>
      </c>
      <c r="G5" s="64">
        <f t="shared" si="0"/>
        <v>0</v>
      </c>
      <c r="K5" s="319" t="str">
        <f>PE_aug!AP5</f>
        <v>Massenbilanz KWS</v>
      </c>
    </row>
    <row r="6" spans="1:11">
      <c r="A6" s="84" t="s">
        <v>39</v>
      </c>
      <c r="E6" s="115">
        <v>6.5256999999999996</v>
      </c>
      <c r="G6" s="64">
        <f t="shared" si="0"/>
        <v>0</v>
      </c>
      <c r="K6" s="319" t="str">
        <f>PE_aug!AP6</f>
        <v>Massenbilanz KWS</v>
      </c>
    </row>
    <row r="7" spans="1:11">
      <c r="A7" s="84" t="s">
        <v>40</v>
      </c>
      <c r="E7" s="115">
        <v>8.0249000000000006</v>
      </c>
      <c r="G7" s="64">
        <f t="shared" si="0"/>
        <v>0</v>
      </c>
      <c r="K7" s="319" t="str">
        <f>PE_aug!AP7</f>
        <v>Massenbilanz KWS</v>
      </c>
    </row>
    <row r="8" spans="1:11">
      <c r="A8" s="84" t="s">
        <v>41</v>
      </c>
      <c r="E8" s="115">
        <v>7.6868999999999996</v>
      </c>
      <c r="G8" s="64">
        <f t="shared" si="0"/>
        <v>0</v>
      </c>
      <c r="K8" s="319" t="str">
        <f>PE_aug!AP8</f>
        <v>Kläranlage</v>
      </c>
    </row>
    <row r="9" spans="1:11">
      <c r="A9" s="84" t="s">
        <v>43</v>
      </c>
      <c r="E9" s="115">
        <v>7.1997</v>
      </c>
      <c r="G9" s="64">
        <f t="shared" si="0"/>
        <v>0</v>
      </c>
      <c r="K9" s="319" t="str">
        <f>PE_aug!AP9</f>
        <v>Kläranlage</v>
      </c>
    </row>
    <row r="10" spans="1:11">
      <c r="A10" s="84" t="s">
        <v>44</v>
      </c>
      <c r="E10" s="115">
        <v>5.3699000000000003</v>
      </c>
      <c r="G10" s="64">
        <f t="shared" si="0"/>
        <v>0</v>
      </c>
      <c r="K10" s="319" t="str">
        <f>PE_aug!AP10</f>
        <v>Kläranlage</v>
      </c>
    </row>
    <row r="11" spans="1:11">
      <c r="A11" s="84" t="s">
        <v>45</v>
      </c>
      <c r="E11" s="115">
        <v>5.4539999999999997</v>
      </c>
      <c r="G11" s="64">
        <f t="shared" si="0"/>
        <v>0</v>
      </c>
      <c r="K11" s="319" t="str">
        <f>PE_aug!AP11</f>
        <v>Referenzmessung BS</v>
      </c>
    </row>
    <row r="12" spans="1:11">
      <c r="A12" s="84" t="s">
        <v>47</v>
      </c>
      <c r="E12" s="115">
        <v>10.198399999999999</v>
      </c>
      <c r="G12" s="64">
        <f t="shared" si="0"/>
        <v>0</v>
      </c>
      <c r="K12" s="319" t="str">
        <f>PE_aug!AP12</f>
        <v>Referenzmessung BS</v>
      </c>
    </row>
    <row r="13" spans="1:11">
      <c r="A13" s="86" t="s">
        <v>48</v>
      </c>
      <c r="B13" s="307">
        <v>21.6</v>
      </c>
      <c r="C13" s="51"/>
      <c r="D13" s="51"/>
      <c r="E13" s="117">
        <v>8.5540000000000003</v>
      </c>
      <c r="F13">
        <v>0.5</v>
      </c>
      <c r="G13" s="64">
        <f t="shared" si="0"/>
        <v>2.5251344400280571</v>
      </c>
      <c r="H13" s="309">
        <f>1000*0.0209961</f>
        <v>20.996099999999998</v>
      </c>
      <c r="I13" s="203">
        <f>B13/H13</f>
        <v>1.0287624844614001</v>
      </c>
      <c r="J13" s="203"/>
      <c r="K13" s="319" t="str">
        <f>PE_aug!AP13</f>
        <v>KWS, Methode</v>
      </c>
    </row>
    <row r="14" spans="1:11">
      <c r="A14" s="86" t="s">
        <v>50</v>
      </c>
      <c r="B14" s="307">
        <v>74.45</v>
      </c>
      <c r="E14" s="115">
        <v>7.1116999999999999</v>
      </c>
      <c r="F14">
        <v>0.5</v>
      </c>
      <c r="G14" s="64">
        <f t="shared" si="0"/>
        <v>10.46866431373652</v>
      </c>
      <c r="H14" s="309">
        <f>1000*0.0744934</f>
        <v>74.493400000000008</v>
      </c>
      <c r="I14" s="203">
        <f>B14/H14</f>
        <v>0.99941739805137098</v>
      </c>
      <c r="J14" s="203"/>
      <c r="K14" s="319" t="str">
        <f>PE_aug!AP14</f>
        <v>KWS, Methode</v>
      </c>
    </row>
    <row r="15" spans="1:11">
      <c r="A15" s="86" t="s">
        <v>51</v>
      </c>
      <c r="B15" s="307">
        <v>16.440000000000001</v>
      </c>
      <c r="E15" s="115">
        <v>7.8148999999999997</v>
      </c>
      <c r="F15">
        <v>0.44</v>
      </c>
      <c r="G15" s="64">
        <f t="shared" si="0"/>
        <v>2.1036737514235631</v>
      </c>
      <c r="H15" s="309">
        <f>1000*0.0169983</f>
        <v>16.9983</v>
      </c>
      <c r="I15" s="203">
        <f>B15/H15</f>
        <v>0.96715553908332019</v>
      </c>
      <c r="J15" s="203"/>
      <c r="K15" s="319" t="str">
        <f>PE_aug!AP15</f>
        <v>KWS, Methode</v>
      </c>
    </row>
    <row r="16" spans="1:11">
      <c r="A16" s="95" t="s">
        <v>554</v>
      </c>
      <c r="C16" s="51"/>
      <c r="D16" s="51"/>
      <c r="E16" s="117">
        <v>5.2794999999999996</v>
      </c>
      <c r="F16">
        <v>0.25</v>
      </c>
      <c r="G16" s="64">
        <f t="shared" si="0"/>
        <v>0</v>
      </c>
      <c r="K16" s="319" t="str">
        <f>PE_aug!AP16</f>
        <v>Referenzmessung BS</v>
      </c>
    </row>
    <row r="17" spans="1:11">
      <c r="A17" s="95" t="s">
        <v>555</v>
      </c>
      <c r="E17" s="115">
        <v>4.8700999999999999</v>
      </c>
      <c r="F17">
        <v>0.25</v>
      </c>
      <c r="G17" s="64">
        <f t="shared" si="0"/>
        <v>0</v>
      </c>
      <c r="K17" s="319" t="str">
        <f>PE_aug!AP17</f>
        <v>Referenzmessung BS</v>
      </c>
    </row>
    <row r="18" spans="1:11">
      <c r="A18" s="95" t="s">
        <v>556</v>
      </c>
      <c r="C18" s="85"/>
      <c r="D18" s="85"/>
      <c r="E18" s="118">
        <v>9.1433999999999997</v>
      </c>
      <c r="G18" s="64">
        <f t="shared" si="0"/>
        <v>0</v>
      </c>
      <c r="K18" s="319" t="str">
        <f>PE_aug!AP18</f>
        <v>Referenzmessung BS</v>
      </c>
    </row>
    <row r="19" spans="1:11">
      <c r="A19" s="95" t="s">
        <v>55</v>
      </c>
      <c r="C19" s="51"/>
      <c r="D19" s="51"/>
      <c r="E19" s="117">
        <v>8.1303000000000001</v>
      </c>
      <c r="G19" s="64">
        <f t="shared" si="0"/>
        <v>0</v>
      </c>
      <c r="K19" s="319" t="str">
        <f>PE_aug!AP19</f>
        <v>Massenbilanz KWS</v>
      </c>
    </row>
    <row r="20" spans="1:11">
      <c r="A20" s="95" t="s">
        <v>56</v>
      </c>
      <c r="E20" s="115">
        <v>7.2693000000000003</v>
      </c>
      <c r="G20" s="64">
        <f t="shared" si="0"/>
        <v>0</v>
      </c>
      <c r="K20" s="319" t="str">
        <f>PE_aug!AP20</f>
        <v>Massenbilanz KWS</v>
      </c>
    </row>
    <row r="21" spans="1:11">
      <c r="A21" s="95" t="s">
        <v>57</v>
      </c>
      <c r="C21" s="85"/>
      <c r="D21" s="85"/>
      <c r="E21" s="118">
        <v>9.1760999999999999</v>
      </c>
      <c r="G21" s="64">
        <f t="shared" si="0"/>
        <v>0</v>
      </c>
      <c r="K21" s="319" t="str">
        <f>PE_aug!AP21</f>
        <v>Massenbilanz KWS</v>
      </c>
    </row>
    <row r="22" spans="1:11">
      <c r="A22" s="95" t="s">
        <v>58</v>
      </c>
      <c r="C22" s="51"/>
      <c r="D22" s="51"/>
      <c r="E22" s="117">
        <v>2.7290999999999999</v>
      </c>
      <c r="G22" s="64">
        <f t="shared" si="0"/>
        <v>0</v>
      </c>
      <c r="K22" s="319" t="str">
        <f>PE_aug!AP22</f>
        <v>Massenbilanz KWS</v>
      </c>
    </row>
    <row r="23" spans="1:11">
      <c r="A23" s="95" t="s">
        <v>59</v>
      </c>
      <c r="E23" s="115">
        <v>3.5952000000000002</v>
      </c>
      <c r="G23" s="64">
        <f t="shared" si="0"/>
        <v>0</v>
      </c>
      <c r="K23" s="319" t="str">
        <f>PE_aug!AP23</f>
        <v>Massenbilanz KWS</v>
      </c>
    </row>
    <row r="24" spans="1:11">
      <c r="A24" s="95" t="s">
        <v>60</v>
      </c>
      <c r="C24" s="85"/>
      <c r="D24" s="85"/>
      <c r="E24" s="118">
        <v>9.2985000000000007</v>
      </c>
      <c r="G24" s="64">
        <f t="shared" si="0"/>
        <v>0</v>
      </c>
      <c r="K24" s="319" t="str">
        <f>PE_aug!AP24</f>
        <v>Massenbilanz KWS</v>
      </c>
    </row>
    <row r="25" spans="1:11">
      <c r="A25" s="95" t="s">
        <v>61</v>
      </c>
      <c r="B25" s="307">
        <v>4.8499999999999996</v>
      </c>
      <c r="E25" s="115">
        <v>2.0716999999999999</v>
      </c>
      <c r="F25">
        <v>0.25</v>
      </c>
      <c r="G25" s="64">
        <f t="shared" si="0"/>
        <v>2.3410725491142541</v>
      </c>
      <c r="K25" s="319" t="str">
        <f>PE_aug!AP25</f>
        <v>Referenzmessung BS</v>
      </c>
    </row>
    <row r="26" spans="1:11">
      <c r="A26" s="95" t="s">
        <v>62</v>
      </c>
      <c r="E26" s="115">
        <v>0.66539999999999999</v>
      </c>
      <c r="F26">
        <v>0</v>
      </c>
      <c r="G26" s="64">
        <f t="shared" si="0"/>
        <v>0</v>
      </c>
      <c r="K26" s="319" t="str">
        <f>PE_aug!AP26</f>
        <v>Referenzmessung BS</v>
      </c>
    </row>
    <row r="27" spans="1:11">
      <c r="A27" s="95" t="s">
        <v>63</v>
      </c>
      <c r="E27" s="115">
        <v>211.9</v>
      </c>
      <c r="G27" s="64">
        <f t="shared" si="0"/>
        <v>0</v>
      </c>
      <c r="K27" s="319" t="str">
        <f>PE_aug!AP27</f>
        <v>Methode</v>
      </c>
    </row>
    <row r="28" spans="1:11">
      <c r="A28" s="171" t="s">
        <v>65</v>
      </c>
      <c r="E28" s="115">
        <v>47.3</v>
      </c>
      <c r="F28">
        <v>0</v>
      </c>
      <c r="G28" s="64">
        <f t="shared" si="0"/>
        <v>0</v>
      </c>
      <c r="K28" s="319" t="str">
        <f>PE_aug!AP28</f>
        <v>Methode</v>
      </c>
    </row>
    <row r="29" spans="1:11" s="51" customFormat="1">
      <c r="A29" s="111" t="s">
        <v>66</v>
      </c>
      <c r="B29" s="78"/>
      <c r="E29" s="117">
        <v>2.4357000000000002</v>
      </c>
      <c r="G29" s="64">
        <f t="shared" si="0"/>
        <v>0</v>
      </c>
      <c r="K29" s="293" t="str">
        <f>PE_aug!AP29</f>
        <v>Methodenvergleich</v>
      </c>
    </row>
    <row r="30" spans="1:11">
      <c r="A30" s="111" t="s">
        <v>68</v>
      </c>
      <c r="E30" s="115">
        <v>4.8849</v>
      </c>
      <c r="G30" s="64">
        <f t="shared" si="0"/>
        <v>0</v>
      </c>
      <c r="K30" s="319" t="str">
        <f>PE_aug!AP30</f>
        <v>Methode</v>
      </c>
    </row>
    <row r="31" spans="1:11">
      <c r="A31" s="111" t="s">
        <v>69</v>
      </c>
      <c r="E31" s="115"/>
      <c r="G31" s="64" t="e">
        <f t="shared" si="0"/>
        <v>#DIV/0!</v>
      </c>
      <c r="K31" s="319" t="str">
        <f>PE_aug!AP31</f>
        <v>KWS, neue Schlammbehandlung</v>
      </c>
    </row>
    <row r="32" spans="1:11">
      <c r="A32" s="111" t="s">
        <v>71</v>
      </c>
      <c r="B32" s="307">
        <v>67.260000000000005</v>
      </c>
      <c r="E32" s="115">
        <v>8.4742072000000004</v>
      </c>
      <c r="F32">
        <v>0.5</v>
      </c>
      <c r="G32" s="64">
        <f t="shared" si="0"/>
        <v>7.9370256606423313</v>
      </c>
      <c r="H32">
        <f>PE_aug!AM32</f>
        <v>8.5637000000000008</v>
      </c>
      <c r="I32" s="227">
        <f>H32-E32</f>
        <v>8.9492800000000372E-2</v>
      </c>
      <c r="J32" s="309">
        <f>(B32*100)/(I32*1000)</f>
        <v>75.15688412922573</v>
      </c>
      <c r="K32" s="319" t="str">
        <f>PE_aug!AP32</f>
        <v>Methode</v>
      </c>
    </row>
    <row r="33" spans="1:11">
      <c r="A33" s="111" t="s">
        <v>72</v>
      </c>
      <c r="E33" s="115">
        <v>9.5027999999999988</v>
      </c>
      <c r="G33" s="64">
        <f t="shared" si="0"/>
        <v>0</v>
      </c>
      <c r="K33" s="319" t="str">
        <f>PE_aug!AP33</f>
        <v>Methode</v>
      </c>
    </row>
    <row r="34" spans="1:11">
      <c r="A34" s="111" t="s">
        <v>73</v>
      </c>
      <c r="E34" s="115">
        <v>6.3264996</v>
      </c>
      <c r="G34" s="64">
        <f t="shared" si="0"/>
        <v>0</v>
      </c>
      <c r="K34" s="319" t="str">
        <f>PE_aug!AP34</f>
        <v>Methode</v>
      </c>
    </row>
    <row r="35" spans="1:11">
      <c r="A35" s="111" t="s">
        <v>74</v>
      </c>
      <c r="B35" s="307">
        <v>49.84</v>
      </c>
      <c r="E35" s="115">
        <v>20.927900000000001</v>
      </c>
      <c r="F35">
        <v>0.25</v>
      </c>
      <c r="G35" s="64">
        <f t="shared" si="0"/>
        <v>2.3815098504866707</v>
      </c>
      <c r="K35" s="319" t="str">
        <f>PE_aug!AP35</f>
        <v>GWI Algen</v>
      </c>
    </row>
    <row r="36" spans="1:11">
      <c r="A36" s="111" t="s">
        <v>76</v>
      </c>
      <c r="E36" s="115">
        <v>5.5827999999999998</v>
      </c>
      <c r="G36" s="64">
        <f t="shared" si="0"/>
        <v>0</v>
      </c>
      <c r="K36" s="319" t="str">
        <f>PE_aug!AP36</f>
        <v>KWS, neue Schlammbehandlung</v>
      </c>
    </row>
    <row r="37" spans="1:11">
      <c r="A37" s="111" t="s">
        <v>77</v>
      </c>
      <c r="E37" s="115">
        <v>9.077</v>
      </c>
      <c r="G37" s="64">
        <f t="shared" si="0"/>
        <v>0</v>
      </c>
      <c r="K37" s="319" t="str">
        <f>PE_aug!AP37</f>
        <v>KWS, neue Schlammbehandlung</v>
      </c>
    </row>
    <row r="38" spans="1:11">
      <c r="A38" s="111" t="s">
        <v>78</v>
      </c>
      <c r="E38" s="115">
        <v>4.5395000000000003</v>
      </c>
      <c r="G38" s="64">
        <f t="shared" si="0"/>
        <v>0</v>
      </c>
      <c r="K38" s="319" t="str">
        <f>PE_aug!AP38</f>
        <v>KWS, neue Schlammbehandlung</v>
      </c>
    </row>
    <row r="39" spans="1:11">
      <c r="A39" s="111" t="s">
        <v>79</v>
      </c>
      <c r="E39" s="115">
        <v>11.981299999999999</v>
      </c>
      <c r="G39" s="64">
        <f t="shared" si="0"/>
        <v>0</v>
      </c>
      <c r="K39" s="319" t="str">
        <f>PE_aug!AP39</f>
        <v>KWS, neue Schlammbehandlung</v>
      </c>
    </row>
    <row r="40" spans="1:11">
      <c r="A40" s="111" t="s">
        <v>80</v>
      </c>
      <c r="E40" s="115">
        <v>22.0534</v>
      </c>
      <c r="G40" s="64">
        <f t="shared" si="0"/>
        <v>0</v>
      </c>
      <c r="K40" s="319" t="str">
        <f>PE_aug!AP40</f>
        <v>KWS, neue Schlammbehandlung</v>
      </c>
    </row>
    <row r="41" spans="1:11">
      <c r="A41" s="111" t="s">
        <v>81</v>
      </c>
      <c r="E41" s="115">
        <v>14.983700000000001</v>
      </c>
      <c r="G41" s="64">
        <f t="shared" si="0"/>
        <v>0</v>
      </c>
      <c r="K41" s="319" t="str">
        <f>PE_aug!AP41</f>
        <v>KWS, neue Schlammbehandlung</v>
      </c>
    </row>
    <row r="42" spans="1:11">
      <c r="A42" s="111" t="s">
        <v>82</v>
      </c>
      <c r="E42" s="115">
        <v>2.3340000000000001</v>
      </c>
      <c r="G42" s="64">
        <f t="shared" si="0"/>
        <v>0</v>
      </c>
      <c r="K42" s="319" t="str">
        <f>PE_aug!AP42</f>
        <v>Methodenvergleich</v>
      </c>
    </row>
    <row r="43" spans="1:11">
      <c r="A43" s="111" t="s">
        <v>83</v>
      </c>
      <c r="E43" s="115">
        <v>5.1288999999999998</v>
      </c>
      <c r="G43" s="64">
        <f t="shared" si="0"/>
        <v>0</v>
      </c>
      <c r="K43" s="319" t="str">
        <f>PE_aug!AP43</f>
        <v>Methodenvergleich</v>
      </c>
    </row>
    <row r="44" spans="1:11">
      <c r="A44" s="111" t="s">
        <v>84</v>
      </c>
      <c r="E44" s="115">
        <v>2.7223000000000002</v>
      </c>
      <c r="G44" s="64">
        <f t="shared" si="0"/>
        <v>0</v>
      </c>
      <c r="K44" s="319" t="str">
        <f>PE_aug!AP44</f>
        <v>Methodenvergleich</v>
      </c>
    </row>
    <row r="45" spans="1:11">
      <c r="A45" s="111" t="s">
        <v>85</v>
      </c>
      <c r="E45" s="115">
        <v>2.6141000000000001</v>
      </c>
      <c r="G45" s="64">
        <f t="shared" si="0"/>
        <v>0</v>
      </c>
      <c r="K45" s="319" t="str">
        <f>PE_aug!AP45</f>
        <v>Methodenvergleich</v>
      </c>
    </row>
    <row r="46" spans="1:11">
      <c r="A46" s="111" t="s">
        <v>86</v>
      </c>
      <c r="E46" s="115">
        <v>3.3165</v>
      </c>
      <c r="G46" s="64">
        <f t="shared" si="0"/>
        <v>0</v>
      </c>
      <c r="K46" s="319" t="str">
        <f>PE_aug!AP46</f>
        <v>Methodenvergleich</v>
      </c>
    </row>
    <row r="47" spans="1:11">
      <c r="A47" s="111" t="s">
        <v>87</v>
      </c>
      <c r="E47" s="115">
        <v>2.6827000000000001</v>
      </c>
      <c r="G47" s="64">
        <f t="shared" si="0"/>
        <v>0</v>
      </c>
      <c r="K47" s="319" t="str">
        <f>PE_aug!AP47</f>
        <v>Methodenvergleich</v>
      </c>
    </row>
    <row r="48" spans="1:11">
      <c r="A48" s="111" t="s">
        <v>88</v>
      </c>
      <c r="E48" s="115">
        <v>4.9345999999999997</v>
      </c>
      <c r="G48" s="64">
        <f t="shared" si="0"/>
        <v>0</v>
      </c>
      <c r="K48" s="319" t="str">
        <f>PE_aug!AP48</f>
        <v>Methodenvergleich</v>
      </c>
    </row>
    <row r="49" spans="1:11">
      <c r="A49" s="111" t="s">
        <v>89</v>
      </c>
      <c r="E49" s="115">
        <v>5.2786</v>
      </c>
      <c r="G49" s="64">
        <f t="shared" si="0"/>
        <v>0</v>
      </c>
      <c r="K49" s="319" t="str">
        <f>PE_aug!AP49</f>
        <v>Methodenvergleich</v>
      </c>
    </row>
    <row r="50" spans="1:11">
      <c r="A50" s="116" t="s">
        <v>90</v>
      </c>
      <c r="C50" s="51"/>
      <c r="D50" s="51"/>
      <c r="E50" s="117">
        <v>6.4586099999999994E-2</v>
      </c>
      <c r="F50">
        <v>0</v>
      </c>
      <c r="G50" s="64">
        <f t="shared" si="0"/>
        <v>0</v>
      </c>
      <c r="K50" s="319" t="str">
        <f>PE_aug!AP50</f>
        <v>Methode</v>
      </c>
    </row>
    <row r="51" spans="1:11">
      <c r="A51" s="116" t="s">
        <v>91</v>
      </c>
      <c r="E51" s="115">
        <v>9.7091999999999992</v>
      </c>
      <c r="G51" s="64">
        <f t="shared" si="0"/>
        <v>0</v>
      </c>
      <c r="K51" s="319" t="str">
        <f>PE_aug!AP51</f>
        <v>Referenzmessung BS</v>
      </c>
    </row>
    <row r="52" spans="1:11">
      <c r="A52" s="116" t="s">
        <v>92</v>
      </c>
      <c r="E52" s="115">
        <v>13.1975</v>
      </c>
      <c r="G52" s="64">
        <f t="shared" si="0"/>
        <v>0</v>
      </c>
      <c r="K52" s="319" t="str">
        <f>PE_aug!AP52</f>
        <v>Referenzmessung BS</v>
      </c>
    </row>
    <row r="53" spans="1:11">
      <c r="A53" s="116" t="s">
        <v>93</v>
      </c>
      <c r="B53">
        <v>3.22</v>
      </c>
      <c r="E53" s="115">
        <v>13.651300000000001</v>
      </c>
      <c r="F53">
        <v>0.5</v>
      </c>
      <c r="G53" s="64">
        <f t="shared" si="0"/>
        <v>0.235874971614425</v>
      </c>
      <c r="K53" s="319" t="str">
        <f>PE_aug!AP53</f>
        <v>Referenzmessung BS</v>
      </c>
    </row>
    <row r="54" spans="1:11">
      <c r="A54" s="116" t="s">
        <v>94</v>
      </c>
      <c r="E54" s="115">
        <v>12.703900000000001</v>
      </c>
      <c r="G54" s="64">
        <f t="shared" si="0"/>
        <v>0</v>
      </c>
      <c r="K54" s="319" t="str">
        <f>PE_aug!AP54</f>
        <v>Referenzmessung BS</v>
      </c>
    </row>
    <row r="55" spans="1:11">
      <c r="A55" s="116" t="s">
        <v>95</v>
      </c>
      <c r="E55" s="115">
        <v>7.2664999999999997</v>
      </c>
      <c r="G55" s="64">
        <f t="shared" si="0"/>
        <v>0</v>
      </c>
      <c r="K55" s="319" t="str">
        <f>PE_aug!AP55</f>
        <v>Referenzmessung BS</v>
      </c>
    </row>
    <row r="56" spans="1:11">
      <c r="A56" s="116" t="s">
        <v>96</v>
      </c>
      <c r="E56" s="115">
        <v>10.364800000000001</v>
      </c>
      <c r="G56" s="64">
        <f t="shared" si="0"/>
        <v>0</v>
      </c>
      <c r="K56" s="319" t="str">
        <f>PE_aug!AP56</f>
        <v>Referenzmessung BS</v>
      </c>
    </row>
    <row r="57" spans="1:11">
      <c r="A57" s="116" t="s">
        <v>97</v>
      </c>
      <c r="E57" s="115">
        <v>10.887700000000001</v>
      </c>
      <c r="G57" s="64">
        <f t="shared" si="0"/>
        <v>0</v>
      </c>
      <c r="K57" s="319" t="str">
        <f>PE_aug!AP57</f>
        <v>Referenzmessung BS</v>
      </c>
    </row>
    <row r="58" spans="1:11">
      <c r="A58" s="116" t="s">
        <v>98</v>
      </c>
      <c r="E58" s="115">
        <v>8.7660999999999998</v>
      </c>
      <c r="G58" s="64">
        <f t="shared" si="0"/>
        <v>0</v>
      </c>
      <c r="K58" s="319" t="str">
        <f>PE_aug!AP58</f>
        <v>Referenzmessung BS</v>
      </c>
    </row>
    <row r="59" spans="1:11">
      <c r="A59" s="116" t="s">
        <v>99</v>
      </c>
      <c r="E59" s="115">
        <v>11.4666</v>
      </c>
      <c r="G59" s="64">
        <f t="shared" si="0"/>
        <v>0</v>
      </c>
      <c r="K59" s="319" t="str">
        <f>PE_aug!AP59</f>
        <v>Referenzmessung BS</v>
      </c>
    </row>
    <row r="60" spans="1:11">
      <c r="A60" s="116" t="s">
        <v>100</v>
      </c>
      <c r="E60" s="115">
        <v>8.7931000000000008</v>
      </c>
      <c r="G60" s="64">
        <f t="shared" si="0"/>
        <v>0</v>
      </c>
      <c r="K60" s="319" t="str">
        <f>PE_aug!AP60</f>
        <v>Referenzmessung BS</v>
      </c>
    </row>
    <row r="61" spans="1:11">
      <c r="A61" s="116" t="s">
        <v>101</v>
      </c>
      <c r="E61" s="115">
        <v>7.7481</v>
      </c>
      <c r="G61" s="64">
        <f t="shared" si="0"/>
        <v>0</v>
      </c>
      <c r="K61" s="319" t="str">
        <f>PE_aug!AP61</f>
        <v>Referenzmessung BS</v>
      </c>
    </row>
    <row r="62" spans="1:11">
      <c r="A62" s="116" t="s">
        <v>102</v>
      </c>
      <c r="E62" s="115">
        <v>9.3953000000000007</v>
      </c>
      <c r="G62" s="64">
        <f t="shared" si="0"/>
        <v>0</v>
      </c>
      <c r="K62" s="319" t="str">
        <f>PE_aug!AP62</f>
        <v>Referenzmessung BS</v>
      </c>
    </row>
    <row r="63" spans="1:11">
      <c r="A63" s="116" t="s">
        <v>103</v>
      </c>
      <c r="E63" s="115">
        <v>10.911199999999999</v>
      </c>
      <c r="G63" s="64">
        <f t="shared" si="0"/>
        <v>0</v>
      </c>
      <c r="K63" s="319" t="str">
        <f>PE_aug!AP63</f>
        <v>Referenzmessung BS</v>
      </c>
    </row>
    <row r="64" spans="1:11">
      <c r="A64" s="116" t="s">
        <v>104</v>
      </c>
      <c r="B64">
        <v>4.18</v>
      </c>
      <c r="E64" s="115">
        <v>9.3252000000000006</v>
      </c>
      <c r="F64">
        <v>0.5</v>
      </c>
      <c r="G64" s="64">
        <f t="shared" si="0"/>
        <v>0.44824775876120615</v>
      </c>
      <c r="K64" s="319" t="str">
        <f>PE_aug!AP64</f>
        <v>Referenzmessung BS</v>
      </c>
    </row>
    <row r="65" spans="1:11">
      <c r="A65" s="116" t="s">
        <v>105</v>
      </c>
      <c r="B65">
        <v>3.94</v>
      </c>
      <c r="E65" s="115">
        <v>10.133599999999999</v>
      </c>
      <c r="F65">
        <v>0.44</v>
      </c>
      <c r="G65" s="64">
        <f t="shared" si="0"/>
        <v>0.3888055577484803</v>
      </c>
      <c r="K65" s="319" t="str">
        <f>PE_aug!AP65</f>
        <v>Referenzmessung BS</v>
      </c>
    </row>
    <row r="66" spans="1:11">
      <c r="A66" s="116" t="s">
        <v>106</v>
      </c>
      <c r="E66" s="115">
        <v>5.3752000000000004</v>
      </c>
      <c r="G66" s="64">
        <f t="shared" ref="G66:G129" si="1">B66/E66</f>
        <v>0</v>
      </c>
      <c r="K66" s="319" t="str">
        <f>PE_aug!AP66</f>
        <v>Massenbilanz KWS, Methode</v>
      </c>
    </row>
    <row r="67" spans="1:11">
      <c r="A67" s="116" t="s">
        <v>108</v>
      </c>
      <c r="B67">
        <v>10.42</v>
      </c>
      <c r="E67" s="115">
        <v>3.4369000000000001</v>
      </c>
      <c r="F67">
        <v>0.25</v>
      </c>
      <c r="G67" s="64">
        <f t="shared" si="1"/>
        <v>3.031801914515988</v>
      </c>
      <c r="K67" s="319" t="str">
        <f>PE_aug!AP67</f>
        <v>Massenbilanz KWS, Methode</v>
      </c>
    </row>
    <row r="68" spans="1:11">
      <c r="A68" s="127" t="s">
        <v>109</v>
      </c>
      <c r="C68" s="227">
        <v>0.72500766269002093</v>
      </c>
      <c r="D68" s="227">
        <v>2.3223591542813038</v>
      </c>
      <c r="E68">
        <v>24.244299999999999</v>
      </c>
      <c r="G68" s="64">
        <f t="shared" si="1"/>
        <v>0</v>
      </c>
      <c r="K68" s="319" t="str">
        <f>PE_aug!AP68</f>
        <v>Mischwasserüberlauf</v>
      </c>
    </row>
    <row r="69" spans="1:11">
      <c r="A69" s="127" t="s">
        <v>111</v>
      </c>
      <c r="C69" s="227">
        <v>1.1387065290790079</v>
      </c>
      <c r="D69" s="227">
        <v>2.3223591542813038</v>
      </c>
      <c r="E69">
        <v>21.4099</v>
      </c>
      <c r="G69" s="64">
        <f t="shared" si="1"/>
        <v>0</v>
      </c>
      <c r="K69" s="319" t="str">
        <f>PE_aug!AP69</f>
        <v>Mischwasserüberlauf</v>
      </c>
    </row>
    <row r="70" spans="1:11">
      <c r="A70" s="127" t="s">
        <v>112</v>
      </c>
      <c r="C70" s="227">
        <v>0.41413423453421311</v>
      </c>
      <c r="D70" s="227">
        <v>2.3223591542813038</v>
      </c>
      <c r="E70">
        <v>19.963000000000001</v>
      </c>
      <c r="G70" s="64">
        <f t="shared" si="1"/>
        <v>0</v>
      </c>
      <c r="K70" s="319" t="str">
        <f>PE_aug!AP70</f>
        <v>Mischwasserüberlauf</v>
      </c>
    </row>
    <row r="71" spans="1:11">
      <c r="A71" s="127" t="s">
        <v>113</v>
      </c>
      <c r="C71" s="227">
        <v>0.62561317936058813</v>
      </c>
      <c r="D71" s="227">
        <v>0.28260061430444122</v>
      </c>
      <c r="E71">
        <v>22.075199999999999</v>
      </c>
      <c r="G71" s="64">
        <f t="shared" si="1"/>
        <v>0</v>
      </c>
      <c r="K71" s="319" t="str">
        <f>PE_aug!AP71</f>
        <v>Mischwasserüberlauf</v>
      </c>
    </row>
    <row r="72" spans="1:11">
      <c r="A72" s="127" t="s">
        <v>114</v>
      </c>
      <c r="C72" s="227">
        <v>0.52425544744513741</v>
      </c>
      <c r="D72" s="227">
        <v>0.28260061430444122</v>
      </c>
      <c r="E72">
        <v>19.199200000000001</v>
      </c>
      <c r="G72" s="64">
        <f t="shared" si="1"/>
        <v>0</v>
      </c>
      <c r="K72" s="319" t="str">
        <f>PE_aug!AP72</f>
        <v>Mischwasserüberlauf</v>
      </c>
    </row>
    <row r="73" spans="1:11">
      <c r="A73" s="127" t="s">
        <v>115</v>
      </c>
      <c r="C73" s="227">
        <v>1.138537379406299</v>
      </c>
      <c r="D73" s="227">
        <v>0.28260061430444122</v>
      </c>
      <c r="E73">
        <v>32.165999999999997</v>
      </c>
      <c r="G73" s="64">
        <f t="shared" si="1"/>
        <v>0</v>
      </c>
      <c r="K73" s="319" t="str">
        <f>PE_aug!AP73</f>
        <v>Mischwasserüberlauf</v>
      </c>
    </row>
    <row r="74" spans="1:11">
      <c r="A74" s="127" t="s">
        <v>116</v>
      </c>
      <c r="C74" s="227"/>
      <c r="D74" s="227"/>
      <c r="E74">
        <v>0.48601299999999997</v>
      </c>
      <c r="G74" s="64">
        <f t="shared" si="1"/>
        <v>0</v>
      </c>
      <c r="K74" s="319" t="str">
        <f>PE_aug!AP74</f>
        <v>Methode</v>
      </c>
    </row>
    <row r="75" spans="1:11">
      <c r="A75" s="127" t="s">
        <v>117</v>
      </c>
      <c r="C75" s="227"/>
      <c r="D75" s="227"/>
      <c r="E75">
        <v>31.152699999999999</v>
      </c>
      <c r="G75" s="64">
        <f t="shared" si="1"/>
        <v>0</v>
      </c>
      <c r="K75" s="319" t="str">
        <f>PE_aug!AP75</f>
        <v>KWS, Methode</v>
      </c>
    </row>
    <row r="76" spans="1:11">
      <c r="A76" s="127" t="s">
        <v>118</v>
      </c>
      <c r="C76" s="227">
        <v>0.92741006348580879</v>
      </c>
      <c r="D76" s="227">
        <v>0.93563404694108665</v>
      </c>
      <c r="E76">
        <v>10.7529</v>
      </c>
      <c r="G76" s="64">
        <f t="shared" si="1"/>
        <v>0</v>
      </c>
      <c r="K76" s="319" t="str">
        <f>PE_aug!AP76</f>
        <v>KWS, neue Schlammbehandlung</v>
      </c>
    </row>
    <row r="77" spans="1:11">
      <c r="A77" s="127" t="s">
        <v>119</v>
      </c>
      <c r="C77" s="227">
        <v>0.6165271278721236</v>
      </c>
      <c r="D77" s="227">
        <v>0.93563404694108665</v>
      </c>
      <c r="E77">
        <v>24.845700000000001</v>
      </c>
      <c r="G77" s="64">
        <f t="shared" si="1"/>
        <v>0</v>
      </c>
      <c r="K77" s="319" t="str">
        <f>PE_aug!AP77</f>
        <v>KWS, neue Schlammbehandlung</v>
      </c>
    </row>
    <row r="78" spans="1:11">
      <c r="A78" s="127" t="s">
        <v>120</v>
      </c>
      <c r="C78" s="227">
        <v>0.69209679096893473</v>
      </c>
      <c r="D78" s="227">
        <v>0.93563404694108665</v>
      </c>
      <c r="E78">
        <v>8.3593499999999992</v>
      </c>
      <c r="G78" s="64">
        <f t="shared" si="1"/>
        <v>0</v>
      </c>
      <c r="K78" s="319" t="str">
        <f>PE_aug!AP78</f>
        <v>KWS, neue Schlammbehandlung</v>
      </c>
    </row>
    <row r="79" spans="1:11">
      <c r="A79" s="127" t="s">
        <v>121</v>
      </c>
      <c r="C79" s="227"/>
      <c r="D79" s="227"/>
      <c r="E79">
        <v>22.5444</v>
      </c>
      <c r="G79" s="64">
        <f t="shared" si="1"/>
        <v>0</v>
      </c>
      <c r="K79" s="319" t="str">
        <f>PE_aug!AP79</f>
        <v>KWS, neue Schlammbehandlung</v>
      </c>
    </row>
    <row r="80" spans="1:11">
      <c r="A80" s="127" t="s">
        <v>122</v>
      </c>
      <c r="C80" s="227">
        <v>0.59884540222007288</v>
      </c>
      <c r="D80" s="227">
        <v>0.72751809830295933</v>
      </c>
      <c r="E80">
        <v>4.5157999999999996</v>
      </c>
      <c r="G80" s="64">
        <f t="shared" si="1"/>
        <v>0</v>
      </c>
      <c r="K80" s="319" t="str">
        <f>PE_aug!AP80</f>
        <v>Flussproben</v>
      </c>
    </row>
    <row r="81" spans="1:11">
      <c r="A81" s="127" t="s">
        <v>124</v>
      </c>
      <c r="C81" s="227">
        <v>0.61625653571817318</v>
      </c>
      <c r="D81" s="227">
        <v>0.72751809830295933</v>
      </c>
      <c r="E81">
        <v>10.894500000000001</v>
      </c>
      <c r="G81" s="64">
        <f t="shared" si="1"/>
        <v>0</v>
      </c>
      <c r="K81" s="319" t="str">
        <f>PE_aug!AP81</f>
        <v>Flussproben</v>
      </c>
    </row>
    <row r="82" spans="1:11">
      <c r="A82" s="127" t="s">
        <v>125</v>
      </c>
      <c r="C82" s="227">
        <v>0.57667479250297526</v>
      </c>
      <c r="D82" s="227">
        <v>0.72751809830295933</v>
      </c>
      <c r="E82">
        <v>10.5124</v>
      </c>
      <c r="G82" s="64">
        <f t="shared" si="1"/>
        <v>0</v>
      </c>
      <c r="K82" s="319" t="str">
        <f>PE_aug!AP82</f>
        <v>Flussproben</v>
      </c>
    </row>
    <row r="83" spans="1:11">
      <c r="A83" s="127" t="s">
        <v>126</v>
      </c>
      <c r="C83" s="227">
        <v>1.3019092601025839</v>
      </c>
      <c r="D83" s="227">
        <v>0.72751809830295933</v>
      </c>
      <c r="E83">
        <v>7.32599</v>
      </c>
      <c r="G83" s="64">
        <f t="shared" si="1"/>
        <v>0</v>
      </c>
      <c r="K83" s="319" t="str">
        <f>PE_aug!AP83</f>
        <v>Flussproben, Methode</v>
      </c>
    </row>
    <row r="84" spans="1:11">
      <c r="A84" s="127" t="s">
        <v>128</v>
      </c>
      <c r="C84" s="227">
        <v>0.58906099485757879</v>
      </c>
      <c r="D84" s="227">
        <v>0.99528059171618266</v>
      </c>
      <c r="E84">
        <v>13.3148</v>
      </c>
      <c r="G84" s="64">
        <f t="shared" si="1"/>
        <v>0</v>
      </c>
      <c r="K84" s="319" t="str">
        <f>PE_aug!AP84</f>
        <v>Flussproben</v>
      </c>
    </row>
    <row r="85" spans="1:11">
      <c r="A85" s="127" t="s">
        <v>129</v>
      </c>
      <c r="C85" s="227">
        <v>0.51486739662881298</v>
      </c>
      <c r="D85" s="227">
        <v>0.99528059171618266</v>
      </c>
      <c r="E85">
        <v>11.510199999999999</v>
      </c>
      <c r="G85" s="64">
        <f t="shared" si="1"/>
        <v>0</v>
      </c>
      <c r="K85" s="319" t="str">
        <f>PE_aug!AP85</f>
        <v>Flussproben</v>
      </c>
    </row>
    <row r="86" spans="1:11">
      <c r="A86" s="127" t="s">
        <v>130</v>
      </c>
      <c r="C86" s="227">
        <v>0.43495871571275968</v>
      </c>
      <c r="D86" s="227">
        <v>0.99528059171618266</v>
      </c>
      <c r="E86">
        <v>13.69835</v>
      </c>
      <c r="G86" s="64">
        <f t="shared" si="1"/>
        <v>0</v>
      </c>
      <c r="K86" s="319" t="str">
        <f>PE_aug!AP86</f>
        <v>Flussproben</v>
      </c>
    </row>
    <row r="87" spans="1:11">
      <c r="A87" s="127" t="s">
        <v>131</v>
      </c>
      <c r="C87" s="227">
        <v>1.463439595231159</v>
      </c>
      <c r="D87" s="227">
        <v>0.99528059171618266</v>
      </c>
      <c r="E87">
        <v>4.7008900000000002</v>
      </c>
      <c r="G87" s="64">
        <f t="shared" si="1"/>
        <v>0</v>
      </c>
      <c r="K87" s="319" t="str">
        <f>PE_aug!AP87</f>
        <v>Flussproben, Methode</v>
      </c>
    </row>
    <row r="88" spans="1:11">
      <c r="A88" s="127" t="s">
        <v>557</v>
      </c>
      <c r="C88" s="227">
        <v>0.44252277258406802</v>
      </c>
      <c r="D88" s="227">
        <v>0.56732019691233859</v>
      </c>
      <c r="E88">
        <v>7.9326249999999998</v>
      </c>
      <c r="G88" s="64">
        <f t="shared" si="1"/>
        <v>0</v>
      </c>
      <c r="K88" s="319" t="str">
        <f>PE_aug!AP88</f>
        <v>Mischwasserüberlauf</v>
      </c>
    </row>
    <row r="89" spans="1:11">
      <c r="A89" s="127" t="s">
        <v>558</v>
      </c>
      <c r="C89" s="227">
        <v>0.70058927453223541</v>
      </c>
      <c r="D89" s="227">
        <v>0.56732019691233859</v>
      </c>
      <c r="E89">
        <v>5.5930400000000002</v>
      </c>
      <c r="G89" s="64">
        <f t="shared" si="1"/>
        <v>0</v>
      </c>
      <c r="K89" s="319" t="str">
        <f>PE_aug!AP89</f>
        <v>Mischwasserüberlauf</v>
      </c>
    </row>
    <row r="90" spans="1:11">
      <c r="A90" s="127" t="s">
        <v>559</v>
      </c>
      <c r="C90" s="227">
        <v>1.1131218618954</v>
      </c>
      <c r="D90" s="227">
        <v>0.56732019691233859</v>
      </c>
      <c r="E90">
        <v>4.9848800000000004</v>
      </c>
      <c r="G90" s="64">
        <f t="shared" si="1"/>
        <v>0</v>
      </c>
      <c r="K90" s="319" t="str">
        <f>PE_aug!AP90</f>
        <v>Mischwasserüberlauf</v>
      </c>
    </row>
    <row r="91" spans="1:11">
      <c r="A91" s="127" t="s">
        <v>135</v>
      </c>
      <c r="C91" s="227">
        <v>0.95520554433141691</v>
      </c>
      <c r="D91" s="227">
        <v>0.15301122576532269</v>
      </c>
      <c r="E91">
        <v>9.8550500000000003</v>
      </c>
      <c r="G91" s="64">
        <f t="shared" si="1"/>
        <v>0</v>
      </c>
      <c r="K91" s="319" t="str">
        <f>PE_aug!AP91</f>
        <v>KWS, neue Schlammbehandlung</v>
      </c>
    </row>
    <row r="92" spans="1:11">
      <c r="A92" s="127" t="s">
        <v>136</v>
      </c>
      <c r="C92" s="227">
        <v>8.1601885331415172E-2</v>
      </c>
      <c r="D92" s="227">
        <v>0.15301122576532269</v>
      </c>
      <c r="E92">
        <v>8.9800300000000011</v>
      </c>
      <c r="G92" s="64">
        <f t="shared" si="1"/>
        <v>0</v>
      </c>
      <c r="K92" s="319" t="str">
        <f>PE_aug!AP92</f>
        <v>KWS, neue Schlammbehandlung</v>
      </c>
    </row>
    <row r="93" spans="1:11">
      <c r="A93" s="127" t="s">
        <v>137</v>
      </c>
      <c r="C93" s="227">
        <v>1.0305923510445369</v>
      </c>
      <c r="D93" s="227">
        <v>0.15301122576532269</v>
      </c>
      <c r="E93">
        <v>8.0890199999999997</v>
      </c>
      <c r="G93" s="64">
        <f t="shared" si="1"/>
        <v>0</v>
      </c>
      <c r="K93" s="319" t="str">
        <f>PE_aug!AP93</f>
        <v>KWS, neue Schlammbehandlung</v>
      </c>
    </row>
    <row r="94" spans="1:11">
      <c r="A94" s="127" t="s">
        <v>138</v>
      </c>
      <c r="C94" s="227"/>
      <c r="D94" s="227"/>
      <c r="E94">
        <v>1.39551</v>
      </c>
      <c r="G94" s="64">
        <f t="shared" si="1"/>
        <v>0</v>
      </c>
      <c r="K94" s="319" t="str">
        <f>PE_aug!AP94</f>
        <v>Methode</v>
      </c>
    </row>
    <row r="95" spans="1:11">
      <c r="A95" s="136" t="s">
        <v>139</v>
      </c>
      <c r="E95">
        <v>3.2955000000000001</v>
      </c>
      <c r="G95" s="64">
        <f t="shared" si="1"/>
        <v>0</v>
      </c>
      <c r="K95" s="319" t="str">
        <f>PE_aug!AP95</f>
        <v>Methode</v>
      </c>
    </row>
    <row r="96" spans="1:11">
      <c r="A96" s="136" t="s">
        <v>140</v>
      </c>
      <c r="C96">
        <v>0.70699999999999996</v>
      </c>
      <c r="D96">
        <v>1.143</v>
      </c>
      <c r="E96">
        <v>5.1746699999999999</v>
      </c>
      <c r="G96" s="64">
        <f t="shared" si="1"/>
        <v>0</v>
      </c>
      <c r="K96" s="319" t="str">
        <f>PE_aug!AP96</f>
        <v>Algen</v>
      </c>
    </row>
    <row r="97" spans="1:11">
      <c r="A97" s="136" t="s">
        <v>142</v>
      </c>
      <c r="C97">
        <v>0.70699999999999996</v>
      </c>
      <c r="D97">
        <v>1.143</v>
      </c>
      <c r="E97">
        <v>8.3862100000000002</v>
      </c>
      <c r="G97" s="64">
        <f t="shared" si="1"/>
        <v>0</v>
      </c>
      <c r="K97" s="319" t="str">
        <f>PE_aug!AP97</f>
        <v>Algen</v>
      </c>
    </row>
    <row r="98" spans="1:11">
      <c r="A98" s="136" t="s">
        <v>143</v>
      </c>
      <c r="C98">
        <v>0.70699999999999996</v>
      </c>
      <c r="D98">
        <v>0.104</v>
      </c>
      <c r="E98">
        <v>19.356549999999999</v>
      </c>
      <c r="G98" s="64">
        <f t="shared" si="1"/>
        <v>0</v>
      </c>
      <c r="K98" s="319" t="str">
        <f>PE_aug!AP98</f>
        <v>Algen</v>
      </c>
    </row>
    <row r="99" spans="1:11">
      <c r="A99" s="136" t="s">
        <v>144</v>
      </c>
      <c r="C99">
        <v>0.70699999999999996</v>
      </c>
      <c r="D99">
        <v>0.104</v>
      </c>
      <c r="E99">
        <v>14.0021</v>
      </c>
      <c r="G99" s="64">
        <f t="shared" si="1"/>
        <v>0</v>
      </c>
      <c r="K99" s="319" t="str">
        <f>PE_aug!AP99</f>
        <v>Algen</v>
      </c>
    </row>
    <row r="100" spans="1:11">
      <c r="A100" s="136" t="s">
        <v>145</v>
      </c>
      <c r="E100">
        <v>3.68384</v>
      </c>
      <c r="G100" s="64">
        <f t="shared" si="1"/>
        <v>0</v>
      </c>
      <c r="K100" s="319" t="str">
        <f>PE_aug!AP100</f>
        <v>KWS</v>
      </c>
    </row>
    <row r="101" spans="1:11">
      <c r="A101" s="136" t="s">
        <v>147</v>
      </c>
      <c r="C101">
        <v>0.70699999999999996</v>
      </c>
      <c r="D101">
        <v>4.2000000000000003E-2</v>
      </c>
      <c r="E101">
        <v>4.4491899999999998</v>
      </c>
      <c r="G101" s="64">
        <f t="shared" si="1"/>
        <v>0</v>
      </c>
      <c r="K101" s="319" t="str">
        <f>PE_aug!AP101</f>
        <v>KWS</v>
      </c>
    </row>
    <row r="102" spans="1:11">
      <c r="A102" s="136" t="s">
        <v>148</v>
      </c>
      <c r="C102">
        <v>0.70699999999999996</v>
      </c>
      <c r="D102">
        <v>4.2000000000000003E-2</v>
      </c>
      <c r="E102">
        <v>4.2668999999999997</v>
      </c>
      <c r="G102" s="64">
        <f t="shared" si="1"/>
        <v>0</v>
      </c>
      <c r="K102" s="319" t="str">
        <f>PE_aug!AP102</f>
        <v>KWS</v>
      </c>
    </row>
    <row r="103" spans="1:11">
      <c r="A103" s="136" t="s">
        <v>149</v>
      </c>
      <c r="C103">
        <v>0.70699999999999996</v>
      </c>
      <c r="D103">
        <v>0.16900000000000001</v>
      </c>
      <c r="E103">
        <v>8.0275499999999997</v>
      </c>
      <c r="G103" s="64">
        <f t="shared" si="1"/>
        <v>0</v>
      </c>
      <c r="K103" s="319" t="str">
        <f>PE_aug!AP103</f>
        <v>Münchehofe</v>
      </c>
    </row>
    <row r="104" spans="1:11">
      <c r="A104" s="136" t="s">
        <v>151</v>
      </c>
      <c r="C104">
        <v>0.70699999999999996</v>
      </c>
      <c r="D104">
        <v>0.16900000000000001</v>
      </c>
      <c r="E104">
        <v>5.2789650000000004</v>
      </c>
      <c r="G104" s="64">
        <f t="shared" si="1"/>
        <v>0</v>
      </c>
      <c r="K104" s="319" t="str">
        <f>PE_aug!AP104</f>
        <v>Münchehofe</v>
      </c>
    </row>
    <row r="105" spans="1:11">
      <c r="A105" s="136" t="s">
        <v>152</v>
      </c>
      <c r="C105">
        <v>0.42299999999999999</v>
      </c>
      <c r="D105">
        <v>1.327</v>
      </c>
      <c r="E105">
        <v>8.4861800000000009</v>
      </c>
      <c r="G105" s="64">
        <f t="shared" si="1"/>
        <v>0</v>
      </c>
      <c r="K105" s="319" t="str">
        <f>PE_aug!AP105</f>
        <v>Flussproben Spree</v>
      </c>
    </row>
    <row r="106" spans="1:11">
      <c r="A106" s="136" t="s">
        <v>154</v>
      </c>
      <c r="C106">
        <v>0.71199999999999997</v>
      </c>
      <c r="D106">
        <v>1.327</v>
      </c>
      <c r="E106">
        <v>10.4887</v>
      </c>
      <c r="G106" s="64">
        <f t="shared" si="1"/>
        <v>0</v>
      </c>
      <c r="K106" s="319" t="str">
        <f>PE_aug!AP106</f>
        <v>Flussproben Spree</v>
      </c>
    </row>
    <row r="107" spans="1:11">
      <c r="A107" s="136" t="s">
        <v>155</v>
      </c>
      <c r="C107">
        <v>1.1220000000000001</v>
      </c>
      <c r="D107">
        <v>1.327</v>
      </c>
      <c r="E107">
        <v>5.2791800000000002</v>
      </c>
      <c r="G107" s="64">
        <f t="shared" si="1"/>
        <v>0</v>
      </c>
      <c r="K107" s="319" t="str">
        <f>PE_aug!AP107</f>
        <v>Methode</v>
      </c>
    </row>
    <row r="108" spans="1:11">
      <c r="A108" s="136" t="s">
        <v>156</v>
      </c>
      <c r="C108">
        <v>0.70699999999999996</v>
      </c>
      <c r="D108">
        <v>6.7000000000000004E-2</v>
      </c>
      <c r="E108">
        <v>12.811</v>
      </c>
      <c r="G108" s="64">
        <f t="shared" si="1"/>
        <v>0</v>
      </c>
      <c r="K108" s="319" t="str">
        <f>PE_aug!AP108</f>
        <v>Flussproben Spree</v>
      </c>
    </row>
    <row r="109" spans="1:11">
      <c r="A109" s="136" t="s">
        <v>157</v>
      </c>
      <c r="C109">
        <v>0.70699999999999996</v>
      </c>
      <c r="D109">
        <v>6.7000000000000004E-2</v>
      </c>
      <c r="E109">
        <v>9.2412299999999998</v>
      </c>
      <c r="G109" s="64">
        <f t="shared" si="1"/>
        <v>0</v>
      </c>
      <c r="K109" s="319" t="str">
        <f>PE_aug!AP109</f>
        <v>Flussproben Spree</v>
      </c>
    </row>
    <row r="110" spans="1:11">
      <c r="A110" s="139" t="s">
        <v>158</v>
      </c>
      <c r="C110">
        <v>1.0109999999999999</v>
      </c>
      <c r="D110">
        <v>0.113</v>
      </c>
      <c r="E110">
        <v>9.0289600000000014</v>
      </c>
      <c r="G110" s="64">
        <f t="shared" si="1"/>
        <v>0</v>
      </c>
      <c r="K110" s="319" t="str">
        <f>PE_aug!AP110</f>
        <v>Kläranlage</v>
      </c>
    </row>
    <row r="111" spans="1:11">
      <c r="A111" s="139" t="s">
        <v>159</v>
      </c>
      <c r="C111">
        <v>0.60199999999999998</v>
      </c>
      <c r="D111">
        <v>0.113</v>
      </c>
      <c r="E111">
        <v>9.4451499999999999</v>
      </c>
      <c r="G111" s="64">
        <f t="shared" si="1"/>
        <v>0</v>
      </c>
      <c r="K111" s="319" t="str">
        <f>PE_aug!AP111</f>
        <v>Kläranlage</v>
      </c>
    </row>
    <row r="112" spans="1:11">
      <c r="A112" s="139" t="s">
        <v>160</v>
      </c>
      <c r="C112">
        <v>0.63600000000000001</v>
      </c>
      <c r="D112">
        <v>0.113</v>
      </c>
      <c r="E112">
        <v>8.1411800000000003</v>
      </c>
      <c r="G112" s="64">
        <f t="shared" si="1"/>
        <v>0</v>
      </c>
      <c r="K112" s="319" t="str">
        <f>PE_aug!AP112</f>
        <v>Kläranlage</v>
      </c>
    </row>
    <row r="113" spans="1:11">
      <c r="A113" s="139" t="s">
        <v>161</v>
      </c>
      <c r="C113">
        <v>0.60099999999999998</v>
      </c>
      <c r="D113">
        <v>0.121</v>
      </c>
      <c r="E113">
        <v>7.5561999999999996</v>
      </c>
      <c r="G113" s="64">
        <f t="shared" si="1"/>
        <v>0</v>
      </c>
      <c r="K113" s="319" t="str">
        <f>PE_aug!AP113</f>
        <v>Kläranlage</v>
      </c>
    </row>
    <row r="114" spans="1:11">
      <c r="A114" s="139" t="s">
        <v>162</v>
      </c>
      <c r="C114">
        <v>0.873</v>
      </c>
      <c r="D114">
        <v>0.121</v>
      </c>
      <c r="E114">
        <v>4.8253199999999996</v>
      </c>
      <c r="G114" s="64">
        <f t="shared" si="1"/>
        <v>0</v>
      </c>
      <c r="K114" s="319" t="str">
        <f>PE_aug!AP114</f>
        <v>Kläranlage</v>
      </c>
    </row>
    <row r="115" spans="1:11">
      <c r="A115" s="139" t="s">
        <v>163</v>
      </c>
      <c r="C115">
        <v>0.76100000000000001</v>
      </c>
      <c r="D115">
        <v>0.121</v>
      </c>
      <c r="E115">
        <v>6.5425250000000004</v>
      </c>
      <c r="G115" s="64">
        <f t="shared" si="1"/>
        <v>0</v>
      </c>
      <c r="K115" s="319" t="str">
        <f>PE_aug!AP115</f>
        <v>Kläranlage</v>
      </c>
    </row>
    <row r="116" spans="1:11">
      <c r="A116" s="139" t="s">
        <v>164</v>
      </c>
      <c r="C116">
        <v>0.93300000000000005</v>
      </c>
      <c r="D116">
        <v>0.16900000000000001</v>
      </c>
      <c r="E116">
        <v>10.150700000000001</v>
      </c>
      <c r="G116" s="64">
        <f t="shared" si="1"/>
        <v>0</v>
      </c>
      <c r="K116" s="319" t="str">
        <f>PE_aug!AP116</f>
        <v>Kläranlage</v>
      </c>
    </row>
    <row r="117" spans="1:11">
      <c r="A117" s="139" t="s">
        <v>165</v>
      </c>
      <c r="C117">
        <v>0.48299999999999998</v>
      </c>
      <c r="D117">
        <v>0.16900000000000001</v>
      </c>
      <c r="E117">
        <v>8.5572100000000013</v>
      </c>
      <c r="G117" s="64">
        <f t="shared" si="1"/>
        <v>0</v>
      </c>
      <c r="K117" s="319" t="str">
        <f>PE_aug!AP117</f>
        <v>Kläranlage</v>
      </c>
    </row>
    <row r="118" spans="1:11">
      <c r="A118" s="139" t="s">
        <v>166</v>
      </c>
      <c r="C118">
        <v>0.752</v>
      </c>
      <c r="D118">
        <v>0.16900000000000001</v>
      </c>
      <c r="E118">
        <v>10.0943</v>
      </c>
      <c r="G118" s="64">
        <f t="shared" si="1"/>
        <v>0</v>
      </c>
      <c r="K118" s="319" t="str">
        <f>PE_aug!AP118</f>
        <v>Kläranlage</v>
      </c>
    </row>
    <row r="119" spans="1:11">
      <c r="A119" s="139" t="s">
        <v>167</v>
      </c>
      <c r="C119">
        <v>0.70699999999999996</v>
      </c>
      <c r="D119">
        <v>8.1000000000000003E-2</v>
      </c>
      <c r="E119">
        <v>11.9978</v>
      </c>
      <c r="G119" s="64">
        <f t="shared" si="1"/>
        <v>0</v>
      </c>
      <c r="K119" s="319" t="str">
        <f>PE_aug!AP119</f>
        <v>Flussproben</v>
      </c>
    </row>
    <row r="120" spans="1:11">
      <c r="A120" s="139" t="s">
        <v>168</v>
      </c>
      <c r="C120">
        <v>0.70699999999999996</v>
      </c>
      <c r="D120">
        <v>8.1000000000000003E-2</v>
      </c>
      <c r="E120">
        <v>18.2178</v>
      </c>
      <c r="G120" s="64">
        <f t="shared" si="1"/>
        <v>0</v>
      </c>
      <c r="K120" s="319" t="str">
        <f>PE_aug!AP120</f>
        <v>Flussproben</v>
      </c>
    </row>
    <row r="121" spans="1:11">
      <c r="A121" s="139" t="s">
        <v>169</v>
      </c>
      <c r="B121">
        <v>52.81</v>
      </c>
      <c r="E121">
        <v>14.882400000000001</v>
      </c>
      <c r="F121">
        <v>0.83</v>
      </c>
      <c r="G121" s="64">
        <f t="shared" si="1"/>
        <v>3.5484868032037844</v>
      </c>
      <c r="I121" s="126">
        <f>1000*(0.2323-0.1725)</f>
        <v>59.800000000000018</v>
      </c>
      <c r="J121" s="309">
        <f>100*B121/I121</f>
        <v>88.311036789297631</v>
      </c>
      <c r="K121" s="319" t="str">
        <f>PE_aug!AP121</f>
        <v>Flussproben, Methode</v>
      </c>
    </row>
    <row r="122" spans="1:11">
      <c r="A122" s="139" t="s">
        <v>170</v>
      </c>
      <c r="E122">
        <v>11.2957</v>
      </c>
      <c r="G122" s="64">
        <f t="shared" si="1"/>
        <v>0</v>
      </c>
      <c r="K122" s="319" t="str">
        <f>PE_aug!AP122</f>
        <v>Flussproben, Methode</v>
      </c>
    </row>
    <row r="123" spans="1:11">
      <c r="A123" s="139" t="s">
        <v>171</v>
      </c>
      <c r="E123">
        <v>8.4538799999999998</v>
      </c>
      <c r="G123" s="64">
        <f t="shared" si="1"/>
        <v>0</v>
      </c>
      <c r="K123" s="319" t="str">
        <f>PE_aug!AP123</f>
        <v>Flussproben, Methode</v>
      </c>
    </row>
    <row r="124" spans="1:11">
      <c r="A124" s="139" t="s">
        <v>172</v>
      </c>
      <c r="E124">
        <v>13.7104</v>
      </c>
      <c r="G124" s="64">
        <f t="shared" si="1"/>
        <v>0</v>
      </c>
      <c r="K124" s="319" t="str">
        <f>PE_aug!AP124</f>
        <v>Flussproben, Methode</v>
      </c>
    </row>
    <row r="125" spans="1:11">
      <c r="A125" s="139" t="s">
        <v>173</v>
      </c>
      <c r="C125">
        <v>1.0009999999999999</v>
      </c>
      <c r="D125">
        <v>0.155</v>
      </c>
      <c r="E125">
        <v>10.5603</v>
      </c>
      <c r="G125" s="64">
        <f t="shared" si="1"/>
        <v>0</v>
      </c>
      <c r="K125" s="319" t="str">
        <f>PE_aug!AP125</f>
        <v>Flussproben</v>
      </c>
    </row>
    <row r="126" spans="1:11">
      <c r="A126" s="139" t="s">
        <v>174</v>
      </c>
      <c r="C126">
        <v>0.25800000000000001</v>
      </c>
      <c r="D126">
        <v>0.155</v>
      </c>
      <c r="E126">
        <v>11.7896</v>
      </c>
      <c r="G126" s="64">
        <f t="shared" si="1"/>
        <v>0</v>
      </c>
      <c r="K126" s="319" t="str">
        <f>PE_aug!AP126</f>
        <v>Flussproben</v>
      </c>
    </row>
    <row r="127" spans="1:11">
      <c r="A127" s="139" t="s">
        <v>175</v>
      </c>
      <c r="C127">
        <v>0.93400000000000005</v>
      </c>
      <c r="D127">
        <v>0.155</v>
      </c>
      <c r="E127">
        <v>12.7499</v>
      </c>
      <c r="G127" s="64">
        <f t="shared" si="1"/>
        <v>0</v>
      </c>
      <c r="K127" s="319" t="str">
        <f>PE_aug!AP127</f>
        <v>Flussproben</v>
      </c>
    </row>
    <row r="128" spans="1:11">
      <c r="A128" s="139" t="s">
        <v>176</v>
      </c>
      <c r="C128">
        <v>0.64800000000000002</v>
      </c>
      <c r="D128">
        <v>0.41199999999999998</v>
      </c>
      <c r="E128">
        <v>8.2120499999999996</v>
      </c>
      <c r="F128">
        <v>0.5</v>
      </c>
      <c r="G128" s="64">
        <f t="shared" si="1"/>
        <v>0</v>
      </c>
      <c r="K128" s="319" t="str">
        <f>PE_aug!AP128</f>
        <v>Mischwasserüberlauf</v>
      </c>
    </row>
    <row r="129" spans="1:11">
      <c r="A129" s="139" t="s">
        <v>177</v>
      </c>
      <c r="C129">
        <v>0.73</v>
      </c>
      <c r="D129">
        <v>0.41199999999999998</v>
      </c>
      <c r="E129">
        <v>11.8268</v>
      </c>
      <c r="G129" s="64">
        <f t="shared" si="1"/>
        <v>0</v>
      </c>
      <c r="K129" s="319" t="str">
        <f>PE_aug!AP129</f>
        <v>Mischwasserüberlauf</v>
      </c>
    </row>
    <row r="130" spans="1:11">
      <c r="A130" s="139" t="s">
        <v>178</v>
      </c>
      <c r="C130">
        <v>0.83599999999999997</v>
      </c>
      <c r="D130">
        <v>0.41199999999999998</v>
      </c>
      <c r="E130">
        <v>6.7368800000000002</v>
      </c>
      <c r="G130" s="64">
        <f t="shared" ref="G130:G193" si="2">B130/E130</f>
        <v>0</v>
      </c>
      <c r="K130" s="319" t="str">
        <f>PE_aug!AP130</f>
        <v>Mischwasserüberlauf</v>
      </c>
    </row>
    <row r="131" spans="1:11">
      <c r="A131" s="139" t="s">
        <v>179</v>
      </c>
      <c r="C131">
        <v>0.31900000000000001</v>
      </c>
      <c r="D131">
        <v>6.6000000000000003E-2</v>
      </c>
      <c r="E131">
        <v>9.8973499999999994</v>
      </c>
      <c r="G131" s="64">
        <f t="shared" si="2"/>
        <v>0</v>
      </c>
      <c r="K131" s="319" t="str">
        <f>PE_aug!AP131</f>
        <v>Mischwasserüberlauf</v>
      </c>
    </row>
    <row r="132" spans="1:11">
      <c r="A132" s="139" t="s">
        <v>180</v>
      </c>
      <c r="C132">
        <v>0.98799999999999999</v>
      </c>
      <c r="D132">
        <v>6.6000000000000003E-2</v>
      </c>
      <c r="E132">
        <v>7.9930649999999996</v>
      </c>
      <c r="G132" s="64">
        <f t="shared" si="2"/>
        <v>0</v>
      </c>
      <c r="K132" s="319" t="str">
        <f>PE_aug!AP132</f>
        <v>Mischwasserüberlauf</v>
      </c>
    </row>
    <row r="133" spans="1:11">
      <c r="A133" s="139" t="s">
        <v>181</v>
      </c>
      <c r="C133">
        <v>0.86799999999999999</v>
      </c>
      <c r="D133">
        <v>6.6000000000000003E-2</v>
      </c>
      <c r="E133">
        <v>12.607849999999999</v>
      </c>
      <c r="G133" s="64">
        <f t="shared" si="2"/>
        <v>0</v>
      </c>
      <c r="K133" s="319" t="str">
        <f>PE_aug!AP133</f>
        <v>Mischwasserüberlauf</v>
      </c>
    </row>
    <row r="134" spans="1:11">
      <c r="A134" s="139" t="s">
        <v>182</v>
      </c>
      <c r="C134">
        <v>0.75</v>
      </c>
      <c r="D134">
        <v>5.2999999999999999E-2</v>
      </c>
      <c r="E134">
        <v>13.6172</v>
      </c>
      <c r="G134" s="64">
        <f t="shared" si="2"/>
        <v>0</v>
      </c>
      <c r="K134" s="319" t="str">
        <f>PE_aug!AP134</f>
        <v>Mischwasserüberlauf</v>
      </c>
    </row>
    <row r="135" spans="1:11">
      <c r="A135" s="139" t="s">
        <v>183</v>
      </c>
      <c r="C135">
        <v>0.89700000000000002</v>
      </c>
      <c r="D135">
        <v>5.2999999999999999E-2</v>
      </c>
      <c r="E135">
        <v>7.6774300000000002</v>
      </c>
      <c r="G135" s="64">
        <f t="shared" si="2"/>
        <v>0</v>
      </c>
      <c r="K135" s="319" t="str">
        <f>PE_aug!AP135</f>
        <v>Mischwasserüberlauf</v>
      </c>
    </row>
    <row r="136" spans="1:11">
      <c r="A136" s="139" t="s">
        <v>184</v>
      </c>
      <c r="C136">
        <v>0.59099999999999997</v>
      </c>
      <c r="D136">
        <v>5.2999999999999999E-2</v>
      </c>
      <c r="E136">
        <v>12.9139</v>
      </c>
      <c r="G136" s="64">
        <f t="shared" si="2"/>
        <v>0</v>
      </c>
      <c r="K136" s="319" t="str">
        <f>PE_aug!AP136</f>
        <v>Mischwasserüberlauf</v>
      </c>
    </row>
    <row r="137" spans="1:11">
      <c r="A137" s="139" t="s">
        <v>185</v>
      </c>
      <c r="G137" s="64" t="e">
        <f t="shared" si="2"/>
        <v>#DIV/0!</v>
      </c>
      <c r="K137" s="319" t="str">
        <f>PE_aug!AP137</f>
        <v>Sickerwasser</v>
      </c>
    </row>
    <row r="138" spans="1:11">
      <c r="A138" s="139" t="s">
        <v>187</v>
      </c>
      <c r="G138" s="64" t="e">
        <f t="shared" si="2"/>
        <v>#DIV/0!</v>
      </c>
      <c r="K138" s="319" t="str">
        <f>PE_aug!AP138</f>
        <v>Sickerwasser</v>
      </c>
    </row>
    <row r="139" spans="1:11">
      <c r="A139" s="139" t="s">
        <v>188</v>
      </c>
      <c r="G139" s="64" t="e">
        <f t="shared" si="2"/>
        <v>#DIV/0!</v>
      </c>
      <c r="K139" s="319" t="str">
        <f>PE_aug!AP139</f>
        <v>Sickerwasser</v>
      </c>
    </row>
    <row r="140" spans="1:11">
      <c r="A140" s="139" t="s">
        <v>189</v>
      </c>
      <c r="G140" s="64" t="e">
        <f t="shared" si="2"/>
        <v>#DIV/0!</v>
      </c>
      <c r="K140" s="319" t="str">
        <f>PE_aug!AP140</f>
        <v>Sickerwasser</v>
      </c>
    </row>
    <row r="141" spans="1:11">
      <c r="A141" s="139" t="s">
        <v>190</v>
      </c>
      <c r="G141" s="64" t="e">
        <f t="shared" si="2"/>
        <v>#DIV/0!</v>
      </c>
      <c r="K141" s="319" t="str">
        <f>PE_aug!AP141</f>
        <v>Bodenretentionsfilter</v>
      </c>
    </row>
    <row r="142" spans="1:11">
      <c r="A142" s="139" t="s">
        <v>192</v>
      </c>
      <c r="G142" s="64" t="e">
        <f t="shared" si="2"/>
        <v>#DIV/0!</v>
      </c>
      <c r="K142" s="319" t="str">
        <f>PE_aug!AP142</f>
        <v>Bodenretentionsfilter</v>
      </c>
    </row>
    <row r="143" spans="1:11">
      <c r="A143" s="140" t="s">
        <v>193</v>
      </c>
      <c r="C143">
        <v>1.093</v>
      </c>
      <c r="D143">
        <v>0.10100000000000001</v>
      </c>
      <c r="E143">
        <v>5.5792199999999994</v>
      </c>
      <c r="G143" s="64">
        <f t="shared" si="2"/>
        <v>0</v>
      </c>
      <c r="K143" s="319" t="str">
        <f>PE_aug!AP143</f>
        <v>Kläranlage</v>
      </c>
    </row>
    <row r="144" spans="1:11">
      <c r="A144" s="140" t="s">
        <v>194</v>
      </c>
      <c r="C144">
        <v>0.40500000000000003</v>
      </c>
      <c r="D144">
        <v>0.10100000000000001</v>
      </c>
      <c r="E144">
        <v>9.1932700000000001</v>
      </c>
      <c r="G144" s="64">
        <f t="shared" si="2"/>
        <v>0</v>
      </c>
      <c r="K144" s="319" t="str">
        <f>PE_aug!AP144</f>
        <v>Kläranlage</v>
      </c>
    </row>
    <row r="145" spans="1:11">
      <c r="A145" s="140" t="s">
        <v>195</v>
      </c>
      <c r="C145">
        <v>0.74</v>
      </c>
      <c r="D145">
        <v>0.10100000000000001</v>
      </c>
      <c r="E145">
        <v>9.9659200000000006</v>
      </c>
      <c r="G145" s="64">
        <f t="shared" si="2"/>
        <v>0</v>
      </c>
      <c r="K145" s="319" t="str">
        <f>PE_aug!AP145</f>
        <v>Kläranlage</v>
      </c>
    </row>
    <row r="146" spans="1:11">
      <c r="A146" s="140" t="s">
        <v>196</v>
      </c>
      <c r="C146">
        <v>0.41599999999999998</v>
      </c>
      <c r="D146">
        <v>0.19</v>
      </c>
      <c r="E146">
        <v>7.4657300000000006</v>
      </c>
      <c r="G146" s="64">
        <f t="shared" si="2"/>
        <v>0</v>
      </c>
      <c r="K146" s="319" t="str">
        <f>PE_aug!AP146</f>
        <v>KWS</v>
      </c>
    </row>
    <row r="147" spans="1:11">
      <c r="A147" s="140" t="s">
        <v>197</v>
      </c>
      <c r="C147">
        <v>1.0229999999999999</v>
      </c>
      <c r="D147">
        <v>0.19</v>
      </c>
      <c r="E147">
        <v>6.9106949999999996</v>
      </c>
      <c r="G147" s="64">
        <f t="shared" si="2"/>
        <v>0</v>
      </c>
      <c r="K147" s="319" t="str">
        <f>PE_aug!AP147</f>
        <v>KWS</v>
      </c>
    </row>
    <row r="148" spans="1:11">
      <c r="A148" s="140" t="s">
        <v>198</v>
      </c>
      <c r="C148">
        <v>0.80500000000000005</v>
      </c>
      <c r="D148">
        <v>0.19</v>
      </c>
      <c r="E148">
        <v>6.5458299999999996</v>
      </c>
      <c r="G148" s="64">
        <f t="shared" si="2"/>
        <v>0</v>
      </c>
      <c r="K148" s="319" t="str">
        <f>PE_aug!AP148</f>
        <v>KWS</v>
      </c>
    </row>
    <row r="149" spans="1:11">
      <c r="A149" s="140" t="s">
        <v>199</v>
      </c>
      <c r="C149">
        <v>0.79200000000000004</v>
      </c>
      <c r="D149">
        <v>8.5999999999999993E-2</v>
      </c>
      <c r="E149">
        <v>11.9077</v>
      </c>
      <c r="G149" s="64">
        <f t="shared" si="2"/>
        <v>0</v>
      </c>
      <c r="K149" s="319" t="str">
        <f>PE_aug!AP149</f>
        <v>KWS</v>
      </c>
    </row>
    <row r="150" spans="1:11">
      <c r="A150" s="140" t="s">
        <v>200</v>
      </c>
      <c r="C150">
        <v>0.34799999999999998</v>
      </c>
      <c r="D150">
        <v>8.5999999999999993E-2</v>
      </c>
      <c r="E150">
        <v>8.1406600000000005</v>
      </c>
      <c r="G150" s="64">
        <f t="shared" si="2"/>
        <v>0</v>
      </c>
      <c r="K150" s="319" t="str">
        <f>PE_aug!AP150</f>
        <v>KWS</v>
      </c>
    </row>
    <row r="151" spans="1:11">
      <c r="A151" s="140" t="s">
        <v>201</v>
      </c>
      <c r="C151">
        <v>1.0620000000000001</v>
      </c>
      <c r="D151">
        <v>8.5999999999999993E-2</v>
      </c>
      <c r="E151">
        <v>9.8009899999999988</v>
      </c>
      <c r="G151" s="64">
        <f t="shared" si="2"/>
        <v>0</v>
      </c>
      <c r="K151" s="319" t="str">
        <f>PE_aug!AP151</f>
        <v>KWS</v>
      </c>
    </row>
    <row r="152" spans="1:11">
      <c r="A152" s="140" t="s">
        <v>202</v>
      </c>
      <c r="C152">
        <v>0.191</v>
      </c>
      <c r="D152">
        <v>0.17599999999999999</v>
      </c>
      <c r="E152">
        <v>8.4228899999999989</v>
      </c>
      <c r="G152" s="64">
        <f t="shared" si="2"/>
        <v>0</v>
      </c>
      <c r="K152" s="319" t="str">
        <f>PE_aug!AP152</f>
        <v>KWS, Schlamm</v>
      </c>
    </row>
    <row r="153" spans="1:11">
      <c r="A153" s="140" t="s">
        <v>204</v>
      </c>
      <c r="C153">
        <v>0.95699999999999996</v>
      </c>
      <c r="D153">
        <v>0.17599999999999999</v>
      </c>
      <c r="E153">
        <v>5.5259049999999998</v>
      </c>
      <c r="G153" s="64">
        <f t="shared" si="2"/>
        <v>0</v>
      </c>
      <c r="K153" s="319" t="str">
        <f>PE_aug!AP153</f>
        <v>KWS, Schlamm</v>
      </c>
    </row>
    <row r="154" spans="1:11">
      <c r="A154" s="140" t="s">
        <v>205</v>
      </c>
      <c r="C154">
        <v>0.97</v>
      </c>
      <c r="D154">
        <v>0.17599999999999999</v>
      </c>
      <c r="E154">
        <v>12.773300000000001</v>
      </c>
      <c r="G154" s="64">
        <f t="shared" si="2"/>
        <v>0</v>
      </c>
      <c r="K154" s="319" t="str">
        <f>PE_aug!AP154</f>
        <v>KWS, Schlamm</v>
      </c>
    </row>
    <row r="155" spans="1:11">
      <c r="A155" s="140" t="s">
        <v>206</v>
      </c>
      <c r="C155">
        <v>0.34399999999999997</v>
      </c>
      <c r="D155">
        <v>2.3E-2</v>
      </c>
      <c r="E155">
        <v>6.3905200000000004</v>
      </c>
      <c r="G155" s="64">
        <f t="shared" si="2"/>
        <v>0</v>
      </c>
      <c r="K155" s="319" t="str">
        <f>PE_aug!AP155</f>
        <v>Flussproben, Lippe</v>
      </c>
    </row>
    <row r="156" spans="1:11">
      <c r="A156" s="140" t="s">
        <v>208</v>
      </c>
      <c r="C156">
        <v>0.86199999999999999</v>
      </c>
      <c r="D156">
        <v>2.3E-2</v>
      </c>
      <c r="E156">
        <v>7.3049899999999992</v>
      </c>
      <c r="G156" s="64">
        <f t="shared" si="2"/>
        <v>0</v>
      </c>
      <c r="K156" s="319" t="str">
        <f>PE_aug!AP156</f>
        <v>Flussproben, Lippe</v>
      </c>
    </row>
    <row r="157" spans="1:11">
      <c r="A157" s="140" t="s">
        <v>209</v>
      </c>
      <c r="C157">
        <v>1.0049999999999999</v>
      </c>
      <c r="D157">
        <v>2.3E-2</v>
      </c>
      <c r="E157">
        <v>8.3328150000000001</v>
      </c>
      <c r="G157" s="64">
        <f t="shared" si="2"/>
        <v>0</v>
      </c>
      <c r="K157" s="319" t="str">
        <f>PE_aug!AP157</f>
        <v>Flussproben, Lippe</v>
      </c>
    </row>
    <row r="158" spans="1:11">
      <c r="A158" s="140" t="s">
        <v>210</v>
      </c>
      <c r="C158">
        <v>0.44400000000000001</v>
      </c>
      <c r="D158">
        <v>5.8999999999999997E-2</v>
      </c>
      <c r="E158">
        <v>5.7549900000000003</v>
      </c>
      <c r="G158" s="64">
        <f t="shared" si="2"/>
        <v>0</v>
      </c>
      <c r="K158" s="319" t="str">
        <f>PE_aug!AP158</f>
        <v>Flussproben, Lippe</v>
      </c>
    </row>
    <row r="159" spans="1:11">
      <c r="A159" s="140" t="s">
        <v>211</v>
      </c>
      <c r="C159">
        <v>1.101</v>
      </c>
      <c r="D159">
        <v>5.8999999999999997E-2</v>
      </c>
      <c r="E159">
        <v>9.8056399999999986</v>
      </c>
      <c r="F159">
        <v>0.31</v>
      </c>
      <c r="G159" s="64">
        <f t="shared" si="2"/>
        <v>0</v>
      </c>
      <c r="K159" s="319" t="str">
        <f>PE_aug!AP159</f>
        <v>Flussproben, Lippe</v>
      </c>
    </row>
    <row r="160" spans="1:11">
      <c r="A160" s="140" t="s">
        <v>212</v>
      </c>
      <c r="C160">
        <v>0.71799999999999997</v>
      </c>
      <c r="D160">
        <v>5.8999999999999997E-2</v>
      </c>
      <c r="E160">
        <v>5.9145799999999999</v>
      </c>
      <c r="G160" s="64">
        <f t="shared" si="2"/>
        <v>0</v>
      </c>
      <c r="K160" s="319" t="str">
        <f>PE_aug!AP160</f>
        <v>Flussproben, Lippe</v>
      </c>
    </row>
    <row r="161" spans="1:11">
      <c r="A161" s="140" t="s">
        <v>213</v>
      </c>
      <c r="C161">
        <v>0.51400000000000001</v>
      </c>
      <c r="D161">
        <v>6.0999999999999999E-2</v>
      </c>
      <c r="E161">
        <v>7.65665</v>
      </c>
      <c r="G161" s="64">
        <f t="shared" si="2"/>
        <v>0</v>
      </c>
      <c r="K161" s="319" t="str">
        <f>PE_aug!AP161</f>
        <v>Flussproben, Lippe</v>
      </c>
    </row>
    <row r="162" spans="1:11">
      <c r="A162" s="140" t="s">
        <v>214</v>
      </c>
      <c r="C162">
        <v>0.621</v>
      </c>
      <c r="D162">
        <v>6.0999999999999999E-2</v>
      </c>
      <c r="E162">
        <v>8.9807000000000006</v>
      </c>
      <c r="G162" s="64">
        <f t="shared" si="2"/>
        <v>0</v>
      </c>
      <c r="K162" s="319" t="str">
        <f>PE_aug!AP162</f>
        <v>Flussproben, Lippe</v>
      </c>
    </row>
    <row r="163" spans="1:11">
      <c r="A163" s="140" t="s">
        <v>215</v>
      </c>
      <c r="C163">
        <v>1.1120000000000001</v>
      </c>
      <c r="D163">
        <v>6.0999999999999999E-2</v>
      </c>
      <c r="E163">
        <v>5.3088700000000006</v>
      </c>
      <c r="G163" s="64">
        <f t="shared" si="2"/>
        <v>0</v>
      </c>
      <c r="K163" s="319" t="str">
        <f>PE_aug!AP163</f>
        <v>Flussproben, Lippe</v>
      </c>
    </row>
    <row r="164" spans="1:11">
      <c r="A164" s="140" t="s">
        <v>216</v>
      </c>
      <c r="C164">
        <v>0.42699999999999999</v>
      </c>
      <c r="D164">
        <v>0.17699999999999999</v>
      </c>
      <c r="E164">
        <v>9.4334749999999996</v>
      </c>
      <c r="G164" s="64">
        <f t="shared" si="2"/>
        <v>0</v>
      </c>
      <c r="K164" s="319" t="str">
        <f>PE_aug!AP164</f>
        <v>Kläranlage</v>
      </c>
    </row>
    <row r="165" spans="1:11">
      <c r="A165" s="140" t="s">
        <v>217</v>
      </c>
      <c r="C165">
        <v>1.0229999999999999</v>
      </c>
      <c r="D165">
        <v>0.17699999999999999</v>
      </c>
      <c r="E165">
        <v>12.192550000000001</v>
      </c>
      <c r="G165" s="64">
        <f t="shared" si="2"/>
        <v>0</v>
      </c>
      <c r="K165" s="319" t="str">
        <f>PE_aug!AP165</f>
        <v>Kläranlage</v>
      </c>
    </row>
    <row r="166" spans="1:11">
      <c r="A166" s="140" t="s">
        <v>218</v>
      </c>
      <c r="C166">
        <v>0.74</v>
      </c>
      <c r="D166">
        <v>0.17699999999999999</v>
      </c>
      <c r="E166">
        <v>7.2366899999999994</v>
      </c>
      <c r="G166" s="64">
        <f t="shared" si="2"/>
        <v>0</v>
      </c>
      <c r="K166" s="319" t="str">
        <f>PE_aug!AP166</f>
        <v>Kläranlage</v>
      </c>
    </row>
    <row r="167" spans="1:11">
      <c r="A167" s="140" t="s">
        <v>219</v>
      </c>
      <c r="E167">
        <v>0.28799999999999998</v>
      </c>
      <c r="G167" s="64">
        <f t="shared" si="2"/>
        <v>0</v>
      </c>
      <c r="K167" s="319" t="str">
        <f>PE_aug!AP167</f>
        <v>Methode</v>
      </c>
    </row>
    <row r="168" spans="1:11">
      <c r="A168" s="140" t="s">
        <v>220</v>
      </c>
      <c r="B168">
        <v>26.52</v>
      </c>
      <c r="E168">
        <v>0.15598200000000001</v>
      </c>
      <c r="F168">
        <v>0.5</v>
      </c>
      <c r="G168" s="64">
        <f t="shared" si="2"/>
        <v>170.01961764819015</v>
      </c>
      <c r="I168" s="203">
        <f>G168-0.0639038</f>
        <v>169.95571384819016</v>
      </c>
      <c r="J168" s="145">
        <f>100*B168/I168</f>
        <v>15.604064964646323</v>
      </c>
      <c r="K168" s="319" t="str">
        <f>PE_aug!AP168</f>
        <v>Methode</v>
      </c>
    </row>
    <row r="169" spans="1:11">
      <c r="A169" s="140" t="s">
        <v>221</v>
      </c>
      <c r="E169">
        <v>0.40368500000000002</v>
      </c>
      <c r="G169" s="64">
        <f t="shared" si="2"/>
        <v>0</v>
      </c>
      <c r="K169" s="319" t="str">
        <f>PE_aug!AP169</f>
        <v>Methode</v>
      </c>
    </row>
    <row r="170" spans="1:11">
      <c r="A170" s="172" t="s">
        <v>222</v>
      </c>
      <c r="C170">
        <v>0.93100000000000005</v>
      </c>
      <c r="D170">
        <v>0.15</v>
      </c>
      <c r="E170">
        <v>6.3953800000000003</v>
      </c>
      <c r="G170" s="64">
        <f t="shared" si="2"/>
        <v>0</v>
      </c>
      <c r="K170" s="319" t="str">
        <f>PE_aug!AP170</f>
        <v>Kläranlage</v>
      </c>
    </row>
    <row r="171" spans="1:11">
      <c r="A171" s="172" t="s">
        <v>223</v>
      </c>
      <c r="C171">
        <v>0.98199999999999998</v>
      </c>
      <c r="D171">
        <v>0.15</v>
      </c>
      <c r="E171">
        <v>14.388500000000001</v>
      </c>
      <c r="G171" s="64">
        <f t="shared" si="2"/>
        <v>0</v>
      </c>
      <c r="K171" s="319" t="str">
        <f>PE_aug!AP171</f>
        <v>Kläranlage</v>
      </c>
    </row>
    <row r="172" spans="1:11">
      <c r="A172" s="172" t="s">
        <v>224</v>
      </c>
      <c r="C172">
        <v>0.24199999999999999</v>
      </c>
      <c r="D172">
        <v>0.15</v>
      </c>
      <c r="E172">
        <v>9.6715149999999994</v>
      </c>
      <c r="G172" s="64">
        <f t="shared" si="2"/>
        <v>0</v>
      </c>
      <c r="K172" s="319" t="str">
        <f>PE_aug!AP172</f>
        <v>Kläranlage</v>
      </c>
    </row>
    <row r="173" spans="1:11">
      <c r="A173" s="172" t="s">
        <v>225</v>
      </c>
      <c r="E173">
        <v>8.4091399999999989</v>
      </c>
      <c r="G173" s="64">
        <f t="shared" si="2"/>
        <v>0</v>
      </c>
      <c r="K173" s="319" t="str">
        <f>PE_aug!AP173</f>
        <v>Kläranlage, Methode</v>
      </c>
    </row>
    <row r="174" spans="1:11">
      <c r="A174" s="172" t="s">
        <v>227</v>
      </c>
      <c r="E174">
        <v>11.4796</v>
      </c>
      <c r="G174" s="64">
        <f t="shared" si="2"/>
        <v>0</v>
      </c>
      <c r="K174" s="319" t="str">
        <f>PE_aug!AP174</f>
        <v>Kläranlage, Methode</v>
      </c>
    </row>
    <row r="175" spans="1:11">
      <c r="A175" s="172" t="s">
        <v>228</v>
      </c>
      <c r="E175">
        <v>6.8967000000000001</v>
      </c>
      <c r="G175" s="64">
        <f t="shared" si="2"/>
        <v>0</v>
      </c>
      <c r="K175" s="319" t="str">
        <f>PE_aug!AP175</f>
        <v>Kläranlage, Methode</v>
      </c>
    </row>
    <row r="176" spans="1:11">
      <c r="A176" s="172" t="s">
        <v>229</v>
      </c>
      <c r="C176">
        <v>0.70699999999999996</v>
      </c>
      <c r="D176">
        <v>0.122</v>
      </c>
      <c r="E176">
        <v>8.6541700000000006</v>
      </c>
      <c r="G176" s="64">
        <f t="shared" si="2"/>
        <v>0</v>
      </c>
      <c r="K176" s="319" t="str">
        <f>PE_aug!AP176</f>
        <v>Kläranlage</v>
      </c>
    </row>
    <row r="177" spans="1:11">
      <c r="A177" s="172" t="s">
        <v>230</v>
      </c>
      <c r="C177">
        <v>0.70699999999999996</v>
      </c>
      <c r="D177">
        <v>0.122</v>
      </c>
      <c r="E177">
        <v>7.3876200000000001</v>
      </c>
      <c r="G177" s="64">
        <f t="shared" si="2"/>
        <v>0</v>
      </c>
      <c r="K177" s="319" t="str">
        <f>PE_aug!AP177</f>
        <v>Kläranlage</v>
      </c>
    </row>
    <row r="178" spans="1:11">
      <c r="A178" s="172" t="s">
        <v>231</v>
      </c>
      <c r="C178">
        <v>0.81799999999999995</v>
      </c>
      <c r="D178">
        <v>3.5000000000000003E-2</v>
      </c>
      <c r="E178">
        <v>7.5310050000000004</v>
      </c>
      <c r="G178" s="64">
        <f t="shared" si="2"/>
        <v>0</v>
      </c>
      <c r="K178" s="319" t="str">
        <f>PE_aug!AP178</f>
        <v>Kläranlage</v>
      </c>
    </row>
    <row r="179" spans="1:11">
      <c r="A179" s="172" t="s">
        <v>232</v>
      </c>
      <c r="C179">
        <v>0.50800000000000001</v>
      </c>
      <c r="D179">
        <v>3.5000000000000003E-2</v>
      </c>
      <c r="E179">
        <v>7.2204149999999991</v>
      </c>
      <c r="G179" s="64">
        <f t="shared" si="2"/>
        <v>0</v>
      </c>
      <c r="K179" s="319" t="str">
        <f>PE_aug!AP179</f>
        <v>Kläranlage</v>
      </c>
    </row>
    <row r="180" spans="1:11">
      <c r="A180" s="172" t="s">
        <v>233</v>
      </c>
      <c r="C180">
        <v>0.86099999999999999</v>
      </c>
      <c r="D180">
        <v>3.5000000000000003E-2</v>
      </c>
      <c r="E180">
        <v>6.5432199999999998</v>
      </c>
      <c r="G180" s="64">
        <f t="shared" si="2"/>
        <v>0</v>
      </c>
      <c r="K180" s="319" t="str">
        <f>PE_aug!AP180</f>
        <v>Kläranlage</v>
      </c>
    </row>
    <row r="181" spans="1:11">
      <c r="A181" s="172" t="s">
        <v>234</v>
      </c>
      <c r="E181">
        <v>6.5395599999999998</v>
      </c>
      <c r="G181" s="64">
        <f t="shared" si="2"/>
        <v>0</v>
      </c>
      <c r="K181" s="319" t="str">
        <f>PE_aug!AP181</f>
        <v>Kläranlage, Methode</v>
      </c>
    </row>
    <row r="182" spans="1:11">
      <c r="A182" s="172" t="s">
        <v>235</v>
      </c>
      <c r="C182">
        <v>0.70699999999999996</v>
      </c>
      <c r="D182">
        <v>0.14799999999999999</v>
      </c>
      <c r="E182">
        <v>12.27675</v>
      </c>
      <c r="G182" s="64">
        <f t="shared" si="2"/>
        <v>0</v>
      </c>
      <c r="K182" s="319" t="str">
        <f>PE_aug!AP182</f>
        <v>Kläranlage</v>
      </c>
    </row>
    <row r="183" spans="1:11">
      <c r="A183" s="172" t="s">
        <v>236</v>
      </c>
      <c r="C183">
        <v>0.70699999999999996</v>
      </c>
      <c r="D183">
        <v>0.14799999999999999</v>
      </c>
      <c r="E183">
        <v>6.5768300000000002</v>
      </c>
      <c r="G183" s="64">
        <f t="shared" si="2"/>
        <v>0</v>
      </c>
      <c r="K183" s="319" t="str">
        <f>PE_aug!AP183</f>
        <v>Kläranlage</v>
      </c>
    </row>
    <row r="184" spans="1:11">
      <c r="A184" s="172" t="s">
        <v>237</v>
      </c>
      <c r="C184">
        <v>0.70699999999999996</v>
      </c>
      <c r="D184">
        <v>0.34799999999999998</v>
      </c>
      <c r="E184">
        <v>4.1054899999999996</v>
      </c>
      <c r="G184" s="64">
        <f t="shared" si="2"/>
        <v>0</v>
      </c>
      <c r="K184" s="319" t="str">
        <f>PE_aug!AP184</f>
        <v>Kläranlage</v>
      </c>
    </row>
    <row r="185" spans="1:11">
      <c r="A185" s="172" t="s">
        <v>238</v>
      </c>
      <c r="C185">
        <v>0.70699999999999996</v>
      </c>
      <c r="D185">
        <v>0.34799999999999998</v>
      </c>
      <c r="E185">
        <v>7.0180100000000003</v>
      </c>
      <c r="G185" s="64">
        <f t="shared" si="2"/>
        <v>0</v>
      </c>
      <c r="K185" s="319" t="str">
        <f>PE_aug!AP185</f>
        <v>Kläranlage</v>
      </c>
    </row>
    <row r="186" spans="1:11">
      <c r="A186" s="172" t="s">
        <v>239</v>
      </c>
      <c r="E186">
        <v>7.1787899999999988E-2</v>
      </c>
      <c r="G186" s="64">
        <f t="shared" si="2"/>
        <v>0</v>
      </c>
      <c r="K186" s="319" t="str">
        <f>PE_aug!AP186</f>
        <v>Methode</v>
      </c>
    </row>
    <row r="187" spans="1:11">
      <c r="A187" s="173" t="s">
        <v>240</v>
      </c>
      <c r="C187">
        <v>0.71699999999999997</v>
      </c>
      <c r="D187">
        <v>0.308</v>
      </c>
      <c r="E187">
        <v>5.5142600000000002</v>
      </c>
      <c r="G187" s="64">
        <f t="shared" si="2"/>
        <v>0</v>
      </c>
      <c r="K187" s="319" t="str">
        <f>PE_aug!AP187</f>
        <v>KWS</v>
      </c>
    </row>
    <row r="188" spans="1:11">
      <c r="A188" s="173" t="s">
        <v>241</v>
      </c>
      <c r="C188">
        <v>0.63600000000000001</v>
      </c>
      <c r="D188">
        <v>0.308</v>
      </c>
      <c r="E188">
        <v>8.6348099999999999</v>
      </c>
      <c r="G188" s="64">
        <f t="shared" si="2"/>
        <v>0</v>
      </c>
      <c r="K188" s="319" t="str">
        <f>PE_aug!AP188</f>
        <v>KWS</v>
      </c>
    </row>
    <row r="189" spans="1:11">
      <c r="A189" s="173" t="s">
        <v>242</v>
      </c>
      <c r="C189">
        <v>0.86399999999999999</v>
      </c>
      <c r="D189">
        <v>0.308</v>
      </c>
      <c r="E189">
        <v>9.2441649999999989</v>
      </c>
      <c r="G189" s="64">
        <f t="shared" si="2"/>
        <v>0</v>
      </c>
      <c r="K189" s="319" t="str">
        <f>PE_aug!AP189</f>
        <v>KWS</v>
      </c>
    </row>
    <row r="190" spans="1:11">
      <c r="A190" s="173" t="s">
        <v>243</v>
      </c>
      <c r="C190">
        <v>0.52</v>
      </c>
      <c r="D190">
        <v>5.7000000000000002E-2</v>
      </c>
      <c r="E190">
        <v>8.5557249999999989</v>
      </c>
      <c r="G190" s="64">
        <f t="shared" si="2"/>
        <v>0</v>
      </c>
      <c r="K190" s="319" t="str">
        <f>PE_aug!AP190</f>
        <v>Kläranlagen</v>
      </c>
    </row>
    <row r="191" spans="1:11">
      <c r="A191" s="173" t="s">
        <v>245</v>
      </c>
      <c r="C191">
        <v>0.77600000000000002</v>
      </c>
      <c r="D191">
        <v>5.7000000000000002E-2</v>
      </c>
      <c r="E191">
        <v>12.1275</v>
      </c>
      <c r="G191" s="64">
        <f t="shared" si="2"/>
        <v>0</v>
      </c>
      <c r="K191" s="319" t="str">
        <f>PE_aug!AP191</f>
        <v>Kläranlagen</v>
      </c>
    </row>
    <row r="192" spans="1:11">
      <c r="A192" s="173" t="s">
        <v>246</v>
      </c>
      <c r="C192">
        <v>0.91</v>
      </c>
      <c r="D192">
        <v>5.7000000000000002E-2</v>
      </c>
      <c r="E192">
        <v>7.9963800000000003</v>
      </c>
      <c r="G192" s="64">
        <f t="shared" si="2"/>
        <v>0</v>
      </c>
      <c r="K192" s="319" t="str">
        <f>PE_aug!AP192</f>
        <v>Kläranlagen</v>
      </c>
    </row>
    <row r="193" spans="1:11">
      <c r="A193" s="173" t="s">
        <v>247</v>
      </c>
      <c r="C193">
        <v>0.70699999999999996</v>
      </c>
      <c r="D193">
        <v>4.3999999999999997E-2</v>
      </c>
      <c r="E193">
        <v>9.1964899999999989</v>
      </c>
      <c r="G193" s="64">
        <f t="shared" si="2"/>
        <v>0</v>
      </c>
      <c r="K193" s="319" t="str">
        <f>PE_aug!AP193</f>
        <v>Kläranlagen</v>
      </c>
    </row>
    <row r="194" spans="1:11">
      <c r="A194" s="173" t="s">
        <v>248</v>
      </c>
      <c r="C194">
        <v>0.70699999999999996</v>
      </c>
      <c r="D194">
        <v>4.3999999999999997E-2</v>
      </c>
      <c r="E194">
        <v>7.59185</v>
      </c>
      <c r="G194" s="64">
        <f t="shared" ref="G194:G257" si="3">B194/E194</f>
        <v>0</v>
      </c>
      <c r="K194" s="319" t="str">
        <f>PE_aug!AP194</f>
        <v>Kläranlagen</v>
      </c>
    </row>
    <row r="195" spans="1:11">
      <c r="A195" s="173" t="s">
        <v>249</v>
      </c>
      <c r="C195">
        <v>0.70699999999999996</v>
      </c>
      <c r="D195">
        <v>0.17599999999999999</v>
      </c>
      <c r="E195">
        <v>9.1481399999999997</v>
      </c>
      <c r="G195" s="64">
        <f t="shared" si="3"/>
        <v>0</v>
      </c>
      <c r="K195" s="319" t="str">
        <f>PE_aug!AP195</f>
        <v>Kläranlagen</v>
      </c>
    </row>
    <row r="196" spans="1:11">
      <c r="A196" s="173" t="s">
        <v>250</v>
      </c>
      <c r="C196">
        <v>0.70699999999999996</v>
      </c>
      <c r="D196">
        <v>0.17599999999999999</v>
      </c>
      <c r="E196">
        <v>5.17957</v>
      </c>
      <c r="G196" s="64">
        <f t="shared" si="3"/>
        <v>0</v>
      </c>
      <c r="K196" s="319" t="str">
        <f>PE_aug!AP196</f>
        <v>Kläranlagen</v>
      </c>
    </row>
    <row r="197" spans="1:11">
      <c r="A197" s="173" t="s">
        <v>251</v>
      </c>
      <c r="C197">
        <v>0.70699999999999996</v>
      </c>
      <c r="D197">
        <v>5.2999999999999999E-2</v>
      </c>
      <c r="E197">
        <v>9.0249299999999995</v>
      </c>
      <c r="G197" s="64">
        <f t="shared" si="3"/>
        <v>0</v>
      </c>
      <c r="K197" s="319" t="str">
        <f>PE_aug!AP197</f>
        <v>Kläranlagen</v>
      </c>
    </row>
    <row r="198" spans="1:11">
      <c r="A198" s="173" t="s">
        <v>252</v>
      </c>
      <c r="C198">
        <v>0.70699999999999996</v>
      </c>
      <c r="D198">
        <v>5.2999999999999999E-2</v>
      </c>
      <c r="E198">
        <v>8.3660199999999989</v>
      </c>
      <c r="G198" s="64">
        <f t="shared" si="3"/>
        <v>0</v>
      </c>
      <c r="K198" s="319" t="str">
        <f>PE_aug!AP198</f>
        <v>Kläranlagen</v>
      </c>
    </row>
    <row r="199" spans="1:11">
      <c r="A199" s="173" t="s">
        <v>253</v>
      </c>
      <c r="C199">
        <v>0.67700000000000005</v>
      </c>
      <c r="D199">
        <v>4.8000000000000001E-2</v>
      </c>
      <c r="E199">
        <v>8.8748400000000007</v>
      </c>
      <c r="G199" s="64">
        <f t="shared" si="3"/>
        <v>0</v>
      </c>
      <c r="K199" s="319" t="str">
        <f>PE_aug!AP199</f>
        <v>Kläranlagen</v>
      </c>
    </row>
    <row r="200" spans="1:11">
      <c r="A200" s="173" t="s">
        <v>254</v>
      </c>
      <c r="C200">
        <v>0.87</v>
      </c>
      <c r="D200">
        <v>4.8000000000000001E-2</v>
      </c>
      <c r="E200">
        <v>10.6442</v>
      </c>
      <c r="G200" s="64">
        <f t="shared" si="3"/>
        <v>0</v>
      </c>
      <c r="K200" s="319" t="str">
        <f>PE_aug!AP200</f>
        <v>Kläranlagen</v>
      </c>
    </row>
    <row r="201" spans="1:11">
      <c r="A201" s="173" t="s">
        <v>255</v>
      </c>
      <c r="C201">
        <v>0.626</v>
      </c>
      <c r="D201">
        <v>4.8000000000000001E-2</v>
      </c>
      <c r="E201">
        <v>8.4144699999999997</v>
      </c>
      <c r="G201" s="64">
        <f t="shared" si="3"/>
        <v>0</v>
      </c>
      <c r="K201" s="319" t="str">
        <f>PE_aug!AP201</f>
        <v>Kläranlagen</v>
      </c>
    </row>
    <row r="202" spans="1:11">
      <c r="A202" s="170" t="s">
        <v>256</v>
      </c>
      <c r="C202">
        <v>0.70699999999999996</v>
      </c>
      <c r="D202">
        <v>0.113</v>
      </c>
      <c r="E202">
        <v>4.5994950000000001</v>
      </c>
      <c r="G202" s="64">
        <f t="shared" si="3"/>
        <v>0</v>
      </c>
      <c r="K202" s="319" t="str">
        <f>PE_aug!AP202</f>
        <v>KWS</v>
      </c>
    </row>
    <row r="203" spans="1:11">
      <c r="A203" s="170" t="s">
        <v>257</v>
      </c>
      <c r="C203">
        <v>0.70699999999999996</v>
      </c>
      <c r="D203">
        <v>0.113</v>
      </c>
      <c r="E203">
        <v>6.10121</v>
      </c>
      <c r="G203" s="64">
        <f t="shared" si="3"/>
        <v>0</v>
      </c>
      <c r="K203" s="319" t="str">
        <f>PE_aug!AP203</f>
        <v>KWS</v>
      </c>
    </row>
    <row r="204" spans="1:11">
      <c r="A204" s="170" t="s">
        <v>258</v>
      </c>
      <c r="C204">
        <v>0.70699999999999996</v>
      </c>
      <c r="D204">
        <v>9.7000000000000003E-2</v>
      </c>
      <c r="E204">
        <v>4.843</v>
      </c>
      <c r="G204" s="64">
        <f t="shared" si="3"/>
        <v>0</v>
      </c>
      <c r="K204" s="319" t="str">
        <f>PE_aug!AP204</f>
        <v>KWS</v>
      </c>
    </row>
    <row r="205" spans="1:11">
      <c r="A205" s="170" t="s">
        <v>259</v>
      </c>
      <c r="C205">
        <v>0.70699999999999996</v>
      </c>
      <c r="D205">
        <v>9.7000000000000003E-2</v>
      </c>
      <c r="E205">
        <v>6.6468399999999992</v>
      </c>
      <c r="G205" s="64">
        <f t="shared" si="3"/>
        <v>0</v>
      </c>
      <c r="K205" s="319" t="str">
        <f>PE_aug!AP205</f>
        <v>KWS</v>
      </c>
    </row>
    <row r="206" spans="1:11">
      <c r="A206" s="170" t="s">
        <v>260</v>
      </c>
      <c r="E206">
        <v>-84.199200000000005</v>
      </c>
      <c r="G206" s="64">
        <f t="shared" si="3"/>
        <v>0</v>
      </c>
      <c r="K206" s="319" t="str">
        <f>PE_aug!AP206</f>
        <v>Methode</v>
      </c>
    </row>
    <row r="207" spans="1:11">
      <c r="A207" s="170" t="s">
        <v>261</v>
      </c>
      <c r="E207">
        <v>5.4117899999999999</v>
      </c>
      <c r="G207" s="64">
        <f t="shared" si="3"/>
        <v>0</v>
      </c>
      <c r="K207" s="319" t="str">
        <f>PE_aug!AP207</f>
        <v>KWS, Methode</v>
      </c>
    </row>
    <row r="208" spans="1:11">
      <c r="A208" s="170" t="s">
        <v>262</v>
      </c>
      <c r="E208">
        <v>5.4577400000000003</v>
      </c>
      <c r="G208" s="64">
        <f t="shared" si="3"/>
        <v>0</v>
      </c>
      <c r="K208" s="319" t="str">
        <f>PE_aug!AP208</f>
        <v>KWS, Methode</v>
      </c>
    </row>
    <row r="209" spans="1:11">
      <c r="A209" s="170" t="s">
        <v>263</v>
      </c>
      <c r="G209" s="64" t="e">
        <f t="shared" si="3"/>
        <v>#DIV/0!</v>
      </c>
      <c r="K209" s="319" t="str">
        <f>PE_aug!AP209</f>
        <v>KWS, Methode</v>
      </c>
    </row>
    <row r="210" spans="1:11">
      <c r="A210" s="170" t="s">
        <v>264</v>
      </c>
      <c r="C210">
        <v>0.70699999999999996</v>
      </c>
      <c r="D210">
        <v>0.10199999999999999</v>
      </c>
      <c r="E210">
        <v>10.235150000000001</v>
      </c>
      <c r="G210" s="64">
        <f t="shared" si="3"/>
        <v>0</v>
      </c>
      <c r="K210" s="319" t="str">
        <f>PE_aug!AP210</f>
        <v>Kläranlagen</v>
      </c>
    </row>
    <row r="211" spans="1:11">
      <c r="A211" s="170" t="s">
        <v>265</v>
      </c>
      <c r="C211">
        <v>0.70699999999999996</v>
      </c>
      <c r="D211">
        <v>0.10199999999999999</v>
      </c>
      <c r="E211">
        <v>8.9477550000000008</v>
      </c>
      <c r="G211" s="64">
        <f t="shared" si="3"/>
        <v>0</v>
      </c>
      <c r="K211" s="319" t="str">
        <f>PE_aug!AP211</f>
        <v>Kläranlagen</v>
      </c>
    </row>
    <row r="212" spans="1:11">
      <c r="A212" s="170" t="s">
        <v>266</v>
      </c>
      <c r="C212">
        <v>0.70699999999999996</v>
      </c>
      <c r="D212">
        <v>0.96399999999999997</v>
      </c>
      <c r="E212">
        <v>10.384600000000001</v>
      </c>
      <c r="G212" s="64">
        <f t="shared" si="3"/>
        <v>0</v>
      </c>
      <c r="K212" s="319" t="str">
        <f>PE_aug!AP212</f>
        <v>Kläranlagen</v>
      </c>
    </row>
    <row r="213" spans="1:11">
      <c r="A213" s="170" t="s">
        <v>267</v>
      </c>
      <c r="C213">
        <v>0.70699999999999996</v>
      </c>
      <c r="D213">
        <v>0.96399999999999997</v>
      </c>
      <c r="E213">
        <v>9.8753700000000002</v>
      </c>
      <c r="G213" s="64">
        <f t="shared" si="3"/>
        <v>0</v>
      </c>
      <c r="K213" s="319" t="str">
        <f>PE_aug!AP213</f>
        <v>Kläranlagen</v>
      </c>
    </row>
    <row r="214" spans="1:11">
      <c r="A214" s="170" t="s">
        <v>268</v>
      </c>
      <c r="E214">
        <v>6.4336500000000001</v>
      </c>
      <c r="G214" s="64">
        <f t="shared" si="3"/>
        <v>0</v>
      </c>
      <c r="K214" s="319" t="str">
        <f>PE_aug!AP214</f>
        <v>Kläranlagen, Methode</v>
      </c>
    </row>
    <row r="215" spans="1:11">
      <c r="A215" s="170" t="s">
        <v>270</v>
      </c>
      <c r="B215">
        <v>33.909999999999997</v>
      </c>
      <c r="E215">
        <v>0.232761</v>
      </c>
      <c r="F215">
        <v>0.25</v>
      </c>
      <c r="G215" s="64">
        <f t="shared" si="3"/>
        <v>145.68591817357716</v>
      </c>
      <c r="I215">
        <v>4.53E-2</v>
      </c>
      <c r="J215" s="203">
        <f>100*B215/(1000*I215)</f>
        <v>74.856512141280348</v>
      </c>
      <c r="K215" s="319" t="str">
        <f>PE_aug!AP215</f>
        <v>Methode</v>
      </c>
    </row>
    <row r="216" spans="1:11">
      <c r="A216" s="170" t="s">
        <v>271</v>
      </c>
      <c r="F216">
        <v>0.5</v>
      </c>
      <c r="G216" s="64" t="e">
        <f t="shared" si="3"/>
        <v>#DIV/0!</v>
      </c>
      <c r="K216" s="319" t="str">
        <f>PE_aug!AP216</f>
        <v>Methode</v>
      </c>
    </row>
    <row r="217" spans="1:11">
      <c r="A217" s="170" t="s">
        <v>272</v>
      </c>
      <c r="B217">
        <v>7.05</v>
      </c>
      <c r="E217">
        <v>0.18177399999999999</v>
      </c>
      <c r="F217">
        <v>0.5</v>
      </c>
      <c r="G217" s="64">
        <f t="shared" si="3"/>
        <v>38.784424615181493</v>
      </c>
      <c r="K217" s="319" t="str">
        <f>PE_aug!AP217</f>
        <v>Methode</v>
      </c>
    </row>
    <row r="218" spans="1:11">
      <c r="A218" s="218" t="s">
        <v>534</v>
      </c>
      <c r="C218">
        <v>1.133</v>
      </c>
      <c r="D218">
        <v>0.12</v>
      </c>
      <c r="E218">
        <v>11.5961</v>
      </c>
      <c r="G218" s="64">
        <f t="shared" si="3"/>
        <v>0</v>
      </c>
      <c r="K218" s="319" t="str">
        <f>PE_may!AH218</f>
        <v>Methodenvergleich</v>
      </c>
    </row>
    <row r="219" spans="1:11">
      <c r="A219" s="218" t="s">
        <v>535</v>
      </c>
      <c r="C219">
        <v>0.622</v>
      </c>
      <c r="D219">
        <v>0.12</v>
      </c>
      <c r="E219">
        <v>7.643110000000001</v>
      </c>
      <c r="G219" s="64">
        <f t="shared" si="3"/>
        <v>0</v>
      </c>
      <c r="K219" s="319" t="str">
        <f>PE_may!AH219</f>
        <v>Methodenvergleich</v>
      </c>
    </row>
    <row r="220" spans="1:11">
      <c r="A220" s="218" t="s">
        <v>536</v>
      </c>
      <c r="C220">
        <v>0.52700000000000002</v>
      </c>
      <c r="D220">
        <v>0.12</v>
      </c>
      <c r="E220">
        <v>7.9017200000000001</v>
      </c>
      <c r="G220" s="64">
        <f t="shared" si="3"/>
        <v>0</v>
      </c>
      <c r="K220" s="319" t="str">
        <f>PE_may!AH220</f>
        <v>Methodenvergleich</v>
      </c>
    </row>
    <row r="221" spans="1:11">
      <c r="A221" s="218" t="s">
        <v>537</v>
      </c>
      <c r="G221" s="64" t="e">
        <f t="shared" si="3"/>
        <v>#DIV/0!</v>
      </c>
      <c r="K221" s="319" t="str">
        <f>PE_may!AH221</f>
        <v>Methode</v>
      </c>
    </row>
    <row r="222" spans="1:11">
      <c r="A222" s="218" t="s">
        <v>538</v>
      </c>
      <c r="C222">
        <v>0.878</v>
      </c>
      <c r="D222">
        <v>9.5000000000000001E-2</v>
      </c>
      <c r="E222">
        <v>11.2964</v>
      </c>
      <c r="G222" s="64">
        <f t="shared" si="3"/>
        <v>0</v>
      </c>
      <c r="K222" s="319" t="str">
        <f>PE_may!AH222</f>
        <v>Kläranlagen</v>
      </c>
    </row>
    <row r="223" spans="1:11">
      <c r="A223" s="218" t="s">
        <v>539</v>
      </c>
      <c r="C223">
        <v>1.008</v>
      </c>
      <c r="D223">
        <v>9.5000000000000001E-2</v>
      </c>
      <c r="E223">
        <v>14.131</v>
      </c>
      <c r="G223" s="64">
        <f t="shared" si="3"/>
        <v>0</v>
      </c>
      <c r="K223" s="319" t="str">
        <f>PE_may!AH223</f>
        <v>Kläranlagen</v>
      </c>
    </row>
    <row r="224" spans="1:11">
      <c r="A224" s="218" t="s">
        <v>540</v>
      </c>
      <c r="C224">
        <v>0.317</v>
      </c>
      <c r="D224">
        <v>9.5000000000000001E-2</v>
      </c>
      <c r="E224">
        <v>11.628</v>
      </c>
      <c r="G224" s="64">
        <f t="shared" si="3"/>
        <v>0</v>
      </c>
      <c r="K224" s="319" t="str">
        <f>PE_may!AH224</f>
        <v>Kläranlagen</v>
      </c>
    </row>
    <row r="225" spans="1:11">
      <c r="A225" s="218" t="s">
        <v>541</v>
      </c>
      <c r="C225">
        <v>1.0489999999999999</v>
      </c>
      <c r="D225">
        <v>6.2E-2</v>
      </c>
      <c r="E225">
        <v>7.5634450000000006</v>
      </c>
      <c r="G225" s="64">
        <f t="shared" si="3"/>
        <v>0</v>
      </c>
      <c r="K225" s="319" t="str">
        <f>PE_may!AH225</f>
        <v>Kläranlagen</v>
      </c>
    </row>
    <row r="226" spans="1:11">
      <c r="A226" s="218" t="s">
        <v>542</v>
      </c>
      <c r="C226">
        <v>0.53800000000000003</v>
      </c>
      <c r="D226">
        <v>6.2E-2</v>
      </c>
      <c r="E226">
        <v>9.8938349999999993</v>
      </c>
      <c r="G226" s="64">
        <f t="shared" si="3"/>
        <v>0</v>
      </c>
      <c r="K226" s="319" t="str">
        <f>PE_may!AH226</f>
        <v>Kläranlagen</v>
      </c>
    </row>
    <row r="227" spans="1:11">
      <c r="A227" s="218" t="s">
        <v>543</v>
      </c>
      <c r="C227">
        <v>0.65200000000000002</v>
      </c>
      <c r="D227">
        <v>6.2E-2</v>
      </c>
      <c r="E227">
        <v>10.473699999999999</v>
      </c>
      <c r="G227" s="64">
        <f t="shared" si="3"/>
        <v>0</v>
      </c>
      <c r="K227" s="319" t="str">
        <f>PE_may!AH227</f>
        <v>Kläranlagen</v>
      </c>
    </row>
    <row r="228" spans="1:11">
      <c r="A228" s="218" t="s">
        <v>544</v>
      </c>
      <c r="E228">
        <v>2.2444700000000002</v>
      </c>
      <c r="G228" s="64">
        <f t="shared" si="3"/>
        <v>0</v>
      </c>
      <c r="K228" s="319" t="str">
        <f>PE_may!AH228</f>
        <v>Kläranlagen</v>
      </c>
    </row>
    <row r="229" spans="1:11">
      <c r="A229" s="219" t="s">
        <v>273</v>
      </c>
      <c r="B229">
        <v>9.6300000000000008</v>
      </c>
      <c r="F229">
        <v>0.5</v>
      </c>
      <c r="G229" s="64" t="e">
        <f t="shared" si="3"/>
        <v>#DIV/0!</v>
      </c>
      <c r="K229" s="319">
        <f>PE_aug!AP218</f>
        <v>0</v>
      </c>
    </row>
    <row r="230" spans="1:11">
      <c r="A230" s="219" t="s">
        <v>274</v>
      </c>
      <c r="G230" s="64" t="e">
        <f t="shared" si="3"/>
        <v>#DIV/0!</v>
      </c>
      <c r="K230" s="319">
        <f>PE_aug!AP219</f>
        <v>0</v>
      </c>
    </row>
    <row r="231" spans="1:11">
      <c r="A231" s="219" t="s">
        <v>275</v>
      </c>
      <c r="C231">
        <v>0.747</v>
      </c>
      <c r="D231">
        <v>0.02</v>
      </c>
      <c r="E231">
        <v>9.4741699999999991</v>
      </c>
      <c r="G231" s="64">
        <f t="shared" si="3"/>
        <v>0</v>
      </c>
      <c r="K231" s="319" t="str">
        <f>PE_aug!AP220</f>
        <v>Kläranlagen</v>
      </c>
    </row>
    <row r="232" spans="1:11">
      <c r="A232" s="219" t="s">
        <v>276</v>
      </c>
      <c r="C232">
        <v>0.64</v>
      </c>
      <c r="D232">
        <v>0.02</v>
      </c>
      <c r="E232">
        <v>8.9339700000000004</v>
      </c>
      <c r="G232" s="64">
        <f t="shared" si="3"/>
        <v>0</v>
      </c>
      <c r="K232" s="319" t="str">
        <f>PE_aug!AP221</f>
        <v>Kläranlagen</v>
      </c>
    </row>
    <row r="233" spans="1:11">
      <c r="A233" s="219" t="s">
        <v>277</v>
      </c>
      <c r="C233">
        <v>0.82199999999999995</v>
      </c>
      <c r="D233">
        <v>0.02</v>
      </c>
      <c r="E233">
        <v>10.4704</v>
      </c>
      <c r="G233" s="64">
        <f t="shared" si="3"/>
        <v>0</v>
      </c>
      <c r="K233" s="319" t="str">
        <f>PE_aug!AP222</f>
        <v>Kläranlagen</v>
      </c>
    </row>
    <row r="234" spans="1:11">
      <c r="A234" s="219" t="s">
        <v>278</v>
      </c>
      <c r="C234">
        <v>0.83099999999999996</v>
      </c>
      <c r="D234">
        <v>0.13600000000000001</v>
      </c>
      <c r="E234">
        <v>8.854280000000001</v>
      </c>
      <c r="G234" s="64">
        <f t="shared" si="3"/>
        <v>0</v>
      </c>
      <c r="K234" s="319" t="str">
        <f>PE_aug!AP223</f>
        <v>Kläranlagen</v>
      </c>
    </row>
    <row r="235" spans="1:11">
      <c r="A235" s="219" t="s">
        <v>279</v>
      </c>
      <c r="C235">
        <v>0.29799999999999999</v>
      </c>
      <c r="D235">
        <v>0.13600000000000001</v>
      </c>
      <c r="E235">
        <v>8.9194449999999996</v>
      </c>
      <c r="G235" s="64">
        <f t="shared" si="3"/>
        <v>0</v>
      </c>
      <c r="K235" s="319" t="str">
        <f>PE_aug!AP224</f>
        <v>Kläranlagen</v>
      </c>
    </row>
    <row r="236" spans="1:11">
      <c r="A236" s="219" t="s">
        <v>280</v>
      </c>
      <c r="C236">
        <v>1.038</v>
      </c>
      <c r="D236">
        <v>0.13600000000000001</v>
      </c>
      <c r="E236">
        <v>9.8315149999999996</v>
      </c>
      <c r="G236" s="64">
        <f t="shared" si="3"/>
        <v>0</v>
      </c>
      <c r="K236" s="319" t="str">
        <f>PE_aug!AP225</f>
        <v>Kläranlagen</v>
      </c>
    </row>
    <row r="237" spans="1:11">
      <c r="A237" s="219" t="s">
        <v>281</v>
      </c>
      <c r="C237">
        <v>0.92</v>
      </c>
      <c r="D237">
        <v>0.113</v>
      </c>
      <c r="E237">
        <v>8.5098400000000005</v>
      </c>
      <c r="G237" s="64">
        <f t="shared" si="3"/>
        <v>0</v>
      </c>
      <c r="K237" s="319" t="str">
        <f>PE_aug!AP226</f>
        <v>Kläranlagen</v>
      </c>
    </row>
    <row r="238" spans="1:11">
      <c r="A238" s="219" t="s">
        <v>282</v>
      </c>
      <c r="C238">
        <v>0.78100000000000003</v>
      </c>
      <c r="D238">
        <v>0.113</v>
      </c>
      <c r="E238">
        <v>8.9350749999999994</v>
      </c>
      <c r="G238" s="64">
        <f t="shared" si="3"/>
        <v>0</v>
      </c>
      <c r="K238" s="319" t="str">
        <f>PE_aug!AP227</f>
        <v>Kläranlagen</v>
      </c>
    </row>
    <row r="239" spans="1:11">
      <c r="A239" s="219" t="s">
        <v>283</v>
      </c>
      <c r="C239">
        <v>0.502</v>
      </c>
      <c r="D239">
        <v>0.113</v>
      </c>
      <c r="E239">
        <v>8.0010499999999993</v>
      </c>
      <c r="G239" s="64">
        <f t="shared" si="3"/>
        <v>0</v>
      </c>
      <c r="K239" s="319" t="str">
        <f>PE_aug!AP228</f>
        <v>Kläranlagen</v>
      </c>
    </row>
    <row r="240" spans="1:11">
      <c r="A240" s="219" t="s">
        <v>284</v>
      </c>
      <c r="C240">
        <v>0.70699999999999996</v>
      </c>
      <c r="D240">
        <v>3.2000000000000001E-2</v>
      </c>
      <c r="E240">
        <v>9.4548300000000012</v>
      </c>
      <c r="G240" s="64">
        <f t="shared" si="3"/>
        <v>0</v>
      </c>
      <c r="K240" s="319" t="str">
        <f>PE_aug!AP229</f>
        <v>Kläranlagen</v>
      </c>
    </row>
    <row r="241" spans="1:11">
      <c r="A241" s="219" t="s">
        <v>285</v>
      </c>
      <c r="C241">
        <v>0.70699999999999996</v>
      </c>
      <c r="D241">
        <v>3.2000000000000001E-2</v>
      </c>
      <c r="E241">
        <v>9.7220899999999997</v>
      </c>
      <c r="G241" s="64">
        <f t="shared" si="3"/>
        <v>0</v>
      </c>
      <c r="K241" s="319" t="str">
        <f>PE_aug!AP230</f>
        <v>Kläranlagen</v>
      </c>
    </row>
    <row r="242" spans="1:11">
      <c r="A242" s="219" t="s">
        <v>286</v>
      </c>
      <c r="C242">
        <v>1.1419999999999999</v>
      </c>
      <c r="D242">
        <v>5.5E-2</v>
      </c>
      <c r="E242">
        <v>6.5427799999999996</v>
      </c>
      <c r="G242" s="64">
        <f t="shared" si="3"/>
        <v>0</v>
      </c>
      <c r="K242" s="319" t="str">
        <f>PE_aug!AP231</f>
        <v>Kläranlagen</v>
      </c>
    </row>
    <row r="243" spans="1:11">
      <c r="A243" s="219" t="s">
        <v>287</v>
      </c>
      <c r="C243">
        <v>0.49399999999999999</v>
      </c>
      <c r="D243">
        <v>5.5E-2</v>
      </c>
      <c r="E243">
        <v>9.3765300000000007</v>
      </c>
      <c r="G243" s="64">
        <f t="shared" si="3"/>
        <v>0</v>
      </c>
      <c r="K243" s="319" t="str">
        <f>PE_aug!AP232</f>
        <v>Kläranlagen</v>
      </c>
    </row>
    <row r="244" spans="1:11">
      <c r="A244" s="219" t="s">
        <v>288</v>
      </c>
      <c r="C244">
        <v>0.65</v>
      </c>
      <c r="D244">
        <v>5.5E-2</v>
      </c>
      <c r="E244">
        <v>9.4145599999999998</v>
      </c>
      <c r="G244" s="64">
        <f t="shared" si="3"/>
        <v>0</v>
      </c>
      <c r="K244" s="319" t="str">
        <f>PE_aug!AP233</f>
        <v>Kläranlagen</v>
      </c>
    </row>
    <row r="245" spans="1:11">
      <c r="A245" s="219" t="s">
        <v>289</v>
      </c>
      <c r="C245">
        <v>0.54800000000000004</v>
      </c>
      <c r="D245">
        <v>0.16400000000000001</v>
      </c>
      <c r="E245">
        <v>4.9484750000000002</v>
      </c>
      <c r="G245" s="64">
        <f t="shared" si="3"/>
        <v>0</v>
      </c>
      <c r="K245" s="319" t="str">
        <f>PE_aug!AP234</f>
        <v>Kläranlagen</v>
      </c>
    </row>
    <row r="246" spans="1:11">
      <c r="A246" s="219" t="s">
        <v>290</v>
      </c>
      <c r="C246">
        <v>0.82099999999999995</v>
      </c>
      <c r="D246">
        <v>0.16400000000000001</v>
      </c>
      <c r="E246">
        <v>5.7705900000000003</v>
      </c>
      <c r="G246" s="64">
        <f t="shared" si="3"/>
        <v>0</v>
      </c>
      <c r="K246" s="319" t="str">
        <f>PE_aug!AP235</f>
        <v>Kläranlagen</v>
      </c>
    </row>
    <row r="247" spans="1:11">
      <c r="A247" s="219" t="s">
        <v>291</v>
      </c>
      <c r="C247">
        <v>0.79400000000000004</v>
      </c>
      <c r="D247">
        <v>0.16400000000000001</v>
      </c>
      <c r="E247">
        <v>7.5740399999999992</v>
      </c>
      <c r="G247" s="64">
        <f t="shared" si="3"/>
        <v>0</v>
      </c>
      <c r="K247" s="319" t="str">
        <f>PE_aug!AP236</f>
        <v>Kläranlagen</v>
      </c>
    </row>
    <row r="248" spans="1:11">
      <c r="A248" s="219" t="s">
        <v>292</v>
      </c>
      <c r="C248">
        <v>0.90600000000000003</v>
      </c>
      <c r="D248">
        <v>0.13900000000000001</v>
      </c>
      <c r="E248">
        <v>8.5894499999999994</v>
      </c>
      <c r="G248" s="64">
        <f t="shared" si="3"/>
        <v>0</v>
      </c>
      <c r="K248" s="319" t="str">
        <f>PE_aug!AP237</f>
        <v>Kläranlagen</v>
      </c>
    </row>
    <row r="249" spans="1:11">
      <c r="A249" s="219" t="s">
        <v>293</v>
      </c>
      <c r="C249">
        <v>0.64600000000000002</v>
      </c>
      <c r="D249">
        <v>0.13900000000000001</v>
      </c>
      <c r="E249">
        <v>8.6637399999999989</v>
      </c>
      <c r="G249" s="64">
        <f t="shared" si="3"/>
        <v>0</v>
      </c>
      <c r="K249" s="319" t="str">
        <f>PE_aug!AP238</f>
        <v>Kläranlagen</v>
      </c>
    </row>
    <row r="250" spans="1:11">
      <c r="A250" s="219" t="s">
        <v>294</v>
      </c>
      <c r="C250">
        <v>0.68</v>
      </c>
      <c r="D250">
        <v>0.13900000000000001</v>
      </c>
      <c r="E250">
        <v>9.0110200000000003</v>
      </c>
      <c r="G250" s="64">
        <f t="shared" si="3"/>
        <v>0</v>
      </c>
      <c r="K250" s="319" t="str">
        <f>PE_aug!AP239</f>
        <v>Kläranlagen</v>
      </c>
    </row>
    <row r="251" spans="1:11">
      <c r="A251" s="219" t="s">
        <v>295</v>
      </c>
      <c r="B251">
        <v>96.23</v>
      </c>
      <c r="E251">
        <v>-84.760499999999993</v>
      </c>
      <c r="F251">
        <v>0.5</v>
      </c>
      <c r="G251" s="64">
        <f t="shared" si="3"/>
        <v>-1.135316568448747</v>
      </c>
      <c r="I251">
        <f>1000*0.2079</f>
        <v>207.9</v>
      </c>
      <c r="J251">
        <f>B251/I251</f>
        <v>0.46286676286676287</v>
      </c>
      <c r="K251" s="319" t="str">
        <f>PE_aug!AP240</f>
        <v>Methode</v>
      </c>
    </row>
    <row r="252" spans="1:11">
      <c r="A252" s="219" t="s">
        <v>296</v>
      </c>
      <c r="E252">
        <v>-83.471699999999998</v>
      </c>
      <c r="G252" s="64">
        <f t="shared" si="3"/>
        <v>0</v>
      </c>
      <c r="K252" s="319" t="str">
        <f>PE_aug!AP241</f>
        <v>Methode</v>
      </c>
    </row>
    <row r="253" spans="1:11">
      <c r="A253" s="219" t="s">
        <v>297</v>
      </c>
      <c r="G253" s="64" t="e">
        <f t="shared" si="3"/>
        <v>#DIV/0!</v>
      </c>
      <c r="K253" s="319" t="str">
        <f>PE_aug!AP242</f>
        <v>Kläranlagen</v>
      </c>
    </row>
    <row r="254" spans="1:11">
      <c r="A254" s="219" t="s">
        <v>298</v>
      </c>
      <c r="G254" s="64" t="e">
        <f t="shared" si="3"/>
        <v>#DIV/0!</v>
      </c>
      <c r="K254" s="319" t="str">
        <f>PE_aug!AP243</f>
        <v>Kläranlagen</v>
      </c>
    </row>
    <row r="255" spans="1:11">
      <c r="A255" s="219" t="s">
        <v>299</v>
      </c>
      <c r="G255" s="64" t="e">
        <f t="shared" si="3"/>
        <v>#DIV/0!</v>
      </c>
      <c r="K255" s="319" t="str">
        <f>PE_aug!AP244</f>
        <v>Kläranlagen</v>
      </c>
    </row>
    <row r="256" spans="1:11">
      <c r="A256" s="219" t="s">
        <v>300</v>
      </c>
      <c r="E256">
        <v>6.02935</v>
      </c>
      <c r="G256" s="64">
        <f t="shared" si="3"/>
        <v>0</v>
      </c>
      <c r="K256" s="319" t="str">
        <f>PE_aug!AP245</f>
        <v>Kläranlage, Methode</v>
      </c>
    </row>
    <row r="257" spans="1:11">
      <c r="A257" s="219" t="s">
        <v>301</v>
      </c>
      <c r="C257">
        <v>0.82799999999999996</v>
      </c>
      <c r="D257">
        <v>0.191</v>
      </c>
      <c r="E257">
        <v>8.4088700000000003</v>
      </c>
      <c r="G257" s="64">
        <f t="shared" si="3"/>
        <v>0</v>
      </c>
      <c r="K257" s="319" t="str">
        <f>PE_aug!AP246</f>
        <v>Kläranlagen</v>
      </c>
    </row>
    <row r="258" spans="1:11">
      <c r="A258" s="219" t="s">
        <v>302</v>
      </c>
      <c r="C258">
        <v>0.79200000000000004</v>
      </c>
      <c r="D258">
        <v>0.191</v>
      </c>
      <c r="E258">
        <v>6.7405999999999997</v>
      </c>
      <c r="G258" s="64">
        <f t="shared" ref="G258:G321" si="4">B258/E258</f>
        <v>0</v>
      </c>
      <c r="K258" s="319" t="str">
        <f>PE_aug!AP247</f>
        <v>Kläranlagen</v>
      </c>
    </row>
    <row r="259" spans="1:11">
      <c r="A259" s="219" t="s">
        <v>303</v>
      </c>
      <c r="C259">
        <v>0.629</v>
      </c>
      <c r="D259">
        <v>0.191</v>
      </c>
      <c r="E259">
        <v>7.8805199999999997</v>
      </c>
      <c r="G259" s="64">
        <f t="shared" si="4"/>
        <v>0</v>
      </c>
      <c r="K259" s="319" t="str">
        <f>PE_aug!AP248</f>
        <v>Kläranlagen</v>
      </c>
    </row>
    <row r="260" spans="1:11">
      <c r="A260" s="219" t="s">
        <v>304</v>
      </c>
      <c r="C260">
        <v>0.83699999999999997</v>
      </c>
      <c r="D260">
        <v>7.9000000000000001E-2</v>
      </c>
      <c r="E260">
        <v>7.9408200000000004</v>
      </c>
      <c r="G260" s="64">
        <f t="shared" si="4"/>
        <v>0</v>
      </c>
      <c r="K260" s="319" t="str">
        <f>PE_aug!AP249</f>
        <v>Kläranlagen</v>
      </c>
    </row>
    <row r="261" spans="1:11">
      <c r="A261" s="219" t="s">
        <v>305</v>
      </c>
      <c r="C261">
        <v>0.56399999999999995</v>
      </c>
      <c r="D261">
        <v>7.9000000000000001E-2</v>
      </c>
      <c r="E261">
        <v>8.8329500000000003</v>
      </c>
      <c r="G261" s="64">
        <f t="shared" si="4"/>
        <v>0</v>
      </c>
      <c r="K261" s="319" t="str">
        <f>PE_aug!AP250</f>
        <v>Kläranlagen</v>
      </c>
    </row>
    <row r="262" spans="1:11">
      <c r="A262" s="219" t="s">
        <v>306</v>
      </c>
      <c r="C262">
        <v>0.82899999999999996</v>
      </c>
      <c r="D262">
        <v>7.9000000000000001E-2</v>
      </c>
      <c r="E262">
        <v>5.0712599999999997</v>
      </c>
      <c r="G262" s="64">
        <f t="shared" si="4"/>
        <v>0</v>
      </c>
      <c r="K262" s="319" t="str">
        <f>PE_aug!AP251</f>
        <v>Kläranlagen</v>
      </c>
    </row>
    <row r="263" spans="1:11">
      <c r="A263" s="219" t="s">
        <v>307</v>
      </c>
      <c r="C263">
        <v>0.28599999999999998</v>
      </c>
      <c r="D263">
        <v>2.7E-2</v>
      </c>
      <c r="E263">
        <v>8.5876000000000001</v>
      </c>
      <c r="G263" s="64">
        <f t="shared" si="4"/>
        <v>0</v>
      </c>
      <c r="K263" s="319" t="str">
        <f>PE_aug!AP252</f>
        <v>Kläranlagen</v>
      </c>
    </row>
    <row r="264" spans="1:11">
      <c r="A264" s="219" t="s">
        <v>308</v>
      </c>
      <c r="C264">
        <v>1</v>
      </c>
      <c r="D264">
        <v>2.7E-2</v>
      </c>
      <c r="E264">
        <v>11.023999999999999</v>
      </c>
      <c r="G264" s="64">
        <f t="shared" si="4"/>
        <v>0</v>
      </c>
      <c r="K264" s="319" t="str">
        <f>PE_aug!AP253</f>
        <v>Kläranlagen</v>
      </c>
    </row>
    <row r="265" spans="1:11">
      <c r="A265" s="219" t="s">
        <v>309</v>
      </c>
      <c r="C265">
        <v>0.86599999999999999</v>
      </c>
      <c r="D265">
        <v>2.7E-2</v>
      </c>
      <c r="E265">
        <v>7.3292199999999994</v>
      </c>
      <c r="G265" s="64">
        <f t="shared" si="4"/>
        <v>0</v>
      </c>
      <c r="K265" s="319" t="str">
        <f>PE_aug!AP254</f>
        <v>Kläranlagen</v>
      </c>
    </row>
    <row r="266" spans="1:11">
      <c r="A266" s="219" t="s">
        <v>310</v>
      </c>
      <c r="G266" s="64" t="e">
        <f t="shared" si="4"/>
        <v>#DIV/0!</v>
      </c>
      <c r="K266" s="319" t="str">
        <f>PE_aug!AP255</f>
        <v>Sickerwasser</v>
      </c>
    </row>
    <row r="267" spans="1:11">
      <c r="A267" s="219" t="s">
        <v>311</v>
      </c>
      <c r="G267" s="64" t="e">
        <f t="shared" si="4"/>
        <v>#DIV/0!</v>
      </c>
      <c r="K267" s="319" t="str">
        <f>PE_aug!AP256</f>
        <v>Sickerwasser</v>
      </c>
    </row>
    <row r="268" spans="1:11">
      <c r="A268" s="219" t="s">
        <v>312</v>
      </c>
      <c r="G268" s="64" t="e">
        <f t="shared" si="4"/>
        <v>#DIV/0!</v>
      </c>
      <c r="K268" s="319" t="str">
        <f>PE_aug!AP257</f>
        <v>Sickerwasser</v>
      </c>
    </row>
    <row r="269" spans="1:11">
      <c r="A269" s="219" t="s">
        <v>313</v>
      </c>
      <c r="G269" s="64" t="e">
        <f t="shared" si="4"/>
        <v>#DIV/0!</v>
      </c>
      <c r="K269" s="319" t="str">
        <f>PE_aug!AP258</f>
        <v>Sickerwasser</v>
      </c>
    </row>
    <row r="270" spans="1:11">
      <c r="A270" s="220" t="s">
        <v>314</v>
      </c>
      <c r="C270">
        <v>1.0760000000000001</v>
      </c>
      <c r="D270">
        <v>1.7000000000000001E-2</v>
      </c>
      <c r="E270">
        <v>10.911899999999999</v>
      </c>
      <c r="G270" s="64">
        <f t="shared" si="4"/>
        <v>0</v>
      </c>
      <c r="K270" s="319" t="str">
        <f>PE_aug!AP259</f>
        <v>Kläranlagen</v>
      </c>
    </row>
    <row r="271" spans="1:11">
      <c r="A271" s="220" t="s">
        <v>315</v>
      </c>
      <c r="C271">
        <v>0.76800000000000002</v>
      </c>
      <c r="D271">
        <v>1.7000000000000001E-2</v>
      </c>
      <c r="E271">
        <v>13.8399</v>
      </c>
      <c r="G271" s="64">
        <f t="shared" si="4"/>
        <v>0</v>
      </c>
      <c r="K271" s="319" t="str">
        <f>PE_aug!AP260</f>
        <v>Kläranlagen</v>
      </c>
    </row>
    <row r="272" spans="1:11">
      <c r="A272" s="220" t="s">
        <v>316</v>
      </c>
      <c r="C272">
        <v>0.39500000000000002</v>
      </c>
      <c r="D272">
        <v>1.7000000000000001E-2</v>
      </c>
      <c r="E272">
        <v>13.1463</v>
      </c>
      <c r="G272" s="64">
        <f t="shared" si="4"/>
        <v>0</v>
      </c>
      <c r="K272" s="319" t="str">
        <f>PE_aug!AP261</f>
        <v>Kläranlagen</v>
      </c>
    </row>
    <row r="273" spans="1:11">
      <c r="A273" s="220" t="s">
        <v>317</v>
      </c>
      <c r="C273">
        <v>0.996</v>
      </c>
      <c r="D273">
        <v>8.1000000000000003E-2</v>
      </c>
      <c r="E273">
        <v>4.4084400000000006</v>
      </c>
      <c r="G273" s="64">
        <f t="shared" si="4"/>
        <v>0</v>
      </c>
      <c r="K273" s="319" t="str">
        <f>PE_aug!AP262</f>
        <v>Kläranlagen</v>
      </c>
    </row>
    <row r="274" spans="1:11">
      <c r="A274" s="220" t="s">
        <v>318</v>
      </c>
      <c r="C274">
        <v>0.155</v>
      </c>
      <c r="D274">
        <v>8.1000000000000003E-2</v>
      </c>
      <c r="E274">
        <v>5.8289400000000002</v>
      </c>
      <c r="G274" s="64">
        <f t="shared" si="4"/>
        <v>0</v>
      </c>
      <c r="K274" s="319" t="str">
        <f>PE_aug!AP263</f>
        <v>Kläranlagen</v>
      </c>
    </row>
    <row r="275" spans="1:11">
      <c r="A275" s="220" t="s">
        <v>319</v>
      </c>
      <c r="C275">
        <v>0.97299999999999998</v>
      </c>
      <c r="D275">
        <v>8.1000000000000003E-2</v>
      </c>
      <c r="E275">
        <v>7.2398100000000003</v>
      </c>
      <c r="G275" s="64">
        <f t="shared" si="4"/>
        <v>0</v>
      </c>
      <c r="K275" s="319" t="str">
        <f>PE_aug!AP264</f>
        <v>Kläranlagen</v>
      </c>
    </row>
    <row r="276" spans="1:11">
      <c r="A276" s="220" t="s">
        <v>320</v>
      </c>
      <c r="C276">
        <v>0.70699999999999996</v>
      </c>
      <c r="D276">
        <v>7.1999999999999995E-2</v>
      </c>
      <c r="E276">
        <v>8.7419449999999994</v>
      </c>
      <c r="G276" s="64">
        <f t="shared" si="4"/>
        <v>0</v>
      </c>
      <c r="K276" s="319" t="str">
        <f>PE_aug!AP265</f>
        <v>Kläranlagen</v>
      </c>
    </row>
    <row r="277" spans="1:11">
      <c r="A277" s="220" t="s">
        <v>321</v>
      </c>
      <c r="C277">
        <v>0.70699999999999996</v>
      </c>
      <c r="D277">
        <v>7.1999999999999995E-2</v>
      </c>
      <c r="E277">
        <v>9.5270100000000006</v>
      </c>
      <c r="G277" s="64">
        <f t="shared" si="4"/>
        <v>0</v>
      </c>
      <c r="K277" s="319" t="str">
        <f>PE_aug!AP266</f>
        <v>Kläranlagen</v>
      </c>
    </row>
    <row r="278" spans="1:11">
      <c r="A278" s="225" t="s">
        <v>322</v>
      </c>
      <c r="C278">
        <v>0.70699999999999996</v>
      </c>
      <c r="D278">
        <v>0.124</v>
      </c>
      <c r="E278">
        <v>8.6800599999999992</v>
      </c>
      <c r="G278" s="64">
        <f t="shared" si="4"/>
        <v>0</v>
      </c>
      <c r="K278" s="319" t="str">
        <f>PE_aug!AP267</f>
        <v>KWB</v>
      </c>
    </row>
    <row r="279" spans="1:11">
      <c r="A279" s="225" t="s">
        <v>324</v>
      </c>
      <c r="C279">
        <v>0.70699999999999996</v>
      </c>
      <c r="D279">
        <v>0.124</v>
      </c>
      <c r="E279">
        <v>7.4999899999999986</v>
      </c>
      <c r="G279" s="64">
        <f t="shared" si="4"/>
        <v>0</v>
      </c>
      <c r="K279" s="319" t="str">
        <f>PE_aug!AP268</f>
        <v>KWB</v>
      </c>
    </row>
    <row r="280" spans="1:11">
      <c r="A280" s="225" t="s">
        <v>325</v>
      </c>
      <c r="C280">
        <v>0.70699999999999996</v>
      </c>
      <c r="D280">
        <v>0.14499999999999999</v>
      </c>
      <c r="E280">
        <v>5.2230249999999998</v>
      </c>
      <c r="G280" s="64">
        <f t="shared" si="4"/>
        <v>0</v>
      </c>
      <c r="K280" s="319" t="str">
        <f>PE_aug!AP269</f>
        <v>KWB</v>
      </c>
    </row>
    <row r="281" spans="1:11">
      <c r="A281" s="225" t="s">
        <v>326</v>
      </c>
      <c r="C281">
        <v>0.70699999999999996</v>
      </c>
      <c r="D281">
        <v>0.45</v>
      </c>
      <c r="E281">
        <v>6.5487399999999996</v>
      </c>
      <c r="G281" s="64">
        <f t="shared" si="4"/>
        <v>0</v>
      </c>
      <c r="K281" s="319" t="str">
        <f>PE_aug!AP270</f>
        <v>KWB</v>
      </c>
    </row>
    <row r="282" spans="1:11">
      <c r="A282" s="225" t="s">
        <v>327</v>
      </c>
      <c r="C282">
        <v>0.70699999999999996</v>
      </c>
      <c r="D282">
        <v>0.45</v>
      </c>
      <c r="E282">
        <v>6.3243900000000002</v>
      </c>
      <c r="G282" s="64">
        <f t="shared" si="4"/>
        <v>0</v>
      </c>
      <c r="K282" s="319" t="str">
        <f>PE_aug!AP271</f>
        <v>KWB</v>
      </c>
    </row>
    <row r="283" spans="1:11">
      <c r="A283" s="225" t="s">
        <v>328</v>
      </c>
      <c r="C283">
        <v>0.70699999999999996</v>
      </c>
      <c r="D283">
        <v>0.14699999999999999</v>
      </c>
      <c r="E283">
        <v>8.8096600000000009</v>
      </c>
      <c r="G283" s="64">
        <f t="shared" si="4"/>
        <v>0</v>
      </c>
      <c r="K283" s="319" t="str">
        <f>PE_aug!AP272</f>
        <v>Kläranlagen</v>
      </c>
    </row>
    <row r="284" spans="1:11">
      <c r="A284" s="225" t="s">
        <v>329</v>
      </c>
      <c r="C284">
        <v>0.70699999999999996</v>
      </c>
      <c r="D284">
        <v>0.14699999999999999</v>
      </c>
      <c r="E284">
        <v>4.2674799999999999</v>
      </c>
      <c r="G284" s="64">
        <f t="shared" si="4"/>
        <v>0</v>
      </c>
      <c r="K284" s="319" t="str">
        <f>PE_aug!AP273</f>
        <v>Kläranlagen</v>
      </c>
    </row>
    <row r="285" spans="1:11">
      <c r="A285" s="225" t="s">
        <v>330</v>
      </c>
      <c r="C285">
        <v>1.016</v>
      </c>
      <c r="D285">
        <v>0.124</v>
      </c>
      <c r="E285">
        <v>16.704599999999999</v>
      </c>
      <c r="F285">
        <v>0.44</v>
      </c>
      <c r="G285" s="64">
        <f t="shared" si="4"/>
        <v>0</v>
      </c>
      <c r="K285" s="319" t="str">
        <f>PE_aug!AP274</f>
        <v>Kläranlagen</v>
      </c>
    </row>
    <row r="286" spans="1:11">
      <c r="A286" s="225" t="s">
        <v>331</v>
      </c>
      <c r="C286">
        <v>0.22500000000000001</v>
      </c>
      <c r="D286">
        <v>0.124</v>
      </c>
      <c r="E286">
        <v>10.55025</v>
      </c>
      <c r="G286" s="64">
        <f t="shared" si="4"/>
        <v>0</v>
      </c>
      <c r="K286" s="319" t="str">
        <f>PE_aug!AP275</f>
        <v>Kläranlagen</v>
      </c>
    </row>
    <row r="287" spans="1:11">
      <c r="A287" s="225" t="s">
        <v>332</v>
      </c>
      <c r="C287">
        <v>0.90200000000000002</v>
      </c>
      <c r="D287">
        <v>0.124</v>
      </c>
      <c r="E287">
        <v>8.4931399999999986</v>
      </c>
      <c r="G287" s="64">
        <f t="shared" si="4"/>
        <v>0</v>
      </c>
      <c r="K287" s="319" t="str">
        <f>PE_aug!AP276</f>
        <v>Kläranlagen</v>
      </c>
    </row>
    <row r="288" spans="1:11">
      <c r="A288" s="225" t="s">
        <v>333</v>
      </c>
      <c r="C288">
        <v>0.97099999999999997</v>
      </c>
      <c r="D288">
        <v>9.8000000000000004E-2</v>
      </c>
      <c r="E288">
        <v>8.8784799999999997</v>
      </c>
      <c r="G288" s="64">
        <f t="shared" si="4"/>
        <v>0</v>
      </c>
      <c r="K288" s="319" t="str">
        <f>PE_aug!AP277</f>
        <v>KWS, Schlamm</v>
      </c>
    </row>
    <row r="289" spans="1:11">
      <c r="A289" s="225" t="s">
        <v>334</v>
      </c>
      <c r="C289">
        <v>0.54800000000000004</v>
      </c>
      <c r="D289">
        <v>9.8000000000000004E-2</v>
      </c>
      <c r="E289">
        <v>13.416</v>
      </c>
      <c r="G289" s="64">
        <f t="shared" si="4"/>
        <v>0</v>
      </c>
      <c r="K289" s="319" t="str">
        <f>PE_aug!AP278</f>
        <v>KWS, Schlamm</v>
      </c>
    </row>
    <row r="290" spans="1:11">
      <c r="A290" s="225" t="s">
        <v>335</v>
      </c>
      <c r="C290">
        <v>0.66600000000000004</v>
      </c>
      <c r="D290">
        <v>9.8000000000000004E-2</v>
      </c>
      <c r="E290">
        <v>12.52145</v>
      </c>
      <c r="G290" s="64">
        <f t="shared" si="4"/>
        <v>0</v>
      </c>
      <c r="K290" s="319" t="str">
        <f>PE_aug!AP279</f>
        <v>KWS, Schlamm</v>
      </c>
    </row>
    <row r="291" spans="1:11">
      <c r="A291" s="225" t="s">
        <v>336</v>
      </c>
      <c r="C291">
        <v>0.71199999999999997</v>
      </c>
      <c r="D291">
        <v>0.10199999999999999</v>
      </c>
      <c r="E291">
        <v>6.3610100000000003</v>
      </c>
      <c r="G291" s="64">
        <f t="shared" si="4"/>
        <v>0</v>
      </c>
      <c r="K291" s="319" t="str">
        <f>PE_aug!AP280</f>
        <v>Kläranlagen</v>
      </c>
    </row>
    <row r="292" spans="1:11">
      <c r="A292" s="225" t="s">
        <v>337</v>
      </c>
      <c r="C292">
        <v>0.52700000000000002</v>
      </c>
      <c r="D292">
        <v>0.10199999999999999</v>
      </c>
      <c r="E292">
        <v>6.8360700000000003</v>
      </c>
      <c r="G292" s="64">
        <f t="shared" si="4"/>
        <v>0</v>
      </c>
      <c r="K292" s="319" t="str">
        <f>PE_aug!AP281</f>
        <v>Kläranlagen</v>
      </c>
    </row>
    <row r="293" spans="1:11">
      <c r="A293" s="225" t="s">
        <v>338</v>
      </c>
      <c r="C293">
        <v>0.98899999999999999</v>
      </c>
      <c r="D293">
        <v>0.10199999999999999</v>
      </c>
      <c r="E293">
        <v>9.666640000000001</v>
      </c>
      <c r="G293" s="64">
        <f t="shared" si="4"/>
        <v>0</v>
      </c>
      <c r="K293" s="319" t="str">
        <f>PE_aug!AP282</f>
        <v>Kläranlagen</v>
      </c>
    </row>
    <row r="294" spans="1:11">
      <c r="A294" s="225" t="s">
        <v>339</v>
      </c>
      <c r="C294">
        <v>0.70699999999999996</v>
      </c>
      <c r="D294">
        <v>3.9E-2</v>
      </c>
      <c r="E294">
        <v>7.4099700000000004</v>
      </c>
      <c r="G294" s="64">
        <f t="shared" si="4"/>
        <v>0</v>
      </c>
      <c r="K294" s="319" t="str">
        <f>PE_aug!AP283</f>
        <v>Kläranlagen</v>
      </c>
    </row>
    <row r="295" spans="1:11">
      <c r="A295" s="225" t="s">
        <v>340</v>
      </c>
      <c r="C295">
        <v>0.70699999999999996</v>
      </c>
      <c r="D295">
        <v>3.9E-2</v>
      </c>
      <c r="E295">
        <v>8.2233499999999999</v>
      </c>
      <c r="G295" s="64">
        <f t="shared" si="4"/>
        <v>0</v>
      </c>
      <c r="K295" s="319" t="str">
        <f>PE_aug!AP284</f>
        <v>Kläranlagen</v>
      </c>
    </row>
    <row r="296" spans="1:11">
      <c r="A296" s="226" t="s">
        <v>560</v>
      </c>
      <c r="C296">
        <v>0.65800000000000003</v>
      </c>
      <c r="D296">
        <v>5.3999999999999999E-2</v>
      </c>
      <c r="E296">
        <v>12.948399999999999</v>
      </c>
      <c r="G296" s="64">
        <f t="shared" si="4"/>
        <v>0</v>
      </c>
      <c r="K296" s="319" t="str">
        <f>PE_aug!AP285</f>
        <v>Ringversuch</v>
      </c>
    </row>
    <row r="297" spans="1:11">
      <c r="A297" s="226" t="s">
        <v>561</v>
      </c>
      <c r="C297">
        <v>0.54</v>
      </c>
      <c r="D297">
        <v>5.3999999999999999E-2</v>
      </c>
      <c r="E297">
        <v>12.1568</v>
      </c>
      <c r="G297" s="64">
        <f t="shared" si="4"/>
        <v>0</v>
      </c>
      <c r="K297" s="319" t="str">
        <f>PE_aug!AP286</f>
        <v>Ringversuch</v>
      </c>
    </row>
    <row r="298" spans="1:11">
      <c r="A298" s="226" t="s">
        <v>562</v>
      </c>
      <c r="C298">
        <v>1.002</v>
      </c>
      <c r="D298">
        <v>5.3999999999999999E-2</v>
      </c>
      <c r="E298">
        <v>10.7057</v>
      </c>
      <c r="G298" s="64">
        <f t="shared" si="4"/>
        <v>0</v>
      </c>
      <c r="K298" s="319" t="str">
        <f>PE_aug!AP287</f>
        <v>Ringversuch</v>
      </c>
    </row>
    <row r="299" spans="1:11">
      <c r="A299" s="226" t="s">
        <v>563</v>
      </c>
      <c r="E299">
        <v>3.8606199999999991</v>
      </c>
      <c r="G299" s="64">
        <f t="shared" si="4"/>
        <v>0</v>
      </c>
      <c r="K299" s="319" t="str">
        <f>PE_aug!AP288</f>
        <v>Ringversuch</v>
      </c>
    </row>
    <row r="300" spans="1:11">
      <c r="A300" s="226" t="s">
        <v>564</v>
      </c>
      <c r="E300">
        <v>4.9999699999999994</v>
      </c>
      <c r="G300" s="64">
        <f t="shared" si="4"/>
        <v>0</v>
      </c>
      <c r="K300" s="319" t="str">
        <f>PE_aug!AP289</f>
        <v>Ringversuch</v>
      </c>
    </row>
    <row r="301" spans="1:11">
      <c r="A301" s="226" t="s">
        <v>565</v>
      </c>
      <c r="E301">
        <v>2.4472399999999999</v>
      </c>
      <c r="F301">
        <v>0.44</v>
      </c>
      <c r="G301" s="64">
        <f t="shared" si="4"/>
        <v>0</v>
      </c>
      <c r="K301" s="319" t="str">
        <f>PE_aug!AP290</f>
        <v>Ringversuch</v>
      </c>
    </row>
    <row r="302" spans="1:11">
      <c r="A302" s="226" t="s">
        <v>566</v>
      </c>
      <c r="E302">
        <v>5.4399699999999998</v>
      </c>
      <c r="G302" s="64">
        <f t="shared" si="4"/>
        <v>0</v>
      </c>
      <c r="K302" s="319" t="str">
        <f>PE_aug!AP291</f>
        <v>Ringversuch</v>
      </c>
    </row>
    <row r="303" spans="1:11">
      <c r="A303" s="226" t="s">
        <v>567</v>
      </c>
      <c r="E303">
        <v>3.875</v>
      </c>
      <c r="G303" s="64">
        <f t="shared" si="4"/>
        <v>0</v>
      </c>
      <c r="K303" s="319" t="str">
        <f>PE_aug!AP292</f>
        <v>Ringversuch</v>
      </c>
    </row>
    <row r="304" spans="1:11">
      <c r="A304" s="226" t="s">
        <v>350</v>
      </c>
      <c r="E304">
        <v>4.3691700000000004</v>
      </c>
      <c r="G304" s="64">
        <f t="shared" si="4"/>
        <v>0</v>
      </c>
      <c r="K304" s="319" t="str">
        <f>PE_aug!AP293</f>
        <v>Kläranlagen, Methode</v>
      </c>
    </row>
    <row r="305" spans="1:11">
      <c r="A305" s="226" t="s">
        <v>351</v>
      </c>
      <c r="C305">
        <v>0.70699999999999996</v>
      </c>
      <c r="D305">
        <v>3.9E-2</v>
      </c>
      <c r="E305">
        <v>3.71591</v>
      </c>
      <c r="G305" s="64">
        <f t="shared" si="4"/>
        <v>0</v>
      </c>
      <c r="K305" s="319" t="str">
        <f>PE_aug!AP294</f>
        <v>KWB</v>
      </c>
    </row>
    <row r="306" spans="1:11">
      <c r="A306" s="226" t="s">
        <v>352</v>
      </c>
      <c r="C306">
        <v>0.70699999999999996</v>
      </c>
      <c r="D306">
        <v>3.9E-2</v>
      </c>
      <c r="E306">
        <v>3.9680499999999999</v>
      </c>
      <c r="G306" s="64">
        <f t="shared" si="4"/>
        <v>0</v>
      </c>
      <c r="K306" s="319" t="str">
        <f>PE_aug!AP295</f>
        <v>KWB</v>
      </c>
    </row>
    <row r="307" spans="1:11">
      <c r="A307" s="226" t="s">
        <v>353</v>
      </c>
      <c r="C307">
        <v>0.70699999999999996</v>
      </c>
      <c r="D307">
        <v>2.492</v>
      </c>
      <c r="E307">
        <v>1.542055</v>
      </c>
      <c r="G307" s="64">
        <f t="shared" si="4"/>
        <v>0</v>
      </c>
      <c r="K307" s="319" t="str">
        <f>PE_aug!AP296</f>
        <v>Bodenproben</v>
      </c>
    </row>
    <row r="308" spans="1:11">
      <c r="A308" s="226" t="s">
        <v>355</v>
      </c>
      <c r="C308">
        <v>0.70699999999999996</v>
      </c>
      <c r="D308">
        <v>2.492</v>
      </c>
      <c r="E308">
        <v>0.66962800000000011</v>
      </c>
      <c r="G308" s="64">
        <f t="shared" si="4"/>
        <v>0</v>
      </c>
      <c r="K308" s="319" t="str">
        <f>PE_aug!AP297</f>
        <v>Bodenproben</v>
      </c>
    </row>
    <row r="309" spans="1:11">
      <c r="A309" s="226" t="s">
        <v>356</v>
      </c>
      <c r="C309">
        <v>0.749</v>
      </c>
      <c r="D309">
        <v>2.9000000000000001E-2</v>
      </c>
      <c r="E309">
        <v>6.9847100000000006</v>
      </c>
      <c r="G309" s="64">
        <f t="shared" si="4"/>
        <v>0</v>
      </c>
      <c r="K309" s="319" t="str">
        <f>PE_aug!AP298</f>
        <v>Kläranlagen</v>
      </c>
    </row>
    <row r="310" spans="1:11">
      <c r="A310" s="226" t="s">
        <v>357</v>
      </c>
      <c r="C310">
        <v>0.59899999999999998</v>
      </c>
      <c r="D310">
        <v>2.9000000000000001E-2</v>
      </c>
      <c r="E310">
        <v>7.3604950000000002</v>
      </c>
      <c r="G310" s="64">
        <f t="shared" si="4"/>
        <v>0</v>
      </c>
      <c r="K310" s="319" t="str">
        <f>PE_aug!AP299</f>
        <v>Kläranlagen</v>
      </c>
    </row>
    <row r="311" spans="1:11">
      <c r="A311" s="226" t="s">
        <v>358</v>
      </c>
      <c r="C311">
        <v>0.88700000000000001</v>
      </c>
      <c r="D311">
        <v>2.9000000000000001E-2</v>
      </c>
      <c r="E311">
        <v>7.2579799999999999</v>
      </c>
      <c r="G311" s="64">
        <f t="shared" si="4"/>
        <v>0</v>
      </c>
      <c r="K311" s="319" t="str">
        <f>PE_aug!AP300</f>
        <v>Kläranlagen</v>
      </c>
    </row>
    <row r="312" spans="1:11">
      <c r="A312" s="226" t="s">
        <v>359</v>
      </c>
      <c r="E312">
        <v>7.8634899999999996</v>
      </c>
      <c r="G312" s="64">
        <f t="shared" si="4"/>
        <v>0</v>
      </c>
      <c r="K312" s="319" t="str">
        <f>PE_aug!AP301</f>
        <v>Kläranlagen, Methode</v>
      </c>
    </row>
    <row r="313" spans="1:11">
      <c r="A313" s="233" t="s">
        <v>360</v>
      </c>
      <c r="C313">
        <v>0.54</v>
      </c>
      <c r="D313">
        <v>5.3999999999999999E-2</v>
      </c>
      <c r="E313">
        <v>12.1568</v>
      </c>
      <c r="G313" s="64">
        <f t="shared" si="4"/>
        <v>0</v>
      </c>
      <c r="K313" s="319" t="str">
        <f>PE_aug!AP302</f>
        <v>Ringversuch</v>
      </c>
    </row>
    <row r="314" spans="1:11">
      <c r="A314" s="233" t="s">
        <v>361</v>
      </c>
      <c r="C314">
        <v>1.002</v>
      </c>
      <c r="D314">
        <v>5.3999999999999999E-2</v>
      </c>
      <c r="E314">
        <v>10.7057</v>
      </c>
      <c r="G314" s="64">
        <f t="shared" si="4"/>
        <v>0</v>
      </c>
      <c r="K314" s="319" t="str">
        <f>PE_aug!AP303</f>
        <v>Ringversuch</v>
      </c>
    </row>
    <row r="315" spans="1:11">
      <c r="A315" s="233" t="s">
        <v>362</v>
      </c>
      <c r="D315" s="307"/>
      <c r="E315">
        <v>3.8606199999999991</v>
      </c>
      <c r="G315" s="64">
        <f t="shared" si="4"/>
        <v>0</v>
      </c>
      <c r="K315" s="319" t="str">
        <f>PE_aug!AP304</f>
        <v>Ringversuch</v>
      </c>
    </row>
    <row r="316" spans="1:11">
      <c r="A316" s="233" t="s">
        <v>363</v>
      </c>
      <c r="D316" s="307"/>
      <c r="E316">
        <v>4.9999699999999994</v>
      </c>
      <c r="G316" s="64">
        <f t="shared" si="4"/>
        <v>0</v>
      </c>
      <c r="K316" s="319" t="str">
        <f>PE_aug!AP305</f>
        <v>Ringversuch</v>
      </c>
    </row>
    <row r="317" spans="1:11">
      <c r="A317" s="233" t="s">
        <v>364</v>
      </c>
      <c r="D317" s="307"/>
      <c r="E317">
        <v>2.4472399999999999</v>
      </c>
      <c r="G317" s="64">
        <f t="shared" si="4"/>
        <v>0</v>
      </c>
      <c r="K317" s="319" t="str">
        <f>PE_aug!AP306</f>
        <v>Ringversuch</v>
      </c>
    </row>
    <row r="318" spans="1:11">
      <c r="A318" s="233" t="s">
        <v>365</v>
      </c>
      <c r="D318" s="307"/>
      <c r="E318">
        <v>5.4399699999999998</v>
      </c>
      <c r="G318" s="64">
        <f t="shared" si="4"/>
        <v>0</v>
      </c>
      <c r="K318" s="319" t="str">
        <f>PE_aug!AP307</f>
        <v>Ringversuch</v>
      </c>
    </row>
    <row r="319" spans="1:11">
      <c r="A319" s="233" t="s">
        <v>366</v>
      </c>
      <c r="D319" s="307"/>
      <c r="E319">
        <v>3.875</v>
      </c>
      <c r="G319" s="64">
        <f t="shared" si="4"/>
        <v>0</v>
      </c>
      <c r="K319" s="319" t="str">
        <f>PE_aug!AP308</f>
        <v>Ringversuch</v>
      </c>
    </row>
    <row r="320" spans="1:11">
      <c r="A320" s="251" t="s">
        <v>367</v>
      </c>
      <c r="C320">
        <v>1.091</v>
      </c>
      <c r="D320">
        <v>6.7000000000000004E-2</v>
      </c>
      <c r="E320">
        <v>9.286525000000001</v>
      </c>
      <c r="G320" s="64">
        <f t="shared" si="4"/>
        <v>0</v>
      </c>
      <c r="K320" s="319" t="str">
        <f>PE_aug!AP309</f>
        <v>Flussproben</v>
      </c>
    </row>
    <row r="321" spans="1:11">
      <c r="A321" s="251" t="s">
        <v>368</v>
      </c>
      <c r="C321">
        <v>0.60099999999999998</v>
      </c>
      <c r="D321">
        <v>6.7000000000000004E-2</v>
      </c>
      <c r="E321">
        <v>12.251099999999999</v>
      </c>
      <c r="G321" s="64">
        <f t="shared" si="4"/>
        <v>0</v>
      </c>
      <c r="K321" s="319" t="str">
        <f>PE_aug!AP310</f>
        <v>Flussproben</v>
      </c>
    </row>
    <row r="322" spans="1:11">
      <c r="A322" s="251" t="s">
        <v>369</v>
      </c>
      <c r="C322">
        <v>0.51500000000000001</v>
      </c>
      <c r="D322">
        <v>6.7000000000000004E-2</v>
      </c>
      <c r="E322">
        <v>12.615600000000001</v>
      </c>
      <c r="G322" s="64">
        <f t="shared" ref="G322:G385" si="5">B322/E322</f>
        <v>0</v>
      </c>
      <c r="K322" s="319" t="str">
        <f>PE_aug!AP311</f>
        <v>Flussproben</v>
      </c>
    </row>
    <row r="323" spans="1:11">
      <c r="A323" s="251" t="s">
        <v>370</v>
      </c>
      <c r="C323">
        <v>0.97199999999999998</v>
      </c>
      <c r="D323">
        <v>0.105</v>
      </c>
      <c r="E323">
        <v>7.857660000000001</v>
      </c>
      <c r="G323" s="64">
        <f t="shared" si="5"/>
        <v>0</v>
      </c>
      <c r="K323" s="319" t="str">
        <f>PE_aug!AP312</f>
        <v>Flussproben</v>
      </c>
    </row>
    <row r="324" spans="1:11">
      <c r="A324" s="251" t="s">
        <v>371</v>
      </c>
      <c r="C324">
        <v>0.99399999999999999</v>
      </c>
      <c r="D324">
        <v>0.105</v>
      </c>
      <c r="E324">
        <v>14.188499999999999</v>
      </c>
      <c r="G324" s="64">
        <f t="shared" si="5"/>
        <v>0</v>
      </c>
      <c r="K324" s="319" t="str">
        <f>PE_aug!AP313</f>
        <v>Flussproben</v>
      </c>
    </row>
    <row r="325" spans="1:11">
      <c r="A325" s="251" t="s">
        <v>372</v>
      </c>
      <c r="C325">
        <v>0.1</v>
      </c>
      <c r="D325">
        <v>0.105</v>
      </c>
      <c r="E325">
        <v>11.1106</v>
      </c>
      <c r="G325" s="64">
        <f t="shared" si="5"/>
        <v>0</v>
      </c>
      <c r="K325" s="319" t="str">
        <f>PE_aug!AP314</f>
        <v>Flussproben</v>
      </c>
    </row>
    <row r="326" spans="1:11">
      <c r="A326" s="251" t="s">
        <v>373</v>
      </c>
      <c r="C326">
        <v>0.41</v>
      </c>
      <c r="D326">
        <v>2.1000000000000001E-2</v>
      </c>
      <c r="E326">
        <v>7.3926399999999992</v>
      </c>
      <c r="G326" s="64">
        <f t="shared" si="5"/>
        <v>0</v>
      </c>
      <c r="K326" s="319" t="str">
        <f>PE_aug!AP315</f>
        <v>Flussproben</v>
      </c>
    </row>
    <row r="327" spans="1:11">
      <c r="A327" s="251" t="s">
        <v>374</v>
      </c>
      <c r="C327">
        <v>0.96</v>
      </c>
      <c r="D327">
        <v>2.1000000000000001E-2</v>
      </c>
      <c r="E327">
        <v>6.2162100000000002</v>
      </c>
      <c r="G327" s="64">
        <f t="shared" si="5"/>
        <v>0</v>
      </c>
      <c r="K327" s="319" t="str">
        <f>PE_aug!AP316</f>
        <v>Flussproben</v>
      </c>
    </row>
    <row r="328" spans="1:11">
      <c r="A328" s="251" t="s">
        <v>375</v>
      </c>
      <c r="C328">
        <v>0.84199999999999997</v>
      </c>
      <c r="D328">
        <v>2.1000000000000001E-2</v>
      </c>
      <c r="E328">
        <v>7.15618</v>
      </c>
      <c r="G328" s="64">
        <f t="shared" si="5"/>
        <v>0</v>
      </c>
      <c r="K328" s="319" t="str">
        <f>PE_aug!AP317</f>
        <v>Flussproben</v>
      </c>
    </row>
    <row r="329" spans="1:11">
      <c r="A329" s="251" t="s">
        <v>376</v>
      </c>
      <c r="C329">
        <v>0.374</v>
      </c>
      <c r="D329">
        <v>4.5999999999999999E-2</v>
      </c>
      <c r="E329">
        <v>8.03186</v>
      </c>
      <c r="G329" s="64">
        <f t="shared" si="5"/>
        <v>0</v>
      </c>
      <c r="K329" s="319" t="str">
        <f>PE_aug!AP318</f>
        <v>Flussproben</v>
      </c>
    </row>
    <row r="330" spans="1:11">
      <c r="A330" s="251" t="s">
        <v>377</v>
      </c>
      <c r="C330">
        <v>0.74099999999999999</v>
      </c>
      <c r="D330">
        <v>4.5999999999999999E-2</v>
      </c>
      <c r="E330">
        <v>8.0254700000000003</v>
      </c>
      <c r="G330" s="64">
        <f t="shared" si="5"/>
        <v>0</v>
      </c>
      <c r="K330" s="319" t="str">
        <f>PE_aug!AP319</f>
        <v>Flussproben</v>
      </c>
    </row>
    <row r="331" spans="1:11">
      <c r="A331" s="251" t="s">
        <v>378</v>
      </c>
      <c r="C331">
        <v>1.087</v>
      </c>
      <c r="D331">
        <v>4.5999999999999999E-2</v>
      </c>
      <c r="E331">
        <v>6.2082499999999996</v>
      </c>
      <c r="G331" s="64">
        <f t="shared" si="5"/>
        <v>0</v>
      </c>
      <c r="K331" s="319" t="str">
        <f>PE_aug!AP320</f>
        <v>Flussproben</v>
      </c>
    </row>
    <row r="332" spans="1:11">
      <c r="A332" s="251" t="s">
        <v>379</v>
      </c>
      <c r="E332">
        <v>3.4387300000000003E-2</v>
      </c>
      <c r="G332" s="64">
        <f t="shared" si="5"/>
        <v>0</v>
      </c>
      <c r="K332" s="319" t="str">
        <f>PE_aug!AP321</f>
        <v>Methode</v>
      </c>
    </row>
    <row r="333" spans="1:11">
      <c r="A333" s="251" t="s">
        <v>380</v>
      </c>
      <c r="C333">
        <v>0.70699999999999996</v>
      </c>
      <c r="D333">
        <v>1.1599999999999999</v>
      </c>
      <c r="E333">
        <v>42.268900000000002</v>
      </c>
      <c r="G333" s="64">
        <f t="shared" si="5"/>
        <v>0</v>
      </c>
      <c r="K333" s="319" t="str">
        <f>PE_aug!AP322</f>
        <v>Straßenabfluss</v>
      </c>
    </row>
    <row r="334" spans="1:11">
      <c r="A334" s="251" t="s">
        <v>382</v>
      </c>
      <c r="C334">
        <v>0.70699999999999996</v>
      </c>
      <c r="D334">
        <v>1.1599999999999999</v>
      </c>
      <c r="E334">
        <v>8.3740100000000002</v>
      </c>
      <c r="G334" s="64">
        <f t="shared" si="5"/>
        <v>0</v>
      </c>
      <c r="K334" s="319" t="str">
        <f>PE_aug!AP323</f>
        <v>Straßenabfluss</v>
      </c>
    </row>
    <row r="335" spans="1:11">
      <c r="A335" s="251" t="s">
        <v>383</v>
      </c>
      <c r="C335">
        <v>0.878</v>
      </c>
      <c r="D335">
        <v>5.1999999999999998E-2</v>
      </c>
      <c r="E335">
        <v>10.1844</v>
      </c>
      <c r="G335" s="64">
        <f t="shared" si="5"/>
        <v>0</v>
      </c>
      <c r="K335" s="319" t="str">
        <f>PE_aug!AP324</f>
        <v>Kläranlagen</v>
      </c>
    </row>
    <row r="336" spans="1:11">
      <c r="A336" s="251" t="s">
        <v>384</v>
      </c>
      <c r="C336">
        <v>0.90200000000000002</v>
      </c>
      <c r="D336">
        <v>5.1999999999999998E-2</v>
      </c>
      <c r="E336">
        <v>6.6312749999999996</v>
      </c>
      <c r="G336" s="64">
        <f t="shared" si="5"/>
        <v>0</v>
      </c>
      <c r="K336" s="319" t="str">
        <f>PE_aug!AP325</f>
        <v>Kläranlagen</v>
      </c>
    </row>
    <row r="337" spans="1:11">
      <c r="A337" s="251" t="s">
        <v>385</v>
      </c>
      <c r="C337">
        <v>0.44700000000000001</v>
      </c>
      <c r="D337">
        <v>5.1999999999999998E-2</v>
      </c>
      <c r="E337">
        <v>7.7322649999999999</v>
      </c>
      <c r="G337" s="64">
        <f t="shared" si="5"/>
        <v>0</v>
      </c>
      <c r="K337" s="319" t="str">
        <f>PE_aug!AP326</f>
        <v>Kläranlagen</v>
      </c>
    </row>
    <row r="338" spans="1:11">
      <c r="A338" s="255" t="s">
        <v>386</v>
      </c>
      <c r="E338">
        <v>6.8653399999999998</v>
      </c>
      <c r="G338" s="64">
        <f t="shared" si="5"/>
        <v>0</v>
      </c>
      <c r="K338" s="319" t="str">
        <f>PE_aug!AP327</f>
        <v>Ringversuch</v>
      </c>
    </row>
    <row r="339" spans="1:11">
      <c r="A339" s="255" t="s">
        <v>387</v>
      </c>
      <c r="E339">
        <v>5.2691300000000014</v>
      </c>
      <c r="G339" s="64">
        <f t="shared" si="5"/>
        <v>0</v>
      </c>
      <c r="K339" s="319" t="str">
        <f>PE_aug!AP328</f>
        <v>Kläranlagen, Methode</v>
      </c>
    </row>
    <row r="340" spans="1:11">
      <c r="A340" s="255" t="s">
        <v>388</v>
      </c>
      <c r="C340">
        <v>0.70699999999999996</v>
      </c>
      <c r="D340">
        <v>0.09</v>
      </c>
      <c r="E340">
        <v>7.6058300000000001</v>
      </c>
      <c r="G340" s="64">
        <f t="shared" si="5"/>
        <v>0</v>
      </c>
      <c r="K340" s="319" t="str">
        <f>PE_aug!AP329</f>
        <v>Kläranlagen</v>
      </c>
    </row>
    <row r="341" spans="1:11">
      <c r="A341" s="255" t="s">
        <v>389</v>
      </c>
      <c r="C341">
        <v>0.70699999999999996</v>
      </c>
      <c r="D341">
        <v>0.09</v>
      </c>
      <c r="E341">
        <v>7.6572449999999996</v>
      </c>
      <c r="G341" s="64">
        <f t="shared" si="5"/>
        <v>0</v>
      </c>
      <c r="K341" s="319" t="str">
        <f>PE_aug!AP330</f>
        <v>Kläranlagen</v>
      </c>
    </row>
    <row r="342" spans="1:11">
      <c r="A342" s="265" t="s">
        <v>390</v>
      </c>
      <c r="C342">
        <v>0.67300000000000004</v>
      </c>
      <c r="D342">
        <v>3.9E-2</v>
      </c>
      <c r="E342">
        <v>8.7565600000000003</v>
      </c>
      <c r="G342" s="64">
        <f t="shared" si="5"/>
        <v>0</v>
      </c>
      <c r="K342" s="319" t="str">
        <f>PE_aug!AP331</f>
        <v>KWS, Schlamm</v>
      </c>
    </row>
    <row r="343" spans="1:11">
      <c r="A343" s="265" t="s">
        <v>391</v>
      </c>
      <c r="C343">
        <v>0.89800000000000002</v>
      </c>
      <c r="D343">
        <v>3.9E-2</v>
      </c>
      <c r="E343">
        <v>9.4032400000000003</v>
      </c>
      <c r="G343" s="64">
        <f t="shared" si="5"/>
        <v>0</v>
      </c>
      <c r="K343" s="319" t="str">
        <f>PE_aug!AP332</f>
        <v>KWS, Schlamm</v>
      </c>
    </row>
    <row r="344" spans="1:11">
      <c r="A344" s="265" t="s">
        <v>392</v>
      </c>
      <c r="C344">
        <v>0.65100000000000002</v>
      </c>
      <c r="D344">
        <v>3.9E-2</v>
      </c>
      <c r="E344">
        <v>8.4645399999999995</v>
      </c>
      <c r="G344" s="64">
        <f t="shared" si="5"/>
        <v>0</v>
      </c>
      <c r="K344" s="319" t="str">
        <f>PE_aug!AP333</f>
        <v>KWS, Schlamm</v>
      </c>
    </row>
    <row r="345" spans="1:11">
      <c r="A345" s="272" t="s">
        <v>393</v>
      </c>
      <c r="E345">
        <v>0.15474299999999999</v>
      </c>
      <c r="G345" s="64">
        <f t="shared" si="5"/>
        <v>0</v>
      </c>
      <c r="K345" s="319" t="str">
        <f>PE_aug!AP334</f>
        <v>Sickerwasser</v>
      </c>
    </row>
    <row r="346" spans="1:11">
      <c r="A346" s="272" t="s">
        <v>394</v>
      </c>
      <c r="E346">
        <v>0.34290399999999999</v>
      </c>
      <c r="G346" s="64">
        <f t="shared" si="5"/>
        <v>0</v>
      </c>
      <c r="K346" s="319" t="str">
        <f>PE_aug!AP335</f>
        <v>Sickerwasser</v>
      </c>
    </row>
    <row r="347" spans="1:11">
      <c r="A347" s="272" t="s">
        <v>395</v>
      </c>
      <c r="E347">
        <v>-4.0199999999999818</v>
      </c>
      <c r="G347" s="64">
        <f t="shared" si="5"/>
        <v>0</v>
      </c>
      <c r="K347" s="319" t="str">
        <f>PE_aug!AP336</f>
        <v>Sickerwasser</v>
      </c>
    </row>
    <row r="348" spans="1:11">
      <c r="A348" s="272" t="s">
        <v>396</v>
      </c>
      <c r="E348">
        <v>0.50999999999999091</v>
      </c>
      <c r="G348" s="64">
        <f t="shared" si="5"/>
        <v>0</v>
      </c>
      <c r="K348" s="319" t="str">
        <f>PE_aug!AP337</f>
        <v>Sickerwasser</v>
      </c>
    </row>
    <row r="349" spans="1:11">
      <c r="A349" s="272" t="s">
        <v>397</v>
      </c>
      <c r="E349">
        <v>0.98000000000001819</v>
      </c>
      <c r="G349" s="64">
        <f t="shared" si="5"/>
        <v>0</v>
      </c>
      <c r="K349" s="319" t="str">
        <f>PE_aug!AP338</f>
        <v>Sickerwasser</v>
      </c>
    </row>
    <row r="350" spans="1:11">
      <c r="A350" s="272" t="s">
        <v>398</v>
      </c>
      <c r="E350">
        <v>11.670000000000069</v>
      </c>
      <c r="G350" s="64">
        <f t="shared" si="5"/>
        <v>0</v>
      </c>
      <c r="K350" s="319" t="str">
        <f>PE_aug!AP339</f>
        <v>Sickerwasser</v>
      </c>
    </row>
    <row r="351" spans="1:11">
      <c r="A351" s="272" t="s">
        <v>399</v>
      </c>
      <c r="E351">
        <v>0.98000000000001819</v>
      </c>
      <c r="G351" s="64">
        <f t="shared" si="5"/>
        <v>0</v>
      </c>
      <c r="K351" s="319" t="str">
        <f>PE_aug!AP340</f>
        <v>Sickerwasser</v>
      </c>
    </row>
    <row r="352" spans="1:11">
      <c r="A352" s="274" t="s">
        <v>400</v>
      </c>
      <c r="C352">
        <v>0.56200000000000006</v>
      </c>
      <c r="D352">
        <v>5.6000000000000001E-2</v>
      </c>
      <c r="E352">
        <v>5.7561650000000002</v>
      </c>
      <c r="G352" s="64">
        <f t="shared" si="5"/>
        <v>0</v>
      </c>
      <c r="K352" s="319" t="str">
        <f>PE_aug!AP341</f>
        <v>KWS, Schlamm</v>
      </c>
    </row>
    <row r="353" spans="1:11">
      <c r="A353" s="274" t="s">
        <v>401</v>
      </c>
      <c r="C353">
        <v>0.85599999999999998</v>
      </c>
      <c r="D353">
        <v>5.6000000000000001E-2</v>
      </c>
      <c r="E353">
        <v>4.7628300000000001</v>
      </c>
      <c r="G353" s="64">
        <f t="shared" si="5"/>
        <v>0</v>
      </c>
      <c r="K353" s="319" t="str">
        <f>PE_aug!AP342</f>
        <v>KWS, Schlamm</v>
      </c>
    </row>
    <row r="354" spans="1:11">
      <c r="A354" s="274" t="s">
        <v>402</v>
      </c>
      <c r="C354">
        <v>0.76500000000000001</v>
      </c>
      <c r="D354">
        <v>5.6000000000000001E-2</v>
      </c>
      <c r="E354">
        <v>6.4529300000000003</v>
      </c>
      <c r="G354" s="64">
        <f t="shared" si="5"/>
        <v>0</v>
      </c>
      <c r="K354" s="319" t="str">
        <f>PE_aug!AP343</f>
        <v>KWS, Schlamm</v>
      </c>
    </row>
    <row r="355" spans="1:11">
      <c r="A355" s="274" t="s">
        <v>403</v>
      </c>
      <c r="C355">
        <v>1.071</v>
      </c>
      <c r="D355">
        <v>2.4E-2</v>
      </c>
      <c r="E355">
        <v>10.1638</v>
      </c>
      <c r="G355" s="64">
        <f t="shared" si="5"/>
        <v>0</v>
      </c>
      <c r="K355" s="319" t="str">
        <f>PE_aug!AP344</f>
        <v>Flussproben</v>
      </c>
    </row>
    <row r="356" spans="1:11">
      <c r="A356" s="274" t="s">
        <v>404</v>
      </c>
      <c r="C356">
        <v>0.83</v>
      </c>
      <c r="D356">
        <v>2.4E-2</v>
      </c>
      <c r="E356">
        <v>9.1895349999999993</v>
      </c>
      <c r="G356" s="64">
        <f t="shared" si="5"/>
        <v>0</v>
      </c>
      <c r="K356" s="319" t="str">
        <f>PE_aug!AP345</f>
        <v>Flussproben</v>
      </c>
    </row>
    <row r="357" spans="1:11">
      <c r="A357" s="274" t="s">
        <v>405</v>
      </c>
      <c r="C357">
        <v>1.127</v>
      </c>
      <c r="D357">
        <v>0.122</v>
      </c>
      <c r="E357">
        <v>8.6095749999999995</v>
      </c>
      <c r="G357" s="64">
        <f t="shared" si="5"/>
        <v>0</v>
      </c>
      <c r="K357" s="319" t="str">
        <f>PE_aug!AP346</f>
        <v>Flussproben</v>
      </c>
    </row>
    <row r="358" spans="1:11">
      <c r="A358" s="274" t="s">
        <v>406</v>
      </c>
      <c r="C358">
        <v>0.71899999999999997</v>
      </c>
      <c r="D358">
        <v>0.122</v>
      </c>
      <c r="E358">
        <v>5.6536</v>
      </c>
      <c r="G358" s="64">
        <f t="shared" si="5"/>
        <v>0</v>
      </c>
      <c r="K358" s="319" t="str">
        <f>PE_aug!AP347</f>
        <v>Flussproben</v>
      </c>
    </row>
    <row r="359" spans="1:11">
      <c r="A359" s="274" t="s">
        <v>407</v>
      </c>
      <c r="C359">
        <v>0.41699999999999998</v>
      </c>
      <c r="D359">
        <v>0.122</v>
      </c>
      <c r="E359">
        <v>7.3856149999999996</v>
      </c>
      <c r="G359" s="64">
        <f t="shared" si="5"/>
        <v>0</v>
      </c>
      <c r="K359" s="319" t="str">
        <f>PE_aug!AP348</f>
        <v>Flussproben</v>
      </c>
    </row>
    <row r="360" spans="1:11">
      <c r="A360" s="274" t="s">
        <v>408</v>
      </c>
      <c r="C360">
        <v>0.34599999999999997</v>
      </c>
      <c r="D360">
        <v>8.4000000000000005E-2</v>
      </c>
      <c r="E360">
        <v>5.9841899999999999</v>
      </c>
      <c r="G360" s="64">
        <f t="shared" si="5"/>
        <v>0</v>
      </c>
      <c r="K360" s="319" t="str">
        <f>PE_aug!AP349</f>
        <v>RÜB</v>
      </c>
    </row>
    <row r="361" spans="1:11">
      <c r="A361" s="274" t="s">
        <v>410</v>
      </c>
      <c r="C361">
        <v>0.79300000000000004</v>
      </c>
      <c r="D361">
        <v>8.4000000000000005E-2</v>
      </c>
      <c r="E361">
        <v>5.4765100000000002</v>
      </c>
      <c r="G361" s="64">
        <f t="shared" si="5"/>
        <v>0</v>
      </c>
      <c r="K361" s="319" t="str">
        <f>PE_aug!AP350</f>
        <v>RÜB</v>
      </c>
    </row>
    <row r="362" spans="1:11">
      <c r="A362" s="274" t="s">
        <v>411</v>
      </c>
      <c r="C362">
        <v>1.1040000000000001</v>
      </c>
      <c r="D362">
        <v>8.4000000000000005E-2</v>
      </c>
      <c r="E362">
        <v>10.23</v>
      </c>
      <c r="G362" s="64">
        <f t="shared" si="5"/>
        <v>0</v>
      </c>
      <c r="K362" s="319" t="str">
        <f>PE_aug!AP351</f>
        <v>RÜB</v>
      </c>
    </row>
    <row r="363" spans="1:11">
      <c r="A363" s="280" t="s">
        <v>412</v>
      </c>
      <c r="C363">
        <v>0.90100000000000002</v>
      </c>
      <c r="D363">
        <v>7.0999999999999994E-2</v>
      </c>
      <c r="E363">
        <v>6.1057800000000002</v>
      </c>
      <c r="G363" s="64">
        <f t="shared" si="5"/>
        <v>0</v>
      </c>
      <c r="K363" s="319" t="str">
        <f>PE_aug!AP352</f>
        <v>KWS</v>
      </c>
    </row>
    <row r="364" spans="1:11">
      <c r="A364" s="280" t="s">
        <v>413</v>
      </c>
      <c r="C364">
        <v>0.878</v>
      </c>
      <c r="D364">
        <v>7.0999999999999994E-2</v>
      </c>
      <c r="E364">
        <v>4.3622800000000002</v>
      </c>
      <c r="G364" s="64">
        <f t="shared" si="5"/>
        <v>0</v>
      </c>
      <c r="K364" s="319" t="str">
        <f>PE_aug!AP353</f>
        <v>KWS</v>
      </c>
    </row>
    <row r="365" spans="1:11">
      <c r="A365" s="280" t="s">
        <v>414</v>
      </c>
      <c r="C365">
        <v>0.44</v>
      </c>
      <c r="D365">
        <v>7.0999999999999994E-2</v>
      </c>
      <c r="E365">
        <v>5.0663900000000002</v>
      </c>
      <c r="G365" s="64">
        <f t="shared" si="5"/>
        <v>0</v>
      </c>
      <c r="K365" s="319" t="str">
        <f>PE_aug!AP354</f>
        <v>KWS</v>
      </c>
    </row>
    <row r="366" spans="1:11">
      <c r="A366" s="280" t="s">
        <v>415</v>
      </c>
      <c r="E366">
        <v>1.5123</v>
      </c>
      <c r="G366" s="64">
        <f t="shared" si="5"/>
        <v>0</v>
      </c>
      <c r="K366" s="319" t="str">
        <f>PE_aug!AP355</f>
        <v>KWS, Methode</v>
      </c>
    </row>
    <row r="367" spans="1:11">
      <c r="A367" s="280" t="s">
        <v>416</v>
      </c>
      <c r="C367">
        <v>0.52600000000000002</v>
      </c>
      <c r="D367">
        <v>0.10299999999999999</v>
      </c>
      <c r="E367">
        <v>9.3551099999999998</v>
      </c>
      <c r="G367" s="64">
        <f t="shared" si="5"/>
        <v>0</v>
      </c>
      <c r="K367" s="319" t="str">
        <f>PE_aug!AP356</f>
        <v>Flussproben</v>
      </c>
    </row>
    <row r="368" spans="1:11">
      <c r="A368" s="280" t="s">
        <v>417</v>
      </c>
      <c r="C368">
        <v>1.1419999999999999</v>
      </c>
      <c r="D368">
        <v>0.10299999999999999</v>
      </c>
      <c r="E368">
        <v>4.7532649999999999</v>
      </c>
      <c r="G368" s="64">
        <f t="shared" si="5"/>
        <v>0</v>
      </c>
      <c r="K368" s="319" t="str">
        <f>PE_aug!AP357</f>
        <v>Flussproben</v>
      </c>
    </row>
    <row r="369" spans="1:11">
      <c r="A369" s="280" t="s">
        <v>418</v>
      </c>
      <c r="C369">
        <v>0.622</v>
      </c>
      <c r="D369">
        <v>0.10299999999999999</v>
      </c>
      <c r="E369">
        <v>11.220549999999999</v>
      </c>
      <c r="G369" s="64">
        <f t="shared" si="5"/>
        <v>0</v>
      </c>
      <c r="K369" s="319" t="str">
        <f>PE_aug!AP358</f>
        <v>Flussproben</v>
      </c>
    </row>
    <row r="370" spans="1:11">
      <c r="A370" s="280" t="s">
        <v>419</v>
      </c>
      <c r="C370">
        <v>0.57799999999999996</v>
      </c>
      <c r="D370">
        <v>22.041</v>
      </c>
      <c r="E370">
        <v>9.23292</v>
      </c>
      <c r="G370" s="64">
        <f t="shared" si="5"/>
        <v>0</v>
      </c>
      <c r="K370" s="319" t="str">
        <f>PE_aug!AP359</f>
        <v>Kläranlagen</v>
      </c>
    </row>
    <row r="371" spans="1:11">
      <c r="A371" s="280" t="s">
        <v>420</v>
      </c>
      <c r="C371">
        <v>1.1539999999999999</v>
      </c>
      <c r="D371">
        <v>22.041</v>
      </c>
      <c r="E371">
        <v>-99.239099999999993</v>
      </c>
      <c r="G371" s="64">
        <f t="shared" si="5"/>
        <v>0</v>
      </c>
      <c r="K371" s="319" t="str">
        <f>PE_aug!AP360</f>
        <v>Kläranlagen</v>
      </c>
    </row>
    <row r="372" spans="1:11">
      <c r="A372" s="280" t="s">
        <v>421</v>
      </c>
      <c r="C372">
        <v>0.57699999999999996</v>
      </c>
      <c r="D372">
        <v>22.041</v>
      </c>
      <c r="E372">
        <v>8.4308049999999994</v>
      </c>
      <c r="G372" s="64">
        <f t="shared" si="5"/>
        <v>0</v>
      </c>
      <c r="K372" s="319" t="str">
        <f>PE_aug!AP361</f>
        <v>Kläranlagen</v>
      </c>
    </row>
    <row r="373" spans="1:11">
      <c r="A373" s="280" t="s">
        <v>422</v>
      </c>
      <c r="C373">
        <v>0.67400000000000004</v>
      </c>
      <c r="D373">
        <v>5.5E-2</v>
      </c>
      <c r="E373">
        <v>11.3706</v>
      </c>
      <c r="G373" s="64">
        <f t="shared" si="5"/>
        <v>0</v>
      </c>
      <c r="K373" s="319" t="str">
        <f>PE_aug!AP362</f>
        <v>Münchehofe</v>
      </c>
    </row>
    <row r="374" spans="1:11">
      <c r="A374" s="280" t="s">
        <v>423</v>
      </c>
      <c r="C374">
        <v>0.98299999999999998</v>
      </c>
      <c r="D374">
        <v>5.5E-2</v>
      </c>
      <c r="E374">
        <v>13.849550000000001</v>
      </c>
      <c r="G374" s="64">
        <f t="shared" si="5"/>
        <v>0</v>
      </c>
      <c r="K374" s="319" t="str">
        <f>PE_aug!AP363</f>
        <v>Münchehofe</v>
      </c>
    </row>
    <row r="375" spans="1:11">
      <c r="A375" s="280" t="s">
        <v>424</v>
      </c>
      <c r="C375">
        <v>0.56200000000000006</v>
      </c>
      <c r="D375">
        <v>5.5E-2</v>
      </c>
      <c r="E375">
        <v>11.058949999999999</v>
      </c>
      <c r="G375" s="64">
        <f t="shared" si="5"/>
        <v>0</v>
      </c>
      <c r="K375" s="319" t="str">
        <f>PE_aug!AP364</f>
        <v>Münchehofe</v>
      </c>
    </row>
    <row r="376" spans="1:11">
      <c r="A376" s="280" t="s">
        <v>425</v>
      </c>
      <c r="C376">
        <v>0.52800000000000002</v>
      </c>
      <c r="D376">
        <v>4.5999999999999999E-2</v>
      </c>
      <c r="E376">
        <v>5.7891599999999999</v>
      </c>
      <c r="G376" s="64">
        <f t="shared" si="5"/>
        <v>0</v>
      </c>
      <c r="K376" s="319" t="str">
        <f>PE_aug!AP365</f>
        <v>Münchehofe</v>
      </c>
    </row>
    <row r="377" spans="1:11">
      <c r="A377" s="280" t="s">
        <v>426</v>
      </c>
      <c r="C377">
        <v>0.86</v>
      </c>
      <c r="D377">
        <v>4.5999999999999999E-2</v>
      </c>
      <c r="E377">
        <v>6.0298299999999996</v>
      </c>
      <c r="G377" s="64">
        <f t="shared" si="5"/>
        <v>0</v>
      </c>
      <c r="K377" s="319" t="str">
        <f>PE_aug!AP366</f>
        <v>Münchehofe</v>
      </c>
    </row>
    <row r="378" spans="1:11">
      <c r="A378" s="280" t="s">
        <v>427</v>
      </c>
      <c r="C378">
        <v>0.80300000000000005</v>
      </c>
      <c r="D378">
        <v>4.5999999999999999E-2</v>
      </c>
      <c r="E378">
        <v>6.4604200000000001</v>
      </c>
      <c r="G378" s="64">
        <f t="shared" si="5"/>
        <v>0</v>
      </c>
      <c r="K378" s="319" t="str">
        <f>PE_aug!AP367</f>
        <v>Münchehofe</v>
      </c>
    </row>
    <row r="379" spans="1:11">
      <c r="A379" s="280" t="s">
        <v>428</v>
      </c>
      <c r="E379">
        <v>9.5863199999999996E-2</v>
      </c>
      <c r="G379" s="64">
        <f t="shared" si="5"/>
        <v>0</v>
      </c>
      <c r="K379" s="319" t="str">
        <f>PE_aug!AP368</f>
        <v>RBF</v>
      </c>
    </row>
    <row r="380" spans="1:11">
      <c r="A380" s="280" t="s">
        <v>430</v>
      </c>
      <c r="E380">
        <v>3.9970099999999988E-2</v>
      </c>
      <c r="G380" s="64">
        <f t="shared" si="5"/>
        <v>0</v>
      </c>
      <c r="K380" s="319" t="str">
        <f>PE_aug!AP369</f>
        <v>Methode</v>
      </c>
    </row>
    <row r="381" spans="1:11">
      <c r="A381" s="280" t="s">
        <v>431</v>
      </c>
      <c r="C381">
        <v>0.70699999999999996</v>
      </c>
      <c r="D381">
        <v>4.1000000000000002E-2</v>
      </c>
      <c r="E381">
        <v>12.188499999999999</v>
      </c>
      <c r="G381" s="64">
        <f t="shared" si="5"/>
        <v>0</v>
      </c>
      <c r="K381" s="319" t="str">
        <f>PE_aug!AP370</f>
        <v>Straßenabfluss</v>
      </c>
    </row>
    <row r="382" spans="1:11">
      <c r="A382" s="280" t="s">
        <v>432</v>
      </c>
      <c r="C382">
        <v>0.70699999999999996</v>
      </c>
      <c r="D382">
        <v>4.1000000000000002E-2</v>
      </c>
      <c r="E382">
        <v>17.268799999999999</v>
      </c>
      <c r="G382" s="64">
        <f t="shared" si="5"/>
        <v>0</v>
      </c>
      <c r="K382" s="319" t="str">
        <f>PE_aug!AP371</f>
        <v>Straßenabfluss</v>
      </c>
    </row>
    <row r="383" spans="1:11">
      <c r="A383" s="280" t="s">
        <v>433</v>
      </c>
      <c r="C383">
        <v>0.70699999999999996</v>
      </c>
      <c r="D383">
        <v>6.3E-2</v>
      </c>
      <c r="E383">
        <v>6.0078950000000004</v>
      </c>
      <c r="G383" s="64">
        <f t="shared" si="5"/>
        <v>0</v>
      </c>
      <c r="K383" s="319" t="str">
        <f>PE_aug!AP372</f>
        <v>Kläranlagen</v>
      </c>
    </row>
    <row r="384" spans="1:11">
      <c r="A384" s="280" t="s">
        <v>434</v>
      </c>
      <c r="C384">
        <v>0.70699999999999996</v>
      </c>
      <c r="D384">
        <v>6.3E-2</v>
      </c>
      <c r="E384">
        <v>5.5313149999999993</v>
      </c>
      <c r="G384" s="64">
        <f t="shared" si="5"/>
        <v>0</v>
      </c>
      <c r="K384" s="319" t="str">
        <f>PE_aug!AP373</f>
        <v>Kläranlagen</v>
      </c>
    </row>
    <row r="385" spans="1:11">
      <c r="A385" s="282" t="s">
        <v>435</v>
      </c>
      <c r="C385">
        <v>0.14699999999999999</v>
      </c>
      <c r="D385">
        <v>0.29299999999999998</v>
      </c>
      <c r="E385">
        <v>26.531649999999999</v>
      </c>
      <c r="G385" s="64">
        <f t="shared" si="5"/>
        <v>0</v>
      </c>
      <c r="K385" s="319" t="str">
        <f>PE_aug!AP374</f>
        <v>KWS</v>
      </c>
    </row>
    <row r="386" spans="1:11">
      <c r="A386" s="282" t="s">
        <v>436</v>
      </c>
      <c r="C386">
        <v>0.92200000000000004</v>
      </c>
      <c r="D386">
        <v>0.29299999999999998</v>
      </c>
      <c r="E386">
        <v>29.1462</v>
      </c>
      <c r="G386" s="64">
        <f t="shared" ref="G386:G449" si="6">B386/E386</f>
        <v>0</v>
      </c>
      <c r="K386" s="319" t="str">
        <f>PE_aug!AP375</f>
        <v>KWS</v>
      </c>
    </row>
    <row r="387" spans="1:11">
      <c r="A387" s="282" t="s">
        <v>437</v>
      </c>
      <c r="C387">
        <v>1.0509999999999999</v>
      </c>
      <c r="D387">
        <v>0.29299999999999998</v>
      </c>
      <c r="E387">
        <v>16.288900000000002</v>
      </c>
      <c r="G387" s="64">
        <f t="shared" si="6"/>
        <v>0</v>
      </c>
      <c r="K387" s="319" t="str">
        <f>PE_aug!AP376</f>
        <v>KWS</v>
      </c>
    </row>
    <row r="388" spans="1:11">
      <c r="A388" s="282" t="s">
        <v>438</v>
      </c>
      <c r="C388">
        <v>0.998</v>
      </c>
      <c r="D388">
        <v>0.246</v>
      </c>
      <c r="E388">
        <v>3.7278199999999999</v>
      </c>
      <c r="G388" s="64">
        <f t="shared" si="6"/>
        <v>0</v>
      </c>
      <c r="K388" s="319" t="str">
        <f>PE_aug!AP377</f>
        <v>KWS</v>
      </c>
    </row>
    <row r="389" spans="1:11">
      <c r="A389" s="282" t="s">
        <v>439</v>
      </c>
      <c r="C389">
        <v>0.65900000000000003</v>
      </c>
      <c r="D389">
        <v>0.246</v>
      </c>
      <c r="E389">
        <v>6.7965999999999998</v>
      </c>
      <c r="G389" s="64">
        <f t="shared" si="6"/>
        <v>0</v>
      </c>
      <c r="K389" s="319" t="str">
        <f>PE_aug!AP378</f>
        <v>KWS</v>
      </c>
    </row>
    <row r="390" spans="1:11">
      <c r="A390" s="282" t="s">
        <v>440</v>
      </c>
      <c r="C390">
        <v>0.51400000000000001</v>
      </c>
      <c r="D390">
        <v>0.246</v>
      </c>
      <c r="E390">
        <v>5.0972499999999998</v>
      </c>
      <c r="G390" s="64">
        <f t="shared" si="6"/>
        <v>0</v>
      </c>
      <c r="K390" s="319" t="str">
        <f>PE_aug!AP379</f>
        <v>KWS</v>
      </c>
    </row>
    <row r="391" spans="1:11">
      <c r="A391" s="282" t="s">
        <v>441</v>
      </c>
      <c r="C391">
        <v>0.51400000000000001</v>
      </c>
      <c r="D391">
        <v>6.4000000000000001E-2</v>
      </c>
      <c r="E391">
        <v>10.3285</v>
      </c>
      <c r="G391" s="64">
        <f t="shared" si="6"/>
        <v>0</v>
      </c>
      <c r="K391" s="319" t="str">
        <f>PE_aug!AP380</f>
        <v>Flussproben</v>
      </c>
    </row>
    <row r="392" spans="1:11">
      <c r="A392" s="282" t="s">
        <v>442</v>
      </c>
      <c r="C392">
        <v>0.63700000000000001</v>
      </c>
      <c r="D392">
        <v>6.4000000000000001E-2</v>
      </c>
      <c r="E392">
        <v>9.8335849999999994</v>
      </c>
      <c r="G392" s="64">
        <f t="shared" si="6"/>
        <v>0</v>
      </c>
      <c r="K392" s="319" t="str">
        <f>PE_aug!AP381</f>
        <v>Flussproben</v>
      </c>
    </row>
    <row r="393" spans="1:11">
      <c r="A393" s="282" t="s">
        <v>443</v>
      </c>
      <c r="C393">
        <v>1.1459999999999999</v>
      </c>
      <c r="D393">
        <v>6.4000000000000001E-2</v>
      </c>
      <c r="E393">
        <v>16.5566</v>
      </c>
      <c r="G393" s="64">
        <f t="shared" si="6"/>
        <v>0</v>
      </c>
      <c r="K393" s="319" t="str">
        <f>PE_aug!AP382</f>
        <v>Flussproben</v>
      </c>
    </row>
    <row r="394" spans="1:11">
      <c r="A394" s="282" t="s">
        <v>444</v>
      </c>
      <c r="E394">
        <v>10.1968</v>
      </c>
      <c r="G394" s="64">
        <f t="shared" si="6"/>
        <v>0</v>
      </c>
      <c r="K394" s="319" t="str">
        <f>PE_aug!AP383</f>
        <v>Flussproben, Methode</v>
      </c>
    </row>
    <row r="395" spans="1:11">
      <c r="A395" s="282" t="s">
        <v>445</v>
      </c>
      <c r="E395">
        <v>0.53195800000000004</v>
      </c>
      <c r="G395" s="64">
        <f t="shared" si="6"/>
        <v>0</v>
      </c>
      <c r="K395" s="319" t="str">
        <f>PE_aug!AP384</f>
        <v>Methode</v>
      </c>
    </row>
    <row r="396" spans="1:11">
      <c r="A396" s="282" t="s">
        <v>446</v>
      </c>
      <c r="E396">
        <v>0.137437</v>
      </c>
      <c r="G396" s="64">
        <f t="shared" si="6"/>
        <v>0</v>
      </c>
      <c r="K396" s="319" t="str">
        <f>PE_aug!AP385</f>
        <v>Methode</v>
      </c>
    </row>
    <row r="397" spans="1:11">
      <c r="A397" s="282" t="s">
        <v>447</v>
      </c>
      <c r="C397">
        <v>0.70699999999999996</v>
      </c>
      <c r="D397">
        <v>1.056</v>
      </c>
      <c r="E397">
        <v>35.156500000000001</v>
      </c>
      <c r="G397" s="64">
        <f t="shared" si="6"/>
        <v>0</v>
      </c>
      <c r="K397" s="319" t="str">
        <f>PE_aug!AP386</f>
        <v>Straßenabfluss</v>
      </c>
    </row>
    <row r="398" spans="1:11">
      <c r="A398" s="282" t="s">
        <v>448</v>
      </c>
      <c r="C398">
        <v>0.70699999999999996</v>
      </c>
      <c r="D398">
        <v>1.056</v>
      </c>
      <c r="E398">
        <v>42.128500000000003</v>
      </c>
      <c r="G398" s="64">
        <f t="shared" si="6"/>
        <v>0</v>
      </c>
      <c r="K398" s="319" t="str">
        <f>PE_aug!AP387</f>
        <v>Straßenabfluss</v>
      </c>
    </row>
    <row r="399" spans="1:11">
      <c r="A399" s="290" t="s">
        <v>449</v>
      </c>
      <c r="B399">
        <v>54.57</v>
      </c>
      <c r="C399">
        <v>1.069</v>
      </c>
      <c r="D399">
        <v>0.15</v>
      </c>
      <c r="E399">
        <v>18.248699999999999</v>
      </c>
      <c r="F399">
        <v>0.5</v>
      </c>
      <c r="G399" s="64">
        <f t="shared" si="6"/>
        <v>2.990349997534071</v>
      </c>
      <c r="K399" s="319" t="str">
        <f>PE_aug!AP388</f>
        <v>KWS, Methode</v>
      </c>
    </row>
    <row r="400" spans="1:11">
      <c r="A400" s="290" t="s">
        <v>450</v>
      </c>
      <c r="B400">
        <v>58.99</v>
      </c>
      <c r="C400">
        <v>0.439</v>
      </c>
      <c r="D400">
        <v>0.15</v>
      </c>
      <c r="E400">
        <v>10.1747</v>
      </c>
      <c r="F400">
        <v>0.5</v>
      </c>
      <c r="G400" s="64">
        <f t="shared" si="6"/>
        <v>5.7977139375116717</v>
      </c>
      <c r="K400" s="319" t="str">
        <f>PE_aug!AP389</f>
        <v>KWS, Methode</v>
      </c>
    </row>
    <row r="401" spans="1:11">
      <c r="A401" s="290" t="s">
        <v>451</v>
      </c>
      <c r="C401">
        <v>0.30099999999999999</v>
      </c>
      <c r="D401">
        <v>9.7000000000000003E-2</v>
      </c>
      <c r="E401">
        <v>10.7644</v>
      </c>
      <c r="G401" s="64">
        <f t="shared" si="6"/>
        <v>0</v>
      </c>
      <c r="K401" s="319" t="str">
        <f>PE_aug!AP390</f>
        <v>KWS, Methode</v>
      </c>
    </row>
    <row r="402" spans="1:11">
      <c r="A402" s="290" t="s">
        <v>452</v>
      </c>
      <c r="B402">
        <v>32.43</v>
      </c>
      <c r="C402">
        <v>0.95299999999999996</v>
      </c>
      <c r="D402">
        <v>9.7000000000000003E-2</v>
      </c>
      <c r="E402">
        <v>8.0693900000000003</v>
      </c>
      <c r="F402">
        <v>0.5</v>
      </c>
      <c r="G402" s="64">
        <f t="shared" si="6"/>
        <v>4.0188911429488474</v>
      </c>
      <c r="K402" s="319" t="str">
        <f>PE_aug!AP391</f>
        <v>KWS, Methode</v>
      </c>
    </row>
    <row r="403" spans="1:11">
      <c r="A403" s="290" t="s">
        <v>453</v>
      </c>
      <c r="B403">
        <v>47.35</v>
      </c>
      <c r="C403">
        <v>0.93</v>
      </c>
      <c r="D403">
        <v>9.7000000000000003E-2</v>
      </c>
      <c r="E403">
        <v>12.1059</v>
      </c>
      <c r="F403">
        <v>0.5</v>
      </c>
      <c r="G403" s="64">
        <f t="shared" si="6"/>
        <v>3.911315969898975</v>
      </c>
      <c r="K403" s="319" t="str">
        <f>PE_aug!AP392</f>
        <v>KWS, Methode</v>
      </c>
    </row>
    <row r="404" spans="1:11">
      <c r="A404" s="290" t="s">
        <v>454</v>
      </c>
      <c r="C404">
        <v>0.315</v>
      </c>
      <c r="D404">
        <v>0.109</v>
      </c>
      <c r="E404">
        <v>8.1649600000000007</v>
      </c>
      <c r="G404" s="64">
        <f t="shared" si="6"/>
        <v>0</v>
      </c>
      <c r="K404" s="319" t="str">
        <f>PE_aug!AP393</f>
        <v>KWS, Methode</v>
      </c>
    </row>
    <row r="405" spans="1:11">
      <c r="A405" s="290" t="s">
        <v>455</v>
      </c>
      <c r="C405">
        <v>0.83199999999999996</v>
      </c>
      <c r="D405">
        <v>0.109</v>
      </c>
      <c r="E405">
        <v>7.0769650000000004</v>
      </c>
      <c r="G405" s="64">
        <f t="shared" si="6"/>
        <v>0</v>
      </c>
      <c r="K405" s="319" t="str">
        <f>PE_aug!AP394</f>
        <v>KWS, Methode</v>
      </c>
    </row>
    <row r="406" spans="1:11">
      <c r="A406" s="290" t="s">
        <v>456</v>
      </c>
      <c r="C406">
        <v>1.042</v>
      </c>
      <c r="D406">
        <v>0.109</v>
      </c>
      <c r="E406">
        <v>10.223549999999999</v>
      </c>
      <c r="G406" s="64">
        <f t="shared" si="6"/>
        <v>0</v>
      </c>
      <c r="K406" s="319" t="str">
        <f>PE_aug!AP395</f>
        <v>KWS, Methode</v>
      </c>
    </row>
    <row r="407" spans="1:11">
      <c r="A407" s="290" t="s">
        <v>457</v>
      </c>
      <c r="C407">
        <v>0.38100000000000001</v>
      </c>
      <c r="D407">
        <v>0.55100000000000005</v>
      </c>
      <c r="E407">
        <v>10.453200000000001</v>
      </c>
      <c r="G407" s="64">
        <f t="shared" si="6"/>
        <v>0</v>
      </c>
      <c r="K407" s="319" t="str">
        <f>PE_aug!AP396</f>
        <v>Kläranlagen</v>
      </c>
    </row>
    <row r="408" spans="1:11">
      <c r="A408" s="290" t="s">
        <v>458</v>
      </c>
      <c r="C408">
        <v>0.95099999999999996</v>
      </c>
      <c r="D408">
        <v>0.55100000000000005</v>
      </c>
      <c r="E408">
        <v>8.8926250000000007</v>
      </c>
      <c r="G408" s="64">
        <f t="shared" si="6"/>
        <v>0</v>
      </c>
      <c r="K408" s="319" t="str">
        <f>PE_aug!AP397</f>
        <v>Kläranlagen</v>
      </c>
    </row>
    <row r="409" spans="1:11">
      <c r="A409" s="290" t="s">
        <v>459</v>
      </c>
      <c r="C409">
        <v>0.79900000000000004</v>
      </c>
      <c r="D409">
        <v>0.55100000000000005</v>
      </c>
      <c r="E409">
        <v>10.5664</v>
      </c>
      <c r="G409" s="64">
        <f t="shared" si="6"/>
        <v>0</v>
      </c>
      <c r="K409" s="319" t="str">
        <f>PE_aug!AP398</f>
        <v>Kläranlagen</v>
      </c>
    </row>
    <row r="410" spans="1:11">
      <c r="A410" s="290" t="s">
        <v>460</v>
      </c>
      <c r="C410">
        <v>0.41199999999999998</v>
      </c>
      <c r="D410">
        <v>7.2999999999999995E-2</v>
      </c>
      <c r="E410">
        <v>12.769600000000001</v>
      </c>
      <c r="G410" s="64">
        <f t="shared" si="6"/>
        <v>0</v>
      </c>
      <c r="K410" s="319" t="str">
        <f>PE_aug!AP399</f>
        <v>Straßenabfluss</v>
      </c>
    </row>
    <row r="411" spans="1:11">
      <c r="A411" s="290" t="s">
        <v>461</v>
      </c>
      <c r="C411">
        <v>1.075</v>
      </c>
      <c r="D411">
        <v>7.2999999999999995E-2</v>
      </c>
      <c r="E411">
        <v>9.5862499999999997</v>
      </c>
      <c r="G411" s="64">
        <f t="shared" si="6"/>
        <v>0</v>
      </c>
      <c r="K411" s="319" t="str">
        <f>PE_aug!AP400</f>
        <v>Straßenabfluss</v>
      </c>
    </row>
    <row r="412" spans="1:11">
      <c r="A412" s="290" t="s">
        <v>462</v>
      </c>
      <c r="C412">
        <v>0.74</v>
      </c>
      <c r="D412">
        <v>7.2999999999999995E-2</v>
      </c>
      <c r="E412">
        <v>13.754300000000001</v>
      </c>
      <c r="G412" s="64">
        <f t="shared" si="6"/>
        <v>0</v>
      </c>
      <c r="K412" s="319" t="str">
        <f>PE_aug!AP401</f>
        <v>Straßenabfluss</v>
      </c>
    </row>
    <row r="413" spans="1:11">
      <c r="A413" s="294" t="s">
        <v>463</v>
      </c>
      <c r="C413">
        <v>0.70699999999999996</v>
      </c>
      <c r="D413">
        <v>0.129</v>
      </c>
      <c r="E413">
        <v>5.9239199999999999</v>
      </c>
      <c r="G413" s="64">
        <f t="shared" si="6"/>
        <v>0</v>
      </c>
      <c r="K413" s="319" t="str">
        <f>PE_aug!AP402</f>
        <v>Bodenproben</v>
      </c>
    </row>
    <row r="414" spans="1:11">
      <c r="A414" s="294" t="s">
        <v>464</v>
      </c>
      <c r="C414">
        <v>0.70699999999999996</v>
      </c>
      <c r="D414">
        <v>0.129</v>
      </c>
      <c r="E414">
        <v>11.6953</v>
      </c>
      <c r="G414" s="64">
        <f t="shared" si="6"/>
        <v>0</v>
      </c>
      <c r="K414" s="319" t="str">
        <f>PE_aug!AP403</f>
        <v>Bodenproben</v>
      </c>
    </row>
    <row r="415" spans="1:11">
      <c r="A415" s="294" t="s">
        <v>465</v>
      </c>
      <c r="C415">
        <v>0.70699999999999996</v>
      </c>
      <c r="D415">
        <v>8.4000000000000005E-2</v>
      </c>
      <c r="E415">
        <v>5.3761700000000001</v>
      </c>
      <c r="G415" s="64">
        <f t="shared" si="6"/>
        <v>0</v>
      </c>
      <c r="K415" s="319" t="str">
        <f>PE_aug!AP404</f>
        <v>Bodenproben</v>
      </c>
    </row>
    <row r="416" spans="1:11">
      <c r="A416" s="294" t="s">
        <v>466</v>
      </c>
      <c r="C416">
        <v>0.70699999999999996</v>
      </c>
      <c r="D416">
        <v>8.4000000000000005E-2</v>
      </c>
      <c r="E416">
        <v>9.5681949999999993</v>
      </c>
      <c r="G416" s="64">
        <f t="shared" si="6"/>
        <v>0</v>
      </c>
      <c r="K416" s="319" t="str">
        <f>PE_aug!AP405</f>
        <v>Bodenproben</v>
      </c>
    </row>
    <row r="417" spans="1:11">
      <c r="A417" s="294" t="s">
        <v>467</v>
      </c>
      <c r="C417">
        <v>0.70699999999999996</v>
      </c>
      <c r="D417">
        <v>2.7E-2</v>
      </c>
      <c r="E417">
        <v>7.2167450000000004</v>
      </c>
      <c r="G417" s="64">
        <f t="shared" si="6"/>
        <v>0</v>
      </c>
      <c r="K417" s="319" t="str">
        <f>PE_aug!AP406</f>
        <v>Bodenproben</v>
      </c>
    </row>
    <row r="418" spans="1:11">
      <c r="A418" s="294" t="s">
        <v>468</v>
      </c>
      <c r="C418">
        <v>0.70699999999999996</v>
      </c>
      <c r="D418">
        <v>2.7E-2</v>
      </c>
      <c r="E418">
        <v>6.6940000000000008</v>
      </c>
      <c r="G418" s="64">
        <f t="shared" si="6"/>
        <v>0</v>
      </c>
      <c r="K418" s="319" t="str">
        <f>PE_aug!AP407</f>
        <v>Bodenproben</v>
      </c>
    </row>
    <row r="419" spans="1:11">
      <c r="A419" s="294" t="s">
        <v>469</v>
      </c>
      <c r="C419">
        <v>0.70699999999999996</v>
      </c>
      <c r="D419">
        <v>7.4999999999999997E-2</v>
      </c>
      <c r="E419">
        <v>9.5514899999999994</v>
      </c>
      <c r="G419" s="64">
        <f t="shared" si="6"/>
        <v>0</v>
      </c>
      <c r="K419" s="319" t="str">
        <f>PE_aug!AP408</f>
        <v>Bodenproben</v>
      </c>
    </row>
    <row r="420" spans="1:11">
      <c r="A420" s="294" t="s">
        <v>470</v>
      </c>
      <c r="C420">
        <v>0.70699999999999996</v>
      </c>
      <c r="D420">
        <v>0.13500000000000001</v>
      </c>
      <c r="E420">
        <v>10.0252</v>
      </c>
      <c r="G420" s="64">
        <f t="shared" si="6"/>
        <v>0</v>
      </c>
      <c r="K420" s="319" t="str">
        <f>PE_aug!AP409</f>
        <v>Bodenproben</v>
      </c>
    </row>
    <row r="421" spans="1:11">
      <c r="A421" s="294" t="s">
        <v>471</v>
      </c>
      <c r="C421">
        <v>0.70699999999999996</v>
      </c>
      <c r="D421">
        <v>0.104</v>
      </c>
      <c r="E421">
        <v>9.7563600000000008</v>
      </c>
      <c r="G421" s="64">
        <f t="shared" si="6"/>
        <v>0</v>
      </c>
      <c r="K421" s="319" t="str">
        <f>PE_aug!AP410</f>
        <v>Bodenproben</v>
      </c>
    </row>
    <row r="422" spans="1:11">
      <c r="A422" s="294" t="s">
        <v>472</v>
      </c>
      <c r="C422">
        <v>0.70699999999999996</v>
      </c>
      <c r="D422">
        <v>0.104</v>
      </c>
      <c r="E422">
        <v>6.7526899999999994</v>
      </c>
      <c r="G422" s="64">
        <f t="shared" si="6"/>
        <v>0</v>
      </c>
      <c r="K422" s="319" t="str">
        <f>PE_aug!AP411</f>
        <v>Bodenproben</v>
      </c>
    </row>
    <row r="423" spans="1:11">
      <c r="A423" s="294" t="s">
        <v>473</v>
      </c>
      <c r="C423">
        <v>0.70699999999999996</v>
      </c>
      <c r="D423">
        <v>7.4999999999999997E-2</v>
      </c>
      <c r="E423">
        <v>6.7782600000000004</v>
      </c>
      <c r="G423" s="64">
        <f t="shared" si="6"/>
        <v>0</v>
      </c>
      <c r="K423" s="319" t="str">
        <f>PE_aug!AP412</f>
        <v>Bodenproben</v>
      </c>
    </row>
    <row r="424" spans="1:11">
      <c r="A424" s="294" t="s">
        <v>474</v>
      </c>
      <c r="C424">
        <v>0.70699999999999996</v>
      </c>
      <c r="D424">
        <v>0.13500000000000001</v>
      </c>
      <c r="E424">
        <v>4.1185499999999999</v>
      </c>
      <c r="G424" s="64">
        <f t="shared" si="6"/>
        <v>0</v>
      </c>
      <c r="K424" s="319" t="str">
        <f>PE_aug!AP413</f>
        <v>Bodenproben</v>
      </c>
    </row>
    <row r="425" spans="1:11">
      <c r="A425" s="305" t="s">
        <v>475</v>
      </c>
      <c r="E425" s="51">
        <v>18.433900000000001</v>
      </c>
      <c r="G425" s="64">
        <f t="shared" si="6"/>
        <v>0</v>
      </c>
      <c r="K425" s="319" t="str">
        <f>PE_aug!AP414</f>
        <v>Bodenproben</v>
      </c>
    </row>
    <row r="426" spans="1:11">
      <c r="A426" s="305" t="s">
        <v>476</v>
      </c>
      <c r="E426">
        <v>16.974799999999998</v>
      </c>
      <c r="G426" s="64">
        <f t="shared" si="6"/>
        <v>0</v>
      </c>
      <c r="K426" s="319" t="str">
        <f>PE_aug!AP415</f>
        <v>Bodenproben</v>
      </c>
    </row>
    <row r="427" spans="1:11">
      <c r="A427" s="305" t="s">
        <v>477</v>
      </c>
      <c r="B427">
        <v>112.98</v>
      </c>
      <c r="E427">
        <v>2.40835</v>
      </c>
      <c r="F427">
        <v>0.5</v>
      </c>
      <c r="G427" s="64">
        <f t="shared" si="6"/>
        <v>46.911786077605001</v>
      </c>
      <c r="H427">
        <v>8.1192E-2</v>
      </c>
      <c r="I427" s="317">
        <f>H427*1000</f>
        <v>81.192000000000007</v>
      </c>
      <c r="J427" s="309">
        <f>B427/I427*100</f>
        <v>139.15164055571975</v>
      </c>
      <c r="K427" s="319" t="str">
        <f>PE_aug!AP416</f>
        <v>KWS, Methode</v>
      </c>
    </row>
    <row r="428" spans="1:11">
      <c r="A428" s="305" t="s">
        <v>478</v>
      </c>
      <c r="C428">
        <v>0.81699999999999995</v>
      </c>
      <c r="D428">
        <v>9.4E-2</v>
      </c>
      <c r="E428">
        <v>7.2383749999999996</v>
      </c>
      <c r="G428" s="64">
        <f t="shared" si="6"/>
        <v>0</v>
      </c>
      <c r="K428" s="319" t="str">
        <f>PE_aug!AP417</f>
        <v>KWS, Methode</v>
      </c>
    </row>
    <row r="429" spans="1:11">
      <c r="A429" s="305" t="s">
        <v>479</v>
      </c>
      <c r="C429">
        <v>0.72399999999999998</v>
      </c>
      <c r="D429">
        <v>9.4E-2</v>
      </c>
      <c r="E429">
        <v>10.759</v>
      </c>
      <c r="G429" s="64">
        <f t="shared" si="6"/>
        <v>0</v>
      </c>
      <c r="K429" s="319" t="str">
        <f>PE_aug!AP418</f>
        <v>KWS, Methode</v>
      </c>
    </row>
    <row r="430" spans="1:11">
      <c r="A430" s="305" t="s">
        <v>480</v>
      </c>
      <c r="E430">
        <v>6.9593999999999996</v>
      </c>
      <c r="G430" s="64">
        <f t="shared" si="6"/>
        <v>0</v>
      </c>
      <c r="K430" s="319" t="str">
        <f>PE_aug!AP419</f>
        <v>KWS, Methode</v>
      </c>
    </row>
    <row r="431" spans="1:11">
      <c r="A431" s="305" t="s">
        <v>481</v>
      </c>
      <c r="E431">
        <v>6.5583899999999993</v>
      </c>
      <c r="F431">
        <v>0.44</v>
      </c>
      <c r="G431" s="64">
        <f t="shared" si="6"/>
        <v>0</v>
      </c>
      <c r="K431" s="319" t="str">
        <f>PE_aug!AP420</f>
        <v>Flussproben, Methode</v>
      </c>
    </row>
    <row r="432" spans="1:11">
      <c r="A432" s="305" t="s">
        <v>482</v>
      </c>
      <c r="E432" s="313">
        <v>5.7743099999999999E-2</v>
      </c>
      <c r="G432" s="64">
        <f t="shared" si="6"/>
        <v>0</v>
      </c>
      <c r="K432" s="319" t="str">
        <f>PE_aug!AP421</f>
        <v>Methode</v>
      </c>
    </row>
    <row r="433" spans="1:11">
      <c r="A433" s="305" t="s">
        <v>483</v>
      </c>
      <c r="E433">
        <v>0.1338</v>
      </c>
      <c r="G433" s="64">
        <f t="shared" si="6"/>
        <v>0</v>
      </c>
      <c r="K433" s="319" t="str">
        <f>PE_aug!AP422</f>
        <v>Methode</v>
      </c>
    </row>
    <row r="434" spans="1:11">
      <c r="A434" s="305" t="s">
        <v>484</v>
      </c>
      <c r="E434">
        <v>4.8291000000000004</v>
      </c>
      <c r="G434" s="64">
        <f t="shared" si="6"/>
        <v>0</v>
      </c>
      <c r="K434" s="319" t="str">
        <f>PE_aug!AP423</f>
        <v>Straßenabfluss, Methode</v>
      </c>
    </row>
    <row r="435" spans="1:11">
      <c r="A435" s="305" t="s">
        <v>486</v>
      </c>
      <c r="C435">
        <v>0.70699999999999996</v>
      </c>
      <c r="D435">
        <v>5.2999999999999999E-2</v>
      </c>
      <c r="E435">
        <v>13.0227</v>
      </c>
      <c r="G435" s="64">
        <f t="shared" si="6"/>
        <v>0</v>
      </c>
      <c r="K435" s="319" t="str">
        <f>PE_aug!AP424</f>
        <v>Straßenabfluss</v>
      </c>
    </row>
    <row r="436" spans="1:11">
      <c r="A436" s="305" t="s">
        <v>487</v>
      </c>
      <c r="C436">
        <v>0.70699999999999996</v>
      </c>
      <c r="D436">
        <v>5.2999999999999999E-2</v>
      </c>
      <c r="E436">
        <v>10.6518</v>
      </c>
      <c r="G436" s="64">
        <f t="shared" si="6"/>
        <v>0</v>
      </c>
      <c r="K436" s="319" t="str">
        <f>PE_aug!AP425</f>
        <v>Straßenabfluss</v>
      </c>
    </row>
    <row r="437" spans="1:11">
      <c r="A437" s="305" t="s">
        <v>488</v>
      </c>
      <c r="C437">
        <v>0.70699999999999996</v>
      </c>
      <c r="D437">
        <v>0.01</v>
      </c>
      <c r="E437">
        <v>11.817399999999999</v>
      </c>
      <c r="G437" s="64">
        <f t="shared" si="6"/>
        <v>0</v>
      </c>
      <c r="K437" s="319" t="str">
        <f>PE_aug!AP426</f>
        <v>Straßenabfluss</v>
      </c>
    </row>
    <row r="438" spans="1:11">
      <c r="A438" s="305" t="s">
        <v>489</v>
      </c>
      <c r="C438">
        <v>0.70699999999999996</v>
      </c>
      <c r="D438">
        <v>0.01</v>
      </c>
      <c r="E438">
        <v>11.172000000000001</v>
      </c>
      <c r="G438" s="64">
        <f t="shared" si="6"/>
        <v>0</v>
      </c>
      <c r="K438" s="319" t="str">
        <f>PE_aug!AP427</f>
        <v>Straßenabfluss</v>
      </c>
    </row>
    <row r="439" spans="1:11">
      <c r="A439" s="305" t="s">
        <v>568</v>
      </c>
      <c r="E439">
        <v>5.7991000000000001</v>
      </c>
      <c r="G439" s="64">
        <f t="shared" si="6"/>
        <v>0</v>
      </c>
      <c r="K439" s="319" t="str">
        <f>PE_aug!AP428</f>
        <v>Straßenabfluss, Methode</v>
      </c>
    </row>
    <row r="440" spans="1:11">
      <c r="A440" s="305" t="s">
        <v>491</v>
      </c>
      <c r="C440">
        <v>0.70699999999999996</v>
      </c>
      <c r="D440">
        <v>3.7999999999999999E-2</v>
      </c>
      <c r="E440">
        <v>9.7790800000000004</v>
      </c>
      <c r="G440" s="64">
        <f t="shared" si="6"/>
        <v>0</v>
      </c>
      <c r="K440" s="319" t="str">
        <f>PE_aug!AP429</f>
        <v>Straßenabfluss</v>
      </c>
    </row>
    <row r="441" spans="1:11">
      <c r="A441" s="305" t="s">
        <v>492</v>
      </c>
      <c r="C441">
        <v>0.70699999999999996</v>
      </c>
      <c r="D441">
        <v>3.7999999999999999E-2</v>
      </c>
      <c r="E441">
        <v>11.240500000000001</v>
      </c>
      <c r="G441" s="64">
        <f t="shared" si="6"/>
        <v>0</v>
      </c>
      <c r="K441" s="319" t="str">
        <f>PE_aug!AP430</f>
        <v>Straßenabfluss</v>
      </c>
    </row>
    <row r="442" spans="1:11">
      <c r="A442" s="305" t="s">
        <v>493</v>
      </c>
      <c r="C442">
        <v>0.70699999999999996</v>
      </c>
      <c r="D442">
        <v>0.114</v>
      </c>
      <c r="E442">
        <v>8.0438550000000006</v>
      </c>
      <c r="G442" s="64">
        <f t="shared" si="6"/>
        <v>0</v>
      </c>
      <c r="K442" s="319" t="str">
        <f>PE_aug!AP431</f>
        <v>Straßenabfluss</v>
      </c>
    </row>
    <row r="443" spans="1:11">
      <c r="A443" s="305" t="s">
        <v>494</v>
      </c>
      <c r="C443">
        <v>0.70699999999999996</v>
      </c>
      <c r="D443">
        <v>0.114</v>
      </c>
      <c r="E443">
        <v>12.492749999999999</v>
      </c>
      <c r="G443" s="64">
        <f t="shared" si="6"/>
        <v>0</v>
      </c>
      <c r="K443" s="319" t="str">
        <f>PE_aug!AP432</f>
        <v>Straßenabfluss</v>
      </c>
    </row>
    <row r="444" spans="1:11">
      <c r="A444" s="305" t="s">
        <v>495</v>
      </c>
      <c r="C444">
        <v>0.70699999999999996</v>
      </c>
      <c r="D444">
        <v>0.46899999999999997</v>
      </c>
      <c r="E444">
        <v>9.6039899999999996</v>
      </c>
      <c r="G444" s="64">
        <f t="shared" si="6"/>
        <v>0</v>
      </c>
      <c r="K444" s="319" t="str">
        <f>PE_aug!AP433</f>
        <v>Straßenabfluss</v>
      </c>
    </row>
    <row r="445" spans="1:11">
      <c r="A445" s="305" t="s">
        <v>496</v>
      </c>
      <c r="C445">
        <v>0.70699999999999996</v>
      </c>
      <c r="D445">
        <v>0.46899999999999997</v>
      </c>
      <c r="E445">
        <v>12.9993</v>
      </c>
      <c r="G445" s="64">
        <f t="shared" si="6"/>
        <v>0</v>
      </c>
      <c r="K445" s="319" t="str">
        <f>PE_aug!AP434</f>
        <v>Straßenabfluss</v>
      </c>
    </row>
    <row r="446" spans="1:11">
      <c r="A446" s="305" t="s">
        <v>497</v>
      </c>
      <c r="C446">
        <v>0.70699999999999996</v>
      </c>
      <c r="D446">
        <v>0.17399999999999999</v>
      </c>
      <c r="E446">
        <v>8.3272600000000008</v>
      </c>
      <c r="G446" s="64">
        <f t="shared" si="6"/>
        <v>0</v>
      </c>
      <c r="K446" s="319" t="str">
        <f>PE_aug!AP435</f>
        <v>Straßenabfluss</v>
      </c>
    </row>
    <row r="447" spans="1:11">
      <c r="A447" s="305" t="s">
        <v>498</v>
      </c>
      <c r="C447">
        <v>0.70699999999999996</v>
      </c>
      <c r="D447">
        <v>0.17399999999999999</v>
      </c>
      <c r="E447">
        <v>5.5668749999999996</v>
      </c>
      <c r="G447" s="64">
        <f t="shared" si="6"/>
        <v>0</v>
      </c>
      <c r="K447" s="319" t="str">
        <f>PE_aug!AP436</f>
        <v>Straßenabfluss</v>
      </c>
    </row>
    <row r="448" spans="1:11">
      <c r="A448" s="305" t="s">
        <v>499</v>
      </c>
      <c r="C448">
        <v>0.70699999999999996</v>
      </c>
      <c r="D448">
        <v>0.12</v>
      </c>
      <c r="E448">
        <v>10.570399999999999</v>
      </c>
      <c r="G448" s="64">
        <f t="shared" si="6"/>
        <v>0</v>
      </c>
      <c r="K448" s="319" t="str">
        <f>PE_aug!AP437</f>
        <v>Straßenabfluss</v>
      </c>
    </row>
    <row r="449" spans="1:11">
      <c r="A449" s="305" t="s">
        <v>500</v>
      </c>
      <c r="C449">
        <v>0.70699999999999996</v>
      </c>
      <c r="D449">
        <v>0.12</v>
      </c>
      <c r="E449">
        <v>7.1077349999999999</v>
      </c>
      <c r="G449" s="64">
        <f t="shared" si="6"/>
        <v>0</v>
      </c>
      <c r="K449" s="319" t="str">
        <f>PE_aug!AP438</f>
        <v>Straßenabfluss</v>
      </c>
    </row>
    <row r="450" spans="1:11">
      <c r="A450" s="320" t="s">
        <v>501</v>
      </c>
      <c r="E450">
        <v>8.5403399999999987</v>
      </c>
      <c r="G450" s="64" t="e">
        <f>B450/#REF!</f>
        <v>#REF!</v>
      </c>
      <c r="K450" s="319" t="str">
        <f>PE_aug!AP439</f>
        <v>KWS, Methode</v>
      </c>
    </row>
    <row r="451" spans="1:11">
      <c r="A451" s="320" t="s">
        <v>502</v>
      </c>
      <c r="E451">
        <v>5.9147600000000002E-2</v>
      </c>
      <c r="G451" s="64">
        <f t="shared" ref="G451:G466" si="7">B451/E451</f>
        <v>0</v>
      </c>
      <c r="K451" s="319" t="str">
        <f>PE_aug!AP440</f>
        <v>Methode</v>
      </c>
    </row>
    <row r="452" spans="1:11">
      <c r="A452" s="320" t="s">
        <v>503</v>
      </c>
      <c r="C452">
        <v>0.70699999999999996</v>
      </c>
      <c r="D452">
        <v>0.152</v>
      </c>
      <c r="E452">
        <v>9.0048200000000005</v>
      </c>
      <c r="G452" s="64">
        <f t="shared" si="7"/>
        <v>0</v>
      </c>
      <c r="K452" s="319" t="str">
        <f>PE_aug!AP441</f>
        <v>Straßenabfluss</v>
      </c>
    </row>
    <row r="453" spans="1:11">
      <c r="A453" s="320" t="s">
        <v>504</v>
      </c>
      <c r="C453">
        <v>0.70699999999999996</v>
      </c>
      <c r="D453">
        <v>0.152</v>
      </c>
      <c r="E453">
        <v>7.3795650000000004</v>
      </c>
      <c r="G453" s="64">
        <f t="shared" si="7"/>
        <v>0</v>
      </c>
      <c r="K453" s="319" t="str">
        <f>PE_aug!AP442</f>
        <v>Straßenabfluss</v>
      </c>
    </row>
    <row r="454" spans="1:11">
      <c r="A454" s="320" t="s">
        <v>505</v>
      </c>
      <c r="E454">
        <v>4.4695199999999993</v>
      </c>
      <c r="G454" s="64">
        <f t="shared" si="7"/>
        <v>0</v>
      </c>
      <c r="K454" s="319" t="str">
        <f>PE_aug!AP443</f>
        <v>Straßenabfluss</v>
      </c>
    </row>
    <row r="455" spans="1:11">
      <c r="A455" s="320" t="s">
        <v>506</v>
      </c>
      <c r="C455">
        <v>0.70699999999999996</v>
      </c>
      <c r="D455">
        <v>0.16500000000000001</v>
      </c>
      <c r="E455">
        <v>7.4709699999999986</v>
      </c>
      <c r="G455" s="64">
        <f t="shared" si="7"/>
        <v>0</v>
      </c>
      <c r="K455" s="319" t="str">
        <f>PE_aug!AP444</f>
        <v>Straßenabfluss</v>
      </c>
    </row>
    <row r="456" spans="1:11">
      <c r="A456" s="320" t="s">
        <v>507</v>
      </c>
      <c r="C456">
        <v>0.70699999999999996</v>
      </c>
      <c r="D456">
        <v>0.16500000000000001</v>
      </c>
      <c r="E456">
        <v>5.5076400000000003</v>
      </c>
      <c r="G456" s="64">
        <f t="shared" si="7"/>
        <v>0</v>
      </c>
      <c r="K456" s="319" t="str">
        <f>PE_aug!AP445</f>
        <v>Straßenabfluss</v>
      </c>
    </row>
    <row r="457" spans="1:11">
      <c r="A457" s="320" t="s">
        <v>508</v>
      </c>
      <c r="C457">
        <v>0.70699999999999996</v>
      </c>
      <c r="D457">
        <v>0.20300000000000001</v>
      </c>
      <c r="E457">
        <v>5.2079999999999993</v>
      </c>
      <c r="G457" s="64">
        <f t="shared" si="7"/>
        <v>0</v>
      </c>
      <c r="K457" s="319" t="str">
        <f>PE_aug!AP446</f>
        <v>Straßenabfluss</v>
      </c>
    </row>
    <row r="458" spans="1:11">
      <c r="A458" s="320" t="s">
        <v>509</v>
      </c>
      <c r="C458">
        <v>0.70699999999999996</v>
      </c>
      <c r="D458">
        <v>0.20300000000000001</v>
      </c>
      <c r="E458">
        <v>7.9878200000000001</v>
      </c>
      <c r="G458" s="64">
        <f t="shared" si="7"/>
        <v>0</v>
      </c>
      <c r="K458" s="319" t="str">
        <f>PE_aug!AP447</f>
        <v>Straßenabfluss</v>
      </c>
    </row>
    <row r="459" spans="1:11">
      <c r="A459" s="320" t="s">
        <v>510</v>
      </c>
      <c r="C459">
        <v>0.70699999999999996</v>
      </c>
      <c r="D459">
        <v>0.42699999999999999</v>
      </c>
      <c r="E459">
        <v>5.3934150000000001</v>
      </c>
      <c r="G459" s="64">
        <f t="shared" si="7"/>
        <v>0</v>
      </c>
      <c r="K459" s="319" t="str">
        <f>PE_aug!AP448</f>
        <v>Straßenabfluss</v>
      </c>
    </row>
    <row r="460" spans="1:11">
      <c r="A460" s="320" t="s">
        <v>511</v>
      </c>
      <c r="C460">
        <v>0.70699999999999996</v>
      </c>
      <c r="D460">
        <v>0.42699999999999999</v>
      </c>
      <c r="E460">
        <v>8.8179449999999999</v>
      </c>
      <c r="G460" s="64">
        <f t="shared" si="7"/>
        <v>0</v>
      </c>
      <c r="K460" s="319" t="str">
        <f>PE_aug!AP449</f>
        <v>Straßenabfluss</v>
      </c>
    </row>
    <row r="461" spans="1:11">
      <c r="A461" s="320" t="s">
        <v>512</v>
      </c>
      <c r="C461">
        <v>0.70699999999999996</v>
      </c>
      <c r="D461">
        <v>0.22</v>
      </c>
      <c r="E461">
        <v>20.2043</v>
      </c>
      <c r="G461" s="64">
        <f t="shared" si="7"/>
        <v>0</v>
      </c>
      <c r="K461" s="319" t="str">
        <f>PE_aug!AP450</f>
        <v>Straßenabfluss</v>
      </c>
    </row>
    <row r="462" spans="1:11">
      <c r="A462" s="320" t="s">
        <v>513</v>
      </c>
      <c r="C462">
        <v>0.70699999999999996</v>
      </c>
      <c r="D462">
        <v>0.22</v>
      </c>
      <c r="E462">
        <v>29.867599999999999</v>
      </c>
      <c r="F462">
        <v>0.5</v>
      </c>
      <c r="G462" s="64">
        <f t="shared" si="7"/>
        <v>0</v>
      </c>
      <c r="K462" s="319" t="str">
        <f>PE_aug!AP451</f>
        <v>Straßenabfluss</v>
      </c>
    </row>
    <row r="463" spans="1:11">
      <c r="A463" s="320" t="s">
        <v>514</v>
      </c>
      <c r="C463">
        <v>0.70699999999999996</v>
      </c>
      <c r="D463">
        <v>0.34499999999999997</v>
      </c>
      <c r="E463">
        <v>2.8785050000000001</v>
      </c>
      <c r="G463" s="64">
        <f t="shared" si="7"/>
        <v>0</v>
      </c>
      <c r="K463" s="319" t="str">
        <f>PE_aug!AP452</f>
        <v>Straßenabfluss</v>
      </c>
    </row>
    <row r="464" spans="1:11">
      <c r="A464" s="320" t="s">
        <v>515</v>
      </c>
      <c r="C464">
        <v>0.70699999999999996</v>
      </c>
      <c r="D464">
        <v>0.34499999999999997</v>
      </c>
      <c r="E464">
        <v>2.8527499999999999</v>
      </c>
      <c r="G464" s="64">
        <f t="shared" si="7"/>
        <v>0</v>
      </c>
      <c r="K464" s="319" t="str">
        <f>PE_aug!AP453</f>
        <v>Straßenabfluss</v>
      </c>
    </row>
    <row r="465" spans="1:11">
      <c r="A465" s="320" t="s">
        <v>516</v>
      </c>
      <c r="C465">
        <v>0.70699999999999996</v>
      </c>
      <c r="D465">
        <v>3.5000000000000003E-2</v>
      </c>
      <c r="E465">
        <v>3.5029300000000001</v>
      </c>
      <c r="G465" s="64">
        <f t="shared" si="7"/>
        <v>0</v>
      </c>
      <c r="K465" s="319" t="str">
        <f>PE_aug!AP454</f>
        <v>Straßenabfluss</v>
      </c>
    </row>
    <row r="466" spans="1:11">
      <c r="A466" s="320" t="s">
        <v>517</v>
      </c>
      <c r="C466">
        <v>0.70699999999999996</v>
      </c>
      <c r="D466">
        <v>3.5000000000000003E-2</v>
      </c>
      <c r="E466">
        <v>3.8363700000000001</v>
      </c>
      <c r="G466" s="64">
        <f t="shared" si="7"/>
        <v>0</v>
      </c>
      <c r="K466" s="319" t="str">
        <f>PE_aug!AP455</f>
        <v>Straßenabfluss</v>
      </c>
    </row>
    <row r="467" spans="1:11">
      <c r="A467" s="327" t="s">
        <v>518</v>
      </c>
      <c r="B467"/>
      <c r="C467">
        <v>1.077</v>
      </c>
      <c r="D467">
        <v>0.317</v>
      </c>
      <c r="E467">
        <v>10.067399999999999</v>
      </c>
    </row>
    <row r="468" spans="1:11">
      <c r="A468" s="327" t="s">
        <v>519</v>
      </c>
      <c r="B468"/>
      <c r="C468">
        <v>0.191</v>
      </c>
      <c r="D468">
        <v>0.317</v>
      </c>
      <c r="E468">
        <v>16.639399999999998</v>
      </c>
    </row>
    <row r="469" spans="1:11">
      <c r="A469" s="327" t="s">
        <v>520</v>
      </c>
      <c r="B469"/>
      <c r="C469">
        <v>0.89200000000000002</v>
      </c>
      <c r="D469">
        <v>0.317</v>
      </c>
      <c r="E469">
        <v>22.4757</v>
      </c>
    </row>
    <row r="470" spans="1:11">
      <c r="A470" s="327" t="s">
        <v>521</v>
      </c>
      <c r="B470"/>
      <c r="C470">
        <v>0.51300000000000001</v>
      </c>
      <c r="D470">
        <v>6.6000000000000003E-2</v>
      </c>
      <c r="E470">
        <v>15.794600000000001</v>
      </c>
    </row>
    <row r="471" spans="1:11">
      <c r="A471" s="327" t="s">
        <v>522</v>
      </c>
      <c r="B471"/>
      <c r="C471">
        <v>1.075</v>
      </c>
      <c r="D471">
        <v>6.6000000000000003E-2</v>
      </c>
      <c r="E471">
        <v>9.8204600000000006</v>
      </c>
    </row>
    <row r="472" spans="1:11">
      <c r="A472" s="327" t="s">
        <v>523</v>
      </c>
      <c r="B472"/>
      <c r="C472">
        <v>0.66700000000000004</v>
      </c>
      <c r="D472">
        <v>6.6000000000000003E-2</v>
      </c>
      <c r="E472">
        <v>22.010100000000001</v>
      </c>
    </row>
    <row r="473" spans="1:11">
      <c r="A473" s="327" t="s">
        <v>524</v>
      </c>
      <c r="B473"/>
      <c r="C473">
        <v>0.79500000000000004</v>
      </c>
      <c r="D473">
        <v>0.19</v>
      </c>
      <c r="E473">
        <v>7.557525</v>
      </c>
    </row>
    <row r="474" spans="1:11">
      <c r="A474" s="327" t="s">
        <v>525</v>
      </c>
      <c r="B474"/>
      <c r="C474">
        <v>0.315</v>
      </c>
      <c r="D474">
        <v>0.19</v>
      </c>
      <c r="E474">
        <v>12.8439</v>
      </c>
    </row>
    <row r="475" spans="1:11">
      <c r="A475" s="327" t="s">
        <v>526</v>
      </c>
      <c r="B475"/>
      <c r="C475">
        <v>1.105</v>
      </c>
      <c r="D475">
        <v>0.19</v>
      </c>
      <c r="E475">
        <v>19.5275</v>
      </c>
    </row>
    <row r="476" spans="1:11">
      <c r="A476" s="327" t="s">
        <v>527</v>
      </c>
      <c r="B476"/>
      <c r="C476">
        <v>1.0509999999999999</v>
      </c>
      <c r="D476">
        <v>5.2999999999999999E-2</v>
      </c>
      <c r="E476">
        <v>11.5001</v>
      </c>
    </row>
    <row r="477" spans="1:11">
      <c r="A477" s="327" t="s">
        <v>528</v>
      </c>
      <c r="B477"/>
      <c r="C477">
        <v>0.20499999999999999</v>
      </c>
      <c r="D477">
        <v>5.2999999999999999E-2</v>
      </c>
      <c r="E477">
        <v>14.7828</v>
      </c>
    </row>
    <row r="478" spans="1:11">
      <c r="A478" s="327" t="s">
        <v>529</v>
      </c>
      <c r="B478"/>
      <c r="C478">
        <v>0.90200000000000002</v>
      </c>
      <c r="D478">
        <v>5.2999999999999999E-2</v>
      </c>
      <c r="E478">
        <v>15.0672</v>
      </c>
    </row>
    <row r="479" spans="1:11">
      <c r="A479" s="327" t="s">
        <v>530</v>
      </c>
      <c r="B479"/>
      <c r="C479">
        <v>0.79700000000000004</v>
      </c>
      <c r="D479">
        <v>2.7E-2</v>
      </c>
      <c r="E479">
        <v>10.63255</v>
      </c>
    </row>
    <row r="480" spans="1:11">
      <c r="A480" s="327" t="s">
        <v>531</v>
      </c>
      <c r="B480"/>
      <c r="C480">
        <v>0.626</v>
      </c>
      <c r="D480">
        <v>2.7E-2</v>
      </c>
      <c r="E480">
        <v>10.5519</v>
      </c>
    </row>
    <row r="481" spans="1:5">
      <c r="A481" s="327" t="s">
        <v>532</v>
      </c>
      <c r="B481"/>
      <c r="C481">
        <v>0.80500000000000005</v>
      </c>
      <c r="D481">
        <v>2.7E-2</v>
      </c>
      <c r="E481">
        <v>8.6896950000000004</v>
      </c>
    </row>
    <row r="482" spans="1:5">
      <c r="A482" s="327" t="s">
        <v>533</v>
      </c>
      <c r="B482"/>
      <c r="C482"/>
      <c r="D482"/>
      <c r="E482">
        <v>9.8886500000000002</v>
      </c>
    </row>
  </sheetData>
  <autoFilter ref="A1:K217" xr:uid="{00000000-0009-0000-0000-000007000000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5"/>
  <sheetViews>
    <sheetView topLeftCell="A195" zoomScale="80" zoomScaleNormal="80" workbookViewId="0">
      <selection activeCell="H223" sqref="H223"/>
    </sheetView>
  </sheetViews>
  <sheetFormatPr baseColWidth="10" defaultColWidth="11.42578125" defaultRowHeight="15"/>
  <cols>
    <col min="1" max="1" width="57" style="323" bestFit="1" customWidth="1"/>
    <col min="2" max="2" width="11.42578125" style="307" customWidth="1"/>
    <col min="3" max="6" width="11.42578125" style="323" customWidth="1"/>
    <col min="7" max="7" width="11.42578125" style="307" customWidth="1"/>
    <col min="8" max="8" width="11.42578125" style="323" customWidth="1"/>
    <col min="9" max="9" width="12.140625" style="323" bestFit="1" customWidth="1"/>
    <col min="10" max="10" width="11.42578125" style="323" customWidth="1"/>
    <col min="11" max="11" width="33" style="319" bestFit="1" customWidth="1"/>
    <col min="12" max="31" width="11.42578125" style="323" customWidth="1"/>
    <col min="32" max="16384" width="11.42578125" style="323"/>
  </cols>
  <sheetData>
    <row r="1" spans="1:11" ht="30" customHeight="1">
      <c r="A1" s="326" t="s">
        <v>0</v>
      </c>
      <c r="B1" s="202" t="s">
        <v>599</v>
      </c>
      <c r="C1" s="101" t="s">
        <v>13</v>
      </c>
      <c r="D1" s="101" t="s">
        <v>14</v>
      </c>
      <c r="E1" s="101" t="s">
        <v>15</v>
      </c>
      <c r="F1" s="75" t="s">
        <v>16</v>
      </c>
      <c r="G1" s="37" t="s">
        <v>25</v>
      </c>
      <c r="H1" s="42" t="s">
        <v>26</v>
      </c>
      <c r="I1" s="44" t="s">
        <v>580</v>
      </c>
      <c r="J1" s="44" t="s">
        <v>28</v>
      </c>
      <c r="K1" s="37" t="s">
        <v>29</v>
      </c>
    </row>
    <row r="2" spans="1:11">
      <c r="A2" s="215" t="s">
        <v>273</v>
      </c>
      <c r="B2">
        <v>234.55</v>
      </c>
      <c r="F2">
        <v>0.5</v>
      </c>
      <c r="G2" s="307" t="e">
        <f t="shared" ref="G2:G33" si="0">B2/E2</f>
        <v>#DIV/0!</v>
      </c>
      <c r="K2" s="319">
        <f>PE_aug!AP218</f>
        <v>0</v>
      </c>
    </row>
    <row r="3" spans="1:11">
      <c r="A3" s="215" t="s">
        <v>274</v>
      </c>
      <c r="B3">
        <v>240.67</v>
      </c>
      <c r="F3">
        <v>1</v>
      </c>
      <c r="G3" s="307" t="e">
        <f t="shared" si="0"/>
        <v>#DIV/0!</v>
      </c>
      <c r="K3" s="319">
        <f>PE_aug!AP219</f>
        <v>0</v>
      </c>
    </row>
    <row r="4" spans="1:11">
      <c r="A4" s="215" t="s">
        <v>275</v>
      </c>
      <c r="C4">
        <v>0.747</v>
      </c>
      <c r="D4">
        <v>0.02</v>
      </c>
      <c r="E4">
        <v>9.4741699999999991</v>
      </c>
      <c r="G4" s="307">
        <f t="shared" si="0"/>
        <v>0</v>
      </c>
      <c r="K4" s="319" t="str">
        <f>PE_aug!AP220</f>
        <v>Kläranlagen</v>
      </c>
    </row>
    <row r="5" spans="1:11">
      <c r="A5" s="215" t="s">
        <v>276</v>
      </c>
      <c r="C5">
        <v>0.64</v>
      </c>
      <c r="D5">
        <v>0.02</v>
      </c>
      <c r="E5">
        <v>8.9339700000000004</v>
      </c>
      <c r="G5" s="307">
        <f t="shared" si="0"/>
        <v>0</v>
      </c>
      <c r="K5" s="319" t="str">
        <f>PE_aug!AP221</f>
        <v>Kläranlagen</v>
      </c>
    </row>
    <row r="6" spans="1:11">
      <c r="A6" s="215" t="s">
        <v>277</v>
      </c>
      <c r="C6">
        <v>0.82199999999999995</v>
      </c>
      <c r="D6">
        <v>0.02</v>
      </c>
      <c r="E6">
        <v>10.4704</v>
      </c>
      <c r="G6" s="307">
        <f t="shared" si="0"/>
        <v>0</v>
      </c>
      <c r="K6" s="319" t="str">
        <f>PE_aug!AP222</f>
        <v>Kläranlagen</v>
      </c>
    </row>
    <row r="7" spans="1:11">
      <c r="A7" s="215" t="s">
        <v>278</v>
      </c>
      <c r="C7">
        <v>0.83099999999999996</v>
      </c>
      <c r="D7">
        <v>0.13600000000000001</v>
      </c>
      <c r="E7">
        <v>8.854280000000001</v>
      </c>
      <c r="G7" s="307">
        <f t="shared" si="0"/>
        <v>0</v>
      </c>
      <c r="K7" s="319" t="str">
        <f>PE_aug!AP223</f>
        <v>Kläranlagen</v>
      </c>
    </row>
    <row r="8" spans="1:11">
      <c r="A8" s="215" t="s">
        <v>279</v>
      </c>
      <c r="C8">
        <v>0.29799999999999999</v>
      </c>
      <c r="D8">
        <v>0.13600000000000001</v>
      </c>
      <c r="E8">
        <v>8.9194449999999996</v>
      </c>
      <c r="G8" s="307">
        <f t="shared" si="0"/>
        <v>0</v>
      </c>
      <c r="K8" s="319" t="str">
        <f>PE_aug!AP224</f>
        <v>Kläranlagen</v>
      </c>
    </row>
    <row r="9" spans="1:11">
      <c r="A9" s="215" t="s">
        <v>280</v>
      </c>
      <c r="C9">
        <v>1.038</v>
      </c>
      <c r="D9">
        <v>0.13600000000000001</v>
      </c>
      <c r="E9">
        <v>9.8315149999999996</v>
      </c>
      <c r="G9" s="307">
        <f t="shared" si="0"/>
        <v>0</v>
      </c>
      <c r="K9" s="319" t="str">
        <f>PE_aug!AP225</f>
        <v>Kläranlagen</v>
      </c>
    </row>
    <row r="10" spans="1:11">
      <c r="A10" s="215" t="s">
        <v>281</v>
      </c>
      <c r="C10">
        <v>0.92</v>
      </c>
      <c r="D10">
        <v>0.113</v>
      </c>
      <c r="E10">
        <v>8.5098400000000005</v>
      </c>
      <c r="G10" s="307">
        <f t="shared" si="0"/>
        <v>0</v>
      </c>
      <c r="K10" s="319" t="str">
        <f>PE_aug!AP226</f>
        <v>Kläranlagen</v>
      </c>
    </row>
    <row r="11" spans="1:11">
      <c r="A11" s="215" t="s">
        <v>282</v>
      </c>
      <c r="C11">
        <v>0.78100000000000003</v>
      </c>
      <c r="D11">
        <v>0.113</v>
      </c>
      <c r="E11">
        <v>8.9350749999999994</v>
      </c>
      <c r="G11" s="307">
        <f t="shared" si="0"/>
        <v>0</v>
      </c>
      <c r="K11" s="319" t="str">
        <f>PE_aug!AP227</f>
        <v>Kläranlagen</v>
      </c>
    </row>
    <row r="12" spans="1:11">
      <c r="A12" s="215" t="s">
        <v>283</v>
      </c>
      <c r="C12">
        <v>0.502</v>
      </c>
      <c r="D12">
        <v>0.113</v>
      </c>
      <c r="E12">
        <v>8.0010499999999993</v>
      </c>
      <c r="G12" s="307">
        <f t="shared" si="0"/>
        <v>0</v>
      </c>
      <c r="K12" s="319" t="str">
        <f>PE_aug!AP228</f>
        <v>Kläranlagen</v>
      </c>
    </row>
    <row r="13" spans="1:11">
      <c r="A13" s="215" t="s">
        <v>284</v>
      </c>
      <c r="C13">
        <v>0.70699999999999996</v>
      </c>
      <c r="D13">
        <v>3.2000000000000001E-2</v>
      </c>
      <c r="E13">
        <v>9.4548300000000012</v>
      </c>
      <c r="G13" s="307">
        <f t="shared" si="0"/>
        <v>0</v>
      </c>
      <c r="K13" s="319" t="str">
        <f>PE_aug!AP229</f>
        <v>Kläranlagen</v>
      </c>
    </row>
    <row r="14" spans="1:11">
      <c r="A14" s="215" t="s">
        <v>285</v>
      </c>
      <c r="C14">
        <v>0.70699999999999996</v>
      </c>
      <c r="D14">
        <v>3.2000000000000001E-2</v>
      </c>
      <c r="E14">
        <v>9.7220899999999997</v>
      </c>
      <c r="G14" s="307">
        <f t="shared" si="0"/>
        <v>0</v>
      </c>
      <c r="K14" s="319" t="str">
        <f>PE_aug!AP230</f>
        <v>Kläranlagen</v>
      </c>
    </row>
    <row r="15" spans="1:11">
      <c r="A15" s="215" t="s">
        <v>286</v>
      </c>
      <c r="C15">
        <v>1.1419999999999999</v>
      </c>
      <c r="D15">
        <v>5.5E-2</v>
      </c>
      <c r="E15">
        <v>6.5427799999999996</v>
      </c>
      <c r="G15" s="307">
        <f t="shared" si="0"/>
        <v>0</v>
      </c>
      <c r="K15" s="319" t="str">
        <f>PE_aug!AP231</f>
        <v>Kläranlagen</v>
      </c>
    </row>
    <row r="16" spans="1:11">
      <c r="A16" s="215" t="s">
        <v>287</v>
      </c>
      <c r="C16">
        <v>0.49399999999999999</v>
      </c>
      <c r="D16">
        <v>5.5E-2</v>
      </c>
      <c r="E16">
        <v>9.3765300000000007</v>
      </c>
      <c r="G16" s="307">
        <f t="shared" si="0"/>
        <v>0</v>
      </c>
      <c r="K16" s="319" t="str">
        <f>PE_aug!AP232</f>
        <v>Kläranlagen</v>
      </c>
    </row>
    <row r="17" spans="1:11">
      <c r="A17" s="215" t="s">
        <v>288</v>
      </c>
      <c r="C17">
        <v>0.65</v>
      </c>
      <c r="D17">
        <v>5.5E-2</v>
      </c>
      <c r="E17">
        <v>9.4145599999999998</v>
      </c>
      <c r="G17" s="307">
        <f t="shared" si="0"/>
        <v>0</v>
      </c>
      <c r="K17" s="319" t="str">
        <f>PE_aug!AP233</f>
        <v>Kläranlagen</v>
      </c>
    </row>
    <row r="18" spans="1:11">
      <c r="A18" s="215" t="s">
        <v>289</v>
      </c>
      <c r="C18">
        <v>0.54800000000000004</v>
      </c>
      <c r="D18">
        <v>0.16400000000000001</v>
      </c>
      <c r="E18">
        <v>4.9484750000000002</v>
      </c>
      <c r="G18" s="307">
        <f t="shared" si="0"/>
        <v>0</v>
      </c>
      <c r="K18" s="319" t="str">
        <f>PE_aug!AP234</f>
        <v>Kläranlagen</v>
      </c>
    </row>
    <row r="19" spans="1:11">
      <c r="A19" s="215" t="s">
        <v>290</v>
      </c>
      <c r="C19">
        <v>0.82099999999999995</v>
      </c>
      <c r="D19">
        <v>0.16400000000000001</v>
      </c>
      <c r="E19">
        <v>5.7705900000000003</v>
      </c>
      <c r="G19" s="307">
        <f t="shared" si="0"/>
        <v>0</v>
      </c>
      <c r="K19" s="319" t="str">
        <f>PE_aug!AP235</f>
        <v>Kläranlagen</v>
      </c>
    </row>
    <row r="20" spans="1:11">
      <c r="A20" s="215" t="s">
        <v>291</v>
      </c>
      <c r="C20">
        <v>0.79400000000000004</v>
      </c>
      <c r="D20">
        <v>0.16400000000000001</v>
      </c>
      <c r="E20">
        <v>7.5740399999999992</v>
      </c>
      <c r="G20" s="307">
        <f t="shared" si="0"/>
        <v>0</v>
      </c>
      <c r="K20" s="319" t="str">
        <f>PE_aug!AP236</f>
        <v>Kläranlagen</v>
      </c>
    </row>
    <row r="21" spans="1:11">
      <c r="A21" s="215" t="s">
        <v>292</v>
      </c>
      <c r="C21">
        <v>0.90600000000000003</v>
      </c>
      <c r="D21">
        <v>0.13900000000000001</v>
      </c>
      <c r="E21">
        <v>8.5894499999999994</v>
      </c>
      <c r="G21" s="307">
        <f t="shared" si="0"/>
        <v>0</v>
      </c>
      <c r="K21" s="319" t="str">
        <f>PE_aug!AP237</f>
        <v>Kläranlagen</v>
      </c>
    </row>
    <row r="22" spans="1:11">
      <c r="A22" s="215" t="s">
        <v>293</v>
      </c>
      <c r="C22">
        <v>0.64600000000000002</v>
      </c>
      <c r="D22">
        <v>0.13900000000000001</v>
      </c>
      <c r="E22">
        <v>8.6637399999999989</v>
      </c>
      <c r="G22" s="307">
        <f t="shared" si="0"/>
        <v>0</v>
      </c>
      <c r="K22" s="319" t="str">
        <f>PE_aug!AP238</f>
        <v>Kläranlagen</v>
      </c>
    </row>
    <row r="23" spans="1:11">
      <c r="A23" s="215" t="s">
        <v>294</v>
      </c>
      <c r="C23">
        <v>0.68</v>
      </c>
      <c r="D23">
        <v>0.13900000000000001</v>
      </c>
      <c r="E23">
        <v>9.0110200000000003</v>
      </c>
      <c r="G23" s="307">
        <f t="shared" si="0"/>
        <v>0</v>
      </c>
      <c r="K23" s="319" t="str">
        <f>PE_aug!AP239</f>
        <v>Kläranlagen</v>
      </c>
    </row>
    <row r="24" spans="1:11">
      <c r="A24" s="215" t="s">
        <v>295</v>
      </c>
      <c r="E24">
        <v>-84.760499999999993</v>
      </c>
      <c r="F24">
        <v>0.81</v>
      </c>
      <c r="G24" s="307">
        <f t="shared" si="0"/>
        <v>0</v>
      </c>
      <c r="K24" s="319" t="str">
        <f>PE_aug!AP240</f>
        <v>Methode</v>
      </c>
    </row>
    <row r="25" spans="1:11">
      <c r="A25" s="215" t="s">
        <v>296</v>
      </c>
      <c r="E25">
        <v>-83.471699999999998</v>
      </c>
      <c r="G25" s="307">
        <f t="shared" si="0"/>
        <v>0</v>
      </c>
      <c r="K25" s="319" t="str">
        <f>PE_aug!AP241</f>
        <v>Methode</v>
      </c>
    </row>
    <row r="26" spans="1:11">
      <c r="A26" s="215" t="s">
        <v>297</v>
      </c>
      <c r="G26" s="307" t="e">
        <f t="shared" si="0"/>
        <v>#DIV/0!</v>
      </c>
      <c r="K26" s="319" t="str">
        <f>PE_aug!AP242</f>
        <v>Kläranlagen</v>
      </c>
    </row>
    <row r="27" spans="1:11">
      <c r="A27" s="215" t="s">
        <v>298</v>
      </c>
      <c r="G27" s="307" t="e">
        <f t="shared" si="0"/>
        <v>#DIV/0!</v>
      </c>
      <c r="K27" s="319" t="str">
        <f>PE_aug!AP243</f>
        <v>Kläranlagen</v>
      </c>
    </row>
    <row r="28" spans="1:11">
      <c r="A28" s="215" t="s">
        <v>299</v>
      </c>
      <c r="G28" s="307" t="e">
        <f t="shared" si="0"/>
        <v>#DIV/0!</v>
      </c>
      <c r="K28" s="319" t="str">
        <f>PE_aug!AP244</f>
        <v>Kläranlagen</v>
      </c>
    </row>
    <row r="29" spans="1:11">
      <c r="A29" s="215" t="s">
        <v>300</v>
      </c>
      <c r="E29">
        <v>6.02935</v>
      </c>
      <c r="G29" s="307">
        <f t="shared" si="0"/>
        <v>0</v>
      </c>
      <c r="K29" s="319" t="str">
        <f>PE_aug!AP245</f>
        <v>Kläranlage, Methode</v>
      </c>
    </row>
    <row r="30" spans="1:11">
      <c r="A30" s="215" t="s">
        <v>301</v>
      </c>
      <c r="C30">
        <v>0.82799999999999996</v>
      </c>
      <c r="D30">
        <v>0.191</v>
      </c>
      <c r="E30">
        <v>8.4088700000000003</v>
      </c>
      <c r="G30" s="307">
        <f t="shared" si="0"/>
        <v>0</v>
      </c>
      <c r="K30" s="319" t="str">
        <f>PE_aug!AP246</f>
        <v>Kläranlagen</v>
      </c>
    </row>
    <row r="31" spans="1:11">
      <c r="A31" s="215" t="s">
        <v>302</v>
      </c>
      <c r="C31">
        <v>0.79200000000000004</v>
      </c>
      <c r="D31">
        <v>0.191</v>
      </c>
      <c r="E31">
        <v>6.7405999999999997</v>
      </c>
      <c r="G31" s="307">
        <f t="shared" si="0"/>
        <v>0</v>
      </c>
      <c r="K31" s="319" t="str">
        <f>PE_aug!AP247</f>
        <v>Kläranlagen</v>
      </c>
    </row>
    <row r="32" spans="1:11">
      <c r="A32" s="215" t="s">
        <v>303</v>
      </c>
      <c r="C32">
        <v>0.629</v>
      </c>
      <c r="D32">
        <v>0.191</v>
      </c>
      <c r="E32">
        <v>7.8805199999999997</v>
      </c>
      <c r="G32" s="307">
        <f t="shared" si="0"/>
        <v>0</v>
      </c>
      <c r="K32" s="319" t="str">
        <f>PE_aug!AP248</f>
        <v>Kläranlagen</v>
      </c>
    </row>
    <row r="33" spans="1:11">
      <c r="A33" s="215" t="s">
        <v>304</v>
      </c>
      <c r="C33">
        <v>0.83699999999999997</v>
      </c>
      <c r="D33">
        <v>7.9000000000000001E-2</v>
      </c>
      <c r="E33">
        <v>7.9408200000000004</v>
      </c>
      <c r="G33" s="307">
        <f t="shared" si="0"/>
        <v>0</v>
      </c>
      <c r="K33" s="319" t="str">
        <f>PE_aug!AP249</f>
        <v>Kläranlagen</v>
      </c>
    </row>
    <row r="34" spans="1:11">
      <c r="A34" s="215" t="s">
        <v>305</v>
      </c>
      <c r="C34">
        <v>0.56399999999999995</v>
      </c>
      <c r="D34">
        <v>7.9000000000000001E-2</v>
      </c>
      <c r="E34">
        <v>8.8329500000000003</v>
      </c>
      <c r="G34" s="307">
        <f t="shared" ref="G34:G65" si="1">B34/E34</f>
        <v>0</v>
      </c>
      <c r="K34" s="319" t="str">
        <f>PE_aug!AP250</f>
        <v>Kläranlagen</v>
      </c>
    </row>
    <row r="35" spans="1:11">
      <c r="A35" s="215" t="s">
        <v>306</v>
      </c>
      <c r="C35">
        <v>0.82899999999999996</v>
      </c>
      <c r="D35">
        <v>7.9000000000000001E-2</v>
      </c>
      <c r="E35">
        <v>5.0712599999999997</v>
      </c>
      <c r="G35" s="307">
        <f t="shared" si="1"/>
        <v>0</v>
      </c>
      <c r="K35" s="319" t="str">
        <f>PE_aug!AP251</f>
        <v>Kläranlagen</v>
      </c>
    </row>
    <row r="36" spans="1:11">
      <c r="A36" s="215" t="s">
        <v>307</v>
      </c>
      <c r="C36">
        <v>0.28599999999999998</v>
      </c>
      <c r="D36">
        <v>2.7E-2</v>
      </c>
      <c r="E36">
        <v>8.5876000000000001</v>
      </c>
      <c r="G36" s="307">
        <f t="shared" si="1"/>
        <v>0</v>
      </c>
      <c r="K36" s="319" t="str">
        <f>PE_aug!AP252</f>
        <v>Kläranlagen</v>
      </c>
    </row>
    <row r="37" spans="1:11">
      <c r="A37" s="215" t="s">
        <v>308</v>
      </c>
      <c r="C37">
        <v>1</v>
      </c>
      <c r="D37">
        <v>2.7E-2</v>
      </c>
      <c r="E37">
        <v>11.023999999999999</v>
      </c>
      <c r="G37" s="307">
        <f t="shared" si="1"/>
        <v>0</v>
      </c>
      <c r="K37" s="319" t="str">
        <f>PE_aug!AP253</f>
        <v>Kläranlagen</v>
      </c>
    </row>
    <row r="38" spans="1:11">
      <c r="A38" s="215" t="s">
        <v>309</v>
      </c>
      <c r="C38">
        <v>0.86599999999999999</v>
      </c>
      <c r="D38">
        <v>2.7E-2</v>
      </c>
      <c r="E38">
        <v>7.3292199999999994</v>
      </c>
      <c r="G38" s="307">
        <f t="shared" si="1"/>
        <v>0</v>
      </c>
      <c r="K38" s="319" t="str">
        <f>PE_aug!AP254</f>
        <v>Kläranlagen</v>
      </c>
    </row>
    <row r="39" spans="1:11">
      <c r="A39" s="215" t="s">
        <v>310</v>
      </c>
      <c r="G39" s="307" t="e">
        <f t="shared" si="1"/>
        <v>#DIV/0!</v>
      </c>
      <c r="K39" s="319" t="str">
        <f>PE_aug!AP255</f>
        <v>Sickerwasser</v>
      </c>
    </row>
    <row r="40" spans="1:11">
      <c r="A40" s="215" t="s">
        <v>311</v>
      </c>
      <c r="G40" s="307" t="e">
        <f t="shared" si="1"/>
        <v>#DIV/0!</v>
      </c>
      <c r="K40" s="319" t="str">
        <f>PE_aug!AP256</f>
        <v>Sickerwasser</v>
      </c>
    </row>
    <row r="41" spans="1:11">
      <c r="A41" s="215" t="s">
        <v>312</v>
      </c>
      <c r="G41" s="307" t="e">
        <f t="shared" si="1"/>
        <v>#DIV/0!</v>
      </c>
      <c r="K41" s="319" t="str">
        <f>PE_aug!AP257</f>
        <v>Sickerwasser</v>
      </c>
    </row>
    <row r="42" spans="1:11">
      <c r="A42" s="215" t="s">
        <v>313</v>
      </c>
      <c r="G42" s="307" t="e">
        <f t="shared" si="1"/>
        <v>#DIV/0!</v>
      </c>
      <c r="K42" s="319" t="str">
        <f>PE_aug!AP258</f>
        <v>Sickerwasser</v>
      </c>
    </row>
    <row r="43" spans="1:11">
      <c r="A43" s="216" t="s">
        <v>314</v>
      </c>
      <c r="C43">
        <v>1.0760000000000001</v>
      </c>
      <c r="D43">
        <v>1.7000000000000001E-2</v>
      </c>
      <c r="E43">
        <v>10.911899999999999</v>
      </c>
      <c r="G43" s="307">
        <f t="shared" si="1"/>
        <v>0</v>
      </c>
      <c r="K43" s="319" t="str">
        <f>PE_aug!AP259</f>
        <v>Kläranlagen</v>
      </c>
    </row>
    <row r="44" spans="1:11">
      <c r="A44" s="216" t="s">
        <v>315</v>
      </c>
      <c r="C44">
        <v>0.76800000000000002</v>
      </c>
      <c r="D44">
        <v>1.7000000000000001E-2</v>
      </c>
      <c r="E44">
        <v>13.8399</v>
      </c>
      <c r="G44" s="307">
        <f t="shared" si="1"/>
        <v>0</v>
      </c>
      <c r="K44" s="319" t="str">
        <f>PE_aug!AP260</f>
        <v>Kläranlagen</v>
      </c>
    </row>
    <row r="45" spans="1:11">
      <c r="A45" s="216" t="s">
        <v>316</v>
      </c>
      <c r="C45">
        <v>0.39500000000000002</v>
      </c>
      <c r="D45">
        <v>1.7000000000000001E-2</v>
      </c>
      <c r="E45">
        <v>13.1463</v>
      </c>
      <c r="G45" s="307">
        <f t="shared" si="1"/>
        <v>0</v>
      </c>
      <c r="K45" s="319" t="str">
        <f>PE_aug!AP261</f>
        <v>Kläranlagen</v>
      </c>
    </row>
    <row r="46" spans="1:11">
      <c r="A46" s="216" t="s">
        <v>317</v>
      </c>
      <c r="C46">
        <v>0.996</v>
      </c>
      <c r="D46">
        <v>8.1000000000000003E-2</v>
      </c>
      <c r="E46">
        <v>4.4084400000000006</v>
      </c>
      <c r="G46" s="307">
        <f t="shared" si="1"/>
        <v>0</v>
      </c>
      <c r="K46" s="319" t="str">
        <f>PE_aug!AP262</f>
        <v>Kläranlagen</v>
      </c>
    </row>
    <row r="47" spans="1:11">
      <c r="A47" s="216" t="s">
        <v>318</v>
      </c>
      <c r="C47">
        <v>0.155</v>
      </c>
      <c r="D47">
        <v>8.1000000000000003E-2</v>
      </c>
      <c r="E47">
        <v>5.8289400000000002</v>
      </c>
      <c r="G47" s="307">
        <f t="shared" si="1"/>
        <v>0</v>
      </c>
      <c r="K47" s="319" t="str">
        <f>PE_aug!AP263</f>
        <v>Kläranlagen</v>
      </c>
    </row>
    <row r="48" spans="1:11">
      <c r="A48" s="216" t="s">
        <v>319</v>
      </c>
      <c r="C48">
        <v>0.97299999999999998</v>
      </c>
      <c r="D48">
        <v>8.1000000000000003E-2</v>
      </c>
      <c r="E48">
        <v>7.2398100000000003</v>
      </c>
      <c r="G48" s="307">
        <f t="shared" si="1"/>
        <v>0</v>
      </c>
      <c r="K48" s="319" t="str">
        <f>PE_aug!AP264</f>
        <v>Kläranlagen</v>
      </c>
    </row>
    <row r="49" spans="1:11">
      <c r="A49" s="216" t="s">
        <v>320</v>
      </c>
      <c r="C49">
        <v>0.70699999999999996</v>
      </c>
      <c r="D49">
        <v>7.1999999999999995E-2</v>
      </c>
      <c r="E49">
        <v>8.7419449999999994</v>
      </c>
      <c r="G49" s="307">
        <f t="shared" si="1"/>
        <v>0</v>
      </c>
      <c r="K49" s="319" t="str">
        <f>PE_aug!AP265</f>
        <v>Kläranlagen</v>
      </c>
    </row>
    <row r="50" spans="1:11">
      <c r="A50" s="216" t="s">
        <v>321</v>
      </c>
      <c r="C50">
        <v>0.70699999999999996</v>
      </c>
      <c r="D50">
        <v>7.1999999999999995E-2</v>
      </c>
      <c r="E50">
        <v>9.5270100000000006</v>
      </c>
      <c r="G50" s="307">
        <f t="shared" si="1"/>
        <v>0</v>
      </c>
      <c r="K50" s="319" t="str">
        <f>PE_aug!AP266</f>
        <v>Kläranlagen</v>
      </c>
    </row>
    <row r="51" spans="1:11">
      <c r="A51" s="229" t="s">
        <v>322</v>
      </c>
      <c r="C51">
        <v>0.70699999999999996</v>
      </c>
      <c r="D51">
        <v>0.124</v>
      </c>
      <c r="E51">
        <v>8.6800599999999992</v>
      </c>
      <c r="G51" s="307">
        <f t="shared" si="1"/>
        <v>0</v>
      </c>
      <c r="K51" s="319" t="str">
        <f>PE_aug!AP267</f>
        <v>KWB</v>
      </c>
    </row>
    <row r="52" spans="1:11">
      <c r="A52" s="229" t="s">
        <v>324</v>
      </c>
      <c r="C52">
        <v>0.70699999999999996</v>
      </c>
      <c r="D52">
        <v>0.124</v>
      </c>
      <c r="E52">
        <v>7.4999899999999986</v>
      </c>
      <c r="G52" s="307">
        <f t="shared" si="1"/>
        <v>0</v>
      </c>
      <c r="K52" s="319" t="str">
        <f>PE_aug!AP268</f>
        <v>KWB</v>
      </c>
    </row>
    <row r="53" spans="1:11">
      <c r="A53" s="229" t="s">
        <v>325</v>
      </c>
      <c r="C53">
        <v>0.70699999999999996</v>
      </c>
      <c r="D53">
        <v>0.14499999999999999</v>
      </c>
      <c r="E53">
        <v>5.2230249999999998</v>
      </c>
      <c r="G53" s="307">
        <f t="shared" si="1"/>
        <v>0</v>
      </c>
      <c r="K53" s="319" t="str">
        <f>PE_aug!AP269</f>
        <v>KWB</v>
      </c>
    </row>
    <row r="54" spans="1:11">
      <c r="A54" s="229" t="s">
        <v>326</v>
      </c>
      <c r="C54">
        <v>0.70699999999999996</v>
      </c>
      <c r="D54">
        <v>0.45</v>
      </c>
      <c r="E54">
        <v>6.5487399999999996</v>
      </c>
      <c r="G54" s="307">
        <f t="shared" si="1"/>
        <v>0</v>
      </c>
      <c r="K54" s="319" t="str">
        <f>PE_aug!AP270</f>
        <v>KWB</v>
      </c>
    </row>
    <row r="55" spans="1:11">
      <c r="A55" s="229" t="s">
        <v>327</v>
      </c>
      <c r="C55">
        <v>0.70699999999999996</v>
      </c>
      <c r="D55">
        <v>0.45</v>
      </c>
      <c r="E55">
        <v>6.3243900000000002</v>
      </c>
      <c r="G55" s="307">
        <f t="shared" si="1"/>
        <v>0</v>
      </c>
      <c r="K55" s="319" t="str">
        <f>PE_aug!AP271</f>
        <v>KWB</v>
      </c>
    </row>
    <row r="56" spans="1:11">
      <c r="A56" s="229" t="s">
        <v>328</v>
      </c>
      <c r="C56">
        <v>0.70699999999999996</v>
      </c>
      <c r="D56">
        <v>0.14699999999999999</v>
      </c>
      <c r="E56">
        <v>8.8096600000000009</v>
      </c>
      <c r="G56" s="307">
        <f t="shared" si="1"/>
        <v>0</v>
      </c>
      <c r="K56" s="319" t="str">
        <f>PE_aug!AP272</f>
        <v>Kläranlagen</v>
      </c>
    </row>
    <row r="57" spans="1:11">
      <c r="A57" s="229" t="s">
        <v>329</v>
      </c>
      <c r="C57">
        <v>0.70699999999999996</v>
      </c>
      <c r="D57">
        <v>0.14699999999999999</v>
      </c>
      <c r="E57">
        <v>4.2674799999999999</v>
      </c>
      <c r="G57" s="307">
        <f t="shared" si="1"/>
        <v>0</v>
      </c>
      <c r="K57" s="319" t="str">
        <f>PE_aug!AP273</f>
        <v>Kläranlagen</v>
      </c>
    </row>
    <row r="58" spans="1:11">
      <c r="A58" s="229" t="s">
        <v>330</v>
      </c>
      <c r="C58">
        <v>1.016</v>
      </c>
      <c r="D58">
        <v>0.124</v>
      </c>
      <c r="E58">
        <v>16.704599999999999</v>
      </c>
      <c r="G58" s="307">
        <f t="shared" si="1"/>
        <v>0</v>
      </c>
      <c r="K58" s="319" t="str">
        <f>PE_aug!AP274</f>
        <v>Kläranlagen</v>
      </c>
    </row>
    <row r="59" spans="1:11">
      <c r="A59" s="229" t="s">
        <v>331</v>
      </c>
      <c r="C59">
        <v>0.22500000000000001</v>
      </c>
      <c r="D59">
        <v>0.124</v>
      </c>
      <c r="E59">
        <v>10.55025</v>
      </c>
      <c r="G59" s="307">
        <f t="shared" si="1"/>
        <v>0</v>
      </c>
      <c r="K59" s="319" t="str">
        <f>PE_aug!AP275</f>
        <v>Kläranlagen</v>
      </c>
    </row>
    <row r="60" spans="1:11">
      <c r="A60" s="229" t="s">
        <v>332</v>
      </c>
      <c r="C60">
        <v>0.90200000000000002</v>
      </c>
      <c r="D60">
        <v>0.124</v>
      </c>
      <c r="E60">
        <v>8.4931399999999986</v>
      </c>
      <c r="G60" s="307">
        <f t="shared" si="1"/>
        <v>0</v>
      </c>
      <c r="K60" s="319" t="str">
        <f>PE_aug!AP276</f>
        <v>Kläranlagen</v>
      </c>
    </row>
    <row r="61" spans="1:11">
      <c r="A61" s="229" t="s">
        <v>333</v>
      </c>
      <c r="C61">
        <v>0.97099999999999997</v>
      </c>
      <c r="D61">
        <v>9.8000000000000004E-2</v>
      </c>
      <c r="E61">
        <v>8.8784799999999997</v>
      </c>
      <c r="G61" s="307">
        <f t="shared" si="1"/>
        <v>0</v>
      </c>
      <c r="K61" s="319" t="str">
        <f>PE_aug!AP277</f>
        <v>KWS, Schlamm</v>
      </c>
    </row>
    <row r="62" spans="1:11">
      <c r="A62" s="229" t="s">
        <v>334</v>
      </c>
      <c r="C62">
        <v>0.54800000000000004</v>
      </c>
      <c r="D62">
        <v>9.8000000000000004E-2</v>
      </c>
      <c r="E62">
        <v>13.416</v>
      </c>
      <c r="G62" s="307">
        <f t="shared" si="1"/>
        <v>0</v>
      </c>
      <c r="K62" s="319" t="str">
        <f>PE_aug!AP278</f>
        <v>KWS, Schlamm</v>
      </c>
    </row>
    <row r="63" spans="1:11">
      <c r="A63" s="229" t="s">
        <v>335</v>
      </c>
      <c r="C63">
        <v>0.66600000000000004</v>
      </c>
      <c r="D63">
        <v>9.8000000000000004E-2</v>
      </c>
      <c r="E63">
        <v>12.52145</v>
      </c>
      <c r="G63" s="307">
        <f t="shared" si="1"/>
        <v>0</v>
      </c>
      <c r="K63" s="319" t="str">
        <f>PE_aug!AP279</f>
        <v>KWS, Schlamm</v>
      </c>
    </row>
    <row r="64" spans="1:11">
      <c r="A64" s="229" t="s">
        <v>336</v>
      </c>
      <c r="C64">
        <v>0.71199999999999997</v>
      </c>
      <c r="D64">
        <v>0.10199999999999999</v>
      </c>
      <c r="E64">
        <v>6.3610100000000003</v>
      </c>
      <c r="G64" s="307">
        <f t="shared" si="1"/>
        <v>0</v>
      </c>
      <c r="K64" s="319" t="str">
        <f>PE_aug!AP280</f>
        <v>Kläranlagen</v>
      </c>
    </row>
    <row r="65" spans="1:11">
      <c r="A65" s="229" t="s">
        <v>337</v>
      </c>
      <c r="C65">
        <v>0.52700000000000002</v>
      </c>
      <c r="D65">
        <v>0.10199999999999999</v>
      </c>
      <c r="E65">
        <v>6.8360700000000003</v>
      </c>
      <c r="G65" s="307">
        <f t="shared" si="1"/>
        <v>0</v>
      </c>
      <c r="K65" s="319" t="str">
        <f>PE_aug!AP281</f>
        <v>Kläranlagen</v>
      </c>
    </row>
    <row r="66" spans="1:11">
      <c r="A66" s="229" t="s">
        <v>338</v>
      </c>
      <c r="C66">
        <v>0.98899999999999999</v>
      </c>
      <c r="D66">
        <v>0.10199999999999999</v>
      </c>
      <c r="E66">
        <v>9.666640000000001</v>
      </c>
      <c r="G66" s="307">
        <f t="shared" ref="G66:G97" si="2">B66/E66</f>
        <v>0</v>
      </c>
      <c r="K66" s="319" t="str">
        <f>PE_aug!AP282</f>
        <v>Kläranlagen</v>
      </c>
    </row>
    <row r="67" spans="1:11">
      <c r="A67" s="229" t="s">
        <v>339</v>
      </c>
      <c r="C67">
        <v>0.70699999999999996</v>
      </c>
      <c r="D67">
        <v>3.9E-2</v>
      </c>
      <c r="E67">
        <v>7.4099700000000004</v>
      </c>
      <c r="G67" s="307">
        <f t="shared" si="2"/>
        <v>0</v>
      </c>
      <c r="K67" s="319" t="str">
        <f>PE_aug!AP283</f>
        <v>Kläranlagen</v>
      </c>
    </row>
    <row r="68" spans="1:11">
      <c r="A68" s="229" t="s">
        <v>340</v>
      </c>
      <c r="C68">
        <v>0.70699999999999996</v>
      </c>
      <c r="D68">
        <v>3.9E-2</v>
      </c>
      <c r="E68">
        <v>8.2233499999999999</v>
      </c>
      <c r="G68" s="307">
        <f t="shared" si="2"/>
        <v>0</v>
      </c>
      <c r="K68" s="319" t="str">
        <f>PE_aug!AP284</f>
        <v>Kläranlagen</v>
      </c>
    </row>
    <row r="69" spans="1:11">
      <c r="A69" s="230" t="s">
        <v>560</v>
      </c>
      <c r="C69">
        <v>0.65800000000000003</v>
      </c>
      <c r="D69">
        <v>5.3999999999999999E-2</v>
      </c>
      <c r="E69">
        <v>12.948399999999999</v>
      </c>
      <c r="G69" s="307">
        <f t="shared" si="2"/>
        <v>0</v>
      </c>
      <c r="K69" s="319" t="str">
        <f>PE_aug!AP285</f>
        <v>Ringversuch</v>
      </c>
    </row>
    <row r="70" spans="1:11">
      <c r="A70" s="230" t="s">
        <v>561</v>
      </c>
      <c r="C70">
        <v>0.54</v>
      </c>
      <c r="D70">
        <v>5.3999999999999999E-2</v>
      </c>
      <c r="E70">
        <v>12.1568</v>
      </c>
      <c r="G70" s="307">
        <f t="shared" si="2"/>
        <v>0</v>
      </c>
      <c r="K70" s="319" t="str">
        <f>PE_aug!AP286</f>
        <v>Ringversuch</v>
      </c>
    </row>
    <row r="71" spans="1:11">
      <c r="A71" s="230" t="s">
        <v>562</v>
      </c>
      <c r="C71">
        <v>1.002</v>
      </c>
      <c r="D71">
        <v>5.3999999999999999E-2</v>
      </c>
      <c r="E71">
        <v>10.7057</v>
      </c>
      <c r="G71" s="307">
        <f t="shared" si="2"/>
        <v>0</v>
      </c>
      <c r="K71" s="319" t="str">
        <f>PE_aug!AP287</f>
        <v>Ringversuch</v>
      </c>
    </row>
    <row r="72" spans="1:11">
      <c r="A72" s="230" t="s">
        <v>563</v>
      </c>
      <c r="E72">
        <v>3.8606199999999991</v>
      </c>
      <c r="G72" s="307">
        <f t="shared" si="2"/>
        <v>0</v>
      </c>
      <c r="K72" s="319" t="str">
        <f>PE_aug!AP288</f>
        <v>Ringversuch</v>
      </c>
    </row>
    <row r="73" spans="1:11">
      <c r="A73" s="230" t="s">
        <v>564</v>
      </c>
      <c r="E73">
        <v>4.9999699999999994</v>
      </c>
      <c r="G73" s="307">
        <f t="shared" si="2"/>
        <v>0</v>
      </c>
      <c r="K73" s="319" t="str">
        <f>PE_aug!AP289</f>
        <v>Ringversuch</v>
      </c>
    </row>
    <row r="74" spans="1:11">
      <c r="A74" s="230" t="s">
        <v>565</v>
      </c>
      <c r="E74">
        <v>2.4472399999999999</v>
      </c>
      <c r="G74" s="307">
        <f t="shared" si="2"/>
        <v>0</v>
      </c>
      <c r="K74" s="319" t="str">
        <f>PE_aug!AP290</f>
        <v>Ringversuch</v>
      </c>
    </row>
    <row r="75" spans="1:11">
      <c r="A75" s="230" t="s">
        <v>566</v>
      </c>
      <c r="E75">
        <v>5.4399699999999998</v>
      </c>
      <c r="F75">
        <v>0.7</v>
      </c>
      <c r="G75" s="307">
        <f t="shared" si="2"/>
        <v>0</v>
      </c>
      <c r="K75" s="319" t="str">
        <f>PE_aug!AP291</f>
        <v>Ringversuch</v>
      </c>
    </row>
    <row r="76" spans="1:11">
      <c r="A76" s="230" t="s">
        <v>567</v>
      </c>
      <c r="B76" s="77"/>
      <c r="E76">
        <v>3.875</v>
      </c>
      <c r="G76" s="307">
        <f t="shared" si="2"/>
        <v>0</v>
      </c>
      <c r="K76" s="319" t="str">
        <f>PE_aug!AP292</f>
        <v>Ringversuch</v>
      </c>
    </row>
    <row r="77" spans="1:11">
      <c r="A77" s="230" t="s">
        <v>350</v>
      </c>
      <c r="B77" s="77"/>
      <c r="E77">
        <v>4.3691700000000004</v>
      </c>
      <c r="G77" s="307">
        <f t="shared" si="2"/>
        <v>0</v>
      </c>
      <c r="K77" s="319" t="str">
        <f>PE_aug!AP293</f>
        <v>Kläranlagen, Methode</v>
      </c>
    </row>
    <row r="78" spans="1:11">
      <c r="A78" s="230" t="s">
        <v>351</v>
      </c>
      <c r="B78" s="77"/>
      <c r="C78">
        <v>0.70699999999999996</v>
      </c>
      <c r="D78">
        <v>3.9E-2</v>
      </c>
      <c r="E78">
        <v>3.71591</v>
      </c>
      <c r="G78" s="307">
        <f t="shared" si="2"/>
        <v>0</v>
      </c>
      <c r="K78" s="319" t="str">
        <f>PE_aug!AP294</f>
        <v>KWB</v>
      </c>
    </row>
    <row r="79" spans="1:11">
      <c r="A79" s="230" t="s">
        <v>352</v>
      </c>
      <c r="B79" s="77"/>
      <c r="C79">
        <v>0.70699999999999996</v>
      </c>
      <c r="D79">
        <v>3.9E-2</v>
      </c>
      <c r="E79">
        <v>3.9680499999999999</v>
      </c>
      <c r="G79" s="307">
        <f t="shared" si="2"/>
        <v>0</v>
      </c>
      <c r="K79" s="319" t="str">
        <f>PE_aug!AP295</f>
        <v>KWB</v>
      </c>
    </row>
    <row r="80" spans="1:11">
      <c r="A80" s="230" t="s">
        <v>353</v>
      </c>
      <c r="B80" s="77"/>
      <c r="C80">
        <v>0.70699999999999996</v>
      </c>
      <c r="D80">
        <v>2.492</v>
      </c>
      <c r="E80">
        <v>1.542055</v>
      </c>
      <c r="G80" s="307">
        <f t="shared" si="2"/>
        <v>0</v>
      </c>
      <c r="K80" s="319" t="str">
        <f>PE_aug!AP296</f>
        <v>Bodenproben</v>
      </c>
    </row>
    <row r="81" spans="1:16">
      <c r="A81" s="230" t="s">
        <v>355</v>
      </c>
      <c r="B81" s="77"/>
      <c r="C81">
        <v>0.70699999999999996</v>
      </c>
      <c r="D81">
        <v>2.492</v>
      </c>
      <c r="E81">
        <v>0.66962800000000011</v>
      </c>
      <c r="G81" s="307">
        <f t="shared" si="2"/>
        <v>0</v>
      </c>
      <c r="K81" s="319" t="str">
        <f>PE_aug!AP297</f>
        <v>Bodenproben</v>
      </c>
    </row>
    <row r="82" spans="1:16">
      <c r="A82" s="230" t="s">
        <v>356</v>
      </c>
      <c r="B82" s="77"/>
      <c r="C82">
        <v>0.749</v>
      </c>
      <c r="D82">
        <v>2.9000000000000001E-2</v>
      </c>
      <c r="E82">
        <v>6.9847100000000006</v>
      </c>
      <c r="G82" s="307">
        <f t="shared" si="2"/>
        <v>0</v>
      </c>
      <c r="K82" s="319" t="str">
        <f>PE_aug!AP298</f>
        <v>Kläranlagen</v>
      </c>
    </row>
    <row r="83" spans="1:16">
      <c r="A83" s="230" t="s">
        <v>357</v>
      </c>
      <c r="B83" s="77"/>
      <c r="C83">
        <v>0.59899999999999998</v>
      </c>
      <c r="D83">
        <v>2.9000000000000001E-2</v>
      </c>
      <c r="E83">
        <v>7.3604950000000002</v>
      </c>
      <c r="G83" s="307">
        <f t="shared" si="2"/>
        <v>0</v>
      </c>
      <c r="K83" s="319" t="str">
        <f>PE_aug!AP299</f>
        <v>Kläranlagen</v>
      </c>
    </row>
    <row r="84" spans="1:16">
      <c r="A84" s="230" t="s">
        <v>358</v>
      </c>
      <c r="B84" s="77"/>
      <c r="C84">
        <v>0.88700000000000001</v>
      </c>
      <c r="D84">
        <v>2.9000000000000001E-2</v>
      </c>
      <c r="E84">
        <v>7.2579799999999999</v>
      </c>
      <c r="G84" s="307">
        <f t="shared" si="2"/>
        <v>0</v>
      </c>
      <c r="K84" s="319" t="str">
        <f>PE_aug!AP300</f>
        <v>Kläranlagen</v>
      </c>
    </row>
    <row r="85" spans="1:16">
      <c r="A85" s="230" t="s">
        <v>359</v>
      </c>
      <c r="B85" s="77"/>
      <c r="E85">
        <v>7.8634899999999996</v>
      </c>
      <c r="G85" s="307">
        <f t="shared" si="2"/>
        <v>0</v>
      </c>
      <c r="K85" s="319" t="str">
        <f>PE_aug!AP301</f>
        <v>Kläranlagen, Methode</v>
      </c>
    </row>
    <row r="86" spans="1:16">
      <c r="A86" s="232" t="s">
        <v>360</v>
      </c>
      <c r="C86">
        <v>0.54</v>
      </c>
      <c r="D86">
        <v>5.3999999999999999E-2</v>
      </c>
      <c r="E86">
        <v>12.1568</v>
      </c>
      <c r="G86" s="307">
        <f t="shared" si="2"/>
        <v>0</v>
      </c>
      <c r="K86" s="319" t="str">
        <f>PE_aug!AP302</f>
        <v>Ringversuch</v>
      </c>
    </row>
    <row r="87" spans="1:16">
      <c r="A87" s="232" t="s">
        <v>361</v>
      </c>
      <c r="C87">
        <v>1.002</v>
      </c>
      <c r="D87">
        <v>5.3999999999999999E-2</v>
      </c>
      <c r="E87">
        <v>10.7057</v>
      </c>
      <c r="G87" s="307">
        <f t="shared" si="2"/>
        <v>0</v>
      </c>
      <c r="K87" s="319" t="str">
        <f>PE_aug!AP303</f>
        <v>Ringversuch</v>
      </c>
    </row>
    <row r="88" spans="1:16">
      <c r="A88" s="232" t="s">
        <v>362</v>
      </c>
      <c r="D88" s="307"/>
      <c r="E88">
        <v>3.8606199999999991</v>
      </c>
      <c r="G88" s="307">
        <f t="shared" si="2"/>
        <v>0</v>
      </c>
      <c r="K88" s="319" t="str">
        <f>PE_aug!AP304</f>
        <v>Ringversuch</v>
      </c>
    </row>
    <row r="89" spans="1:16">
      <c r="A89" s="232" t="s">
        <v>363</v>
      </c>
      <c r="D89" s="307"/>
      <c r="E89">
        <v>4.9999699999999994</v>
      </c>
      <c r="G89" s="307">
        <f t="shared" si="2"/>
        <v>0</v>
      </c>
      <c r="K89" s="319" t="str">
        <f>PE_aug!AP305</f>
        <v>Ringversuch</v>
      </c>
    </row>
    <row r="90" spans="1:16">
      <c r="A90" s="232" t="s">
        <v>364</v>
      </c>
      <c r="D90" s="307"/>
      <c r="E90">
        <v>2.4472399999999999</v>
      </c>
      <c r="G90" s="307">
        <f t="shared" si="2"/>
        <v>0</v>
      </c>
      <c r="K90" s="319" t="str">
        <f>PE_aug!AP306</f>
        <v>Ringversuch</v>
      </c>
    </row>
    <row r="91" spans="1:16">
      <c r="A91" s="232" t="s">
        <v>365</v>
      </c>
      <c r="D91" s="307"/>
      <c r="E91">
        <v>5.4399699999999998</v>
      </c>
      <c r="F91">
        <v>0.5</v>
      </c>
      <c r="G91" s="307">
        <f t="shared" si="2"/>
        <v>0</v>
      </c>
      <c r="K91" s="319" t="str">
        <f>PE_aug!AP307</f>
        <v>Ringversuch</v>
      </c>
    </row>
    <row r="92" spans="1:16">
      <c r="A92" s="232" t="s">
        <v>366</v>
      </c>
      <c r="D92" s="307"/>
      <c r="E92">
        <v>3.875</v>
      </c>
      <c r="G92" s="307">
        <f t="shared" si="2"/>
        <v>0</v>
      </c>
      <c r="K92" s="319" t="str">
        <f>PE_aug!AP308</f>
        <v>Ringversuch</v>
      </c>
    </row>
    <row r="93" spans="1:16">
      <c r="A93" s="253" t="s">
        <v>367</v>
      </c>
      <c r="C93">
        <v>1.091</v>
      </c>
      <c r="D93">
        <v>6.7000000000000004E-2</v>
      </c>
      <c r="E93">
        <v>9.286525000000001</v>
      </c>
      <c r="G93" s="307">
        <f t="shared" si="2"/>
        <v>0</v>
      </c>
      <c r="K93" s="319" t="str">
        <f>PE_aug!AP309</f>
        <v>Flussproben</v>
      </c>
      <c r="O93" s="252"/>
      <c r="P93" s="252"/>
    </row>
    <row r="94" spans="1:16">
      <c r="A94" s="253" t="s">
        <v>368</v>
      </c>
      <c r="C94">
        <v>0.60099999999999998</v>
      </c>
      <c r="D94">
        <v>6.7000000000000004E-2</v>
      </c>
      <c r="E94">
        <v>12.251099999999999</v>
      </c>
      <c r="G94" s="307">
        <f t="shared" si="2"/>
        <v>0</v>
      </c>
      <c r="K94" s="319" t="str">
        <f>PE_aug!AP310</f>
        <v>Flussproben</v>
      </c>
    </row>
    <row r="95" spans="1:16">
      <c r="A95" s="253" t="s">
        <v>369</v>
      </c>
      <c r="C95">
        <v>0.51500000000000001</v>
      </c>
      <c r="D95">
        <v>6.7000000000000004E-2</v>
      </c>
      <c r="E95">
        <v>12.615600000000001</v>
      </c>
      <c r="G95" s="307">
        <f t="shared" si="2"/>
        <v>0</v>
      </c>
      <c r="K95" s="319" t="str">
        <f>PE_aug!AP311</f>
        <v>Flussproben</v>
      </c>
    </row>
    <row r="96" spans="1:16">
      <c r="A96" s="253" t="s">
        <v>370</v>
      </c>
      <c r="C96">
        <v>0.97199999999999998</v>
      </c>
      <c r="D96">
        <v>0.105</v>
      </c>
      <c r="E96">
        <v>7.857660000000001</v>
      </c>
      <c r="G96" s="307">
        <f t="shared" si="2"/>
        <v>0</v>
      </c>
      <c r="K96" s="319" t="str">
        <f>PE_aug!AP312</f>
        <v>Flussproben</v>
      </c>
    </row>
    <row r="97" spans="1:11">
      <c r="A97" s="253" t="s">
        <v>371</v>
      </c>
      <c r="C97">
        <v>0.99399999999999999</v>
      </c>
      <c r="D97">
        <v>0.105</v>
      </c>
      <c r="E97">
        <v>14.188499999999999</v>
      </c>
      <c r="G97" s="307">
        <f t="shared" si="2"/>
        <v>0</v>
      </c>
      <c r="K97" s="319" t="str">
        <f>PE_aug!AP313</f>
        <v>Flussproben</v>
      </c>
    </row>
    <row r="98" spans="1:11">
      <c r="A98" s="253" t="s">
        <v>372</v>
      </c>
      <c r="C98">
        <v>0.1</v>
      </c>
      <c r="D98">
        <v>0.105</v>
      </c>
      <c r="E98">
        <v>11.1106</v>
      </c>
      <c r="G98" s="307">
        <f t="shared" ref="G98:G129" si="3">B98/E98</f>
        <v>0</v>
      </c>
      <c r="K98" s="319" t="str">
        <f>PE_aug!AP314</f>
        <v>Flussproben</v>
      </c>
    </row>
    <row r="99" spans="1:11">
      <c r="A99" s="253" t="s">
        <v>373</v>
      </c>
      <c r="C99">
        <v>0.41</v>
      </c>
      <c r="D99">
        <v>2.1000000000000001E-2</v>
      </c>
      <c r="E99">
        <v>7.3926399999999992</v>
      </c>
      <c r="G99" s="307">
        <f t="shared" si="3"/>
        <v>0</v>
      </c>
      <c r="K99" s="319" t="str">
        <f>PE_aug!AP315</f>
        <v>Flussproben</v>
      </c>
    </row>
    <row r="100" spans="1:11">
      <c r="A100" s="253" t="s">
        <v>374</v>
      </c>
      <c r="C100">
        <v>0.96</v>
      </c>
      <c r="D100">
        <v>2.1000000000000001E-2</v>
      </c>
      <c r="E100">
        <v>6.2162100000000002</v>
      </c>
      <c r="G100" s="307">
        <f t="shared" si="3"/>
        <v>0</v>
      </c>
      <c r="K100" s="319" t="str">
        <f>PE_aug!AP316</f>
        <v>Flussproben</v>
      </c>
    </row>
    <row r="101" spans="1:11">
      <c r="A101" s="253" t="s">
        <v>375</v>
      </c>
      <c r="C101">
        <v>0.84199999999999997</v>
      </c>
      <c r="D101">
        <v>2.1000000000000001E-2</v>
      </c>
      <c r="E101">
        <v>7.15618</v>
      </c>
      <c r="G101" s="307">
        <f t="shared" si="3"/>
        <v>0</v>
      </c>
      <c r="K101" s="319" t="str">
        <f>PE_aug!AP317</f>
        <v>Flussproben</v>
      </c>
    </row>
    <row r="102" spans="1:11">
      <c r="A102" s="253" t="s">
        <v>376</v>
      </c>
      <c r="C102">
        <v>0.374</v>
      </c>
      <c r="D102">
        <v>4.5999999999999999E-2</v>
      </c>
      <c r="E102">
        <v>8.03186</v>
      </c>
      <c r="G102" s="307">
        <f t="shared" si="3"/>
        <v>0</v>
      </c>
      <c r="K102" s="319" t="str">
        <f>PE_aug!AP318</f>
        <v>Flussproben</v>
      </c>
    </row>
    <row r="103" spans="1:11">
      <c r="A103" s="253" t="s">
        <v>377</v>
      </c>
      <c r="C103">
        <v>0.74099999999999999</v>
      </c>
      <c r="D103">
        <v>4.5999999999999999E-2</v>
      </c>
      <c r="E103">
        <v>8.0254700000000003</v>
      </c>
      <c r="G103" s="307">
        <f t="shared" si="3"/>
        <v>0</v>
      </c>
      <c r="K103" s="319" t="str">
        <f>PE_aug!AP319</f>
        <v>Flussproben</v>
      </c>
    </row>
    <row r="104" spans="1:11">
      <c r="A104" s="253" t="s">
        <v>378</v>
      </c>
      <c r="C104">
        <v>1.087</v>
      </c>
      <c r="D104">
        <v>4.5999999999999999E-2</v>
      </c>
      <c r="E104">
        <v>6.2082499999999996</v>
      </c>
      <c r="G104" s="307">
        <f t="shared" si="3"/>
        <v>0</v>
      </c>
      <c r="K104" s="319" t="str">
        <f>PE_aug!AP320</f>
        <v>Flussproben</v>
      </c>
    </row>
    <row r="105" spans="1:11">
      <c r="A105" s="253" t="s">
        <v>379</v>
      </c>
      <c r="E105">
        <v>3.4387300000000003E-2</v>
      </c>
      <c r="G105" s="307">
        <f t="shared" si="3"/>
        <v>0</v>
      </c>
      <c r="K105" s="319" t="str">
        <f>PE_aug!AP321</f>
        <v>Methode</v>
      </c>
    </row>
    <row r="106" spans="1:11">
      <c r="A106" s="253" t="s">
        <v>380</v>
      </c>
      <c r="C106">
        <v>0.70699999999999996</v>
      </c>
      <c r="D106">
        <v>1.1599999999999999</v>
      </c>
      <c r="E106">
        <v>42.268900000000002</v>
      </c>
      <c r="F106">
        <v>0.8</v>
      </c>
      <c r="G106" s="307">
        <f t="shared" si="3"/>
        <v>0</v>
      </c>
      <c r="K106" s="319" t="str">
        <f>PE_aug!AP322</f>
        <v>Straßenabfluss</v>
      </c>
    </row>
    <row r="107" spans="1:11">
      <c r="A107" s="253" t="s">
        <v>382</v>
      </c>
      <c r="C107">
        <v>0.70699999999999996</v>
      </c>
      <c r="D107">
        <v>1.1599999999999999</v>
      </c>
      <c r="E107">
        <v>8.3740100000000002</v>
      </c>
      <c r="F107">
        <v>0.56000000000000005</v>
      </c>
      <c r="G107" s="307">
        <f t="shared" si="3"/>
        <v>0</v>
      </c>
      <c r="K107" s="319" t="str">
        <f>PE_aug!AP323</f>
        <v>Straßenabfluss</v>
      </c>
    </row>
    <row r="108" spans="1:11">
      <c r="A108" s="253" t="s">
        <v>383</v>
      </c>
      <c r="C108">
        <v>0.878</v>
      </c>
      <c r="D108">
        <v>5.1999999999999998E-2</v>
      </c>
      <c r="E108">
        <v>10.1844</v>
      </c>
      <c r="G108" s="307">
        <f t="shared" si="3"/>
        <v>0</v>
      </c>
      <c r="K108" s="319" t="str">
        <f>PE_aug!AP324</f>
        <v>Kläranlagen</v>
      </c>
    </row>
    <row r="109" spans="1:11">
      <c r="A109" s="253" t="s">
        <v>384</v>
      </c>
      <c r="C109">
        <v>0.90200000000000002</v>
      </c>
      <c r="D109">
        <v>5.1999999999999998E-2</v>
      </c>
      <c r="E109">
        <v>6.6312749999999996</v>
      </c>
      <c r="G109" s="307">
        <f t="shared" si="3"/>
        <v>0</v>
      </c>
      <c r="K109" s="319" t="str">
        <f>PE_aug!AP325</f>
        <v>Kläranlagen</v>
      </c>
    </row>
    <row r="110" spans="1:11">
      <c r="A110" s="253" t="s">
        <v>385</v>
      </c>
      <c r="C110">
        <v>0.44700000000000001</v>
      </c>
      <c r="D110">
        <v>5.1999999999999998E-2</v>
      </c>
      <c r="E110">
        <v>7.7322649999999999</v>
      </c>
      <c r="G110" s="307">
        <f t="shared" si="3"/>
        <v>0</v>
      </c>
      <c r="K110" s="319" t="str">
        <f>PE_aug!AP326</f>
        <v>Kläranlagen</v>
      </c>
    </row>
    <row r="111" spans="1:11">
      <c r="A111" s="266" t="s">
        <v>386</v>
      </c>
      <c r="E111">
        <v>6.8653399999999998</v>
      </c>
      <c r="G111" s="307">
        <f t="shared" si="3"/>
        <v>0</v>
      </c>
      <c r="K111" s="319" t="str">
        <f>PE_aug!AP327</f>
        <v>Ringversuch</v>
      </c>
    </row>
    <row r="112" spans="1:11">
      <c r="A112" s="266" t="s">
        <v>387</v>
      </c>
      <c r="E112">
        <v>5.2691300000000014</v>
      </c>
      <c r="G112" s="307">
        <f t="shared" si="3"/>
        <v>0</v>
      </c>
      <c r="K112" s="319" t="str">
        <f>PE_aug!AP328</f>
        <v>Kläranlagen, Methode</v>
      </c>
    </row>
    <row r="113" spans="1:11">
      <c r="A113" s="266" t="s">
        <v>388</v>
      </c>
      <c r="C113">
        <v>0.70699999999999996</v>
      </c>
      <c r="D113">
        <v>0.09</v>
      </c>
      <c r="E113">
        <v>7.6058300000000001</v>
      </c>
      <c r="G113" s="307">
        <f t="shared" si="3"/>
        <v>0</v>
      </c>
      <c r="K113" s="319" t="str">
        <f>PE_aug!AP329</f>
        <v>Kläranlagen</v>
      </c>
    </row>
    <row r="114" spans="1:11">
      <c r="A114" s="266" t="s">
        <v>389</v>
      </c>
      <c r="C114">
        <v>0.70699999999999996</v>
      </c>
      <c r="D114">
        <v>0.09</v>
      </c>
      <c r="E114">
        <v>7.6572449999999996</v>
      </c>
      <c r="G114" s="307">
        <f t="shared" si="3"/>
        <v>0</v>
      </c>
      <c r="K114" s="319" t="str">
        <f>PE_aug!AP330</f>
        <v>Kläranlagen</v>
      </c>
    </row>
    <row r="115" spans="1:11">
      <c r="A115" s="267" t="s">
        <v>390</v>
      </c>
      <c r="C115">
        <v>0.67300000000000004</v>
      </c>
      <c r="D115">
        <v>3.9E-2</v>
      </c>
      <c r="E115">
        <v>8.7565600000000003</v>
      </c>
      <c r="G115" s="307">
        <f t="shared" si="3"/>
        <v>0</v>
      </c>
      <c r="K115" s="319" t="str">
        <f>PE_aug!AP331</f>
        <v>KWS, Schlamm</v>
      </c>
    </row>
    <row r="116" spans="1:11">
      <c r="A116" s="267" t="s">
        <v>391</v>
      </c>
      <c r="C116">
        <v>0.89800000000000002</v>
      </c>
      <c r="D116">
        <v>3.9E-2</v>
      </c>
      <c r="E116">
        <v>9.4032400000000003</v>
      </c>
      <c r="G116" s="307">
        <f t="shared" si="3"/>
        <v>0</v>
      </c>
      <c r="K116" s="319" t="str">
        <f>PE_aug!AP332</f>
        <v>KWS, Schlamm</v>
      </c>
    </row>
    <row r="117" spans="1:11">
      <c r="A117" s="267" t="s">
        <v>392</v>
      </c>
      <c r="C117">
        <v>0.65100000000000002</v>
      </c>
      <c r="D117">
        <v>3.9E-2</v>
      </c>
      <c r="E117">
        <v>8.4645399999999995</v>
      </c>
      <c r="G117" s="307">
        <f t="shared" si="3"/>
        <v>0</v>
      </c>
      <c r="K117" s="319" t="str">
        <f>PE_aug!AP333</f>
        <v>KWS, Schlamm</v>
      </c>
    </row>
    <row r="118" spans="1:11">
      <c r="A118" s="271" t="s">
        <v>393</v>
      </c>
      <c r="E118">
        <v>0.15474299999999999</v>
      </c>
      <c r="G118" s="307">
        <f t="shared" si="3"/>
        <v>0</v>
      </c>
      <c r="K118" s="319" t="str">
        <f>PE_aug!AP334</f>
        <v>Sickerwasser</v>
      </c>
    </row>
    <row r="119" spans="1:11">
      <c r="A119" s="271" t="s">
        <v>394</v>
      </c>
      <c r="E119">
        <v>0.34290399999999999</v>
      </c>
      <c r="G119" s="307">
        <f t="shared" si="3"/>
        <v>0</v>
      </c>
      <c r="K119" s="319" t="str">
        <f>PE_aug!AP335</f>
        <v>Sickerwasser</v>
      </c>
    </row>
    <row r="120" spans="1:11">
      <c r="A120" s="271" t="s">
        <v>395</v>
      </c>
      <c r="E120">
        <v>-4.0199999999999818</v>
      </c>
      <c r="G120" s="307">
        <f t="shared" si="3"/>
        <v>0</v>
      </c>
      <c r="K120" s="319" t="str">
        <f>PE_aug!AP336</f>
        <v>Sickerwasser</v>
      </c>
    </row>
    <row r="121" spans="1:11">
      <c r="A121" s="271" t="s">
        <v>396</v>
      </c>
      <c r="E121">
        <v>0.50999999999999091</v>
      </c>
      <c r="G121" s="307">
        <f t="shared" si="3"/>
        <v>0</v>
      </c>
      <c r="K121" s="319" t="str">
        <f>PE_aug!AP337</f>
        <v>Sickerwasser</v>
      </c>
    </row>
    <row r="122" spans="1:11">
      <c r="A122" s="271" t="s">
        <v>397</v>
      </c>
      <c r="E122">
        <v>0.98000000000001819</v>
      </c>
      <c r="G122" s="307">
        <f t="shared" si="3"/>
        <v>0</v>
      </c>
      <c r="K122" s="319" t="str">
        <f>PE_aug!AP338</f>
        <v>Sickerwasser</v>
      </c>
    </row>
    <row r="123" spans="1:11">
      <c r="A123" s="271" t="s">
        <v>398</v>
      </c>
      <c r="E123">
        <v>11.670000000000069</v>
      </c>
      <c r="G123" s="307">
        <f t="shared" si="3"/>
        <v>0</v>
      </c>
      <c r="K123" s="319" t="str">
        <f>PE_aug!AP339</f>
        <v>Sickerwasser</v>
      </c>
    </row>
    <row r="124" spans="1:11">
      <c r="A124" s="271" t="s">
        <v>399</v>
      </c>
      <c r="E124">
        <v>0.98000000000001819</v>
      </c>
      <c r="G124" s="307">
        <f t="shared" si="3"/>
        <v>0</v>
      </c>
      <c r="K124" s="319" t="str">
        <f>PE_aug!AP340</f>
        <v>Sickerwasser</v>
      </c>
    </row>
    <row r="125" spans="1:11">
      <c r="A125" s="276" t="s">
        <v>400</v>
      </c>
      <c r="C125">
        <v>0.56200000000000006</v>
      </c>
      <c r="D125">
        <v>5.6000000000000001E-2</v>
      </c>
      <c r="E125">
        <v>5.7561650000000002</v>
      </c>
      <c r="G125" s="307">
        <f t="shared" si="3"/>
        <v>0</v>
      </c>
      <c r="K125" s="319" t="str">
        <f>PE_aug!AP341</f>
        <v>KWS, Schlamm</v>
      </c>
    </row>
    <row r="126" spans="1:11">
      <c r="A126" s="276" t="s">
        <v>401</v>
      </c>
      <c r="C126">
        <v>0.85599999999999998</v>
      </c>
      <c r="D126">
        <v>5.6000000000000001E-2</v>
      </c>
      <c r="E126">
        <v>4.7628300000000001</v>
      </c>
      <c r="G126" s="307">
        <f t="shared" si="3"/>
        <v>0</v>
      </c>
      <c r="K126" s="319" t="str">
        <f>PE_aug!AP342</f>
        <v>KWS, Schlamm</v>
      </c>
    </row>
    <row r="127" spans="1:11">
      <c r="A127" s="276" t="s">
        <v>402</v>
      </c>
      <c r="C127">
        <v>0.76500000000000001</v>
      </c>
      <c r="D127">
        <v>5.6000000000000001E-2</v>
      </c>
      <c r="E127">
        <v>6.4529300000000003</v>
      </c>
      <c r="G127" s="307">
        <f t="shared" si="3"/>
        <v>0</v>
      </c>
      <c r="K127" s="319" t="str">
        <f>PE_aug!AP343</f>
        <v>KWS, Schlamm</v>
      </c>
    </row>
    <row r="128" spans="1:11">
      <c r="A128" s="276" t="s">
        <v>403</v>
      </c>
      <c r="C128">
        <v>1.071</v>
      </c>
      <c r="D128">
        <v>2.4E-2</v>
      </c>
      <c r="E128">
        <v>10.1638</v>
      </c>
      <c r="G128" s="307">
        <f t="shared" si="3"/>
        <v>0</v>
      </c>
      <c r="K128" s="319" t="str">
        <f>PE_aug!AP344</f>
        <v>Flussproben</v>
      </c>
    </row>
    <row r="129" spans="1:11">
      <c r="A129" s="276" t="s">
        <v>404</v>
      </c>
      <c r="C129">
        <v>0.83</v>
      </c>
      <c r="D129">
        <v>2.4E-2</v>
      </c>
      <c r="E129">
        <v>9.1895349999999993</v>
      </c>
      <c r="G129" s="307">
        <f t="shared" si="3"/>
        <v>0</v>
      </c>
      <c r="K129" s="319" t="str">
        <f>PE_aug!AP345</f>
        <v>Flussproben</v>
      </c>
    </row>
    <row r="130" spans="1:11">
      <c r="A130" s="276" t="s">
        <v>405</v>
      </c>
      <c r="C130">
        <v>1.127</v>
      </c>
      <c r="D130">
        <v>0.122</v>
      </c>
      <c r="E130">
        <v>8.6095749999999995</v>
      </c>
      <c r="G130" s="307">
        <f t="shared" ref="G130:G157" si="4">B130/E130</f>
        <v>0</v>
      </c>
      <c r="K130" s="319" t="str">
        <f>PE_aug!AP346</f>
        <v>Flussproben</v>
      </c>
    </row>
    <row r="131" spans="1:11">
      <c r="A131" s="276" t="s">
        <v>406</v>
      </c>
      <c r="C131">
        <v>0.71899999999999997</v>
      </c>
      <c r="D131">
        <v>0.122</v>
      </c>
      <c r="E131">
        <v>5.6536</v>
      </c>
      <c r="G131" s="307">
        <f t="shared" si="4"/>
        <v>0</v>
      </c>
      <c r="K131" s="319" t="str">
        <f>PE_aug!AP347</f>
        <v>Flussproben</v>
      </c>
    </row>
    <row r="132" spans="1:11">
      <c r="A132" s="276" t="s">
        <v>407</v>
      </c>
      <c r="C132">
        <v>0.41699999999999998</v>
      </c>
      <c r="D132">
        <v>0.122</v>
      </c>
      <c r="E132">
        <v>7.3856149999999996</v>
      </c>
      <c r="G132" s="307">
        <f t="shared" si="4"/>
        <v>0</v>
      </c>
      <c r="K132" s="319" t="str">
        <f>PE_aug!AP348</f>
        <v>Flussproben</v>
      </c>
    </row>
    <row r="133" spans="1:11">
      <c r="A133" s="276" t="s">
        <v>408</v>
      </c>
      <c r="C133">
        <v>0.34599999999999997</v>
      </c>
      <c r="D133">
        <v>8.4000000000000005E-2</v>
      </c>
      <c r="E133">
        <v>5.9841899999999999</v>
      </c>
      <c r="G133" s="307">
        <f t="shared" si="4"/>
        <v>0</v>
      </c>
      <c r="K133" s="319" t="str">
        <f>PE_aug!AP349</f>
        <v>RÜB</v>
      </c>
    </row>
    <row r="134" spans="1:11">
      <c r="A134" s="276" t="s">
        <v>410</v>
      </c>
      <c r="C134">
        <v>0.79300000000000004</v>
      </c>
      <c r="D134">
        <v>8.4000000000000005E-2</v>
      </c>
      <c r="E134">
        <v>5.4765100000000002</v>
      </c>
      <c r="G134" s="307">
        <f t="shared" si="4"/>
        <v>0</v>
      </c>
      <c r="K134" s="319" t="str">
        <f>PE_aug!AP350</f>
        <v>RÜB</v>
      </c>
    </row>
    <row r="135" spans="1:11">
      <c r="A135" s="276" t="s">
        <v>411</v>
      </c>
      <c r="C135">
        <v>1.1040000000000001</v>
      </c>
      <c r="D135">
        <v>8.4000000000000005E-2</v>
      </c>
      <c r="E135">
        <v>10.23</v>
      </c>
      <c r="G135" s="307">
        <f t="shared" si="4"/>
        <v>0</v>
      </c>
      <c r="K135" s="319" t="str">
        <f>PE_aug!AP351</f>
        <v>RÜB</v>
      </c>
    </row>
    <row r="136" spans="1:11">
      <c r="A136" s="279" t="s">
        <v>412</v>
      </c>
      <c r="C136">
        <v>0.90100000000000002</v>
      </c>
      <c r="D136">
        <v>7.0999999999999994E-2</v>
      </c>
      <c r="E136">
        <v>6.1057800000000002</v>
      </c>
      <c r="G136" s="307">
        <f t="shared" si="4"/>
        <v>0</v>
      </c>
      <c r="K136" s="319" t="str">
        <f>PE_aug!AP352</f>
        <v>KWS</v>
      </c>
    </row>
    <row r="137" spans="1:11">
      <c r="A137" s="279" t="s">
        <v>413</v>
      </c>
      <c r="C137">
        <v>0.878</v>
      </c>
      <c r="D137">
        <v>7.0999999999999994E-2</v>
      </c>
      <c r="E137">
        <v>4.3622800000000002</v>
      </c>
      <c r="G137" s="307">
        <f t="shared" si="4"/>
        <v>0</v>
      </c>
      <c r="K137" s="319" t="str">
        <f>PE_aug!AP353</f>
        <v>KWS</v>
      </c>
    </row>
    <row r="138" spans="1:11">
      <c r="A138" s="279" t="s">
        <v>414</v>
      </c>
      <c r="C138">
        <v>0.44</v>
      </c>
      <c r="D138">
        <v>7.0999999999999994E-2</v>
      </c>
      <c r="E138">
        <v>5.0663900000000002</v>
      </c>
      <c r="G138" s="307">
        <f t="shared" si="4"/>
        <v>0</v>
      </c>
      <c r="K138" s="319" t="str">
        <f>PE_aug!AP354</f>
        <v>KWS</v>
      </c>
    </row>
    <row r="139" spans="1:11">
      <c r="A139" s="279" t="s">
        <v>415</v>
      </c>
      <c r="E139">
        <v>1.5123</v>
      </c>
      <c r="G139" s="307">
        <f t="shared" si="4"/>
        <v>0</v>
      </c>
      <c r="K139" s="319" t="str">
        <f>PE_aug!AP355</f>
        <v>KWS, Methode</v>
      </c>
    </row>
    <row r="140" spans="1:11">
      <c r="A140" s="279" t="s">
        <v>416</v>
      </c>
      <c r="C140">
        <v>0.52600000000000002</v>
      </c>
      <c r="D140">
        <v>0.10299999999999999</v>
      </c>
      <c r="E140">
        <v>9.3551099999999998</v>
      </c>
      <c r="G140" s="307">
        <f t="shared" si="4"/>
        <v>0</v>
      </c>
      <c r="K140" s="319" t="str">
        <f>PE_aug!AP356</f>
        <v>Flussproben</v>
      </c>
    </row>
    <row r="141" spans="1:11">
      <c r="A141" s="279" t="s">
        <v>417</v>
      </c>
      <c r="C141">
        <v>1.1419999999999999</v>
      </c>
      <c r="D141">
        <v>0.10299999999999999</v>
      </c>
      <c r="E141">
        <v>4.7532649999999999</v>
      </c>
      <c r="G141" s="307">
        <f t="shared" si="4"/>
        <v>0</v>
      </c>
      <c r="K141" s="319" t="str">
        <f>PE_aug!AP357</f>
        <v>Flussproben</v>
      </c>
    </row>
    <row r="142" spans="1:11">
      <c r="A142" s="279" t="s">
        <v>418</v>
      </c>
      <c r="C142">
        <v>0.622</v>
      </c>
      <c r="D142">
        <v>0.10299999999999999</v>
      </c>
      <c r="E142">
        <v>11.220549999999999</v>
      </c>
      <c r="G142" s="307">
        <f t="shared" si="4"/>
        <v>0</v>
      </c>
      <c r="K142" s="319" t="str">
        <f>PE_aug!AP358</f>
        <v>Flussproben</v>
      </c>
    </row>
    <row r="143" spans="1:11">
      <c r="A143" s="279" t="s">
        <v>419</v>
      </c>
      <c r="C143">
        <v>0.57799999999999996</v>
      </c>
      <c r="D143">
        <v>22.041</v>
      </c>
      <c r="E143">
        <v>9.23292</v>
      </c>
      <c r="G143" s="307">
        <f t="shared" si="4"/>
        <v>0</v>
      </c>
      <c r="K143" s="319" t="str">
        <f>PE_aug!AP359</f>
        <v>Kläranlagen</v>
      </c>
    </row>
    <row r="144" spans="1:11">
      <c r="A144" s="279" t="s">
        <v>420</v>
      </c>
      <c r="C144">
        <v>1.1539999999999999</v>
      </c>
      <c r="D144">
        <v>22.041</v>
      </c>
      <c r="E144">
        <v>-99.239099999999993</v>
      </c>
      <c r="G144" s="307">
        <f t="shared" si="4"/>
        <v>0</v>
      </c>
      <c r="K144" s="319" t="str">
        <f>PE_aug!AP360</f>
        <v>Kläranlagen</v>
      </c>
    </row>
    <row r="145" spans="1:11">
      <c r="A145" s="279" t="s">
        <v>421</v>
      </c>
      <c r="C145">
        <v>0.57699999999999996</v>
      </c>
      <c r="D145">
        <v>22.041</v>
      </c>
      <c r="E145">
        <v>8.4308049999999994</v>
      </c>
      <c r="G145" s="307">
        <f t="shared" si="4"/>
        <v>0</v>
      </c>
      <c r="K145" s="319" t="str">
        <f>PE_aug!AP361</f>
        <v>Kläranlagen</v>
      </c>
    </row>
    <row r="146" spans="1:11">
      <c r="A146" s="279" t="s">
        <v>422</v>
      </c>
      <c r="C146">
        <v>0.67400000000000004</v>
      </c>
      <c r="D146">
        <v>5.5E-2</v>
      </c>
      <c r="E146">
        <v>11.3706</v>
      </c>
      <c r="G146" s="307">
        <f t="shared" si="4"/>
        <v>0</v>
      </c>
      <c r="K146" s="319" t="str">
        <f>PE_aug!AP362</f>
        <v>Münchehofe</v>
      </c>
    </row>
    <row r="147" spans="1:11">
      <c r="A147" s="279" t="s">
        <v>423</v>
      </c>
      <c r="C147">
        <v>0.98299999999999998</v>
      </c>
      <c r="D147">
        <v>5.5E-2</v>
      </c>
      <c r="E147">
        <v>13.849550000000001</v>
      </c>
      <c r="G147" s="307">
        <f t="shared" si="4"/>
        <v>0</v>
      </c>
      <c r="K147" s="319" t="str">
        <f>PE_aug!AP363</f>
        <v>Münchehofe</v>
      </c>
    </row>
    <row r="148" spans="1:11">
      <c r="A148" s="279" t="s">
        <v>424</v>
      </c>
      <c r="C148">
        <v>0.56200000000000006</v>
      </c>
      <c r="D148">
        <v>5.5E-2</v>
      </c>
      <c r="E148">
        <v>11.058949999999999</v>
      </c>
      <c r="G148" s="307">
        <f t="shared" si="4"/>
        <v>0</v>
      </c>
      <c r="K148" s="319" t="str">
        <f>PE_aug!AP364</f>
        <v>Münchehofe</v>
      </c>
    </row>
    <row r="149" spans="1:11">
      <c r="A149" s="279" t="s">
        <v>425</v>
      </c>
      <c r="C149">
        <v>0.52800000000000002</v>
      </c>
      <c r="D149">
        <v>4.5999999999999999E-2</v>
      </c>
      <c r="E149">
        <v>5.7891599999999999</v>
      </c>
      <c r="G149" s="307">
        <f t="shared" si="4"/>
        <v>0</v>
      </c>
      <c r="K149" s="319" t="str">
        <f>PE_aug!AP365</f>
        <v>Münchehofe</v>
      </c>
    </row>
    <row r="150" spans="1:11">
      <c r="A150" s="279" t="s">
        <v>426</v>
      </c>
      <c r="C150">
        <v>0.86</v>
      </c>
      <c r="D150">
        <v>4.5999999999999999E-2</v>
      </c>
      <c r="E150">
        <v>6.0298299999999996</v>
      </c>
      <c r="G150" s="307">
        <f t="shared" si="4"/>
        <v>0</v>
      </c>
      <c r="K150" s="319" t="str">
        <f>PE_aug!AP366</f>
        <v>Münchehofe</v>
      </c>
    </row>
    <row r="151" spans="1:11">
      <c r="A151" s="279" t="s">
        <v>427</v>
      </c>
      <c r="C151">
        <v>0.80300000000000005</v>
      </c>
      <c r="D151">
        <v>4.5999999999999999E-2</v>
      </c>
      <c r="E151">
        <v>6.4604200000000001</v>
      </c>
      <c r="G151" s="307">
        <f t="shared" si="4"/>
        <v>0</v>
      </c>
      <c r="K151" s="319" t="str">
        <f>PE_aug!AP367</f>
        <v>Münchehofe</v>
      </c>
    </row>
    <row r="152" spans="1:11">
      <c r="A152" s="279" t="s">
        <v>428</v>
      </c>
      <c r="E152">
        <v>9.5863199999999996E-2</v>
      </c>
      <c r="G152" s="307">
        <f t="shared" si="4"/>
        <v>0</v>
      </c>
      <c r="K152" s="319" t="str">
        <f>PE_aug!AP368</f>
        <v>RBF</v>
      </c>
    </row>
    <row r="153" spans="1:11">
      <c r="A153" s="279" t="s">
        <v>430</v>
      </c>
      <c r="E153">
        <v>3.9970099999999988E-2</v>
      </c>
      <c r="F153">
        <v>0.81</v>
      </c>
      <c r="G153" s="307">
        <f t="shared" si="4"/>
        <v>0</v>
      </c>
      <c r="K153" s="319" t="str">
        <f>PE_aug!AP369</f>
        <v>Methode</v>
      </c>
    </row>
    <row r="154" spans="1:11">
      <c r="A154" s="279" t="s">
        <v>431</v>
      </c>
      <c r="C154">
        <v>0.70699999999999996</v>
      </c>
      <c r="D154">
        <v>4.1000000000000002E-2</v>
      </c>
      <c r="E154">
        <v>12.188499999999999</v>
      </c>
      <c r="F154">
        <v>0.56000000000000005</v>
      </c>
      <c r="G154" s="307">
        <f t="shared" si="4"/>
        <v>0</v>
      </c>
      <c r="K154" s="319" t="str">
        <f>PE_aug!AP370</f>
        <v>Straßenabfluss</v>
      </c>
    </row>
    <row r="155" spans="1:11">
      <c r="A155" s="279" t="s">
        <v>432</v>
      </c>
      <c r="C155">
        <v>0.70699999999999996</v>
      </c>
      <c r="D155">
        <v>4.1000000000000002E-2</v>
      </c>
      <c r="E155">
        <v>17.268799999999999</v>
      </c>
      <c r="F155">
        <v>0.56000000000000005</v>
      </c>
      <c r="G155" s="307">
        <f t="shared" si="4"/>
        <v>0</v>
      </c>
      <c r="K155" s="319" t="str">
        <f>PE_aug!AP371</f>
        <v>Straßenabfluss</v>
      </c>
    </row>
    <row r="156" spans="1:11">
      <c r="A156" s="279" t="s">
        <v>433</v>
      </c>
      <c r="C156">
        <v>0.70699999999999996</v>
      </c>
      <c r="D156">
        <v>6.3E-2</v>
      </c>
      <c r="E156">
        <v>6.0078950000000004</v>
      </c>
      <c r="G156" s="307">
        <f t="shared" si="4"/>
        <v>0</v>
      </c>
      <c r="K156" s="319" t="str">
        <f>PE_aug!AP372</f>
        <v>Kläranlagen</v>
      </c>
    </row>
    <row r="157" spans="1:11">
      <c r="A157" s="279" t="s">
        <v>434</v>
      </c>
      <c r="C157">
        <v>0.70699999999999996</v>
      </c>
      <c r="D157">
        <v>6.3E-2</v>
      </c>
      <c r="E157">
        <v>5.5313149999999993</v>
      </c>
      <c r="G157" s="307">
        <f t="shared" si="4"/>
        <v>0</v>
      </c>
      <c r="K157" s="319" t="str">
        <f>PE_aug!AP373</f>
        <v>Kläranlagen</v>
      </c>
    </row>
    <row r="158" spans="1:11">
      <c r="A158" s="283" t="s">
        <v>435</v>
      </c>
      <c r="C158">
        <v>0.14699999999999999</v>
      </c>
      <c r="D158">
        <v>0.29299999999999998</v>
      </c>
      <c r="E158">
        <v>26.531649999999999</v>
      </c>
      <c r="K158" s="319" t="str">
        <f>PE_aug!AP374</f>
        <v>KWS</v>
      </c>
    </row>
    <row r="159" spans="1:11">
      <c r="A159" s="283" t="s">
        <v>436</v>
      </c>
      <c r="C159">
        <v>0.92200000000000004</v>
      </c>
      <c r="D159">
        <v>0.29299999999999998</v>
      </c>
      <c r="E159">
        <v>29.1462</v>
      </c>
      <c r="K159" s="319" t="str">
        <f>PE_aug!AP375</f>
        <v>KWS</v>
      </c>
    </row>
    <row r="160" spans="1:11">
      <c r="A160" s="283" t="s">
        <v>437</v>
      </c>
      <c r="C160">
        <v>1.0509999999999999</v>
      </c>
      <c r="D160">
        <v>0.29299999999999998</v>
      </c>
      <c r="E160">
        <v>16.288900000000002</v>
      </c>
      <c r="K160" s="319" t="str">
        <f>PE_aug!AP376</f>
        <v>KWS</v>
      </c>
    </row>
    <row r="161" spans="1:11">
      <c r="A161" s="283" t="s">
        <v>438</v>
      </c>
      <c r="C161">
        <v>0.998</v>
      </c>
      <c r="D161">
        <v>0.246</v>
      </c>
      <c r="E161">
        <v>3.7278199999999999</v>
      </c>
      <c r="K161" s="319" t="str">
        <f>PE_aug!AP377</f>
        <v>KWS</v>
      </c>
    </row>
    <row r="162" spans="1:11">
      <c r="A162" s="283" t="s">
        <v>439</v>
      </c>
      <c r="C162">
        <v>0.65900000000000003</v>
      </c>
      <c r="D162">
        <v>0.246</v>
      </c>
      <c r="E162">
        <v>6.7965999999999998</v>
      </c>
      <c r="K162" s="319" t="str">
        <f>PE_aug!AP378</f>
        <v>KWS</v>
      </c>
    </row>
    <row r="163" spans="1:11">
      <c r="A163" s="283" t="s">
        <v>440</v>
      </c>
      <c r="C163">
        <v>0.51400000000000001</v>
      </c>
      <c r="D163">
        <v>0.246</v>
      </c>
      <c r="E163">
        <v>5.0972499999999998</v>
      </c>
      <c r="K163" s="319" t="str">
        <f>PE_aug!AP379</f>
        <v>KWS</v>
      </c>
    </row>
    <row r="164" spans="1:11">
      <c r="A164" s="283" t="s">
        <v>441</v>
      </c>
      <c r="C164">
        <v>0.51400000000000001</v>
      </c>
      <c r="D164">
        <v>6.4000000000000001E-2</v>
      </c>
      <c r="E164">
        <v>10.3285</v>
      </c>
      <c r="K164" s="319" t="str">
        <f>PE_aug!AP380</f>
        <v>Flussproben</v>
      </c>
    </row>
    <row r="165" spans="1:11">
      <c r="A165" s="283" t="s">
        <v>442</v>
      </c>
      <c r="C165">
        <v>0.63700000000000001</v>
      </c>
      <c r="D165">
        <v>6.4000000000000001E-2</v>
      </c>
      <c r="E165">
        <v>9.8335849999999994</v>
      </c>
      <c r="K165" s="319" t="str">
        <f>PE_aug!AP381</f>
        <v>Flussproben</v>
      </c>
    </row>
    <row r="166" spans="1:11">
      <c r="A166" s="283" t="s">
        <v>443</v>
      </c>
      <c r="C166">
        <v>1.1459999999999999</v>
      </c>
      <c r="D166">
        <v>6.4000000000000001E-2</v>
      </c>
      <c r="E166">
        <v>16.5566</v>
      </c>
      <c r="K166" s="319" t="str">
        <f>PE_aug!AP382</f>
        <v>Flussproben</v>
      </c>
    </row>
    <row r="167" spans="1:11">
      <c r="A167" s="283" t="s">
        <v>444</v>
      </c>
      <c r="E167">
        <v>10.1968</v>
      </c>
      <c r="K167" s="319" t="str">
        <f>PE_aug!AP383</f>
        <v>Flussproben, Methode</v>
      </c>
    </row>
    <row r="168" spans="1:11">
      <c r="A168" s="283" t="s">
        <v>445</v>
      </c>
      <c r="E168">
        <v>0.53195800000000004</v>
      </c>
      <c r="K168" s="319" t="str">
        <f>PE_aug!AP384</f>
        <v>Methode</v>
      </c>
    </row>
    <row r="169" spans="1:11">
      <c r="A169" s="283" t="s">
        <v>446</v>
      </c>
      <c r="E169">
        <v>0.137437</v>
      </c>
      <c r="K169" s="319" t="str">
        <f>PE_aug!AP385</f>
        <v>Methode</v>
      </c>
    </row>
    <row r="170" spans="1:11">
      <c r="A170" s="283" t="s">
        <v>447</v>
      </c>
      <c r="C170">
        <v>0.70699999999999996</v>
      </c>
      <c r="D170">
        <v>1.056</v>
      </c>
      <c r="E170">
        <v>35.156500000000001</v>
      </c>
      <c r="F170">
        <v>0.8</v>
      </c>
      <c r="K170" s="319" t="str">
        <f>PE_aug!AP386</f>
        <v>Straßenabfluss</v>
      </c>
    </row>
    <row r="171" spans="1:11">
      <c r="A171" s="283" t="s">
        <v>448</v>
      </c>
      <c r="C171">
        <v>0.70699999999999996</v>
      </c>
      <c r="D171">
        <v>1.056</v>
      </c>
      <c r="E171">
        <v>42.128500000000003</v>
      </c>
      <c r="F171">
        <v>0.8</v>
      </c>
      <c r="K171" s="319" t="str">
        <f>PE_aug!AP387</f>
        <v>Straßenabfluss</v>
      </c>
    </row>
    <row r="172" spans="1:11">
      <c r="A172" s="289" t="s">
        <v>449</v>
      </c>
      <c r="C172">
        <v>1.069</v>
      </c>
      <c r="D172">
        <v>0.15</v>
      </c>
      <c r="E172">
        <v>18.248699999999999</v>
      </c>
      <c r="K172" s="319" t="str">
        <f>PE_aug!AP388</f>
        <v>KWS, Methode</v>
      </c>
    </row>
    <row r="173" spans="1:11">
      <c r="A173" s="289" t="s">
        <v>450</v>
      </c>
      <c r="C173">
        <v>0.439</v>
      </c>
      <c r="D173">
        <v>0.15</v>
      </c>
      <c r="E173">
        <v>10.1747</v>
      </c>
      <c r="K173" s="319" t="str">
        <f>PE_aug!AP389</f>
        <v>KWS, Methode</v>
      </c>
    </row>
    <row r="174" spans="1:11">
      <c r="A174" s="289" t="s">
        <v>451</v>
      </c>
      <c r="C174">
        <v>0.30099999999999999</v>
      </c>
      <c r="D174">
        <v>9.7000000000000003E-2</v>
      </c>
      <c r="E174">
        <v>10.7644</v>
      </c>
      <c r="K174" s="319" t="str">
        <f>PE_aug!AP390</f>
        <v>KWS, Methode</v>
      </c>
    </row>
    <row r="175" spans="1:11">
      <c r="A175" s="289" t="s">
        <v>452</v>
      </c>
      <c r="C175">
        <v>0.95299999999999996</v>
      </c>
      <c r="D175">
        <v>9.7000000000000003E-2</v>
      </c>
      <c r="E175">
        <v>8.0693900000000003</v>
      </c>
      <c r="K175" s="319" t="str">
        <f>PE_aug!AP391</f>
        <v>KWS, Methode</v>
      </c>
    </row>
    <row r="176" spans="1:11">
      <c r="A176" s="289" t="s">
        <v>453</v>
      </c>
      <c r="C176">
        <v>0.93</v>
      </c>
      <c r="D176">
        <v>9.7000000000000003E-2</v>
      </c>
      <c r="E176">
        <v>12.1059</v>
      </c>
      <c r="K176" s="319" t="str">
        <f>PE_aug!AP392</f>
        <v>KWS, Methode</v>
      </c>
    </row>
    <row r="177" spans="1:11">
      <c r="A177" s="289" t="s">
        <v>454</v>
      </c>
      <c r="C177">
        <v>0.315</v>
      </c>
      <c r="D177">
        <v>0.109</v>
      </c>
      <c r="E177">
        <v>8.1649600000000007</v>
      </c>
      <c r="K177" s="319" t="str">
        <f>PE_aug!AP393</f>
        <v>KWS, Methode</v>
      </c>
    </row>
    <row r="178" spans="1:11">
      <c r="A178" s="289" t="s">
        <v>455</v>
      </c>
      <c r="C178">
        <v>0.83199999999999996</v>
      </c>
      <c r="D178">
        <v>0.109</v>
      </c>
      <c r="E178">
        <v>7.0769650000000004</v>
      </c>
      <c r="K178" s="319" t="str">
        <f>PE_aug!AP394</f>
        <v>KWS, Methode</v>
      </c>
    </row>
    <row r="179" spans="1:11">
      <c r="A179" s="289" t="s">
        <v>456</v>
      </c>
      <c r="C179">
        <v>1.042</v>
      </c>
      <c r="D179">
        <v>0.109</v>
      </c>
      <c r="E179">
        <v>10.223549999999999</v>
      </c>
      <c r="K179" s="319" t="str">
        <f>PE_aug!AP395</f>
        <v>KWS, Methode</v>
      </c>
    </row>
    <row r="180" spans="1:11">
      <c r="A180" s="289" t="s">
        <v>457</v>
      </c>
      <c r="C180">
        <v>0.38100000000000001</v>
      </c>
      <c r="D180">
        <v>0.55100000000000005</v>
      </c>
      <c r="E180">
        <v>10.453200000000001</v>
      </c>
      <c r="K180" s="319" t="str">
        <f>PE_aug!AP396</f>
        <v>Kläranlagen</v>
      </c>
    </row>
    <row r="181" spans="1:11">
      <c r="A181" s="289" t="s">
        <v>458</v>
      </c>
      <c r="C181">
        <v>0.95099999999999996</v>
      </c>
      <c r="D181">
        <v>0.55100000000000005</v>
      </c>
      <c r="E181">
        <v>8.8926250000000007</v>
      </c>
      <c r="K181" s="319" t="str">
        <f>PE_aug!AP397</f>
        <v>Kläranlagen</v>
      </c>
    </row>
    <row r="182" spans="1:11">
      <c r="A182" s="289" t="s">
        <v>459</v>
      </c>
      <c r="C182">
        <v>0.79900000000000004</v>
      </c>
      <c r="D182">
        <v>0.55100000000000005</v>
      </c>
      <c r="E182">
        <v>10.5664</v>
      </c>
      <c r="K182" s="319" t="str">
        <f>PE_aug!AP398</f>
        <v>Kläranlagen</v>
      </c>
    </row>
    <row r="183" spans="1:11">
      <c r="A183" s="289" t="s">
        <v>460</v>
      </c>
      <c r="C183">
        <v>0.41199999999999998</v>
      </c>
      <c r="D183">
        <v>7.2999999999999995E-2</v>
      </c>
      <c r="E183">
        <v>12.769600000000001</v>
      </c>
      <c r="F183">
        <v>0.25</v>
      </c>
      <c r="K183" s="319" t="str">
        <f>PE_aug!AP399</f>
        <v>Straßenabfluss</v>
      </c>
    </row>
    <row r="184" spans="1:11">
      <c r="A184" s="289" t="s">
        <v>461</v>
      </c>
      <c r="C184">
        <v>1.075</v>
      </c>
      <c r="D184">
        <v>7.2999999999999995E-2</v>
      </c>
      <c r="E184">
        <v>9.5862499999999997</v>
      </c>
      <c r="F184">
        <v>0.25</v>
      </c>
      <c r="K184" s="319" t="str">
        <f>PE_aug!AP400</f>
        <v>Straßenabfluss</v>
      </c>
    </row>
    <row r="185" spans="1:11">
      <c r="A185" s="289" t="s">
        <v>462</v>
      </c>
      <c r="C185">
        <v>0.74</v>
      </c>
      <c r="D185">
        <v>7.2999999999999995E-2</v>
      </c>
      <c r="E185">
        <v>13.754300000000001</v>
      </c>
      <c r="F185">
        <v>0.25</v>
      </c>
      <c r="K185" s="319" t="str">
        <f>PE_aug!AP401</f>
        <v>Straßenabfluss</v>
      </c>
    </row>
    <row r="186" spans="1:11">
      <c r="A186" s="295" t="s">
        <v>463</v>
      </c>
      <c r="C186">
        <v>0.70699999999999996</v>
      </c>
      <c r="D186">
        <v>0.129</v>
      </c>
      <c r="E186">
        <v>5.9239199999999999</v>
      </c>
    </row>
    <row r="187" spans="1:11">
      <c r="A187" s="295" t="s">
        <v>464</v>
      </c>
      <c r="C187">
        <v>0.70699999999999996</v>
      </c>
      <c r="D187">
        <v>0.129</v>
      </c>
      <c r="E187">
        <v>11.6953</v>
      </c>
    </row>
    <row r="188" spans="1:11">
      <c r="A188" s="295" t="s">
        <v>465</v>
      </c>
      <c r="C188">
        <v>0.70699999999999996</v>
      </c>
      <c r="D188">
        <v>8.4000000000000005E-2</v>
      </c>
      <c r="E188">
        <v>5.3761700000000001</v>
      </c>
    </row>
    <row r="189" spans="1:11">
      <c r="A189" s="295" t="s">
        <v>466</v>
      </c>
      <c r="C189">
        <v>0.70699999999999996</v>
      </c>
      <c r="D189">
        <v>8.4000000000000005E-2</v>
      </c>
      <c r="E189">
        <v>9.5681949999999993</v>
      </c>
    </row>
    <row r="190" spans="1:11">
      <c r="A190" s="295" t="s">
        <v>467</v>
      </c>
      <c r="C190">
        <v>0.70699999999999996</v>
      </c>
      <c r="D190">
        <v>2.7E-2</v>
      </c>
      <c r="E190">
        <v>7.2167450000000004</v>
      </c>
    </row>
    <row r="191" spans="1:11">
      <c r="A191" s="295" t="s">
        <v>468</v>
      </c>
      <c r="C191">
        <v>0.70699999999999996</v>
      </c>
      <c r="D191">
        <v>2.7E-2</v>
      </c>
      <c r="E191">
        <v>6.6940000000000008</v>
      </c>
    </row>
    <row r="192" spans="1:11">
      <c r="A192" s="295" t="s">
        <v>469</v>
      </c>
      <c r="C192">
        <v>0.70699999999999996</v>
      </c>
      <c r="D192">
        <v>7.4999999999999997E-2</v>
      </c>
      <c r="E192">
        <v>9.5514899999999994</v>
      </c>
    </row>
    <row r="193" spans="1:10">
      <c r="A193" s="295" t="s">
        <v>470</v>
      </c>
      <c r="C193">
        <v>0.70699999999999996</v>
      </c>
      <c r="D193">
        <v>0.13500000000000001</v>
      </c>
      <c r="E193">
        <v>10.0252</v>
      </c>
    </row>
    <row r="194" spans="1:10">
      <c r="A194" s="295" t="s">
        <v>471</v>
      </c>
      <c r="C194">
        <v>0.70699999999999996</v>
      </c>
      <c r="D194">
        <v>0.104</v>
      </c>
      <c r="E194">
        <v>9.7563600000000008</v>
      </c>
    </row>
    <row r="195" spans="1:10">
      <c r="A195" s="295" t="s">
        <v>472</v>
      </c>
      <c r="C195">
        <v>0.70699999999999996</v>
      </c>
      <c r="D195">
        <v>0.104</v>
      </c>
      <c r="E195">
        <v>6.7526899999999994</v>
      </c>
    </row>
    <row r="196" spans="1:10">
      <c r="A196" s="295" t="s">
        <v>473</v>
      </c>
      <c r="C196">
        <v>0.70699999999999996</v>
      </c>
      <c r="D196">
        <v>7.4999999999999997E-2</v>
      </c>
      <c r="E196">
        <v>6.7782600000000004</v>
      </c>
    </row>
    <row r="197" spans="1:10">
      <c r="A197" s="295" t="s">
        <v>474</v>
      </c>
      <c r="C197">
        <v>0.70699999999999996</v>
      </c>
      <c r="D197">
        <v>0.13500000000000001</v>
      </c>
      <c r="E197">
        <v>4.1185499999999999</v>
      </c>
    </row>
    <row r="198" spans="1:10">
      <c r="A198" s="314" t="s">
        <v>475</v>
      </c>
      <c r="E198" s="51">
        <v>18.433900000000001</v>
      </c>
    </row>
    <row r="199" spans="1:10">
      <c r="A199" s="314" t="s">
        <v>476</v>
      </c>
      <c r="E199">
        <v>16.974799999999998</v>
      </c>
    </row>
    <row r="200" spans="1:10">
      <c r="A200" s="314" t="s">
        <v>477</v>
      </c>
      <c r="E200">
        <v>2.40835</v>
      </c>
    </row>
    <row r="201" spans="1:10">
      <c r="A201" s="314" t="s">
        <v>478</v>
      </c>
      <c r="C201">
        <v>0.81699999999999995</v>
      </c>
      <c r="D201">
        <v>9.4E-2</v>
      </c>
      <c r="E201">
        <v>7.2383749999999996</v>
      </c>
      <c r="F201">
        <v>0.5</v>
      </c>
    </row>
    <row r="202" spans="1:10">
      <c r="A202" s="314" t="s">
        <v>479</v>
      </c>
      <c r="C202">
        <v>0.72399999999999998</v>
      </c>
      <c r="D202">
        <v>9.4E-2</v>
      </c>
      <c r="E202">
        <v>10.759</v>
      </c>
    </row>
    <row r="203" spans="1:10">
      <c r="A203" s="314" t="s">
        <v>480</v>
      </c>
      <c r="E203">
        <v>6.9593999999999996</v>
      </c>
    </row>
    <row r="204" spans="1:10">
      <c r="A204" s="314" t="s">
        <v>481</v>
      </c>
      <c r="E204">
        <v>6.5583899999999993</v>
      </c>
    </row>
    <row r="205" spans="1:10">
      <c r="A205" s="314" t="s">
        <v>482</v>
      </c>
      <c r="B205">
        <v>51.18</v>
      </c>
      <c r="E205" s="313">
        <v>5.7743099999999999E-2</v>
      </c>
      <c r="F205">
        <v>0.81</v>
      </c>
      <c r="I205" s="313">
        <f>E205*1000</f>
        <v>57.743099999999998</v>
      </c>
      <c r="J205" s="309">
        <f>B205/I205*100</f>
        <v>88.633966655756268</v>
      </c>
    </row>
    <row r="206" spans="1:10">
      <c r="A206" s="314" t="s">
        <v>483</v>
      </c>
      <c r="B206">
        <v>130.74</v>
      </c>
      <c r="E206">
        <v>0.1338</v>
      </c>
      <c r="F206">
        <v>0.81</v>
      </c>
      <c r="I206">
        <f>E206*1000</f>
        <v>133.80000000000001</v>
      </c>
      <c r="J206" s="309">
        <f>B206/I206*100</f>
        <v>97.713004484304932</v>
      </c>
    </row>
    <row r="207" spans="1:10">
      <c r="A207" s="314" t="s">
        <v>484</v>
      </c>
      <c r="B207">
        <v>135.85</v>
      </c>
      <c r="E207">
        <v>4.8291000000000004</v>
      </c>
      <c r="F207">
        <v>0.9</v>
      </c>
      <c r="H207">
        <v>0.28970000000000001</v>
      </c>
      <c r="I207">
        <f>H207*1000</f>
        <v>289.7</v>
      </c>
      <c r="J207" s="309">
        <f>B207/I207*100</f>
        <v>46.89333793579565</v>
      </c>
    </row>
    <row r="208" spans="1:10">
      <c r="A208" s="314" t="s">
        <v>486</v>
      </c>
      <c r="C208">
        <v>0.70699999999999996</v>
      </c>
      <c r="D208">
        <v>5.2999999999999999E-2</v>
      </c>
      <c r="E208">
        <v>13.0227</v>
      </c>
      <c r="F208">
        <v>0.25</v>
      </c>
      <c r="J208" s="309"/>
    </row>
    <row r="209" spans="1:10">
      <c r="A209" s="314" t="s">
        <v>487</v>
      </c>
      <c r="C209">
        <v>0.70699999999999996</v>
      </c>
      <c r="D209">
        <v>5.2999999999999999E-2</v>
      </c>
      <c r="E209">
        <v>10.6518</v>
      </c>
      <c r="F209">
        <v>0.25</v>
      </c>
      <c r="J209" s="309"/>
    </row>
    <row r="210" spans="1:10">
      <c r="A210" s="314" t="s">
        <v>488</v>
      </c>
      <c r="C210">
        <v>0.70699999999999996</v>
      </c>
      <c r="D210">
        <v>0.01</v>
      </c>
      <c r="E210">
        <v>11.817399999999999</v>
      </c>
      <c r="F210">
        <v>0.25</v>
      </c>
      <c r="J210" s="309"/>
    </row>
    <row r="211" spans="1:10">
      <c r="A211" s="314" t="s">
        <v>489</v>
      </c>
      <c r="C211">
        <v>0.70699999999999996</v>
      </c>
      <c r="D211">
        <v>0.01</v>
      </c>
      <c r="E211">
        <v>11.172000000000001</v>
      </c>
      <c r="F211">
        <v>0.25</v>
      </c>
      <c r="J211" s="309"/>
    </row>
    <row r="212" spans="1:10">
      <c r="A212" s="314" t="s">
        <v>568</v>
      </c>
      <c r="B212">
        <v>151.05000000000001</v>
      </c>
      <c r="E212">
        <v>5.7991000000000001</v>
      </c>
      <c r="F212">
        <v>0.9</v>
      </c>
      <c r="H212">
        <v>0.39829999999999999</v>
      </c>
      <c r="I212">
        <f>H212*1000</f>
        <v>398.3</v>
      </c>
      <c r="J212" s="309">
        <f>B212/I212*100</f>
        <v>37.923675621390913</v>
      </c>
    </row>
    <row r="213" spans="1:10">
      <c r="A213" s="314" t="s">
        <v>491</v>
      </c>
      <c r="C213">
        <v>0.70699999999999996</v>
      </c>
      <c r="D213">
        <v>3.7999999999999999E-2</v>
      </c>
      <c r="E213">
        <v>9.7790800000000004</v>
      </c>
      <c r="F213">
        <v>0.25</v>
      </c>
    </row>
    <row r="214" spans="1:10">
      <c r="A214" s="314" t="s">
        <v>492</v>
      </c>
      <c r="C214">
        <v>0.70699999999999996</v>
      </c>
      <c r="D214">
        <v>3.7999999999999999E-2</v>
      </c>
      <c r="E214">
        <v>11.240500000000001</v>
      </c>
      <c r="F214">
        <v>0.25</v>
      </c>
    </row>
    <row r="215" spans="1:10">
      <c r="A215" s="314" t="s">
        <v>493</v>
      </c>
      <c r="C215">
        <v>0.70699999999999996</v>
      </c>
      <c r="D215">
        <v>0.114</v>
      </c>
      <c r="E215">
        <v>8.0438550000000006</v>
      </c>
      <c r="F215">
        <v>0.5</v>
      </c>
    </row>
    <row r="216" spans="1:10">
      <c r="A216" s="314" t="s">
        <v>494</v>
      </c>
      <c r="C216">
        <v>0.70699999999999996</v>
      </c>
      <c r="D216">
        <v>0.114</v>
      </c>
      <c r="E216">
        <v>12.492749999999999</v>
      </c>
    </row>
    <row r="217" spans="1:10">
      <c r="A217" s="314" t="s">
        <v>495</v>
      </c>
      <c r="C217">
        <v>0.70699999999999996</v>
      </c>
      <c r="D217">
        <v>0.46899999999999997</v>
      </c>
      <c r="E217">
        <v>9.6039899999999996</v>
      </c>
      <c r="F217">
        <v>0.5</v>
      </c>
    </row>
    <row r="218" spans="1:10">
      <c r="A218" s="314" t="s">
        <v>496</v>
      </c>
      <c r="C218">
        <v>0.70699999999999996</v>
      </c>
      <c r="D218">
        <v>0.46899999999999997</v>
      </c>
      <c r="E218">
        <v>12.9993</v>
      </c>
      <c r="F218">
        <v>0.25</v>
      </c>
    </row>
    <row r="219" spans="1:10">
      <c r="A219" s="314" t="s">
        <v>497</v>
      </c>
      <c r="C219">
        <v>0.70699999999999996</v>
      </c>
      <c r="D219">
        <v>0.17399999999999999</v>
      </c>
      <c r="E219">
        <v>8.3272600000000008</v>
      </c>
    </row>
    <row r="220" spans="1:10">
      <c r="A220" s="314" t="s">
        <v>498</v>
      </c>
      <c r="C220">
        <v>0.70699999999999996</v>
      </c>
      <c r="D220">
        <v>0.17399999999999999</v>
      </c>
      <c r="E220">
        <v>5.5668749999999996</v>
      </c>
    </row>
    <row r="221" spans="1:10">
      <c r="A221" s="314" t="s">
        <v>499</v>
      </c>
      <c r="C221">
        <v>0.70699999999999996</v>
      </c>
      <c r="D221">
        <v>0.12</v>
      </c>
      <c r="E221">
        <v>10.570399999999999</v>
      </c>
      <c r="F221">
        <v>0.5</v>
      </c>
    </row>
    <row r="222" spans="1:10">
      <c r="A222" s="314" t="s">
        <v>500</v>
      </c>
      <c r="C222">
        <v>0.70699999999999996</v>
      </c>
      <c r="D222">
        <v>0.12</v>
      </c>
      <c r="E222">
        <v>7.1077349999999999</v>
      </c>
      <c r="F222">
        <v>0.5</v>
      </c>
    </row>
    <row r="223" spans="1:10">
      <c r="A223" s="322" t="s">
        <v>501</v>
      </c>
      <c r="E223">
        <v>8.5403399999999987</v>
      </c>
    </row>
    <row r="224" spans="1:10">
      <c r="A224" s="322" t="s">
        <v>502</v>
      </c>
      <c r="E224">
        <v>5.9147600000000002E-2</v>
      </c>
    </row>
    <row r="225" spans="1:6">
      <c r="A225" s="322" t="s">
        <v>503</v>
      </c>
      <c r="C225">
        <v>0.70699999999999996</v>
      </c>
      <c r="D225">
        <v>0.152</v>
      </c>
      <c r="E225">
        <v>9.0048200000000005</v>
      </c>
    </row>
    <row r="226" spans="1:6">
      <c r="A226" s="322" t="s">
        <v>504</v>
      </c>
      <c r="C226">
        <v>0.70699999999999996</v>
      </c>
      <c r="D226">
        <v>0.152</v>
      </c>
      <c r="E226">
        <v>7.3795650000000004</v>
      </c>
    </row>
    <row r="227" spans="1:6">
      <c r="A227" s="322" t="s">
        <v>505</v>
      </c>
      <c r="E227">
        <v>4.4695199999999993</v>
      </c>
    </row>
    <row r="228" spans="1:6">
      <c r="A228" s="322" t="s">
        <v>506</v>
      </c>
      <c r="C228">
        <v>0.70699999999999996</v>
      </c>
      <c r="D228">
        <v>0.16500000000000001</v>
      </c>
      <c r="E228">
        <v>7.4709699999999986</v>
      </c>
    </row>
    <row r="229" spans="1:6">
      <c r="A229" s="322" t="s">
        <v>507</v>
      </c>
      <c r="C229">
        <v>0.70699999999999996</v>
      </c>
      <c r="D229">
        <v>0.16500000000000001</v>
      </c>
      <c r="E229">
        <v>5.5076400000000003</v>
      </c>
    </row>
    <row r="230" spans="1:6">
      <c r="A230" s="322" t="s">
        <v>508</v>
      </c>
      <c r="C230">
        <v>0.70699999999999996</v>
      </c>
      <c r="D230">
        <v>0.20300000000000001</v>
      </c>
      <c r="E230">
        <v>5.2079999999999993</v>
      </c>
    </row>
    <row r="231" spans="1:6">
      <c r="A231" s="322" t="s">
        <v>509</v>
      </c>
      <c r="C231">
        <v>0.70699999999999996</v>
      </c>
      <c r="D231">
        <v>0.20300000000000001</v>
      </c>
      <c r="E231">
        <v>7.9878200000000001</v>
      </c>
    </row>
    <row r="232" spans="1:6">
      <c r="A232" s="322" t="s">
        <v>510</v>
      </c>
      <c r="C232">
        <v>0.70699999999999996</v>
      </c>
      <c r="D232">
        <v>0.42699999999999999</v>
      </c>
      <c r="E232">
        <v>5.3934150000000001</v>
      </c>
      <c r="F232">
        <v>0</v>
      </c>
    </row>
    <row r="233" spans="1:6">
      <c r="A233" s="322" t="s">
        <v>511</v>
      </c>
      <c r="C233">
        <v>0.70699999999999996</v>
      </c>
      <c r="D233">
        <v>0.42699999999999999</v>
      </c>
      <c r="E233">
        <v>8.8179449999999999</v>
      </c>
      <c r="F233">
        <v>0</v>
      </c>
    </row>
    <row r="234" spans="1:6">
      <c r="A234" s="322" t="s">
        <v>512</v>
      </c>
      <c r="C234">
        <v>0.70699999999999996</v>
      </c>
      <c r="D234">
        <v>0.22</v>
      </c>
      <c r="E234">
        <v>20.2043</v>
      </c>
      <c r="F234">
        <v>0.5</v>
      </c>
    </row>
    <row r="235" spans="1:6">
      <c r="A235" s="322" t="s">
        <v>513</v>
      </c>
      <c r="C235">
        <v>0.70699999999999996</v>
      </c>
      <c r="D235">
        <v>0.22</v>
      </c>
      <c r="E235">
        <v>29.867599999999999</v>
      </c>
      <c r="F235">
        <v>0.25</v>
      </c>
    </row>
    <row r="236" spans="1:6">
      <c r="A236" s="322" t="s">
        <v>514</v>
      </c>
      <c r="C236">
        <v>0.70699999999999996</v>
      </c>
      <c r="D236">
        <v>0.34499999999999997</v>
      </c>
      <c r="E236">
        <v>2.8785050000000001</v>
      </c>
    </row>
    <row r="237" spans="1:6">
      <c r="A237" s="322" t="s">
        <v>515</v>
      </c>
      <c r="C237">
        <v>0.70699999999999996</v>
      </c>
      <c r="D237">
        <v>0.34499999999999997</v>
      </c>
      <c r="E237">
        <v>2.8527499999999999</v>
      </c>
    </row>
    <row r="238" spans="1:6">
      <c r="A238" s="322" t="s">
        <v>516</v>
      </c>
      <c r="C238">
        <v>0.70699999999999996</v>
      </c>
      <c r="D238">
        <v>3.5000000000000003E-2</v>
      </c>
      <c r="E238">
        <v>3.5029300000000001</v>
      </c>
    </row>
    <row r="239" spans="1:6">
      <c r="A239" s="322" t="s">
        <v>517</v>
      </c>
      <c r="C239">
        <v>0.70699999999999996</v>
      </c>
      <c r="D239">
        <v>3.5000000000000003E-2</v>
      </c>
      <c r="E239">
        <v>3.8363700000000001</v>
      </c>
    </row>
    <row r="240" spans="1:6">
      <c r="A240" s="327" t="s">
        <v>518</v>
      </c>
      <c r="B240"/>
      <c r="C240">
        <v>1.077</v>
      </c>
      <c r="D240">
        <v>0.317</v>
      </c>
      <c r="E240">
        <v>10.067399999999999</v>
      </c>
      <c r="F240"/>
    </row>
    <row r="241" spans="1:6">
      <c r="A241" s="327" t="s">
        <v>519</v>
      </c>
      <c r="B241"/>
      <c r="C241">
        <v>0.191</v>
      </c>
      <c r="D241">
        <v>0.317</v>
      </c>
      <c r="E241">
        <v>16.639399999999998</v>
      </c>
      <c r="F241"/>
    </row>
    <row r="242" spans="1:6">
      <c r="A242" s="327" t="s">
        <v>520</v>
      </c>
      <c r="B242"/>
      <c r="C242">
        <v>0.89200000000000002</v>
      </c>
      <c r="D242">
        <v>0.317</v>
      </c>
      <c r="E242">
        <v>22.4757</v>
      </c>
      <c r="F242"/>
    </row>
    <row r="243" spans="1:6">
      <c r="A243" s="327" t="s">
        <v>521</v>
      </c>
      <c r="B243"/>
      <c r="C243">
        <v>0.51300000000000001</v>
      </c>
      <c r="D243">
        <v>6.6000000000000003E-2</v>
      </c>
      <c r="E243">
        <v>15.794600000000001</v>
      </c>
      <c r="F243"/>
    </row>
    <row r="244" spans="1:6">
      <c r="A244" s="327" t="s">
        <v>522</v>
      </c>
      <c r="B244"/>
      <c r="C244">
        <v>1.075</v>
      </c>
      <c r="D244">
        <v>6.6000000000000003E-2</v>
      </c>
      <c r="E244">
        <v>9.8204600000000006</v>
      </c>
      <c r="F244"/>
    </row>
    <row r="245" spans="1:6">
      <c r="A245" s="327" t="s">
        <v>523</v>
      </c>
      <c r="B245"/>
      <c r="C245">
        <v>0.66700000000000004</v>
      </c>
      <c r="D245">
        <v>6.6000000000000003E-2</v>
      </c>
      <c r="E245">
        <v>22.010100000000001</v>
      </c>
      <c r="F245"/>
    </row>
    <row r="246" spans="1:6">
      <c r="A246" s="327" t="s">
        <v>524</v>
      </c>
      <c r="B246"/>
      <c r="C246">
        <v>0.79500000000000004</v>
      </c>
      <c r="D246">
        <v>0.19</v>
      </c>
      <c r="E246">
        <v>7.557525</v>
      </c>
      <c r="F246"/>
    </row>
    <row r="247" spans="1:6">
      <c r="A247" s="327" t="s">
        <v>525</v>
      </c>
      <c r="B247"/>
      <c r="C247">
        <v>0.315</v>
      </c>
      <c r="D247">
        <v>0.19</v>
      </c>
      <c r="E247">
        <v>12.8439</v>
      </c>
      <c r="F247"/>
    </row>
    <row r="248" spans="1:6">
      <c r="A248" s="327" t="s">
        <v>526</v>
      </c>
      <c r="B248"/>
      <c r="C248">
        <v>1.105</v>
      </c>
      <c r="D248">
        <v>0.19</v>
      </c>
      <c r="E248">
        <v>19.5275</v>
      </c>
      <c r="F248"/>
    </row>
    <row r="249" spans="1:6">
      <c r="A249" s="327" t="s">
        <v>527</v>
      </c>
      <c r="B249"/>
      <c r="C249">
        <v>1.0509999999999999</v>
      </c>
      <c r="D249">
        <v>5.2999999999999999E-2</v>
      </c>
      <c r="E249">
        <v>11.5001</v>
      </c>
      <c r="F249"/>
    </row>
    <row r="250" spans="1:6">
      <c r="A250" s="327" t="s">
        <v>528</v>
      </c>
      <c r="B250"/>
      <c r="C250">
        <v>0.20499999999999999</v>
      </c>
      <c r="D250">
        <v>5.2999999999999999E-2</v>
      </c>
      <c r="E250">
        <v>14.7828</v>
      </c>
      <c r="F250"/>
    </row>
    <row r="251" spans="1:6">
      <c r="A251" s="327" t="s">
        <v>529</v>
      </c>
      <c r="B251"/>
      <c r="C251">
        <v>0.90200000000000002</v>
      </c>
      <c r="D251">
        <v>5.2999999999999999E-2</v>
      </c>
      <c r="E251">
        <v>15.0672</v>
      </c>
      <c r="F251"/>
    </row>
    <row r="252" spans="1:6">
      <c r="A252" s="327" t="s">
        <v>530</v>
      </c>
      <c r="B252"/>
      <c r="C252">
        <v>0.79700000000000004</v>
      </c>
      <c r="D252">
        <v>2.7E-2</v>
      </c>
      <c r="E252">
        <v>10.63255</v>
      </c>
      <c r="F252"/>
    </row>
    <row r="253" spans="1:6">
      <c r="A253" s="327" t="s">
        <v>531</v>
      </c>
      <c r="B253"/>
      <c r="C253">
        <v>0.626</v>
      </c>
      <c r="D253">
        <v>2.7E-2</v>
      </c>
      <c r="E253">
        <v>10.5519</v>
      </c>
      <c r="F253"/>
    </row>
    <row r="254" spans="1:6">
      <c r="A254" s="327" t="s">
        <v>532</v>
      </c>
      <c r="B254"/>
      <c r="C254">
        <v>0.80500000000000005</v>
      </c>
      <c r="D254">
        <v>2.7E-2</v>
      </c>
      <c r="E254">
        <v>8.6896950000000004</v>
      </c>
      <c r="F254"/>
    </row>
    <row r="255" spans="1:6">
      <c r="A255" s="327" t="s">
        <v>533</v>
      </c>
      <c r="B255"/>
      <c r="C255"/>
      <c r="D255"/>
      <c r="E255">
        <v>9.8886500000000002</v>
      </c>
      <c r="F255"/>
    </row>
  </sheetData>
  <autoFilter ref="A1:K1" xr:uid="{00000000-0009-0000-0000-000008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PE_aug</vt:lpstr>
      <vt:lpstr>PE_may</vt:lpstr>
      <vt:lpstr>PP</vt:lpstr>
      <vt:lpstr>PS</vt:lpstr>
      <vt:lpstr>PMMA</vt:lpstr>
      <vt:lpstr>PET_aug</vt:lpstr>
      <vt:lpstr>PET_may</vt:lpstr>
      <vt:lpstr>PA</vt:lpstr>
      <vt:lpstr>SBR</vt:lpstr>
      <vt:lpstr>Zusammenfassung</vt:lpstr>
      <vt:lpstr>Bewertung_PE</vt:lpstr>
      <vt:lpstr>Bewertung_PP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Juschi</dc:creator>
  <cp:lastModifiedBy>Juschi</cp:lastModifiedBy>
  <dcterms:created xsi:type="dcterms:W3CDTF">2021-03-10T15:49:39Z</dcterms:created>
  <dcterms:modified xsi:type="dcterms:W3CDTF">2021-12-30T11:48:29Z</dcterms:modified>
</cp:coreProperties>
</file>