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F:\Github\NU-Racing-Lead-MCHA-2025\"/>
    </mc:Choice>
  </mc:AlternateContent>
  <xr:revisionPtr revIDLastSave="0" documentId="13_ncr:1_{212EB9D2-D08F-45DB-BBB2-7AA6D1787E34}" xr6:coauthVersionLast="47" xr6:coauthVersionMax="47" xr10:uidLastSave="{00000000-0000-0000-0000-000000000000}"/>
  <bookViews>
    <workbookView xWindow="-120" yWindow="-120" windowWidth="29040" windowHeight="15720" activeTab="2" xr2:uid="{C94B0C8E-4BB7-41BB-BABD-F0454CF43B33}"/>
  </bookViews>
  <sheets>
    <sheet name="Splurge Budget" sheetId="3" r:id="rId1"/>
    <sheet name="Realisitic Budget" sheetId="1" r:id="rId2"/>
    <sheet name="Skeleton Budge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3" l="1"/>
  <c r="D9" i="1"/>
  <c r="D7" i="3"/>
  <c r="D4" i="3"/>
  <c r="D9" i="3"/>
  <c r="D8" i="3"/>
  <c r="D6" i="3"/>
  <c r="E6" i="3" s="1"/>
  <c r="D5" i="3"/>
  <c r="D29" i="3"/>
  <c r="D26" i="3"/>
  <c r="D20" i="3"/>
  <c r="D19" i="3"/>
  <c r="D15" i="3"/>
  <c r="D14" i="3"/>
  <c r="D13" i="3"/>
  <c r="A4" i="3"/>
  <c r="D5" i="2"/>
  <c r="D10" i="2"/>
  <c r="D9" i="2"/>
  <c r="D8" i="2"/>
  <c r="D4" i="2"/>
  <c r="E4" i="2" s="1"/>
  <c r="D6" i="2"/>
  <c r="A5" i="2"/>
  <c r="D28" i="1"/>
  <c r="D6" i="1"/>
  <c r="E6" i="1" s="1"/>
  <c r="D5" i="1"/>
  <c r="D8" i="1"/>
  <c r="D7" i="1"/>
  <c r="D25" i="1"/>
  <c r="D20" i="1"/>
  <c r="D19" i="1"/>
  <c r="D13" i="1"/>
  <c r="D15" i="1"/>
  <c r="D14" i="1"/>
  <c r="A7" i="1"/>
  <c r="C45" i="1"/>
  <c r="D31" i="3" l="1"/>
  <c r="D32" i="3" s="1"/>
  <c r="D30" i="1"/>
  <c r="D31" i="1" s="1"/>
  <c r="D20" i="2"/>
  <c r="D21" i="2" s="1"/>
</calcChain>
</file>

<file path=xl/sharedStrings.xml><?xml version="1.0" encoding="utf-8"?>
<sst xmlns="http://schemas.openxmlformats.org/spreadsheetml/2006/main" count="199" uniqueCount="93">
  <si>
    <t>MCHA</t>
  </si>
  <si>
    <t>Column1</t>
  </si>
  <si>
    <t>Cost</t>
  </si>
  <si>
    <t>Notes</t>
  </si>
  <si>
    <t>Month to be purchased</t>
  </si>
  <si>
    <t>Column2</t>
  </si>
  <si>
    <t>PCB's</t>
  </si>
  <si>
    <t>March</t>
  </si>
  <si>
    <t>req</t>
  </si>
  <si>
    <t>Spare parts</t>
  </si>
  <si>
    <t>Teensy's - $1000, DT's - $1000, Raychem - $1000, Boots - $800, Cabling - $500</t>
  </si>
  <si>
    <t>April</t>
  </si>
  <si>
    <t>HV</t>
  </si>
  <si>
    <t xml:space="preserve">Surelocks - $400, </t>
  </si>
  <si>
    <t>Steering Wheel</t>
  </si>
  <si>
    <t>Buttons, plugs etc - $300</t>
  </si>
  <si>
    <t>May</t>
  </si>
  <si>
    <t>perf</t>
  </si>
  <si>
    <t>Sensors</t>
  </si>
  <si>
    <t>Steering angle - $100, Shock potentiometers - $500, Brake temp - $300</t>
  </si>
  <si>
    <t>perf/re</t>
  </si>
  <si>
    <t>Accumulator Cells</t>
  </si>
  <si>
    <t>Possibly need new cells - $5000</t>
  </si>
  <si>
    <t>July</t>
  </si>
  <si>
    <t>real</t>
  </si>
  <si>
    <t>E-stops</t>
  </si>
  <si>
    <t>Waterproof E-stops - $300</t>
  </si>
  <si>
    <t>no</t>
  </si>
  <si>
    <t>Total</t>
  </si>
  <si>
    <t>CEN - $1200, PEN - $500,DEN - $600, LVD - $600, Dyno - $800, CANaMons - $200</t>
  </si>
  <si>
    <t>CEN</t>
  </si>
  <si>
    <t>PEN</t>
  </si>
  <si>
    <t>DEN</t>
  </si>
  <si>
    <t>LVD</t>
  </si>
  <si>
    <t>Dyno</t>
  </si>
  <si>
    <t>CANaMons</t>
  </si>
  <si>
    <t>Teensy</t>
  </si>
  <si>
    <t>AT's</t>
  </si>
  <si>
    <t>Raychem</t>
  </si>
  <si>
    <t>Boots</t>
  </si>
  <si>
    <t xml:space="preserve">Cabling </t>
  </si>
  <si>
    <t>https://au.rs-online.com/web/p/heat-shrink-tubing/8112707?cm_mmc=AU-PLA-DS3A-_-google-_-PLA_AU_Pmax_LocalStock_0923-_-20564329606-_--_-&amp;matchtype=&amp;&amp;gad_source=1&amp;gclid=CjwKCAiAneK8BhAVEiwAoy2HYXoFpBGeojlNaiXWkkvFvjR7XvhJtfB7VNvn4cJNJvHb0pYfLKr3LhoCDlEQAvD_BwE&amp;gclsrc=aw.ds2</t>
  </si>
  <si>
    <t>*measured in meters</t>
  </si>
  <si>
    <t>*number of dt connectors on NU24, assuming all are 6 pin</t>
  </si>
  <si>
    <t>*3 teensys/board, 4 boards</t>
  </si>
  <si>
    <t>*taken from my boots order from 2024</t>
  </si>
  <si>
    <t>*unsure what this cost would be spent on</t>
  </si>
  <si>
    <t>https://www.digikey.com.au/en/products/detail/amphenol-industrial-operations/SLPIRBBPSO1EH/93856862</t>
  </si>
  <si>
    <t>HVIL surlok &amp;  2 pos conn</t>
  </si>
  <si>
    <t>2x 2 pos big boi conns</t>
  </si>
  <si>
    <t>*surlok 8mm connector, 5.7mm ePower-Lite</t>
  </si>
  <si>
    <t>*ATHP042P08EL16-50, ATHP062S08NL16-50S1, and ePower Lite connectors</t>
  </si>
  <si>
    <t>Motor Controller</t>
  </si>
  <si>
    <t>connectors on NU24:</t>
  </si>
  <si>
    <t>https://www.bosch-motorsport-shop.com.au/hall-effect-speed-sensor?srsltid=AfmBOoqXUikeTuVx7DKuw_L6HPQd0-x1tqBoUhLCqqXx2cZiT4XXE9Kv</t>
  </si>
  <si>
    <t>*hall effect sensors, one for each wheel</t>
  </si>
  <si>
    <t>new cells</t>
  </si>
  <si>
    <t>*room for cells</t>
  </si>
  <si>
    <t>Without MC</t>
  </si>
  <si>
    <t>With MC</t>
  </si>
  <si>
    <t>HIP</t>
  </si>
  <si>
    <t>*mobo, BSPD resistors, BSPD breakout</t>
  </si>
  <si>
    <t>*HIP PCB, TSAL_DISCHARGE breakout, current sensor, discharge relay, tsms'</t>
  </si>
  <si>
    <t>Without Float</t>
  </si>
  <si>
    <t>With Float</t>
  </si>
  <si>
    <t>*2024's PEN cost +$10, pots</t>
  </si>
  <si>
    <t>*2024's DEN cost, 2 DENs made</t>
  </si>
  <si>
    <t>*2024's LVD cost, room for 3 LVDs</t>
  </si>
  <si>
    <t>*2024's LVD cost, room for 3 LVDs, cost of AIL</t>
  </si>
  <si>
    <t>Accumulator</t>
  </si>
  <si>
    <t>Tractive System</t>
  </si>
  <si>
    <t>*cost of 5 new CANaMons</t>
  </si>
  <si>
    <t>System</t>
  </si>
  <si>
    <t>Link</t>
  </si>
  <si>
    <t>UEN</t>
  </si>
  <si>
    <t>Ready to Move Light</t>
  </si>
  <si>
    <t xml:space="preserve">*estimate of how much a light that conforms to DOT FMVSS 108 costs </t>
  </si>
  <si>
    <t>https://www.amazon.com.au/LED-Trailer-Marker-Surface-Waterproof/dp/B08FXWXJZR?gQT=2&amp;th=1</t>
  </si>
  <si>
    <t xml:space="preserve">voltage indicator </t>
  </si>
  <si>
    <t>https://au.rs-online.com/web/p/voltmeters/9010532</t>
  </si>
  <si>
    <t>*voltage indicator + shipping</t>
  </si>
  <si>
    <t>*plan to have the one being repaired back, but as a just in case</t>
  </si>
  <si>
    <t>Wheel speed sensors</t>
  </si>
  <si>
    <t>Expansion Board</t>
  </si>
  <si>
    <t>*cost of 2024's expansion board</t>
  </si>
  <si>
    <t>SKELETON BUDGET</t>
  </si>
  <si>
    <t>*mobo</t>
  </si>
  <si>
    <t>REALISTIC BUDGET</t>
  </si>
  <si>
    <t>SPLURGE BUDGET</t>
  </si>
  <si>
    <t>*mobo, BSPD resistors, BSPD breakout, HFR breakout (experiment with op amps)</t>
  </si>
  <si>
    <t>Spare 228</t>
  </si>
  <si>
    <t>*estimated cost of new motor</t>
  </si>
  <si>
    <t>Without MC or 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</si>
</sst>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i/>
      <sz val="14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3" fillId="4" borderId="2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wrapText="1"/>
    </xf>
    <xf numFmtId="0" fontId="3" fillId="4" borderId="4" xfId="0" applyFont="1" applyFill="1" applyBorder="1" applyAlignment="1">
      <alignment horizontal="center" wrapText="1"/>
    </xf>
    <xf numFmtId="0" fontId="3" fillId="4" borderId="0" xfId="0" applyFont="1" applyFill="1" applyAlignment="1">
      <alignment horizontal="center" wrapText="1"/>
    </xf>
    <xf numFmtId="0" fontId="0" fillId="0" borderId="5" xfId="0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4" xfId="0" applyFont="1" applyBorder="1"/>
    <xf numFmtId="44" fontId="0" fillId="0" borderId="9" xfId="1" applyFont="1" applyFill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4" xfId="0" applyFont="1" applyBorder="1"/>
    <xf numFmtId="0" fontId="3" fillId="0" borderId="10" xfId="0" applyFont="1" applyBorder="1"/>
    <xf numFmtId="44" fontId="0" fillId="0" borderId="11" xfId="0" applyNumberFormat="1" applyBorder="1"/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0" xfId="0" applyAlignment="1">
      <alignment horizontal="left" vertical="center"/>
    </xf>
    <xf numFmtId="0" fontId="3" fillId="4" borderId="4" xfId="0" applyFont="1" applyFill="1" applyBorder="1" applyAlignment="1">
      <alignment horizontal="center" wrapText="1"/>
    </xf>
    <xf numFmtId="0" fontId="5" fillId="0" borderId="0" xfId="4"/>
    <xf numFmtId="0" fontId="6" fillId="5" borderId="0" xfId="0" applyFont="1" applyFill="1" applyAlignment="1">
      <alignment horizontal="center" vertical="center"/>
    </xf>
    <xf numFmtId="44" fontId="0" fillId="0" borderId="0" xfId="0" applyNumberFormat="1" applyAlignment="1">
      <alignment horizontal="right" vertical="center"/>
    </xf>
    <xf numFmtId="44" fontId="0" fillId="0" borderId="0" xfId="0" applyNumberFormat="1"/>
    <xf numFmtId="0" fontId="1" fillId="3" borderId="9" xfId="3" applyBorder="1"/>
    <xf numFmtId="0" fontId="2" fillId="2" borderId="1" xfId="2"/>
    <xf numFmtId="0" fontId="1" fillId="3" borderId="1" xfId="3" applyBorder="1"/>
    <xf numFmtId="44" fontId="1" fillId="3" borderId="0" xfId="3" applyNumberFormat="1"/>
    <xf numFmtId="0" fontId="1" fillId="3" borderId="0" xfId="3"/>
    <xf numFmtId="0" fontId="0" fillId="3" borderId="9" xfId="3" applyFont="1" applyBorder="1"/>
    <xf numFmtId="0" fontId="0" fillId="6" borderId="0" xfId="0" applyFill="1"/>
    <xf numFmtId="0" fontId="0" fillId="3" borderId="0" xfId="3" applyFont="1"/>
  </cellXfs>
  <cellStyles count="5">
    <cellStyle name="40% - Accent4" xfId="3" builtinId="43"/>
    <cellStyle name="Currency" xfId="1" builtinId="4"/>
    <cellStyle name="Hyperlink" xfId="4" builtinId="8"/>
    <cellStyle name="Normal" xfId="0" builtinId="0"/>
    <cellStyle name="Output" xfId="2" builtinId="21"/>
  </cellStyles>
  <dxfs count="15">
    <dxf>
      <border diagonalUp="0" diagonalDown="0" outline="0">
        <left/>
        <right/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34" formatCode="_-&quot;$&quot;* #,##0.00_-;\-&quot;$&quot;* #,##0.0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2ABA69-513E-472D-BD72-34E9E5AD39D8}" name="Table1" displayName="Table1" ref="B37:F45" totalsRowCount="1" headerRowDxfId="14" dataDxfId="13" headerRowBorderDxfId="11" tableBorderDxfId="12" totalsRowBorderDxfId="10">
  <autoFilter ref="B37:F44" xr:uid="{632ABA69-513E-472D-BD72-34E9E5AD39D8}"/>
  <tableColumns count="5">
    <tableColumn id="1" xr3:uid="{856A96CB-9007-432B-9D91-DDFF63C2D973}" name="Column1" totalsRowLabel="Total" dataDxfId="9" totalsRowDxfId="4"/>
    <tableColumn id="2" xr3:uid="{D57FFE14-206F-419E-8F97-4FC39112C115}" name="Cost" totalsRowFunction="sum" dataDxfId="8" totalsRowDxfId="3" dataCellStyle="Currency"/>
    <tableColumn id="3" xr3:uid="{6634B4BD-1EB1-4132-ACE8-4FA0828FB972}" name="Notes" dataDxfId="7" totalsRowDxfId="2"/>
    <tableColumn id="6" xr3:uid="{FD5BACA0-F193-467D-AE15-943238B71206}" name="Month to be purchased" dataDxfId="6" totalsRowDxfId="1"/>
    <tableColumn id="4" xr3:uid="{B9733096-4A0E-4C53-8006-32BE6A5CBEF2}" name="Column2" dataDxfId="5" totalsRow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sch-motorsport-shop.com.au/hall-effect-speed-sensor?srsltid=AfmBOoqXUikeTuVx7DKuw_L6HPQd0-x1tqBoUhLCqqXx2cZiT4XXE9Kv" TargetMode="External"/><Relationship Id="rId2" Type="http://schemas.openxmlformats.org/officeDocument/2006/relationships/hyperlink" Target="https://www.digikey.com.au/en/products/detail/amphenol-industrial-operations/SLPIRBBPSO1EH/93856862" TargetMode="External"/><Relationship Id="rId1" Type="http://schemas.openxmlformats.org/officeDocument/2006/relationships/hyperlink" Target="https://au.rs-online.com/web/p/heat-shrink-tubing/8112707?cm_mmc=AU-PLA-DS3A-_-google-_-PLA_AU_Pmax_LocalStock_0923-_-20564329606-_--_-&amp;matchtype=&amp;&amp;gad_source=1&amp;gclid=CjwKCAiAneK8BhAVEiwAoy2HYXoFpBGeojlNaiXWkkvFvjR7XvhJtfB7VNvn4cJNJvHb0pYfLKr3LhoCDlEQAvD_BwE&amp;gclsrc=aw.ds2" TargetMode="External"/><Relationship Id="rId5" Type="http://schemas.openxmlformats.org/officeDocument/2006/relationships/hyperlink" Target="https://au.rs-online.com/web/p/voltmeters/9010532" TargetMode="External"/><Relationship Id="rId4" Type="http://schemas.openxmlformats.org/officeDocument/2006/relationships/hyperlink" Target="https://www.amazon.com.au/LED-Trailer-Marker-Surface-Waterproof/dp/B08FXWXJZR?gQT=2&amp;th=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sch-motorsport-shop.com.au/hall-effect-speed-sensor?srsltid=AfmBOoqXUikeTuVx7DKuw_L6HPQd0-x1tqBoUhLCqqXx2cZiT4XXE9Kv" TargetMode="External"/><Relationship Id="rId2" Type="http://schemas.openxmlformats.org/officeDocument/2006/relationships/hyperlink" Target="https://www.digikey.com.au/en/products/detail/amphenol-industrial-operations/SLPIRBBPSO1EH/93856862" TargetMode="External"/><Relationship Id="rId1" Type="http://schemas.openxmlformats.org/officeDocument/2006/relationships/hyperlink" Target="https://au.rs-online.com/web/p/heat-shrink-tubing/8112707?cm_mmc=AU-PLA-DS3A-_-google-_-PLA_AU_Pmax_LocalStock_0923-_-20564329606-_--_-&amp;matchtype=&amp;&amp;gad_source=1&amp;gclid=CjwKCAiAneK8BhAVEiwAoy2HYXoFpBGeojlNaiXWkkvFvjR7XvhJtfB7VNvn4cJNJvHb0pYfLKr3LhoCDlEQAvD_BwE&amp;gclsrc=aw.ds2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au.rs-online.com/web/p/voltmeters/9010532" TargetMode="External"/><Relationship Id="rId4" Type="http://schemas.openxmlformats.org/officeDocument/2006/relationships/hyperlink" Target="https://www.amazon.com.au/LED-Trailer-Marker-Surface-Waterproof/dp/B08FXWXJZR?gQT=2&amp;th=1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mazon.com.au/LED-Trailer-Marker-Surface-Waterproof/dp/B08FXWXJZR?gQT=2&amp;th=1" TargetMode="External"/><Relationship Id="rId1" Type="http://schemas.openxmlformats.org/officeDocument/2006/relationships/hyperlink" Target="https://au.rs-online.com/web/p/heat-shrink-tubing/8112707?cm_mmc=AU-PLA-DS3A-_-google-_-PLA_AU_Pmax_LocalStock_0923-_-20564329606-_--_-&amp;matchtype=&amp;&amp;gad_source=1&amp;gclid=CjwKCAiAneK8BhAVEiwAoy2HYXoFpBGeojlNaiXWkkvFvjR7XvhJtfB7VNvn4cJNJvHb0pYfLKr3LhoCDlEQAvD_BwE&amp;gclsrc=aw.ds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F2814-B5D2-412D-912B-E55D56A02CFA}">
  <dimension ref="A1:G33"/>
  <sheetViews>
    <sheetView workbookViewId="0">
      <selection activeCell="K12" sqref="K12"/>
    </sheetView>
  </sheetViews>
  <sheetFormatPr defaultRowHeight="15" x14ac:dyDescent="0.25"/>
  <cols>
    <col min="1" max="1" width="26.5703125" customWidth="1"/>
    <col min="2" max="2" width="14.5703125" bestFit="1" customWidth="1"/>
    <col min="3" max="3" width="23.7109375" bestFit="1" customWidth="1"/>
    <col min="4" max="4" width="12.7109375" bestFit="1" customWidth="1"/>
    <col min="5" max="5" width="9.85546875" bestFit="1" customWidth="1"/>
    <col min="6" max="6" width="73.42578125" bestFit="1" customWidth="1"/>
  </cols>
  <sheetData>
    <row r="1" spans="1:7" ht="37.5" customHeight="1" x14ac:dyDescent="0.25">
      <c r="A1" s="23" t="s">
        <v>88</v>
      </c>
    </row>
    <row r="2" spans="1:7" x14ac:dyDescent="0.25">
      <c r="C2" t="s">
        <v>72</v>
      </c>
      <c r="D2" t="s">
        <v>63</v>
      </c>
      <c r="E2" t="s">
        <v>64</v>
      </c>
      <c r="F2" t="s">
        <v>3</v>
      </c>
      <c r="G2" t="s">
        <v>73</v>
      </c>
    </row>
    <row r="3" spans="1:7" x14ac:dyDescent="0.25">
      <c r="A3" t="s">
        <v>53</v>
      </c>
      <c r="B3" s="26" t="s">
        <v>6</v>
      </c>
      <c r="C3" s="30"/>
      <c r="D3" s="30"/>
      <c r="E3" s="30"/>
      <c r="F3" s="30"/>
      <c r="G3" s="30"/>
    </row>
    <row r="4" spans="1:7" x14ac:dyDescent="0.25">
      <c r="A4">
        <f>21+2+2+2+2+1+1+2+2+2+1+1+1+1+1+1+1+6+1+1+1+1+1+5+3</f>
        <v>63</v>
      </c>
      <c r="B4" s="32"/>
      <c r="C4" s="27" t="s">
        <v>83</v>
      </c>
      <c r="D4" s="25">
        <f>60</f>
        <v>60</v>
      </c>
      <c r="F4" t="s">
        <v>84</v>
      </c>
    </row>
    <row r="5" spans="1:7" x14ac:dyDescent="0.25">
      <c r="B5" s="32"/>
      <c r="C5" s="27" t="s">
        <v>31</v>
      </c>
      <c r="D5" s="25">
        <f>60+30</f>
        <v>90</v>
      </c>
      <c r="F5" t="s">
        <v>65</v>
      </c>
    </row>
    <row r="6" spans="1:7" x14ac:dyDescent="0.25">
      <c r="B6" s="32"/>
      <c r="C6" s="27" t="s">
        <v>32</v>
      </c>
      <c r="D6" s="25">
        <f>2*120</f>
        <v>240</v>
      </c>
      <c r="E6" s="25">
        <f>D6+D6*0.5</f>
        <v>360</v>
      </c>
      <c r="F6" t="s">
        <v>66</v>
      </c>
    </row>
    <row r="7" spans="1:7" x14ac:dyDescent="0.25">
      <c r="B7" s="32"/>
      <c r="C7" s="27" t="s">
        <v>30</v>
      </c>
      <c r="D7" s="24">
        <f>80+35+60+90*2</f>
        <v>355</v>
      </c>
      <c r="F7" s="20" t="s">
        <v>89</v>
      </c>
    </row>
    <row r="8" spans="1:7" x14ac:dyDescent="0.25">
      <c r="B8" s="32"/>
      <c r="C8" s="27" t="s">
        <v>60</v>
      </c>
      <c r="D8" s="24">
        <f>55+65+22+97+2*30</f>
        <v>299</v>
      </c>
      <c r="F8" s="20" t="s">
        <v>62</v>
      </c>
    </row>
    <row r="9" spans="1:7" x14ac:dyDescent="0.25">
      <c r="B9" s="32"/>
      <c r="C9" s="27" t="s">
        <v>33</v>
      </c>
      <c r="D9" s="25">
        <f>3*80+30</f>
        <v>270</v>
      </c>
      <c r="F9" t="s">
        <v>68</v>
      </c>
    </row>
    <row r="10" spans="1:7" x14ac:dyDescent="0.25">
      <c r="B10" s="32"/>
      <c r="C10" s="27" t="s">
        <v>34</v>
      </c>
      <c r="D10" s="25">
        <v>800</v>
      </c>
      <c r="F10" t="s">
        <v>46</v>
      </c>
    </row>
    <row r="11" spans="1:7" x14ac:dyDescent="0.25">
      <c r="B11" s="32"/>
      <c r="C11" s="27" t="s">
        <v>35</v>
      </c>
      <c r="D11" s="25">
        <v>200</v>
      </c>
      <c r="F11" t="s">
        <v>71</v>
      </c>
    </row>
    <row r="12" spans="1:7" x14ac:dyDescent="0.25">
      <c r="B12" s="26" t="s">
        <v>9</v>
      </c>
      <c r="C12" s="28"/>
      <c r="D12" s="29"/>
      <c r="E12" s="30"/>
      <c r="F12" s="30"/>
      <c r="G12" s="30"/>
    </row>
    <row r="13" spans="1:7" x14ac:dyDescent="0.25">
      <c r="B13" s="32"/>
      <c r="C13" s="27" t="s">
        <v>36</v>
      </c>
      <c r="D13" s="25">
        <f>44.95*3*4</f>
        <v>539.40000000000009</v>
      </c>
      <c r="F13" t="s">
        <v>44</v>
      </c>
    </row>
    <row r="14" spans="1:7" x14ac:dyDescent="0.25">
      <c r="B14" s="32"/>
      <c r="C14" s="27" t="s">
        <v>37</v>
      </c>
      <c r="D14" s="25">
        <f>2.65*63</f>
        <v>166.95</v>
      </c>
      <c r="F14" t="s">
        <v>43</v>
      </c>
    </row>
    <row r="15" spans="1:7" x14ac:dyDescent="0.25">
      <c r="B15" s="32"/>
      <c r="C15" s="27" t="s">
        <v>38</v>
      </c>
      <c r="D15" s="25">
        <f>40*12</f>
        <v>480</v>
      </c>
      <c r="F15" t="s">
        <v>42</v>
      </c>
      <c r="G15" s="22" t="s">
        <v>41</v>
      </c>
    </row>
    <row r="16" spans="1:7" x14ac:dyDescent="0.25">
      <c r="B16" s="32"/>
      <c r="C16" s="27" t="s">
        <v>39</v>
      </c>
      <c r="D16" s="25">
        <v>1000</v>
      </c>
      <c r="F16" t="s">
        <v>45</v>
      </c>
    </row>
    <row r="17" spans="2:7" x14ac:dyDescent="0.25">
      <c r="B17" s="32"/>
      <c r="C17" s="27" t="s">
        <v>40</v>
      </c>
      <c r="D17" s="25">
        <v>200</v>
      </c>
      <c r="F17" t="s">
        <v>46</v>
      </c>
    </row>
    <row r="18" spans="2:7" x14ac:dyDescent="0.25">
      <c r="B18" s="31" t="s">
        <v>70</v>
      </c>
      <c r="C18" s="28"/>
      <c r="D18" s="29"/>
      <c r="E18" s="30"/>
      <c r="F18" s="30"/>
      <c r="G18" s="30"/>
    </row>
    <row r="19" spans="2:7" x14ac:dyDescent="0.25">
      <c r="B19" s="32"/>
      <c r="C19" s="27" t="s">
        <v>48</v>
      </c>
      <c r="D19" s="25">
        <f>4*37+2*40+2*65</f>
        <v>358</v>
      </c>
      <c r="F19" t="s">
        <v>50</v>
      </c>
      <c r="G19" s="22" t="s">
        <v>47</v>
      </c>
    </row>
    <row r="20" spans="2:7" x14ac:dyDescent="0.25">
      <c r="B20" s="32"/>
      <c r="C20" s="27" t="s">
        <v>49</v>
      </c>
      <c r="D20" s="25">
        <f>2*40+2*65+1*70+1*122</f>
        <v>402</v>
      </c>
      <c r="F20" t="s">
        <v>51</v>
      </c>
    </row>
    <row r="21" spans="2:7" x14ac:dyDescent="0.25">
      <c r="B21" s="32"/>
      <c r="C21" s="27" t="s">
        <v>52</v>
      </c>
      <c r="D21" s="25">
        <v>13400</v>
      </c>
      <c r="F21" t="s">
        <v>81</v>
      </c>
    </row>
    <row r="22" spans="2:7" x14ac:dyDescent="0.25">
      <c r="B22" s="32"/>
      <c r="C22" s="27" t="s">
        <v>90</v>
      </c>
      <c r="D22" s="25">
        <v>6500</v>
      </c>
      <c r="F22" t="s">
        <v>91</v>
      </c>
    </row>
    <row r="23" spans="2:7" x14ac:dyDescent="0.25">
      <c r="B23" s="33" t="s">
        <v>74</v>
      </c>
      <c r="C23" s="28"/>
      <c r="D23" s="29"/>
      <c r="E23" s="30"/>
      <c r="F23" s="30"/>
      <c r="G23" s="30"/>
    </row>
    <row r="24" spans="2:7" x14ac:dyDescent="0.25">
      <c r="B24" s="32"/>
      <c r="C24" s="27" t="s">
        <v>75</v>
      </c>
      <c r="D24" s="25">
        <v>100</v>
      </c>
      <c r="F24" t="s">
        <v>76</v>
      </c>
      <c r="G24" s="22" t="s">
        <v>77</v>
      </c>
    </row>
    <row r="25" spans="2:7" x14ac:dyDescent="0.25">
      <c r="B25" s="26" t="s">
        <v>18</v>
      </c>
      <c r="C25" s="30"/>
      <c r="D25" s="29"/>
      <c r="E25" s="30"/>
      <c r="F25" s="30"/>
      <c r="G25" s="30"/>
    </row>
    <row r="26" spans="2:7" x14ac:dyDescent="0.25">
      <c r="B26" s="32"/>
      <c r="C26" s="27" t="s">
        <v>82</v>
      </c>
      <c r="D26" s="25">
        <f>4*66</f>
        <v>264</v>
      </c>
      <c r="F26" t="s">
        <v>55</v>
      </c>
      <c r="G26" s="22" t="s">
        <v>54</v>
      </c>
    </row>
    <row r="27" spans="2:7" x14ac:dyDescent="0.25">
      <c r="B27" s="31" t="s">
        <v>69</v>
      </c>
      <c r="C27" s="30"/>
      <c r="D27" s="29"/>
      <c r="E27" s="30"/>
      <c r="F27" s="30"/>
      <c r="G27" s="30"/>
    </row>
    <row r="28" spans="2:7" x14ac:dyDescent="0.25">
      <c r="B28" s="32"/>
      <c r="C28" s="27" t="s">
        <v>56</v>
      </c>
      <c r="D28" s="25">
        <v>5000</v>
      </c>
      <c r="F28" t="s">
        <v>57</v>
      </c>
    </row>
    <row r="29" spans="2:7" x14ac:dyDescent="0.25">
      <c r="B29" s="32"/>
      <c r="C29" s="27" t="s">
        <v>78</v>
      </c>
      <c r="D29" s="25">
        <f>42+50</f>
        <v>92</v>
      </c>
      <c r="F29" t="s">
        <v>80</v>
      </c>
      <c r="G29" s="22" t="s">
        <v>79</v>
      </c>
    </row>
    <row r="30" spans="2:7" x14ac:dyDescent="0.25">
      <c r="B30" s="26" t="s">
        <v>28</v>
      </c>
      <c r="C30" s="30"/>
      <c r="D30" s="29"/>
      <c r="E30" s="30"/>
      <c r="F30" s="30"/>
      <c r="G30" s="30"/>
    </row>
    <row r="31" spans="2:7" x14ac:dyDescent="0.25">
      <c r="B31" s="32"/>
      <c r="C31" s="27" t="s">
        <v>59</v>
      </c>
      <c r="D31" s="25">
        <f>SUM(D4:D29)</f>
        <v>30816.35</v>
      </c>
    </row>
    <row r="32" spans="2:7" x14ac:dyDescent="0.25">
      <c r="B32" s="32"/>
      <c r="C32" s="27" t="s">
        <v>58</v>
      </c>
      <c r="D32" s="25">
        <f>D31-D21</f>
        <v>17416.349999999999</v>
      </c>
    </row>
    <row r="33" spans="2:4" x14ac:dyDescent="0.25">
      <c r="B33" s="32"/>
      <c r="C33" s="27" t="s">
        <v>92</v>
      </c>
      <c r="D33" s="25">
        <f>D31-D22-D21</f>
        <v>10916.349999999999</v>
      </c>
    </row>
  </sheetData>
  <hyperlinks>
    <hyperlink ref="G15" r:id="rId1" display="https://au.rs-online.com/web/p/heat-shrink-tubing/8112707?cm_mmc=AU-PLA-DS3A-_-google-_-PLA_AU_Pmax_LocalStock_0923-_-20564329606-_--_-&amp;matchtype=&amp;&amp;gad_source=1&amp;gclid=CjwKCAiAneK8BhAVEiwAoy2HYXoFpBGeojlNaiXWkkvFvjR7XvhJtfB7VNvn4cJNJvHb0pYfLKr3LhoCDlEQAvD_BwE&amp;gclsrc=aw.ds2" xr:uid="{A8066D90-8EF7-4568-B790-34D658D419BE}"/>
    <hyperlink ref="G19" r:id="rId2" xr:uid="{22F85EB8-5359-4A2C-9C8C-B825B0756B66}"/>
    <hyperlink ref="G26" r:id="rId3" xr:uid="{5244B8A1-C62F-49F7-BDE9-33B86C08FA24}"/>
    <hyperlink ref="G24" r:id="rId4" xr:uid="{21244E35-7659-45DF-B1E4-1FEC2C18EBF3}"/>
    <hyperlink ref="G29" r:id="rId5" xr:uid="{E053BAE8-FC5C-4801-B6F2-248A12F3F4F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DAFC3-A69B-479A-8EED-66262DCE6CA9}">
  <dimension ref="A1:H45"/>
  <sheetViews>
    <sheetView workbookViewId="0">
      <selection activeCell="D9" sqref="D9"/>
    </sheetView>
  </sheetViews>
  <sheetFormatPr defaultRowHeight="15" x14ac:dyDescent="0.25"/>
  <cols>
    <col min="1" max="1" width="26.7109375" customWidth="1"/>
    <col min="2" max="2" width="17.7109375" bestFit="1" customWidth="1"/>
    <col min="3" max="3" width="23.7109375" bestFit="1" customWidth="1"/>
    <col min="4" max="4" width="16.7109375" customWidth="1"/>
    <col min="5" max="5" width="10.42578125" customWidth="1"/>
    <col min="6" max="6" width="68.7109375" bestFit="1" customWidth="1"/>
    <col min="8" max="8" width="17.28515625" bestFit="1" customWidth="1"/>
    <col min="9" max="9" width="23.42578125" bestFit="1" customWidth="1"/>
    <col min="10" max="10" width="12.7109375" bestFit="1" customWidth="1"/>
    <col min="11" max="11" width="9.85546875" bestFit="1" customWidth="1"/>
    <col min="12" max="12" width="68.7109375" bestFit="1" customWidth="1"/>
    <col min="13" max="13" width="24.28515625" bestFit="1" customWidth="1"/>
    <col min="14" max="14" width="11.42578125" bestFit="1" customWidth="1"/>
  </cols>
  <sheetData>
    <row r="1" spans="1:7" ht="36.75" customHeight="1" x14ac:dyDescent="0.25">
      <c r="A1" s="23" t="s">
        <v>87</v>
      </c>
    </row>
    <row r="2" spans="1:7" x14ac:dyDescent="0.25">
      <c r="C2" t="s">
        <v>72</v>
      </c>
      <c r="D2" t="s">
        <v>63</v>
      </c>
      <c r="E2" t="s">
        <v>64</v>
      </c>
      <c r="F2" t="s">
        <v>3</v>
      </c>
      <c r="G2" t="s">
        <v>73</v>
      </c>
    </row>
    <row r="3" spans="1:7" x14ac:dyDescent="0.25">
      <c r="A3" t="s">
        <v>53</v>
      </c>
      <c r="B3" s="26" t="s">
        <v>6</v>
      </c>
      <c r="C3" s="30"/>
      <c r="D3" s="30"/>
      <c r="E3" s="30"/>
      <c r="F3" s="30"/>
      <c r="G3" s="30"/>
    </row>
    <row r="4" spans="1:7" x14ac:dyDescent="0.25">
      <c r="B4" s="32"/>
      <c r="C4" s="27" t="s">
        <v>83</v>
      </c>
      <c r="D4" s="25">
        <v>60</v>
      </c>
      <c r="F4" t="s">
        <v>84</v>
      </c>
    </row>
    <row r="5" spans="1:7" x14ac:dyDescent="0.25">
      <c r="B5" s="32"/>
      <c r="C5" s="27" t="s">
        <v>31</v>
      </c>
      <c r="D5" s="25">
        <f>60+30</f>
        <v>90</v>
      </c>
      <c r="F5" t="s">
        <v>65</v>
      </c>
    </row>
    <row r="6" spans="1:7" x14ac:dyDescent="0.25">
      <c r="B6" s="32"/>
      <c r="C6" s="27" t="s">
        <v>32</v>
      </c>
      <c r="D6" s="25">
        <f>2*120</f>
        <v>240</v>
      </c>
      <c r="E6" s="25">
        <f>D6+D6*0.5</f>
        <v>360</v>
      </c>
      <c r="F6" t="s">
        <v>66</v>
      </c>
    </row>
    <row r="7" spans="1:7" x14ac:dyDescent="0.25">
      <c r="A7">
        <f>21+2+2+2+2+1+1+2+2+2+1+1+1+1+1+1+1+6+1+1+1+1+1+5+3</f>
        <v>63</v>
      </c>
      <c r="B7" s="32"/>
      <c r="C7" s="27" t="s">
        <v>30</v>
      </c>
      <c r="D7" s="24">
        <f>80+35+60</f>
        <v>175</v>
      </c>
      <c r="F7" s="20" t="s">
        <v>61</v>
      </c>
    </row>
    <row r="8" spans="1:7" x14ac:dyDescent="0.25">
      <c r="B8" s="32"/>
      <c r="C8" s="27" t="s">
        <v>60</v>
      </c>
      <c r="D8" s="24">
        <f>55+65+22+97+2*30</f>
        <v>299</v>
      </c>
      <c r="F8" s="20" t="s">
        <v>62</v>
      </c>
    </row>
    <row r="9" spans="1:7" x14ac:dyDescent="0.25">
      <c r="B9" s="32"/>
      <c r="C9" s="27" t="s">
        <v>33</v>
      </c>
      <c r="D9" s="25">
        <f>3*80</f>
        <v>240</v>
      </c>
      <c r="F9" t="s">
        <v>67</v>
      </c>
    </row>
    <row r="10" spans="1:7" x14ac:dyDescent="0.25">
      <c r="B10" s="32"/>
      <c r="C10" s="27" t="s">
        <v>34</v>
      </c>
      <c r="D10" s="25">
        <v>800</v>
      </c>
      <c r="F10" t="s">
        <v>46</v>
      </c>
    </row>
    <row r="11" spans="1:7" x14ac:dyDescent="0.25">
      <c r="B11" s="32"/>
      <c r="C11" s="27" t="s">
        <v>35</v>
      </c>
      <c r="D11" s="25">
        <v>200</v>
      </c>
      <c r="F11" t="s">
        <v>71</v>
      </c>
    </row>
    <row r="12" spans="1:7" x14ac:dyDescent="0.25">
      <c r="B12" s="26" t="s">
        <v>9</v>
      </c>
      <c r="C12" s="28"/>
      <c r="D12" s="29"/>
      <c r="E12" s="30"/>
      <c r="F12" s="30"/>
      <c r="G12" s="30"/>
    </row>
    <row r="13" spans="1:7" x14ac:dyDescent="0.25">
      <c r="B13" s="32"/>
      <c r="C13" s="27" t="s">
        <v>36</v>
      </c>
      <c r="D13" s="25">
        <f>44.95*3*4</f>
        <v>539.40000000000009</v>
      </c>
      <c r="F13" t="s">
        <v>44</v>
      </c>
    </row>
    <row r="14" spans="1:7" x14ac:dyDescent="0.25">
      <c r="B14" s="32"/>
      <c r="C14" s="27" t="s">
        <v>37</v>
      </c>
      <c r="D14" s="25">
        <f>2.65*63</f>
        <v>166.95</v>
      </c>
      <c r="F14" t="s">
        <v>43</v>
      </c>
    </row>
    <row r="15" spans="1:7" x14ac:dyDescent="0.25">
      <c r="B15" s="32"/>
      <c r="C15" s="27" t="s">
        <v>38</v>
      </c>
      <c r="D15" s="25">
        <f>40*12</f>
        <v>480</v>
      </c>
      <c r="F15" t="s">
        <v>42</v>
      </c>
      <c r="G15" s="22" t="s">
        <v>41</v>
      </c>
    </row>
    <row r="16" spans="1:7" x14ac:dyDescent="0.25">
      <c r="B16" s="32"/>
      <c r="C16" s="27" t="s">
        <v>39</v>
      </c>
      <c r="D16" s="25">
        <v>1000</v>
      </c>
      <c r="F16" t="s">
        <v>45</v>
      </c>
    </row>
    <row r="17" spans="2:7" x14ac:dyDescent="0.25">
      <c r="B17" s="32"/>
      <c r="C17" s="27" t="s">
        <v>40</v>
      </c>
      <c r="D17" s="25">
        <v>200</v>
      </c>
      <c r="F17" t="s">
        <v>46</v>
      </c>
    </row>
    <row r="18" spans="2:7" x14ac:dyDescent="0.25">
      <c r="B18" s="31" t="s">
        <v>70</v>
      </c>
      <c r="C18" s="28"/>
      <c r="D18" s="29"/>
      <c r="E18" s="30"/>
      <c r="F18" s="30"/>
      <c r="G18" s="30"/>
    </row>
    <row r="19" spans="2:7" x14ac:dyDescent="0.25">
      <c r="B19" s="32"/>
      <c r="C19" s="27" t="s">
        <v>48</v>
      </c>
      <c r="D19" s="25">
        <f>4*37+2*40+2*65</f>
        <v>358</v>
      </c>
      <c r="F19" t="s">
        <v>50</v>
      </c>
      <c r="G19" s="22" t="s">
        <v>47</v>
      </c>
    </row>
    <row r="20" spans="2:7" x14ac:dyDescent="0.25">
      <c r="B20" s="32"/>
      <c r="C20" s="27" t="s">
        <v>49</v>
      </c>
      <c r="D20" s="25">
        <f>2*40+2*65+1*70+1*122</f>
        <v>402</v>
      </c>
      <c r="F20" t="s">
        <v>51</v>
      </c>
    </row>
    <row r="21" spans="2:7" x14ac:dyDescent="0.25">
      <c r="B21" s="32"/>
      <c r="C21" s="27" t="s">
        <v>52</v>
      </c>
      <c r="D21" s="25">
        <v>13400</v>
      </c>
      <c r="F21" t="s">
        <v>81</v>
      </c>
    </row>
    <row r="22" spans="2:7" x14ac:dyDescent="0.25">
      <c r="B22" s="33" t="s">
        <v>74</v>
      </c>
      <c r="C22" s="28"/>
      <c r="D22" s="29"/>
      <c r="E22" s="30"/>
      <c r="F22" s="30"/>
      <c r="G22" s="30"/>
    </row>
    <row r="23" spans="2:7" x14ac:dyDescent="0.25">
      <c r="B23" s="32"/>
      <c r="C23" s="27" t="s">
        <v>75</v>
      </c>
      <c r="D23" s="25">
        <v>100</v>
      </c>
      <c r="F23" t="s">
        <v>76</v>
      </c>
      <c r="G23" s="22" t="s">
        <v>77</v>
      </c>
    </row>
    <row r="24" spans="2:7" x14ac:dyDescent="0.25">
      <c r="B24" s="26" t="s">
        <v>18</v>
      </c>
      <c r="C24" s="30"/>
      <c r="D24" s="29"/>
      <c r="E24" s="30"/>
      <c r="F24" s="30"/>
      <c r="G24" s="30"/>
    </row>
    <row r="25" spans="2:7" x14ac:dyDescent="0.25">
      <c r="B25" s="32"/>
      <c r="C25" s="27" t="s">
        <v>82</v>
      </c>
      <c r="D25" s="25">
        <f>4*66</f>
        <v>264</v>
      </c>
      <c r="F25" t="s">
        <v>55</v>
      </c>
      <c r="G25" s="22" t="s">
        <v>54</v>
      </c>
    </row>
    <row r="26" spans="2:7" x14ac:dyDescent="0.25">
      <c r="B26" s="31" t="s">
        <v>69</v>
      </c>
      <c r="C26" s="30"/>
      <c r="D26" s="29"/>
      <c r="E26" s="30"/>
      <c r="F26" s="30"/>
      <c r="G26" s="30"/>
    </row>
    <row r="27" spans="2:7" x14ac:dyDescent="0.25">
      <c r="B27" s="32"/>
      <c r="C27" s="27" t="s">
        <v>56</v>
      </c>
      <c r="D27" s="25">
        <v>5000</v>
      </c>
      <c r="F27" t="s">
        <v>57</v>
      </c>
    </row>
    <row r="28" spans="2:7" x14ac:dyDescent="0.25">
      <c r="B28" s="32"/>
      <c r="C28" s="27" t="s">
        <v>78</v>
      </c>
      <c r="D28" s="25">
        <f>42+50</f>
        <v>92</v>
      </c>
      <c r="F28" t="s">
        <v>80</v>
      </c>
      <c r="G28" s="22" t="s">
        <v>79</v>
      </c>
    </row>
    <row r="29" spans="2:7" x14ac:dyDescent="0.25">
      <c r="B29" s="26" t="s">
        <v>28</v>
      </c>
      <c r="C29" s="30"/>
      <c r="D29" s="29"/>
      <c r="E29" s="30"/>
      <c r="F29" s="30"/>
      <c r="G29" s="30"/>
    </row>
    <row r="30" spans="2:7" x14ac:dyDescent="0.25">
      <c r="B30" s="32"/>
      <c r="C30" s="27" t="s">
        <v>59</v>
      </c>
      <c r="D30" s="25">
        <f>SUM(D7:D28)</f>
        <v>23716.35</v>
      </c>
    </row>
    <row r="31" spans="2:7" x14ac:dyDescent="0.25">
      <c r="B31" s="32"/>
      <c r="C31" s="27" t="s">
        <v>58</v>
      </c>
      <c r="D31" s="25">
        <f>D30-D21</f>
        <v>10316.349999999999</v>
      </c>
    </row>
    <row r="36" spans="2:8" x14ac:dyDescent="0.25">
      <c r="B36" s="1" t="s">
        <v>0</v>
      </c>
      <c r="C36" s="2"/>
      <c r="D36" s="2"/>
      <c r="E36" s="3"/>
      <c r="F36" s="4"/>
      <c r="G36" s="21"/>
      <c r="H36" s="4"/>
    </row>
    <row r="37" spans="2:8" x14ac:dyDescent="0.25">
      <c r="B37" s="5" t="s">
        <v>1</v>
      </c>
      <c r="C37" s="6" t="s">
        <v>2</v>
      </c>
      <c r="D37" s="7" t="s">
        <v>3</v>
      </c>
      <c r="E37" s="7" t="s">
        <v>4</v>
      </c>
      <c r="F37" s="8" t="s">
        <v>5</v>
      </c>
      <c r="G37" s="7"/>
      <c r="H37" s="8"/>
    </row>
    <row r="38" spans="2:8" x14ac:dyDescent="0.25">
      <c r="B38" s="9" t="s">
        <v>6</v>
      </c>
      <c r="C38" s="10">
        <v>3700</v>
      </c>
      <c r="D38" s="11" t="s">
        <v>29</v>
      </c>
      <c r="E38" s="12" t="s">
        <v>7</v>
      </c>
      <c r="F38" s="13" t="s">
        <v>8</v>
      </c>
      <c r="G38" s="12"/>
      <c r="H38" s="13"/>
    </row>
    <row r="39" spans="2:8" x14ac:dyDescent="0.25">
      <c r="B39" s="9" t="s">
        <v>9</v>
      </c>
      <c r="C39" s="10">
        <v>4200</v>
      </c>
      <c r="D39" s="11" t="s">
        <v>10</v>
      </c>
      <c r="E39" s="12" t="s">
        <v>11</v>
      </c>
      <c r="F39" s="13" t="s">
        <v>8</v>
      </c>
      <c r="G39" s="12"/>
      <c r="H39" s="13"/>
    </row>
    <row r="40" spans="2:8" x14ac:dyDescent="0.25">
      <c r="B40" s="9" t="s">
        <v>12</v>
      </c>
      <c r="C40" s="10">
        <v>400</v>
      </c>
      <c r="D40" s="11" t="s">
        <v>13</v>
      </c>
      <c r="E40" s="12" t="s">
        <v>11</v>
      </c>
      <c r="F40" s="13" t="s">
        <v>8</v>
      </c>
      <c r="G40" s="12"/>
      <c r="H40" s="13"/>
    </row>
    <row r="41" spans="2:8" x14ac:dyDescent="0.25">
      <c r="B41" s="9" t="s">
        <v>14</v>
      </c>
      <c r="C41" s="10">
        <v>300</v>
      </c>
      <c r="D41" s="11" t="s">
        <v>15</v>
      </c>
      <c r="E41" s="12" t="s">
        <v>16</v>
      </c>
      <c r="F41" s="13" t="s">
        <v>17</v>
      </c>
      <c r="G41" s="12"/>
      <c r="H41" s="13"/>
    </row>
    <row r="42" spans="2:8" x14ac:dyDescent="0.25">
      <c r="B42" s="9" t="s">
        <v>18</v>
      </c>
      <c r="C42" s="10">
        <v>900</v>
      </c>
      <c r="D42" s="11" t="s">
        <v>19</v>
      </c>
      <c r="E42" s="12" t="s">
        <v>11</v>
      </c>
      <c r="F42" s="13" t="s">
        <v>20</v>
      </c>
      <c r="G42" s="12"/>
      <c r="H42" s="13"/>
    </row>
    <row r="43" spans="2:8" x14ac:dyDescent="0.25">
      <c r="B43" s="9" t="s">
        <v>21</v>
      </c>
      <c r="C43" s="10">
        <v>5000</v>
      </c>
      <c r="D43" s="11" t="s">
        <v>22</v>
      </c>
      <c r="E43" s="12" t="s">
        <v>23</v>
      </c>
      <c r="F43" s="13" t="s">
        <v>24</v>
      </c>
      <c r="G43" s="12"/>
      <c r="H43" s="13"/>
    </row>
    <row r="44" spans="2:8" x14ac:dyDescent="0.25">
      <c r="B44" s="14" t="s">
        <v>25</v>
      </c>
      <c r="C44" s="10">
        <v>300</v>
      </c>
      <c r="D44" s="11" t="s">
        <v>26</v>
      </c>
      <c r="E44" s="12" t="s">
        <v>11</v>
      </c>
      <c r="F44" s="13" t="s">
        <v>27</v>
      </c>
      <c r="G44" s="12"/>
      <c r="H44" s="13"/>
    </row>
    <row r="45" spans="2:8" x14ac:dyDescent="0.25">
      <c r="B45" s="15" t="s">
        <v>28</v>
      </c>
      <c r="C45" s="16">
        <f>SUBTOTAL(109,Table1[Cost])</f>
        <v>14800</v>
      </c>
      <c r="D45" s="17"/>
      <c r="E45" s="18"/>
      <c r="F45" s="19"/>
      <c r="G45" s="18"/>
      <c r="H45" s="19"/>
    </row>
  </sheetData>
  <mergeCells count="1">
    <mergeCell ref="B36:E36"/>
  </mergeCells>
  <hyperlinks>
    <hyperlink ref="G15" r:id="rId1" display="https://au.rs-online.com/web/p/heat-shrink-tubing/8112707?cm_mmc=AU-PLA-DS3A-_-google-_-PLA_AU_Pmax_LocalStock_0923-_-20564329606-_--_-&amp;matchtype=&amp;&amp;gad_source=1&amp;gclid=CjwKCAiAneK8BhAVEiwAoy2HYXoFpBGeojlNaiXWkkvFvjR7XvhJtfB7VNvn4cJNJvHb0pYfLKr3LhoCDlEQAvD_BwE&amp;gclsrc=aw.ds2" xr:uid="{F6DE2D10-1785-4926-84ED-84DADACD64D6}"/>
    <hyperlink ref="G19" r:id="rId2" xr:uid="{0FF75BFC-5FF4-480A-9371-278CF8A24822}"/>
    <hyperlink ref="G25" r:id="rId3" xr:uid="{3B3BE78A-F69C-4AC2-9947-5E54F35B67A0}"/>
    <hyperlink ref="G23" r:id="rId4" xr:uid="{6D435896-2B13-4673-9FF3-2369BC8FB53E}"/>
    <hyperlink ref="G28" r:id="rId5" xr:uid="{B9AFF283-BD35-4CEE-B741-EB5C585CEDAE}"/>
  </hyperlinks>
  <pageMargins left="0.7" right="0.7" top="0.75" bottom="0.75" header="0.3" footer="0.3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411A0-DC73-430D-BB94-0FCD773FE51F}">
  <dimension ref="A1:G21"/>
  <sheetViews>
    <sheetView tabSelected="1" workbookViewId="0">
      <selection activeCell="A12" sqref="A12"/>
    </sheetView>
  </sheetViews>
  <sheetFormatPr defaultRowHeight="15" x14ac:dyDescent="0.25"/>
  <cols>
    <col min="1" max="1" width="27.140625" customWidth="1"/>
    <col min="2" max="2" width="14.5703125" bestFit="1" customWidth="1"/>
    <col min="3" max="3" width="23.7109375" bestFit="1" customWidth="1"/>
    <col min="4" max="4" width="12.7109375" bestFit="1" customWidth="1"/>
    <col min="5" max="5" width="9.85546875" bestFit="1" customWidth="1"/>
    <col min="6" max="6" width="68.7109375" bestFit="1" customWidth="1"/>
  </cols>
  <sheetData>
    <row r="1" spans="1:7" ht="39.75" customHeight="1" x14ac:dyDescent="0.25">
      <c r="A1" s="23" t="s">
        <v>85</v>
      </c>
    </row>
    <row r="2" spans="1:7" x14ac:dyDescent="0.25">
      <c r="C2" t="s">
        <v>72</v>
      </c>
      <c r="D2" t="s">
        <v>63</v>
      </c>
      <c r="E2" t="s">
        <v>64</v>
      </c>
      <c r="F2" t="s">
        <v>3</v>
      </c>
      <c r="G2" t="s">
        <v>73</v>
      </c>
    </row>
    <row r="3" spans="1:7" x14ac:dyDescent="0.25">
      <c r="A3" t="s">
        <v>53</v>
      </c>
      <c r="B3" s="26" t="s">
        <v>6</v>
      </c>
      <c r="C3" s="30"/>
      <c r="D3" s="30"/>
      <c r="E3" s="30"/>
      <c r="F3" s="30"/>
      <c r="G3" s="30"/>
    </row>
    <row r="4" spans="1:7" x14ac:dyDescent="0.25">
      <c r="B4" s="32"/>
      <c r="C4" s="27" t="s">
        <v>32</v>
      </c>
      <c r="D4" s="25">
        <f>2*120</f>
        <v>240</v>
      </c>
      <c r="E4" s="25">
        <f>D4+D4*0.5</f>
        <v>360</v>
      </c>
      <c r="F4" t="s">
        <v>66</v>
      </c>
    </row>
    <row r="5" spans="1:7" x14ac:dyDescent="0.25">
      <c r="A5">
        <f>21+2+2+2+2+1+1+2+2+2+1+1+1+1+1+1+1+6+1+1+1+1+1+5+3</f>
        <v>63</v>
      </c>
      <c r="B5" s="32"/>
      <c r="C5" s="27" t="s">
        <v>30</v>
      </c>
      <c r="D5" s="24">
        <f>80</f>
        <v>80</v>
      </c>
      <c r="F5" s="20" t="s">
        <v>86</v>
      </c>
    </row>
    <row r="6" spans="1:7" x14ac:dyDescent="0.25">
      <c r="B6" s="32"/>
      <c r="C6" s="27" t="s">
        <v>60</v>
      </c>
      <c r="D6" s="24">
        <f>55+65+22+97+2*30</f>
        <v>299</v>
      </c>
      <c r="F6" s="20" t="s">
        <v>62</v>
      </c>
    </row>
    <row r="7" spans="1:7" x14ac:dyDescent="0.25">
      <c r="B7" s="26" t="s">
        <v>9</v>
      </c>
      <c r="C7" s="28"/>
      <c r="D7" s="29"/>
      <c r="E7" s="30"/>
      <c r="F7" s="30"/>
      <c r="G7" s="30"/>
    </row>
    <row r="8" spans="1:7" x14ac:dyDescent="0.25">
      <c r="B8" s="32"/>
      <c r="C8" s="27" t="s">
        <v>36</v>
      </c>
      <c r="D8" s="25">
        <f>44.95*3*4</f>
        <v>539.40000000000009</v>
      </c>
      <c r="F8" t="s">
        <v>44</v>
      </c>
    </row>
    <row r="9" spans="1:7" x14ac:dyDescent="0.25">
      <c r="B9" s="32"/>
      <c r="C9" s="27" t="s">
        <v>37</v>
      </c>
      <c r="D9" s="25">
        <f>2.65*63</f>
        <v>166.95</v>
      </c>
      <c r="F9" t="s">
        <v>43</v>
      </c>
    </row>
    <row r="10" spans="1:7" x14ac:dyDescent="0.25">
      <c r="B10" s="32"/>
      <c r="C10" s="27" t="s">
        <v>38</v>
      </c>
      <c r="D10" s="25">
        <f>40*12</f>
        <v>480</v>
      </c>
      <c r="F10" t="s">
        <v>42</v>
      </c>
      <c r="G10" s="22" t="s">
        <v>41</v>
      </c>
    </row>
    <row r="11" spans="1:7" x14ac:dyDescent="0.25">
      <c r="B11" s="32"/>
      <c r="C11" s="27" t="s">
        <v>39</v>
      </c>
      <c r="D11" s="25">
        <v>1000</v>
      </c>
      <c r="F11" t="s">
        <v>45</v>
      </c>
    </row>
    <row r="12" spans="1:7" x14ac:dyDescent="0.25">
      <c r="B12" s="32"/>
      <c r="C12" s="27" t="s">
        <v>40</v>
      </c>
      <c r="D12" s="25">
        <v>200</v>
      </c>
      <c r="F12" t="s">
        <v>46</v>
      </c>
    </row>
    <row r="13" spans="1:7" x14ac:dyDescent="0.25">
      <c r="B13" s="31" t="s">
        <v>70</v>
      </c>
      <c r="C13" s="28"/>
      <c r="D13" s="29"/>
      <c r="E13" s="30"/>
      <c r="F13" s="30"/>
      <c r="G13" s="30"/>
    </row>
    <row r="14" spans="1:7" x14ac:dyDescent="0.25">
      <c r="B14" s="32"/>
      <c r="C14" s="27" t="s">
        <v>52</v>
      </c>
      <c r="D14" s="25">
        <v>13400</v>
      </c>
      <c r="F14" t="s">
        <v>81</v>
      </c>
    </row>
    <row r="15" spans="1:7" x14ac:dyDescent="0.25">
      <c r="B15" s="33" t="s">
        <v>74</v>
      </c>
      <c r="C15" s="28"/>
      <c r="D15" s="29"/>
      <c r="E15" s="30"/>
      <c r="F15" s="30"/>
      <c r="G15" s="30"/>
    </row>
    <row r="16" spans="1:7" x14ac:dyDescent="0.25">
      <c r="B16" s="32"/>
      <c r="C16" s="27" t="s">
        <v>75</v>
      </c>
      <c r="D16" s="25">
        <v>100</v>
      </c>
      <c r="F16" t="s">
        <v>76</v>
      </c>
      <c r="G16" s="22" t="s">
        <v>77</v>
      </c>
    </row>
    <row r="17" spans="2:7" x14ac:dyDescent="0.25">
      <c r="B17" s="31" t="s">
        <v>69</v>
      </c>
      <c r="C17" s="30"/>
      <c r="D17" s="29"/>
      <c r="E17" s="30"/>
      <c r="F17" s="30"/>
      <c r="G17" s="30"/>
    </row>
    <row r="18" spans="2:7" x14ac:dyDescent="0.25">
      <c r="B18" s="32"/>
      <c r="C18" s="27" t="s">
        <v>56</v>
      </c>
      <c r="D18" s="25">
        <v>5000</v>
      </c>
      <c r="F18" t="s">
        <v>57</v>
      </c>
    </row>
    <row r="19" spans="2:7" x14ac:dyDescent="0.25">
      <c r="B19" s="26" t="s">
        <v>28</v>
      </c>
      <c r="C19" s="30"/>
      <c r="D19" s="29"/>
      <c r="E19" s="30"/>
      <c r="F19" s="30"/>
      <c r="G19" s="30"/>
    </row>
    <row r="20" spans="2:7" x14ac:dyDescent="0.25">
      <c r="B20" s="32"/>
      <c r="C20" s="27" t="s">
        <v>59</v>
      </c>
      <c r="D20" s="25">
        <f>SUM(D5:D18)</f>
        <v>21265.35</v>
      </c>
    </row>
    <row r="21" spans="2:7" x14ac:dyDescent="0.25">
      <c r="B21" s="32"/>
      <c r="C21" s="27" t="s">
        <v>58</v>
      </c>
      <c r="D21" s="25">
        <f>D20-D14</f>
        <v>7865.3499999999985</v>
      </c>
    </row>
  </sheetData>
  <hyperlinks>
    <hyperlink ref="G10" r:id="rId1" display="https://au.rs-online.com/web/p/heat-shrink-tubing/8112707?cm_mmc=AU-PLA-DS3A-_-google-_-PLA_AU_Pmax_LocalStock_0923-_-20564329606-_--_-&amp;matchtype=&amp;&amp;gad_source=1&amp;gclid=CjwKCAiAneK8BhAVEiwAoy2HYXoFpBGeojlNaiXWkkvFvjR7XvhJtfB7VNvn4cJNJvHb0pYfLKr3LhoCDlEQAvD_BwE&amp;gclsrc=aw.ds2" xr:uid="{62C0D614-D924-443F-B738-586ADF4705C9}"/>
    <hyperlink ref="G16" r:id="rId2" xr:uid="{A76FD9CD-658A-4765-BDE0-E361758A2E0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Splurge Budget</vt:lpstr>
      <vt:lpstr>Realisitic Budget</vt:lpstr>
      <vt:lpstr>Skeleton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Lukes</dc:creator>
  <cp:lastModifiedBy>Jacob Lukes</cp:lastModifiedBy>
  <dcterms:created xsi:type="dcterms:W3CDTF">2025-01-28T08:43:12Z</dcterms:created>
  <dcterms:modified xsi:type="dcterms:W3CDTF">2025-01-28T12:21:02Z</dcterms:modified>
</cp:coreProperties>
</file>