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A.Github\NU-Racing-Lead-MCHA-2025\Comp\ESF\"/>
    </mc:Choice>
  </mc:AlternateContent>
  <xr:revisionPtr revIDLastSave="0" documentId="13_ncr:1_{7391F83A-C5B7-46CC-AB31-68483DA2D4B0}" xr6:coauthVersionLast="47" xr6:coauthVersionMax="47" xr10:uidLastSave="{00000000-0000-0000-0000-000000000000}"/>
  <workbookProtection workbookAlgorithmName="SHA-512" workbookHashValue="FvFJ8WkjH8jRMIZ77LlTRccL+ETiePxo1E/Cx3KsAewBlMtCs2hBwZDWz9CabsIsKpKW3PdSNuKNBdIYa1nbGA==" workbookSaltValue="J06lU+lZ0d7XpZLg32cIUg==" workbookSpinCount="100000" lockStructure="1"/>
  <bookViews>
    <workbookView xWindow="-98" yWindow="-98" windowWidth="19396" windowHeight="11475" firstSheet="4" activeTab="6" xr2:uid="{264C0955-295F-4602-9FD2-B4021799DABE}"/>
  </bookViews>
  <sheets>
    <sheet name="Overview" sheetId="10" r:id="rId1"/>
    <sheet name="Datasheets" sheetId="1" r:id="rId2"/>
    <sheet name="TS Schematics" sheetId="9" r:id="rId3"/>
    <sheet name="Accumulator" sheetId="3" r:id="rId4"/>
    <sheet name="PrechargeDischarge" sheetId="4" r:id="rId5"/>
    <sheet name="Charging" sheetId="5" r:id="rId6"/>
    <sheet name="Shutdown Circuit" sheetId="2" r:id="rId7"/>
    <sheet name="Torque Security" sheetId="6" r:id="rId8"/>
    <sheet name="Other" sheetId="7" r:id="rId9"/>
  </sheets>
  <definedNames>
    <definedName name="AccumulatorStatuses">INDIRECT({"Accumulator!$I$8","Accumulator!$P$8","Accumulator!$V$8","Accumulator!$AC$8","Accumulator!$Z$52","Accumulator!$Q$52","Accumulator!$H$52","Accumulator!$F$58"})</definedName>
    <definedName name="BattCellCapacity">Datasheets!$D$5</definedName>
    <definedName name="BattCellMaxV">Datasheets!$D$6</definedName>
    <definedName name="BattCellNomV">Datasheets!$D$7</definedName>
    <definedName name="BusCap">PrechargeDischarge!$D$10</definedName>
    <definedName name="CellsPerTempSensor">Accumulator!$Q$25</definedName>
    <definedName name="ConductorNames">Datasheets!$A$19:$A$37</definedName>
    <definedName name="ConductorsTable">Datasheets!$A$19:$I$37</definedName>
    <definedName name="ConnectorNames">Datasheets!$A$73:$A$91</definedName>
    <definedName name="ConnectorsTable">Datasheets!$A$73:$F$91</definedName>
    <definedName name="ContactorNames">Datasheets!$A$65:$A$69</definedName>
    <definedName name="ContactorsTable">Datasheets!$A$65:$G$69</definedName>
    <definedName name="DischargeRes">PrechargeDischarge!$J$6</definedName>
    <definedName name="ErrorText">"WARNING"</definedName>
    <definedName name="FuseNames">Datasheets!$A$41:$A$52</definedName>
    <definedName name="FusesTable">Datasheets!$A$41:$G$52</definedName>
    <definedName name="FusibleLink_Current1">Accumulator!#REF!</definedName>
    <definedName name="FusibleLink_Current10">Accumulator!#REF!</definedName>
    <definedName name="FusibleLink_Current11">Accumulator!#REF!</definedName>
    <definedName name="FusibleLink_Current12">Accumulator!#REF!</definedName>
    <definedName name="FusibleLink_Current13">Accumulator!#REF!</definedName>
    <definedName name="FusibleLink_Current14">Accumulator!#REF!</definedName>
    <definedName name="FusibleLink_Current15">Accumulator!#REF!</definedName>
    <definedName name="FusibleLink_Current16">Accumulator!#REF!</definedName>
    <definedName name="FusibleLink_Current2">Accumulator!#REF!</definedName>
    <definedName name="FusibleLink_Current3">Accumulator!#REF!</definedName>
    <definedName name="FusibleLink_Current4">Accumulator!#REF!</definedName>
    <definedName name="FusibleLink_Current5">Accumulator!#REF!</definedName>
    <definedName name="FusibleLink_Current6">Accumulator!#REF!</definedName>
    <definedName name="FusibleLink_Current7">Accumulator!#REF!</definedName>
    <definedName name="FusibleLink_Current8">Accumulator!#REF!</definedName>
    <definedName name="FusibleLink_Current9">Accumulator!#REF!</definedName>
    <definedName name="FusibleLink_Time1">Accumulator!#REF!</definedName>
    <definedName name="FusibleLink_Time10">Accumulator!#REF!</definedName>
    <definedName name="FusibleLink_Time11">Accumulator!#REF!</definedName>
    <definedName name="FusibleLink_Time12">Accumulator!#REF!</definedName>
    <definedName name="FusibleLink_Time13">Accumulator!#REF!</definedName>
    <definedName name="FusibleLink_Time14">Accumulator!#REF!</definedName>
    <definedName name="FusibleLink_Time15">Accumulator!#REF!</definedName>
    <definedName name="FusibleLink_Time16">Accumulator!#REF!</definedName>
    <definedName name="FusibleLink_Time2">Accumulator!#REF!</definedName>
    <definedName name="FusibleLink_Time3">Accumulator!#REF!</definedName>
    <definedName name="FusibleLink_Time4">Accumulator!#REF!</definedName>
    <definedName name="FusibleLink_Time5">Accumulator!#REF!</definedName>
    <definedName name="FusibleLink_Time6">Accumulator!#REF!</definedName>
    <definedName name="FusibleLink_Time7">Accumulator!#REF!</definedName>
    <definedName name="FusibleLink_Time8">Accumulator!#REF!</definedName>
    <definedName name="FusibleLink_Time9">Accumulator!#REF!</definedName>
    <definedName name="IncompleteText">"BLANK"</definedName>
    <definedName name="InsulationNames">Datasheets!$A$95:$A$104</definedName>
    <definedName name="InsulationsTable">Datasheets!$A$95:$H$104</definedName>
    <definedName name="MaxTSVoltage">Accumulator!$G$4</definedName>
    <definedName name="NominalTSVoltage">Accumulator!$G$5</definedName>
    <definedName name="NumAccum">Accumulator!$G$3</definedName>
    <definedName name="OKText">"OK"</definedName>
    <definedName name="PrechargeRes">PrechargeDischarge!$D$6</definedName>
    <definedName name="ResistorsNames">Datasheets!$A$56:$A$61</definedName>
    <definedName name="ResistorsTable">Datasheets!$A$56:$J$61</definedName>
    <definedName name="TotalCells">Accumulator!$G$6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7" l="1"/>
  <c r="Q28" i="7" s="1"/>
  <c r="W82" i="2" l="1"/>
  <c r="L21" i="3" l="1"/>
  <c r="L22" i="3"/>
  <c r="L23" i="3"/>
  <c r="L24" i="3"/>
  <c r="L25" i="3"/>
  <c r="L26" i="3"/>
  <c r="L27" i="3"/>
  <c r="L28" i="3"/>
  <c r="L29" i="3"/>
  <c r="S55" i="3"/>
  <c r="S54" i="3"/>
  <c r="R14" i="4" l="1"/>
  <c r="R13" i="4"/>
  <c r="R12" i="4"/>
  <c r="W81" i="2"/>
  <c r="W80" i="2"/>
  <c r="R11" i="4"/>
  <c r="W78" i="2"/>
  <c r="W79" i="2" l="1"/>
  <c r="W77" i="2"/>
  <c r="S17" i="3"/>
  <c r="J71" i="3"/>
  <c r="J70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K70" i="3"/>
  <c r="K69" i="3"/>
  <c r="E76" i="3"/>
  <c r="D76" i="3"/>
  <c r="K54" i="9"/>
  <c r="Y23" i="3"/>
  <c r="K51" i="2" l="1"/>
  <c r="J55" i="3"/>
  <c r="F95" i="1"/>
  <c r="L95" i="1" s="1"/>
  <c r="K67" i="1"/>
  <c r="K68" i="1"/>
  <c r="K69" i="1"/>
  <c r="K66" i="1"/>
  <c r="K65" i="1"/>
  <c r="K49" i="2"/>
  <c r="H63" i="3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0" i="1"/>
  <c r="K19" i="1"/>
  <c r="J75" i="1" l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74" i="1"/>
  <c r="J73" i="1"/>
  <c r="N58" i="1"/>
  <c r="N59" i="1"/>
  <c r="N60" i="1"/>
  <c r="N61" i="1"/>
  <c r="N57" i="1"/>
  <c r="N56" i="1"/>
  <c r="K43" i="1"/>
  <c r="K44" i="1"/>
  <c r="K45" i="1"/>
  <c r="K46" i="1"/>
  <c r="K47" i="1"/>
  <c r="K48" i="1"/>
  <c r="K49" i="1"/>
  <c r="K50" i="1"/>
  <c r="K51" i="1"/>
  <c r="K52" i="1"/>
  <c r="K42" i="1"/>
  <c r="K41" i="1"/>
  <c r="W76" i="2"/>
  <c r="W75" i="2" s="1"/>
  <c r="R4" i="4" l="1"/>
  <c r="R5" i="4"/>
  <c r="W34" i="9"/>
  <c r="K34" i="9"/>
  <c r="W41" i="9"/>
  <c r="J56" i="3"/>
  <c r="Y11" i="3" l="1"/>
  <c r="S24" i="3"/>
  <c r="A65" i="1"/>
  <c r="R3" i="4" l="1"/>
  <c r="G4" i="3" a="1"/>
  <c r="G4" i="3" s="1"/>
  <c r="I4" i="3" s="1"/>
  <c r="G5" i="3" a="1"/>
  <c r="G5" i="3" s="1"/>
  <c r="L9" i="3"/>
  <c r="G6" i="3"/>
  <c r="H12" i="3"/>
  <c r="S12" i="3" l="1"/>
  <c r="L15" i="10"/>
  <c r="J12" i="3"/>
  <c r="L12" i="3" s="1"/>
  <c r="J53" i="3"/>
  <c r="H64" i="3"/>
  <c r="H29" i="3"/>
  <c r="J29" i="3" s="1"/>
  <c r="H28" i="3"/>
  <c r="J28" i="3" s="1"/>
  <c r="H27" i="3"/>
  <c r="J27" i="3" s="1"/>
  <c r="H26" i="3"/>
  <c r="J26" i="3" s="1"/>
  <c r="H25" i="3"/>
  <c r="J25" i="3" s="1"/>
  <c r="H24" i="3"/>
  <c r="J24" i="3" s="1"/>
  <c r="H23" i="3"/>
  <c r="J23" i="3" s="1"/>
  <c r="H22" i="3"/>
  <c r="J22" i="3" s="1"/>
  <c r="H21" i="3"/>
  <c r="J21" i="3" s="1"/>
  <c r="H20" i="3"/>
  <c r="H19" i="3"/>
  <c r="H18" i="3"/>
  <c r="H17" i="3"/>
  <c r="J17" i="3" s="1"/>
  <c r="L17" i="3" s="1"/>
  <c r="H16" i="3"/>
  <c r="H15" i="3"/>
  <c r="J15" i="3" s="1"/>
  <c r="L15" i="3" s="1"/>
  <c r="H14" i="3"/>
  <c r="H13" i="3"/>
  <c r="S13" i="3" l="1"/>
  <c r="J14" i="3"/>
  <c r="L14" i="3" s="1"/>
  <c r="J19" i="3"/>
  <c r="L19" i="3" s="1"/>
  <c r="J20" i="3"/>
  <c r="L20" i="3" s="1"/>
  <c r="J16" i="3"/>
  <c r="L16" i="3" s="1"/>
  <c r="J18" i="3"/>
  <c r="L18" i="3" s="1"/>
  <c r="J13" i="3"/>
  <c r="L13" i="3" s="1"/>
  <c r="Q39" i="5"/>
  <c r="H39" i="5"/>
  <c r="Q30" i="3" l="1"/>
  <c r="S30" i="3" s="1"/>
  <c r="L8" i="3"/>
  <c r="F69" i="3"/>
  <c r="F70" i="3"/>
  <c r="F71" i="3"/>
  <c r="F72" i="3"/>
  <c r="H72" i="3" s="1"/>
  <c r="F11" i="4"/>
  <c r="S18" i="3" l="1"/>
  <c r="S23" i="3"/>
  <c r="H69" i="3" l="1"/>
  <c r="A19" i="1"/>
  <c r="A80" i="1"/>
  <c r="A94" i="1"/>
  <c r="A86" i="1"/>
  <c r="A26" i="1"/>
  <c r="A70" i="1"/>
  <c r="A104" i="1"/>
  <c r="A102" i="1"/>
  <c r="A87" i="1"/>
  <c r="A47" i="1"/>
  <c r="A23" i="1"/>
  <c r="A38" i="1"/>
  <c r="A46" i="1"/>
  <c r="A57" i="1"/>
  <c r="A60" i="1"/>
  <c r="A39" i="1"/>
  <c r="A48" i="1"/>
  <c r="A61" i="1"/>
  <c r="A101" i="1"/>
  <c r="A24" i="1"/>
  <c r="A34" i="1"/>
  <c r="A77" i="1"/>
  <c r="A53" i="1"/>
  <c r="A92" i="1"/>
  <c r="A72" i="1"/>
  <c r="A78" i="1"/>
  <c r="A52" i="1"/>
  <c r="A36" i="1"/>
  <c r="A64" i="1"/>
  <c r="A42" i="1"/>
  <c r="A97" i="1"/>
  <c r="A73" i="1"/>
  <c r="A82" i="1"/>
  <c r="A103" i="1"/>
  <c r="A68" i="1"/>
  <c r="A41" i="1"/>
  <c r="A40" i="1"/>
  <c r="A21" i="1"/>
  <c r="A59" i="1"/>
  <c r="A71" i="1"/>
  <c r="A58" i="1"/>
  <c r="A30" i="1"/>
  <c r="A84" i="1"/>
  <c r="A90" i="1"/>
  <c r="A50" i="1"/>
  <c r="A49" i="1"/>
  <c r="A96" i="1"/>
  <c r="A45" i="1"/>
  <c r="A67" i="1"/>
  <c r="A56" i="1"/>
  <c r="A81" i="1"/>
  <c r="A95" i="1"/>
  <c r="A44" i="1"/>
  <c r="A20" i="1"/>
  <c r="A93" i="1"/>
  <c r="A98" i="1"/>
  <c r="A33" i="1"/>
  <c r="A27" i="1"/>
  <c r="A66" i="1"/>
  <c r="A54" i="1"/>
  <c r="A63" i="1"/>
  <c r="A85" i="1"/>
  <c r="A74" i="1"/>
  <c r="A79" i="1"/>
  <c r="A91" i="1"/>
  <c r="A22" i="1"/>
  <c r="A51" i="1"/>
  <c r="A35" i="1"/>
  <c r="A100" i="1"/>
  <c r="A37" i="1"/>
  <c r="A29" i="1"/>
  <c r="A75" i="1"/>
  <c r="A89" i="1"/>
  <c r="A43" i="1"/>
  <c r="A62" i="1"/>
  <c r="A99" i="1"/>
  <c r="A88" i="1"/>
  <c r="A25" i="1"/>
  <c r="A32" i="1"/>
  <c r="A83" i="1"/>
  <c r="A31" i="1"/>
  <c r="A76" i="1"/>
  <c r="A28" i="1"/>
  <c r="A69" i="1"/>
  <c r="A55" i="1"/>
  <c r="P17" i="4" l="1"/>
  <c r="R17" i="4" s="1"/>
  <c r="P16" i="4"/>
  <c r="P15" i="4"/>
  <c r="R15" i="4" s="1"/>
  <c r="W24" i="3"/>
  <c r="AD20" i="3"/>
  <c r="AD16" i="3"/>
  <c r="AD12" i="3"/>
  <c r="P6" i="4"/>
  <c r="R6" i="4" s="1"/>
  <c r="J16" i="4"/>
  <c r="L16" i="4" s="1"/>
  <c r="W21" i="3"/>
  <c r="Y21" i="3" s="1"/>
  <c r="P8" i="4"/>
  <c r="R8" i="4" s="1"/>
  <c r="P7" i="4"/>
  <c r="AD19" i="3"/>
  <c r="AD15" i="3"/>
  <c r="AD11" i="3"/>
  <c r="Q21" i="3"/>
  <c r="S21" i="3" s="1"/>
  <c r="W12" i="3"/>
  <c r="J7" i="4"/>
  <c r="J6" i="4"/>
  <c r="W20" i="3"/>
  <c r="F65" i="3"/>
  <c r="Y24" i="3" l="1"/>
  <c r="R16" i="4"/>
  <c r="R10" i="4" s="1"/>
  <c r="R7" i="4"/>
  <c r="R2" i="4" s="1"/>
  <c r="L16" i="10"/>
  <c r="F14" i="4"/>
  <c r="S28" i="3" l="1"/>
  <c r="S29" i="3"/>
  <c r="S27" i="3"/>
  <c r="S25" i="3"/>
  <c r="S20" i="3"/>
  <c r="S19" i="3"/>
  <c r="S15" i="3"/>
  <c r="S14" i="3"/>
  <c r="S11" i="3"/>
  <c r="S10" i="3"/>
  <c r="S9" i="3"/>
  <c r="I3" i="3"/>
  <c r="W39" i="2" l="1"/>
  <c r="F6" i="7"/>
  <c r="S6" i="6"/>
  <c r="M6" i="2"/>
  <c r="F13" i="4"/>
  <c r="F2" i="1" l="1"/>
  <c r="L5" i="7" l="1"/>
  <c r="L4" i="7"/>
  <c r="L3" i="7"/>
  <c r="L2" i="7" s="1"/>
  <c r="F5" i="7"/>
  <c r="F4" i="7"/>
  <c r="F3" i="7"/>
  <c r="H29" i="7"/>
  <c r="H28" i="7" s="1"/>
  <c r="F2" i="7" l="1"/>
  <c r="B1" i="7" a="1"/>
  <c r="B1" i="7" l="1"/>
  <c r="L9" i="10" s="1"/>
  <c r="K43" i="9"/>
  <c r="W38" i="9"/>
  <c r="W39" i="9"/>
  <c r="W40" i="9"/>
  <c r="W35" i="9"/>
  <c r="W36" i="9"/>
  <c r="W37" i="9"/>
  <c r="K62" i="2"/>
  <c r="K60" i="2"/>
  <c r="K61" i="2"/>
  <c r="K35" i="9" l="1"/>
  <c r="K36" i="9"/>
  <c r="K37" i="9"/>
  <c r="K38" i="9"/>
  <c r="K39" i="9"/>
  <c r="K40" i="9"/>
  <c r="K41" i="9"/>
  <c r="K42" i="9"/>
  <c r="K48" i="9"/>
  <c r="K49" i="9"/>
  <c r="K50" i="9"/>
  <c r="K51" i="9"/>
  <c r="K52" i="9"/>
  <c r="K53" i="9"/>
  <c r="W33" i="9"/>
  <c r="W32" i="9"/>
  <c r="W31" i="9"/>
  <c r="W30" i="9"/>
  <c r="W28" i="9" s="1"/>
  <c r="K33" i="9"/>
  <c r="K32" i="9"/>
  <c r="K31" i="9"/>
  <c r="K30" i="9"/>
  <c r="BC53" i="3"/>
  <c r="BC52" i="3" s="1"/>
  <c r="AT53" i="3"/>
  <c r="AT52" i="3" s="1"/>
  <c r="AK53" i="3"/>
  <c r="AK52" i="3" s="1"/>
  <c r="K46" i="9" l="1"/>
  <c r="K28" i="9"/>
  <c r="S8" i="6"/>
  <c r="S9" i="6"/>
  <c r="S10" i="6"/>
  <c r="S11" i="6"/>
  <c r="S7" i="6"/>
  <c r="S2" i="6" s="1"/>
  <c r="H7" i="6"/>
  <c r="H8" i="6"/>
  <c r="H9" i="6"/>
  <c r="H10" i="6"/>
  <c r="H11" i="6"/>
  <c r="F8" i="6"/>
  <c r="F9" i="6"/>
  <c r="F10" i="6"/>
  <c r="F7" i="6"/>
  <c r="F6" i="6"/>
  <c r="F5" i="6"/>
  <c r="F5" i="2"/>
  <c r="F4" i="2"/>
  <c r="M8" i="2"/>
  <c r="M7" i="2"/>
  <c r="M5" i="2"/>
  <c r="M4" i="2"/>
  <c r="W40" i="2"/>
  <c r="W38" i="2"/>
  <c r="K39" i="2"/>
  <c r="K40" i="2"/>
  <c r="K41" i="2"/>
  <c r="K42" i="2"/>
  <c r="K43" i="2"/>
  <c r="K44" i="2"/>
  <c r="K45" i="2"/>
  <c r="K46" i="2"/>
  <c r="K47" i="2"/>
  <c r="K48" i="2"/>
  <c r="K50" i="2"/>
  <c r="K52" i="2"/>
  <c r="K53" i="2"/>
  <c r="K54" i="2"/>
  <c r="K55" i="2"/>
  <c r="K56" i="2"/>
  <c r="K57" i="2"/>
  <c r="K58" i="2"/>
  <c r="K59" i="2"/>
  <c r="K38" i="2"/>
  <c r="Q38" i="5"/>
  <c r="F10" i="5"/>
  <c r="F6" i="5"/>
  <c r="F7" i="5"/>
  <c r="F8" i="5"/>
  <c r="F9" i="5"/>
  <c r="Q37" i="5"/>
  <c r="H38" i="5"/>
  <c r="Q36" i="5"/>
  <c r="H36" i="5"/>
  <c r="H37" i="5"/>
  <c r="Q35" i="5"/>
  <c r="Q34" i="5"/>
  <c r="H35" i="5"/>
  <c r="H34" i="5"/>
  <c r="F4" i="5"/>
  <c r="F5" i="5"/>
  <c r="F11" i="5"/>
  <c r="F3" i="5"/>
  <c r="L13" i="4"/>
  <c r="L5" i="4"/>
  <c r="L4" i="4"/>
  <c r="L3" i="4"/>
  <c r="F20" i="4"/>
  <c r="F10" i="4"/>
  <c r="F5" i="4"/>
  <c r="F4" i="4"/>
  <c r="F3" i="4"/>
  <c r="F2" i="6" l="1"/>
  <c r="H32" i="5"/>
  <c r="Q32" i="5"/>
  <c r="F2" i="5"/>
  <c r="W36" i="2"/>
  <c r="M2" i="2"/>
  <c r="K36" i="2"/>
  <c r="F2" i="2"/>
  <c r="AB54" i="3"/>
  <c r="AB53" i="3"/>
  <c r="AB52" i="3" s="1"/>
  <c r="S53" i="3"/>
  <c r="J54" i="3"/>
  <c r="J52" i="3" s="1"/>
  <c r="B1" i="2" a="1"/>
  <c r="B1" i="2" l="1"/>
  <c r="S52" i="3"/>
  <c r="H70" i="3"/>
  <c r="H71" i="3"/>
  <c r="AF17" i="3"/>
  <c r="AF13" i="3"/>
  <c r="AF9" i="3"/>
  <c r="Y9" i="3"/>
  <c r="Y14" i="3"/>
  <c r="Y19" i="3"/>
  <c r="F96" i="1" l="1"/>
  <c r="F97" i="1"/>
  <c r="L97" i="1" s="1"/>
  <c r="F98" i="1"/>
  <c r="L98" i="1" s="1"/>
  <c r="F99" i="1"/>
  <c r="L99" i="1" s="1"/>
  <c r="F100" i="1"/>
  <c r="L100" i="1" s="1"/>
  <c r="F101" i="1"/>
  <c r="L101" i="1" s="1"/>
  <c r="F102" i="1"/>
  <c r="L102" i="1" s="1"/>
  <c r="F103" i="1"/>
  <c r="L103" i="1" s="1"/>
  <c r="F104" i="1"/>
  <c r="L104" i="1" s="1"/>
  <c r="L96" i="1" l="1"/>
  <c r="AD18" i="3"/>
  <c r="J15" i="4"/>
  <c r="J14" i="4"/>
  <c r="D22" i="4"/>
  <c r="D21" i="4"/>
  <c r="W15" i="3"/>
  <c r="W17" i="3"/>
  <c r="Y17" i="3" s="1"/>
  <c r="W16" i="3"/>
  <c r="J9" i="4"/>
  <c r="J8" i="4"/>
  <c r="D8" i="4"/>
  <c r="D6" i="4"/>
  <c r="D17" i="4" s="1"/>
  <c r="D9" i="4"/>
  <c r="F9" i="4" s="1"/>
  <c r="D7" i="4"/>
  <c r="AD14" i="3"/>
  <c r="AD10" i="3"/>
  <c r="W10" i="3"/>
  <c r="Y10" i="3" s="1"/>
  <c r="L93" i="1"/>
  <c r="K17" i="1"/>
  <c r="J71" i="1"/>
  <c r="K63" i="1"/>
  <c r="K39" i="1"/>
  <c r="N54" i="1"/>
  <c r="C1" i="1" a="1"/>
  <c r="AF15" i="3" l="1"/>
  <c r="AF11" i="3"/>
  <c r="C1" i="1"/>
  <c r="L2" i="10" s="1"/>
  <c r="AF19" i="3"/>
  <c r="AF18" i="3"/>
  <c r="AF10" i="3"/>
  <c r="AF14" i="3"/>
  <c r="H65" i="3"/>
  <c r="H66" i="3"/>
  <c r="S8" i="3"/>
  <c r="H62" i="3" l="1"/>
  <c r="AF8" i="3"/>
  <c r="L9" i="4"/>
  <c r="L14" i="4"/>
  <c r="J11" i="4"/>
  <c r="L15" i="4" s="1"/>
  <c r="F21" i="4"/>
  <c r="J10" i="4"/>
  <c r="L8" i="4"/>
  <c r="J12" i="4"/>
  <c r="L12" i="4" s="1"/>
  <c r="D15" i="4"/>
  <c r="D16" i="4"/>
  <c r="F22" i="4" s="1"/>
  <c r="Y15" i="3"/>
  <c r="Y8" i="3" s="1"/>
  <c r="D18" i="4"/>
  <c r="D19" i="4" s="1"/>
  <c r="B1" i="3" a="1"/>
  <c r="B1" i="3" l="1"/>
  <c r="L2" i="4"/>
  <c r="F2" i="4"/>
  <c r="B1" i="4" a="1"/>
  <c r="B1" i="4" l="1"/>
  <c r="L4" i="10"/>
  <c r="B1" i="6"/>
  <c r="L8" i="10" l="1"/>
  <c r="L5" i="10" l="1"/>
  <c r="L7" i="10" l="1"/>
  <c r="B1" i="5" a="1"/>
  <c r="B1" i="5" l="1"/>
  <c r="L6" i="10" s="1"/>
  <c r="B1" i="9" a="1"/>
  <c r="B1" i="9" l="1"/>
  <c r="L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<sst xmlns="http://schemas.openxmlformats.org/spreadsheetml/2006/main" count="894" uniqueCount="589">
  <si>
    <t>Instructions</t>
  </si>
  <si>
    <t>Status</t>
  </si>
  <si>
    <r>
      <rPr>
        <b/>
        <sz val="11"/>
        <rFont val="Verdana"/>
        <family val="2"/>
        <scheme val="minor"/>
      </rPr>
      <t>Input Cells</t>
    </r>
    <r>
      <rPr>
        <sz val="11"/>
        <rFont val="Verdana"/>
        <family val="2"/>
        <scheme val="minor"/>
      </rPr>
      <t xml:space="preserve">: Cells that require user input have an orange background.
</t>
    </r>
    <r>
      <rPr>
        <b/>
        <sz val="11"/>
        <rFont val="Verdana"/>
        <family val="2"/>
        <scheme val="minor"/>
      </rPr>
      <t>Status Indicators</t>
    </r>
    <r>
      <rPr>
        <sz val="11"/>
        <rFont val="Verdana"/>
        <family val="2"/>
        <scheme val="minor"/>
      </rPr>
      <t xml:space="preserve">: Cells, sections, and worksheets each have an overall status, indicated by blue background cells.
</t>
    </r>
    <r>
      <rPr>
        <b/>
        <sz val="11"/>
        <rFont val="Verdana"/>
        <family val="2"/>
        <scheme val="minor"/>
      </rPr>
      <t>Images and Schematics</t>
    </r>
    <r>
      <rPr>
        <sz val="11"/>
        <rFont val="Verdana"/>
        <family val="2"/>
        <scheme val="minor"/>
      </rPr>
      <t xml:space="preserve">: For sections requiring images or schematics, paste the image over the specified area. Use high-resolution images to allow for zooming if needed, and then resize the image appropriately.
</t>
    </r>
    <r>
      <rPr>
        <b/>
        <sz val="11"/>
        <rFont val="Verdana"/>
        <family val="2"/>
        <scheme val="minor"/>
      </rPr>
      <t>Datasheets</t>
    </r>
    <r>
      <rPr>
        <sz val="11"/>
        <rFont val="Verdana"/>
        <family val="2"/>
        <scheme val="minor"/>
      </rPr>
      <t xml:space="preserve">: Provide a hyperlink to the manufacturer's datasheet where requested.
</t>
    </r>
    <r>
      <rPr>
        <b/>
        <sz val="11"/>
        <rFont val="Verdana"/>
        <family val="2"/>
        <scheme val="minor"/>
      </rPr>
      <t xml:space="preserve">
Additional Comments</t>
    </r>
    <r>
      <rPr>
        <sz val="11"/>
        <rFont val="Verdana"/>
        <family val="2"/>
        <scheme val="minor"/>
      </rPr>
      <t>: Sections labeled "Additional Comments" are provided for documenting anything the team feels is not adequately covered in the specified fields. Completing these sections is optional.</t>
    </r>
  </si>
  <si>
    <t>Datasheets</t>
  </si>
  <si>
    <t>TS Schematics</t>
  </si>
  <si>
    <t>Accumulator</t>
  </si>
  <si>
    <t>Precharge/Discharge</t>
  </si>
  <si>
    <t>Charging</t>
  </si>
  <si>
    <t>Shutdown Circuit</t>
  </si>
  <si>
    <t>Torque Security</t>
  </si>
  <si>
    <t>Other</t>
  </si>
  <si>
    <t>Team Name</t>
  </si>
  <si>
    <t>NU Racing</t>
  </si>
  <si>
    <t>University</t>
  </si>
  <si>
    <t>University of Newcastle</t>
  </si>
  <si>
    <t>Competition Year</t>
  </si>
  <si>
    <t>Max TS Voltage</t>
  </si>
  <si>
    <t>V</t>
  </si>
  <si>
    <t>Accumulator Fuse</t>
  </si>
  <si>
    <t>A</t>
  </si>
  <si>
    <t>Additional Comments</t>
  </si>
  <si>
    <t>Template Revision History</t>
  </si>
  <si>
    <t>Version</t>
  </si>
  <si>
    <t>Date</t>
  </si>
  <si>
    <t>Comment</t>
  </si>
  <si>
    <t>Updated for 2025 rules and terminology, general bug fixes.</t>
  </si>
  <si>
    <t>Updated for 2024 season.</t>
  </si>
  <si>
    <t>Updated for 2023 season.</t>
  </si>
  <si>
    <t>Updated for 2022 season.</t>
  </si>
  <si>
    <t>2.0</t>
  </si>
  <si>
    <t>Multiple updates and bug fixes.</t>
  </si>
  <si>
    <t>Battery Cell</t>
  </si>
  <si>
    <t>Make</t>
  </si>
  <si>
    <t>Sony Murata</t>
  </si>
  <si>
    <t>Model</t>
  </si>
  <si>
    <t>VTC6</t>
  </si>
  <si>
    <t>Nominal Capacity</t>
  </si>
  <si>
    <t>3.1</t>
  </si>
  <si>
    <t>Ahr</t>
  </si>
  <si>
    <t>Maximum Voltage</t>
  </si>
  <si>
    <t>4.2</t>
  </si>
  <si>
    <t>Nominal Voltage</t>
  </si>
  <si>
    <t>3.6</t>
  </si>
  <si>
    <t>Minimum Voltage</t>
  </si>
  <si>
    <t>2.5</t>
  </si>
  <si>
    <t>Max output current</t>
  </si>
  <si>
    <t>45</t>
  </si>
  <si>
    <t>Max continuous current</t>
  </si>
  <si>
    <t>30</t>
  </si>
  <si>
    <t>Max Cell temp</t>
  </si>
  <si>
    <t>60</t>
  </si>
  <si>
    <t>C</t>
  </si>
  <si>
    <t>Cell Chemistry</t>
  </si>
  <si>
    <t>LiPO4</t>
  </si>
  <si>
    <t>Datasheet</t>
  </si>
  <si>
    <t>https://enepaq.com/wp-content/uploads/2025/02/Datasheet_with_VTC6_rev_D2024-10-28-1.pdf</t>
  </si>
  <si>
    <t>SDS</t>
  </si>
  <si>
    <t>Cells are assembled in Energus li1x6pvtc6t packs</t>
  </si>
  <si>
    <t>Conductors</t>
  </si>
  <si>
    <t>Manufacturer</t>
  </si>
  <si>
    <t>Part Number</t>
  </si>
  <si>
    <r>
      <t>Size 
[mm</t>
    </r>
    <r>
      <rPr>
        <vertAlign val="superscript"/>
        <sz val="10"/>
        <color theme="1"/>
        <rFont val="Verdana"/>
        <family val="2"/>
        <scheme val="minor"/>
      </rPr>
      <t>2</t>
    </r>
    <r>
      <rPr>
        <sz val="11"/>
        <color theme="1"/>
        <rFont val="Verdana"/>
        <family val="2"/>
        <scheme val="minor"/>
      </rPr>
      <t>]</t>
    </r>
  </si>
  <si>
    <t>Voltage [V]</t>
  </si>
  <si>
    <t>Ampacity
[A]</t>
  </si>
  <si>
    <t>Max Temp [C]</t>
  </si>
  <si>
    <t>Location Used</t>
  </si>
  <si>
    <t>Rules References</t>
  </si>
  <si>
    <t>LAPP</t>
  </si>
  <si>
    <t>3806143</t>
  </si>
  <si>
    <t>https://lappaustralia.com.au/downloads/LAPP/LAPP%20AUS%20-%20SDI%20R-E-110%20LSZH%20-%20Tinned%20Switchboard%20Flex%20-%20Datasheet.pdf</t>
  </si>
  <si>
    <t>Accumulator to HIP</t>
  </si>
  <si>
    <t>Used between Accumulator and HIP</t>
  </si>
  <si>
    <t>EV.5.2.1
EV.5.2.5
EV.6.3
EV.6.3.2
EV.6.6.4</t>
  </si>
  <si>
    <t>3806142</t>
  </si>
  <si>
    <t>Used for short distances in the Accumulator</t>
  </si>
  <si>
    <t>16001303</t>
  </si>
  <si>
    <t>https://lappaustralia.com.au/files/attachments/LAPP/CAT2018_2019/LAPP-Main-Catalogue-2018-19%20_%2087.pdf</t>
  </si>
  <si>
    <t>Charger</t>
  </si>
  <si>
    <t>5 core length used between 3 phase outlet and charger input</t>
  </si>
  <si>
    <t>ELECTRA</t>
  </si>
  <si>
    <t>SRCV3025E</t>
  </si>
  <si>
    <t>https://cdn.shopify.com/s/files/1/0108/9116/5777/files/SRCV.pdf?v=1754739559</t>
  </si>
  <si>
    <t>4 core, used within charger to connect power supplies</t>
  </si>
  <si>
    <t>SRCV2025E</t>
  </si>
  <si>
    <t>DC, used within charger to connect Phase to Phase DC supply</t>
  </si>
  <si>
    <t>HELUKABEL</t>
  </si>
  <si>
    <t xml:space="preserve">29468 </t>
  </si>
  <si>
    <t>https://assets-cdn.helukabel.com/suppliers/Helukabel/documents/db/1DB_29450_en.pdf</t>
  </si>
  <si>
    <t>Used as Active, Neutral and Earth power outlet connections</t>
  </si>
  <si>
    <t>ELETECK</t>
  </si>
  <si>
    <t>E254881</t>
  </si>
  <si>
    <t>https://docs.rs-online.com/7294/0900766b815851f3.pdf</t>
  </si>
  <si>
    <t>Accumulator and HIP</t>
  </si>
  <si>
    <t>Used as auxilary wire when nessecery for HV, Such as Precharge, Discharge, etc</t>
  </si>
  <si>
    <t>EXRAD</t>
  </si>
  <si>
    <t>EXRAD-XHV/XLE-50</t>
  </si>
  <si>
    <t>https://www.champcable.com/wp-content/uploads/2018/08/212.-SAE-EXRAD-150-HVFX-XLE-Shielded-Battery-Cable.pdf</t>
  </si>
  <si>
    <t>HIP to Motor Controller</t>
  </si>
  <si>
    <t>Supplied by Cascadia as per of the Motor Controller as it has speciality connectors.</t>
  </si>
  <si>
    <t>Motor Controller to Motor</t>
  </si>
  <si>
    <t>Fuses</t>
  </si>
  <si>
    <t>Voltage 
[V]</t>
  </si>
  <si>
    <t>AC/DC</t>
  </si>
  <si>
    <t>Current 
[A]</t>
  </si>
  <si>
    <t>Interrupt 
[A]</t>
  </si>
  <si>
    <t>Littlefuse</t>
  </si>
  <si>
    <t>L50QS100.T</t>
  </si>
  <si>
    <t>DC</t>
  </si>
  <si>
    <t>https://au.mouser.com/datasheet/2/240/L50QS_High_Speed_Fuse_Datasheet-3311429.pdf</t>
  </si>
  <si>
    <t>Top Plate</t>
  </si>
  <si>
    <t>Main fuse in accumulator</t>
  </si>
  <si>
    <t>EV.5.2.1
EV.6.6</t>
  </si>
  <si>
    <t>Bel Fuse</t>
  </si>
  <si>
    <t>C1Q 1</t>
  </si>
  <si>
    <t>https://www.belfuse.com/media/datasheets/products/circuit-protection/ds-cp-c1q-series.pdf</t>
  </si>
  <si>
    <t>BMS</t>
  </si>
  <si>
    <t>Voltage tap fuses mounted on CANaMon</t>
  </si>
  <si>
    <t>Energus</t>
  </si>
  <si>
    <t>Internal</t>
  </si>
  <si>
    <t>Accumulator Cells</t>
  </si>
  <si>
    <t>Parallel fuses incorporated into each Energus block</t>
  </si>
  <si>
    <t>0ADKC4000-BE</t>
  </si>
  <si>
    <t>https://au.mouser.com/datasheet/2/643/ds_cp_0adkx_series-3579021.pdf</t>
  </si>
  <si>
    <t>HIP</t>
  </si>
  <si>
    <t>DCDC HV Fuse</t>
  </si>
  <si>
    <t>Adler</t>
  </si>
  <si>
    <t xml:space="preserve">APD0500700 </t>
  </si>
  <si>
    <t>https://enertronic.es/wp-content/uploads/2023/05/Adler-PU-Catalog-202303-.pdf</t>
  </si>
  <si>
    <t>Accumulator inline top plate fuses</t>
  </si>
  <si>
    <t>Resistors</t>
  </si>
  <si>
    <r>
      <rPr>
        <sz val="10"/>
        <color theme="1"/>
        <rFont val="Verdana"/>
        <family val="2"/>
        <scheme val="minor"/>
      </rPr>
      <t>Resistance</t>
    </r>
    <r>
      <rPr>
        <sz val="11"/>
        <color theme="1"/>
        <rFont val="Verdana"/>
        <family val="2"/>
        <scheme val="minor"/>
      </rPr>
      <t xml:space="preserve"> 
[</t>
    </r>
    <r>
      <rPr>
        <sz val="11"/>
        <color theme="1"/>
        <rFont val="Calibri"/>
        <family val="2"/>
      </rPr>
      <t>Ω</t>
    </r>
    <r>
      <rPr>
        <sz val="11"/>
        <color theme="1"/>
        <rFont val="Verdana"/>
        <family val="2"/>
        <scheme val="minor"/>
      </rPr>
      <t>]</t>
    </r>
  </si>
  <si>
    <t>Power 
[W]</t>
  </si>
  <si>
    <t>Power for 15 sec [W]</t>
  </si>
  <si>
    <t>Heatsink [°C/W]
(Enter "None" if no heatsink)</t>
  </si>
  <si>
    <t>Additional Comments &amp;
Heatsink Part Number(s)</t>
  </si>
  <si>
    <t>Arcol</t>
  </si>
  <si>
    <t>HS25 560R  J</t>
  </si>
  <si>
    <t>550</t>
  </si>
  <si>
    <t>560</t>
  </si>
  <si>
    <t>25</t>
  </si>
  <si>
    <t>75</t>
  </si>
  <si>
    <t>None</t>
  </si>
  <si>
    <t>https://docs.rs-online.com/a111/0900766b815a2504.pdf</t>
  </si>
  <si>
    <t>Accumulator - Precharge</t>
  </si>
  <si>
    <t>Precharge</t>
  </si>
  <si>
    <t>EV.5.2.1
EV.5.6
EV.5.8.4</t>
  </si>
  <si>
    <t>Riedon</t>
  </si>
  <si>
    <t>PF2472-3K3F1</t>
  </si>
  <si>
    <t>https://riedon.com/media/pdf/PF2470.pdf</t>
  </si>
  <si>
    <t>HIP - Discharge</t>
  </si>
  <si>
    <t>Discharge</t>
  </si>
  <si>
    <t>Te Connectivity</t>
  </si>
  <si>
    <t>SMF515KFT</t>
  </si>
  <si>
    <t>https://www.te.com/commerce/DocumentDelivery/DDEController?Action=showdoc&amp;DocId=Data+Sheet%7F1773242%7FF%7Fpdf%7FEnglish%7FENG_DS_1773242_F.pdf%7F3-1879236-6</t>
  </si>
  <si>
    <t>Body Protection Resistors</t>
  </si>
  <si>
    <t>Contactors/Relays</t>
  </si>
  <si>
    <t>Voltage
[V]</t>
  </si>
  <si>
    <t>Continuous Current 
[A]</t>
  </si>
  <si>
    <t>Max Interrupt Current
 [A]</t>
  </si>
  <si>
    <t>Normal State</t>
  </si>
  <si>
    <t>GigaVac</t>
  </si>
  <si>
    <t>EPICGX</t>
  </si>
  <si>
    <t>NO</t>
  </si>
  <si>
    <t>https://www.mouser.com/datasheet/2/657/sensata_gigavac_gx12_series_open_contactors_datash-3077687.pdf</t>
  </si>
  <si>
    <t>Accumulator Top plate</t>
  </si>
  <si>
    <t>Isolation Relays</t>
  </si>
  <si>
    <t>EV.5.2.1
EV.5.4
EV.5.6</t>
  </si>
  <si>
    <t>Omron</t>
  </si>
  <si>
    <t>G7L-2A-X-L</t>
  </si>
  <si>
    <t>https://xonstorage.blob.core.windows.net/pdf/omron_g7l2axdc24_apr22_xonlink.pdf</t>
  </si>
  <si>
    <t>Precharge relay</t>
  </si>
  <si>
    <t>Cynergy</t>
  </si>
  <si>
    <t>DBT71210</t>
  </si>
  <si>
    <t>NC</t>
  </si>
  <si>
    <t>https://www.cynergy3.com/sites/default/files/cynergy3-d-v3.pdf</t>
  </si>
  <si>
    <t>Discharge relay</t>
  </si>
  <si>
    <t>Connectors</t>
  </si>
  <si>
    <r>
      <t>Wire Size 
[mm</t>
    </r>
    <r>
      <rPr>
        <vertAlign val="superscript"/>
        <sz val="11"/>
        <color theme="1"/>
        <rFont val="Verdana"/>
        <family val="2"/>
        <scheme val="minor"/>
      </rPr>
      <t>2</t>
    </r>
    <r>
      <rPr>
        <sz val="11"/>
        <color theme="1"/>
        <rFont val="Verdana"/>
        <family val="2"/>
        <scheme val="minor"/>
      </rPr>
      <t>]</t>
    </r>
  </si>
  <si>
    <t>Amphenol</t>
  </si>
  <si>
    <t>ELPA2A2510</t>
  </si>
  <si>
    <t>https://www.amphenol-industrial.com/wp-content/uploads/amphenol/epower-lite-series-ib-13.pdf</t>
  </si>
  <si>
    <t>HV loom from HIP to Accumulator, plug side</t>
  </si>
  <si>
    <t>EV.5.2.1
EV.5.9
EV.6.3.3</t>
  </si>
  <si>
    <t>ELRA2A0301</t>
  </si>
  <si>
    <t>Accumulator lid, HIP Enclosure</t>
  </si>
  <si>
    <t>Located on the HIP and Accumulator lid, recepticle bus bar</t>
  </si>
  <si>
    <t>Methode</t>
  </si>
  <si>
    <t>EBC 5.7mm</t>
  </si>
  <si>
    <t>https://www.methodepowersolutions.com/wp-content/uploads/2019/09/Embedded_Bud_Connector_Data_Sheet-Verified.pdf</t>
  </si>
  <si>
    <t>Methode bud used on negative HV connection in accumulator</t>
  </si>
  <si>
    <t>Amphenol Technical Products</t>
  </si>
  <si>
    <t>RL00571-16</t>
  </si>
  <si>
    <t>https://au.mouser.com/datasheet/2/18/1/IDS_67_RADLOK-372465.pdf</t>
  </si>
  <si>
    <t>Inline radlok connectors, used on the positive HV connection, and as quick disconnects for disconnecting the lid</t>
  </si>
  <si>
    <t>SLPPB50BSO0EH</t>
  </si>
  <si>
    <t>https://amphenol-industrial.com/wp-content/uploads/2024/04/surlok-plus-series-ic-10.pdf</t>
  </si>
  <si>
    <t>HIP - Motor Controller</t>
  </si>
  <si>
    <t>HV loom from HIP to Motor Controller, plug side, 90 degree keyway</t>
  </si>
  <si>
    <t>SLPPB50BSO1EH</t>
  </si>
  <si>
    <t>HV loom from HIP to Motor Controller, plug side, 270 degree keyway</t>
  </si>
  <si>
    <t>SLPIRBBPSO0EH</t>
  </si>
  <si>
    <t>HIP Enclosure</t>
  </si>
  <si>
    <t>Located on HIP, recepticle bus bar, 90 degree keyway</t>
  </si>
  <si>
    <t>SLPIRBBPSO1EH</t>
  </si>
  <si>
    <t>Located on HIP, recepticle bus bar, 270 degree keyway</t>
  </si>
  <si>
    <t>4-2103177-4</t>
  </si>
  <si>
    <t>https://www.te.com/commerce/DocumentDelivery/DDEController?Action=srchrtrv&amp;DocNm=114-13259&amp;DocType=Specification%20Or%20Standard&amp;DocLang=English&amp;DocFormat=pdf&amp;PartCntxt=4-2103177-4</t>
  </si>
  <si>
    <t>HIP - Energy Meter, DCDC</t>
  </si>
  <si>
    <t>Plug, connects DCDC and HIP HV connection. Current rating is given on datasheet for pins, https://www.te.com/usa-en/product-1-968853-3.datasheet.pdf</t>
  </si>
  <si>
    <t>2103124-4</t>
  </si>
  <si>
    <t>Recepticle, connects DCDC and HIP HV connection. Current rating is given on datasheet for pins, https://www.te.com/en/product-2-2141598-2.datasheet.pdf</t>
  </si>
  <si>
    <t>Hirose Electric Group</t>
  </si>
  <si>
    <t>EM30MSD(04)</t>
  </si>
  <si>
    <t>https://www.hirose.com/en/product/document?clcode=CL0138-0200-0-04&amp;documentid=0001453697&amp;documenttype=SpecSheet&amp;lang=en&amp;productname=EM30MSD%2804%29</t>
  </si>
  <si>
    <t>MSD</t>
  </si>
  <si>
    <t xml:space="preserve">MSD </t>
  </si>
  <si>
    <t>Insulating Materials</t>
  </si>
  <si>
    <t>Thickness
[mm]</t>
  </si>
  <si>
    <t>Dielectric strength 
[V/mm]</t>
  </si>
  <si>
    <t>Voltage Rating 
[V]</t>
  </si>
  <si>
    <t>Flammability Rating</t>
  </si>
  <si>
    <t>ePOL</t>
  </si>
  <si>
    <t>PEEK-NAT/BLK</t>
  </si>
  <si>
    <t>UL94 V-0</t>
  </si>
  <si>
    <t>https://d347awuzx0kdse.cloudfront.net/epolnew/product-download/peeks-10-nat_data.pdf?v=c29889a00485eb1bbbe1571c356852d07481226b</t>
  </si>
  <si>
    <t>Accumulator top plate</t>
  </si>
  <si>
    <t>Accumulator top plate material</t>
  </si>
  <si>
    <t>EV.5.2.1
EV.5.2.2.a
EV.5.2.3
EV.5.4.4
EV.6.2
EV.6.5.5.a</t>
  </si>
  <si>
    <t>RS PRO</t>
  </si>
  <si>
    <t>20305179</t>
  </si>
  <si>
    <t>https://docs.rs-online.com/d42b/A700000006980855.pdf</t>
  </si>
  <si>
    <t>Accumulator wall lining</t>
  </si>
  <si>
    <t>Accumulator wall lining material</t>
  </si>
  <si>
    <t>DuPont</t>
  </si>
  <si>
    <t>Nomex 410</t>
  </si>
  <si>
    <t>https://www.swiftsupplies.com.au/assets/files/DuPont%20Nomex%20410%20Insulation%20Paper%20TDS.pdf</t>
  </si>
  <si>
    <t>Accumulator lid lining</t>
  </si>
  <si>
    <t>Accumulator lid lining material</t>
  </si>
  <si>
    <t>PCB</t>
  </si>
  <si>
    <t>KB6165F TG 149</t>
  </si>
  <si>
    <t>UL94 V-1</t>
  </si>
  <si>
    <t>https://odakpcb.com/downloads/KB-6167F-TDS.pdf</t>
  </si>
  <si>
    <t>Accumualtor Cell PCB's &amp; Segments</t>
  </si>
  <si>
    <t>Accumulator cell segment lining and cell PCB material</t>
  </si>
  <si>
    <t>Tractive System Schematic</t>
  </si>
  <si>
    <t>Accumulator TS Schematic</t>
  </si>
  <si>
    <t>Each of the 9 accumulator segments are comprised of 12 li1x6pvtc6t packs arranged in series. These li1x6pvtc6t packs consist of 6 inidivdual Sony Murata 18650 cells arranged in parallel.</t>
  </si>
  <si>
    <t>Vehicle Tractive System Schematic Shows</t>
  </si>
  <si>
    <t>Accumulator TS Schematic Shows</t>
  </si>
  <si>
    <t>Shows details of all TS circuits outside of accumulator</t>
  </si>
  <si>
    <t>Details of all TS circuits within accumulator</t>
  </si>
  <si>
    <t>Accumulator is shown as a single element (without internal details)</t>
  </si>
  <si>
    <t>All wire gauges labeled</t>
  </si>
  <si>
    <t>All fuses labeled with ampacity</t>
  </si>
  <si>
    <t>EV.6.6.6</t>
  </si>
  <si>
    <t>All wires &gt; 150mm have a fuse within the first 150mm from the source</t>
  </si>
  <si>
    <t>Fuse locations represent physical location</t>
  </si>
  <si>
    <t>Connectors labeled with Make/Model</t>
  </si>
  <si>
    <t>Enclosures shown</t>
  </si>
  <si>
    <t>Standard schematic symbols used</t>
  </si>
  <si>
    <t>All text is readable (zooming is allowed)</t>
  </si>
  <si>
    <t>EV.5.4</t>
  </si>
  <si>
    <t>IRs</t>
  </si>
  <si>
    <t>EV.5.3</t>
  </si>
  <si>
    <t>Maintenance plugs</t>
  </si>
  <si>
    <t>EV.5.8</t>
  </si>
  <si>
    <t>TSMPs</t>
  </si>
  <si>
    <t>Cells (details of all intercell connections may be abstracted)</t>
  </si>
  <si>
    <t>Motor Controller</t>
  </si>
  <si>
    <t>EV.5.7</t>
  </si>
  <si>
    <t>Accumulator Indicator (must be powered directly by TS)</t>
  </si>
  <si>
    <t>Motor</t>
  </si>
  <si>
    <t>EV.5.8.5</t>
  </si>
  <si>
    <t>TSMPs not fused</t>
  </si>
  <si>
    <t>Must be shown on at least one schematic</t>
  </si>
  <si>
    <t>EV.7.6</t>
  </si>
  <si>
    <t>IMD</t>
  </si>
  <si>
    <t>EV.5.5</t>
  </si>
  <si>
    <t>EV.5.6</t>
  </si>
  <si>
    <t>EV.3.2; EV.5.1.3</t>
  </si>
  <si>
    <t>Energy Meter (shunt and TS sense connection)</t>
  </si>
  <si>
    <t>EV.5.6.3.b</t>
  </si>
  <si>
    <t>Discharge still functions when MSD is opened</t>
  </si>
  <si>
    <t>EV.5.6.3.c</t>
  </si>
  <si>
    <t>Discharge is not fused</t>
  </si>
  <si>
    <t>Segment-to-Segment Connection</t>
  </si>
  <si>
    <t>Series</t>
  </si>
  <si>
    <t>Maximum TS Voltage</t>
  </si>
  <si>
    <t>Nominal TS Voltage</t>
  </si>
  <si>
    <t>Total Cells</t>
  </si>
  <si>
    <t>Segment Data</t>
  </si>
  <si>
    <t>Maintenance Plugs</t>
  </si>
  <si>
    <t>Cell Connection Order</t>
  </si>
  <si>
    <t>Parallel then Series</t>
  </si>
  <si>
    <t>BMS Type</t>
  </si>
  <si>
    <t>Centralized</t>
  </si>
  <si>
    <t>Connector</t>
  </si>
  <si>
    <t>Methode EBC 5.7mm</t>
  </si>
  <si>
    <t>Between cells and accum. container</t>
  </si>
  <si>
    <t>RS PRO 20305179</t>
  </si>
  <si>
    <t>Due to design of temperature monitoring PCB the centre 2 battery packs in each segment will not have temperature monitored.</t>
  </si>
  <si>
    <t>Segment</t>
  </si>
  <si>
    <t>Parallel cells</t>
  </si>
  <si>
    <t>Series cells</t>
  </si>
  <si>
    <t>Temp Sensors</t>
  </si>
  <si>
    <t>Accumulator Number</t>
  </si>
  <si>
    <t>Max Voltage [V]</t>
  </si>
  <si>
    <t>Segment Energy [MJ]</t>
  </si>
  <si>
    <t>BMS Source</t>
  </si>
  <si>
    <t>Purchased</t>
  </si>
  <si>
    <t>Ampacity</t>
  </si>
  <si>
    <t>Voltage Rating</t>
  </si>
  <si>
    <t>Ewert Energy</t>
  </si>
  <si>
    <t>Orion 2</t>
  </si>
  <si>
    <t>Segment Fuse</t>
  </si>
  <si>
    <t>Temperature Rating</t>
  </si>
  <si>
    <t>Galvanic Isolation TS to GLV</t>
  </si>
  <si>
    <t>Segment Fuse Ampacity</t>
  </si>
  <si>
    <t>Galvanic Isolation between segments</t>
  </si>
  <si>
    <t>IR</t>
  </si>
  <si>
    <t>On top of cells</t>
  </si>
  <si>
    <t>PCB KB6165F TG 149</t>
  </si>
  <si>
    <t>Galvanic Isolation device</t>
  </si>
  <si>
    <t>Make/Model</t>
  </si>
  <si>
    <t>GigaVac EPICGX</t>
  </si>
  <si>
    <t>Gavlanic Isolation device datasheet</t>
  </si>
  <si>
    <t>Contact Voltage Rating</t>
  </si>
  <si>
    <t>Voltage Sense Leads</t>
  </si>
  <si>
    <t>Max switching current</t>
  </si>
  <si>
    <t>Maximum Unfused Lead Length</t>
  </si>
  <si>
    <t>mm</t>
  </si>
  <si>
    <t>Separating IRs and Fuse from cells</t>
  </si>
  <si>
    <t>ePOL PEEK-NAT/BLK</t>
  </si>
  <si>
    <t>Sense Lead Overcurrent Protection Device</t>
  </si>
  <si>
    <t>Bel Fuse C1Q 1</t>
  </si>
  <si>
    <t>Main Fuse</t>
  </si>
  <si>
    <t>Overcurrent Location</t>
  </si>
  <si>
    <t>Littlefuse L50QS100.T</t>
  </si>
  <si>
    <t>Overcurrent Other Location</t>
  </si>
  <si>
    <t>CANaMon</t>
  </si>
  <si>
    <t>Main fuse ampacity</t>
  </si>
  <si>
    <t>Overcurrent Voltage Rating</t>
  </si>
  <si>
    <t>Main fuse voltage</t>
  </si>
  <si>
    <t>Temperature Sensors</t>
  </si>
  <si>
    <t>Temp Sensor Location</t>
  </si>
  <si>
    <t>On cell terminal</t>
  </si>
  <si>
    <t>Hirose Electric Group EM30MSD(04)</t>
  </si>
  <si>
    <t>Distance to cell terminal</t>
  </si>
  <si>
    <t>Cells sensed per sensor</t>
  </si>
  <si>
    <t>cells</t>
  </si>
  <si>
    <t>Thermal Contact material used</t>
  </si>
  <si>
    <t>Thermal contact material datasheet</t>
  </si>
  <si>
    <t>Thermal contact material conductivity</t>
  </si>
  <si>
    <r>
      <t>W/(m</t>
    </r>
    <r>
      <rPr>
        <sz val="11"/>
        <color theme="1"/>
        <rFont val="Calibri"/>
        <family val="2"/>
      </rPr>
      <t>∙</t>
    </r>
    <r>
      <rPr>
        <sz val="11"/>
        <color theme="1"/>
        <rFont val="Verdana"/>
        <family val="2"/>
      </rPr>
      <t>K)</t>
    </r>
  </si>
  <si>
    <t>Thermal contact material thickness</t>
  </si>
  <si>
    <t>Percent of cells sensed</t>
  </si>
  <si>
    <t>%</t>
  </si>
  <si>
    <t>Picture of Maintenance Plugs</t>
  </si>
  <si>
    <t>Picture of Cell Connections</t>
  </si>
  <si>
    <t>Picture of Temperature Sensor Location</t>
  </si>
  <si>
    <t>Picture of Fuse and IRs Separation from Cells</t>
  </si>
  <si>
    <t>Picture of Segment Insulation between Cell Terminals and Sides of Accumulator Container</t>
  </si>
  <si>
    <t>Picture of Insulation on Top of Segment</t>
  </si>
  <si>
    <t>Maintenance Plug(s) Picture Shows</t>
  </si>
  <si>
    <t>Cell Connections Picture Shows</t>
  </si>
  <si>
    <t>Temperature Sensor Picture Shows</t>
  </si>
  <si>
    <t>Fuse and IRs Separation Picture Shows</t>
  </si>
  <si>
    <t>Segment Insulation Picture Shows</t>
  </si>
  <si>
    <t>Unique Configuration of plugs</t>
  </si>
  <si>
    <t>Bolted connections have positive locking</t>
  </si>
  <si>
    <t>Temp sensor in direct contact with terminal or busbar</t>
  </si>
  <si>
    <t>Fuse and IRs are separated from cells</t>
  </si>
  <si>
    <t>Insulation between cells and accumulator container</t>
  </si>
  <si>
    <t>Insulation on top of cells (air not acceptable)</t>
  </si>
  <si>
    <t>Non-conductive on un-necessary surface</t>
  </si>
  <si>
    <t>Location of parallel cell overcurrent for parallel cells</t>
  </si>
  <si>
    <t>Distance from sensor to cell negative terminal connection</t>
  </si>
  <si>
    <t>Accessible without any additional accumulator disassembly</t>
  </si>
  <si>
    <t>BMS voltage sense fuse location</t>
  </si>
  <si>
    <t>EV.5.4.4</t>
  </si>
  <si>
    <t>EV.5.2.2.a
EV.5.2.3</t>
  </si>
  <si>
    <t>Positive Locking</t>
  </si>
  <si>
    <t>Please note that the li1x6pvtc6t packs used in our accumulator are configured in a 1x6 pack, not a 4x2 as pictured above. This image was taken from the pack's data sheet which covers a range of battery configurations. The locations of the sensors is the same for both configurations.</t>
  </si>
  <si>
    <t>EV.7.5</t>
  </si>
  <si>
    <t>EV.6.4.1
EV.6.4.3
EV.7.4.4.a</t>
  </si>
  <si>
    <t>Busbar positively locked by accumulator lid.</t>
  </si>
  <si>
    <t>Parallel Cell Fusing</t>
  </si>
  <si>
    <t>Rules Referenes</t>
  </si>
  <si>
    <t>Source</t>
  </si>
  <si>
    <t>EV.6.6.3
EV.6.6.5</t>
  </si>
  <si>
    <t>Energus Internal</t>
  </si>
  <si>
    <t>Continuous Current</t>
  </si>
  <si>
    <t>Test Data Summary</t>
  </si>
  <si>
    <t>Tests at current 1</t>
  </si>
  <si>
    <t>Tests at current 2</t>
  </si>
  <si>
    <t>Tests at current 3</t>
  </si>
  <si>
    <t>Tests at current 4</t>
  </si>
  <si>
    <t>See Fusible Link Testing Guideline on FSAEOnline.com</t>
  </si>
  <si>
    <t>Testing</t>
  </si>
  <si>
    <t xml:space="preserve"> Current [A]</t>
  </si>
  <si>
    <t>Time to blow [s]</t>
  </si>
  <si>
    <t>Current Valid</t>
  </si>
  <si>
    <t>Time Valid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</si>
  <si>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</si>
  <si>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</si>
  <si>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</si>
  <si>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</si>
  <si>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</si>
  <si>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</si>
  <si>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</si>
  <si>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</si>
  <si>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</si>
  <si>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</si>
  <si>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</si>
  <si>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</si>
  <si>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</si>
  <si>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</si>
  <si>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</si>
  <si>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</si>
  <si>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Vehicle TSMP</t>
  </si>
  <si>
    <t>Resistor</t>
  </si>
  <si>
    <t>Arcol HS25 560R  J</t>
  </si>
  <si>
    <t>Riedon PF2472-3K3F1</t>
  </si>
  <si>
    <t>Te Connectivity SMF515KFT</t>
  </si>
  <si>
    <t>EV.5.8.4</t>
  </si>
  <si>
    <t># parallel</t>
  </si>
  <si>
    <t># series</t>
  </si>
  <si>
    <t>Resistance</t>
  </si>
  <si>
    <t>Ohms</t>
  </si>
  <si>
    <t>Cont power</t>
  </si>
  <si>
    <t>W</t>
  </si>
  <si>
    <t>power @15 sec</t>
  </si>
  <si>
    <t>Voltage</t>
  </si>
  <si>
    <t>Bus Capacitance</t>
  </si>
  <si>
    <t>mF</t>
  </si>
  <si>
    <t>Peak power</t>
  </si>
  <si>
    <t>Charger TSMP</t>
  </si>
  <si>
    <t>End of precharge</t>
  </si>
  <si>
    <t>Ratio</t>
  </si>
  <si>
    <t>Peak current</t>
  </si>
  <si>
    <t>Same parts as vehicle TSMP?</t>
  </si>
  <si>
    <t>Yes</t>
  </si>
  <si>
    <t>Discharge time (to 60V)</t>
  </si>
  <si>
    <t>s</t>
  </si>
  <si>
    <t>delta V</t>
  </si>
  <si>
    <t>Relay</t>
  </si>
  <si>
    <t>Cynergy DBT71210</t>
  </si>
  <si>
    <t>ending ratio</t>
  </si>
  <si>
    <t>Relay voltage rating</t>
  </si>
  <si>
    <t>Relay current rating</t>
  </si>
  <si>
    <t>time to 90%</t>
  </si>
  <si>
    <t>sec</t>
  </si>
  <si>
    <t>Precharge Res Energy to 90%</t>
  </si>
  <si>
    <t>J</t>
  </si>
  <si>
    <t>EV.5.6; EV.7.2.2.c</t>
  </si>
  <si>
    <t>Average Power</t>
  </si>
  <si>
    <t>Omron G7L-2A-X-L</t>
  </si>
  <si>
    <t>Magna Power</t>
  </si>
  <si>
    <t>SL series</t>
  </si>
  <si>
    <t>https://magna-power.com/assets/files/datasheets/datasheet_sl_4.5.0.pdf</t>
  </si>
  <si>
    <t>Input Voltage</t>
  </si>
  <si>
    <t>380/400</t>
  </si>
  <si>
    <t>Input Current</t>
  </si>
  <si>
    <t>Output Voltage</t>
  </si>
  <si>
    <t>Output Current</t>
  </si>
  <si>
    <t>Power</t>
  </si>
  <si>
    <t>kW</t>
  </si>
  <si>
    <t>Input to Output isolation</t>
  </si>
  <si>
    <t>Charging Tractive System Schematic</t>
  </si>
  <si>
    <t>Charging Shutdown Circuit</t>
  </si>
  <si>
    <t>Charging Tractive System Schematic Shows</t>
  </si>
  <si>
    <t>Charging Shutdown Circuit Shows</t>
  </si>
  <si>
    <t>EV.6.6</t>
  </si>
  <si>
    <t>Fuse</t>
  </si>
  <si>
    <t>EV.8.3</t>
  </si>
  <si>
    <t>IMD Control and Powerstage</t>
  </si>
  <si>
    <t>AMS</t>
  </si>
  <si>
    <t>Wire Gauge</t>
  </si>
  <si>
    <t>EV.8.2.7</t>
  </si>
  <si>
    <t>Charger Shutdown Button</t>
  </si>
  <si>
    <t>EV.8.4</t>
  </si>
  <si>
    <t>EV.8.4.2</t>
  </si>
  <si>
    <t>EV.5.9</t>
  </si>
  <si>
    <t>Charge Connector Interlock</t>
  </si>
  <si>
    <t>EV.8.2.6</t>
  </si>
  <si>
    <t>EV.8.2.4; EV.8.4.2.c</t>
  </si>
  <si>
    <t>Charge Control (CAN, Enable, etc.)</t>
  </si>
  <si>
    <t>BSPD</t>
  </si>
  <si>
    <t>Rules Reference</t>
  </si>
  <si>
    <t>EV.7.7</t>
  </si>
  <si>
    <t>Bender IR155-3204</t>
  </si>
  <si>
    <t>Current Sensor Make/Model</t>
  </si>
  <si>
    <t>Tamura L31S100S05FS</t>
  </si>
  <si>
    <t>Setpoint</t>
  </si>
  <si>
    <r>
      <t>k</t>
    </r>
    <r>
      <rPr>
        <sz val="11"/>
        <color theme="1"/>
        <rFont val="Calibri"/>
        <family val="2"/>
      </rPr>
      <t>Ω</t>
    </r>
  </si>
  <si>
    <t>Current Sensor Datasheet</t>
  </si>
  <si>
    <t>https://au.mouser.com/datasheet/2/397/TCOA_S_A0010069265_1-2563810.pdf</t>
  </si>
  <si>
    <t>Trip Current</t>
  </si>
  <si>
    <t>Sensor Output @ Trip Current</t>
  </si>
  <si>
    <t>Accuracy @ Trip Current</t>
  </si>
  <si>
    <t>Shutdown Circuit Schematic</t>
  </si>
  <si>
    <t>BSPD System Schematic</t>
  </si>
  <si>
    <t>Shutdown Circuit Schematic Shows</t>
  </si>
  <si>
    <t>BSPD System Schematic Shows</t>
  </si>
  <si>
    <t>EV.7.9.2</t>
  </si>
  <si>
    <t>GLVMS</t>
  </si>
  <si>
    <t>BSPD Current Sensor input open/short circuit protection</t>
  </si>
  <si>
    <t>EV.7.9.3</t>
  </si>
  <si>
    <t>TSMS</t>
  </si>
  <si>
    <t>BSPD Brake Position input open/short circuit protection</t>
  </si>
  <si>
    <t>EV.7.10.3</t>
  </si>
  <si>
    <t>2 Side Shutdown Buttons</t>
  </si>
  <si>
    <t>Shutdown circuit powerstage</t>
  </si>
  <si>
    <t>EV.7.10.4</t>
  </si>
  <si>
    <t>1 Cockpit Shutdown Button</t>
  </si>
  <si>
    <t>T.3.3</t>
  </si>
  <si>
    <t>Brake Over Travel Switch (BOTS)</t>
  </si>
  <si>
    <t>T.9.4</t>
  </si>
  <si>
    <t>Inertia Switch</t>
  </si>
  <si>
    <t>EV.7.3</t>
  </si>
  <si>
    <t>EV.5.5.3</t>
  </si>
  <si>
    <t>MSD Interlock</t>
  </si>
  <si>
    <t>Ready To Move Light Schematic</t>
  </si>
  <si>
    <t>EV.7.1.4</t>
  </si>
  <si>
    <t>IMD, AMS, BSPD have independent power stages</t>
  </si>
  <si>
    <t>EV.4.1.3.a</t>
  </si>
  <si>
    <t>Outboard Wheel Motor Interlocks  (if applicable)</t>
  </si>
  <si>
    <t>GLV Battery</t>
  </si>
  <si>
    <t>HV DC/DC converter GLV connection (if applicable)</t>
  </si>
  <si>
    <t>T.9.2.2</t>
  </si>
  <si>
    <t>GLV Fuse</t>
  </si>
  <si>
    <t>EV.7.1.2; EV.7.1.5</t>
  </si>
  <si>
    <t>Precharge Contactor coil</t>
  </si>
  <si>
    <t>Positive IR coil</t>
  </si>
  <si>
    <t>Negative IR coil</t>
  </si>
  <si>
    <t>EV.5.6.3.a</t>
  </si>
  <si>
    <t>Discharge Contactor coil</t>
  </si>
  <si>
    <t>EV.7.9.3.b</t>
  </si>
  <si>
    <t>TSMS is last switch</t>
  </si>
  <si>
    <t>EV.7.9.2.a</t>
  </si>
  <si>
    <t>GLVMS is first switch</t>
  </si>
  <si>
    <t>Uses proper electrical schematic symbols</t>
  </si>
  <si>
    <t>Labels/text are readable (zooming in is acceptable)</t>
  </si>
  <si>
    <t>Interlocks on TS connectors outside of an enclosure</t>
  </si>
  <si>
    <t>EV.7.1
EV.7.2</t>
  </si>
  <si>
    <t>Ready to Move Light Schematic Shows</t>
  </si>
  <si>
    <t>Light controlled by &gt;60V present in TS (hardware-based voltage detection)</t>
  </si>
  <si>
    <t>Light powered by GLV</t>
  </si>
  <si>
    <t>Light flashes at 2–5 Hz when &gt;60V present in TS</t>
  </si>
  <si>
    <t>Light Source</t>
  </si>
  <si>
    <t>Team Built</t>
  </si>
  <si>
    <t>DOT FMVSS 108 compliant</t>
  </si>
  <si>
    <t>EV.5.10</t>
  </si>
  <si>
    <t>APPS Sensor Transfer function</t>
  </si>
  <si>
    <t>Torque Control Path Security Checks</t>
  </si>
  <si>
    <t>T.4.2.3</t>
  </si>
  <si>
    <t>Position</t>
  </si>
  <si>
    <t>APPS1 Output [V]</t>
  </si>
  <si>
    <t>APPS2 Output [V]</t>
  </si>
  <si>
    <t>Source Device</t>
  </si>
  <si>
    <t>Destination Device</t>
  </si>
  <si>
    <t>Communication</t>
  </si>
  <si>
    <t>Redundant</t>
  </si>
  <si>
    <t>Out Of Range</t>
  </si>
  <si>
    <t>Correlation</t>
  </si>
  <si>
    <t>Checksum</t>
  </si>
  <si>
    <t>Timeout</t>
  </si>
  <si>
    <t>APPS</t>
  </si>
  <si>
    <t>Pedal Box ECU</t>
  </si>
  <si>
    <t>Analog</t>
  </si>
  <si>
    <t>2 Sensors</t>
  </si>
  <si>
    <t>No</t>
  </si>
  <si>
    <t>DEN</t>
  </si>
  <si>
    <t>Digital</t>
  </si>
  <si>
    <t>CAN</t>
  </si>
  <si>
    <t>CEN</t>
  </si>
  <si>
    <t>Cascadia</t>
  </si>
  <si>
    <t>Emrax</t>
  </si>
  <si>
    <t>CM200DX</t>
  </si>
  <si>
    <t>228 MV</t>
  </si>
  <si>
    <t>https://www.cascadiamotion.com/_files/ugd/7833d4_f46965a239f843afa9a2fa82f7d5d1ed.pdf</t>
  </si>
  <si>
    <t>https://emrax.com/wp-content/uploads/2024/02/EMRAX_228_datasheet_v1.5.pdf</t>
  </si>
  <si>
    <t>Galvanic Isolation between TS and control</t>
  </si>
  <si>
    <t>Picture of Energy Meter download connector on car to prove compliance with EV.3.2.2</t>
  </si>
  <si>
    <t>Picture of Tractive System Status Indicator on car to prove compliance with EV.5.11</t>
  </si>
  <si>
    <t>Energy Meter Download Picture Shows</t>
  </si>
  <si>
    <t>Tractive System Status Indicator Shows</t>
  </si>
  <si>
    <t>Energy Meter Download Connector</t>
  </si>
  <si>
    <t>Tractive System Status Indicator placement in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</si>
</sst>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20" x14ac:knownFonts="1">
    <font>
      <sz val="11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FA7D00"/>
      <name val="Verdana"/>
      <family val="2"/>
      <scheme val="minor"/>
    </font>
    <font>
      <vertAlign val="superscript"/>
      <sz val="10"/>
      <color theme="1"/>
      <name val="Verdana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1"/>
      <name val="Verdana"/>
      <family val="2"/>
      <scheme val="minor"/>
    </font>
    <font>
      <b/>
      <sz val="11"/>
      <color rgb="FF3F3F3F"/>
      <name val="Verdana"/>
      <family val="2"/>
      <scheme val="minor"/>
    </font>
    <font>
      <sz val="11"/>
      <color rgb="FF000000"/>
      <name val="Verdana"/>
      <family val="2"/>
      <scheme val="minor"/>
    </font>
    <font>
      <sz val="11"/>
      <color theme="1"/>
      <name val="Verdana"/>
      <family val="2"/>
    </font>
    <font>
      <sz val="9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10.5"/>
      <color theme="1"/>
      <name val="Verdana"/>
      <family val="2"/>
      <scheme val="minor"/>
    </font>
    <font>
      <sz val="9.5"/>
      <color theme="1"/>
      <name val="Verdana"/>
      <family val="2"/>
      <scheme val="minor"/>
    </font>
    <font>
      <sz val="8"/>
      <color theme="1"/>
      <name val="Verdana"/>
      <family val="2"/>
      <scheme val="minor"/>
    </font>
    <font>
      <b/>
      <sz val="11"/>
      <name val="Verdana"/>
      <family val="2"/>
      <scheme val="minor"/>
    </font>
    <font>
      <sz val="8"/>
      <name val="Verdan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D966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7F7F7F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7F7F7F"/>
      </right>
      <top/>
      <bottom style="thin">
        <color rgb="FFA6A6A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2" borderId="1" applyNumberFormat="0" applyAlignment="0" applyProtection="0"/>
    <xf numFmtId="0" fontId="4" fillId="3" borderId="1" applyNumberFormat="0" applyAlignment="0" applyProtection="0"/>
    <xf numFmtId="0" fontId="2" fillId="4" borderId="0" applyNumberFormat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3" borderId="14" applyNumberFormat="0" applyAlignment="0" applyProtection="0"/>
  </cellStyleXfs>
  <cellXfs count="151">
    <xf numFmtId="0" fontId="0" fillId="0" borderId="0" xfId="0"/>
    <xf numFmtId="0" fontId="4" fillId="3" borderId="1" xfId="2"/>
    <xf numFmtId="0" fontId="0" fillId="5" borderId="0" xfId="0" applyFill="1"/>
    <xf numFmtId="0" fontId="3" fillId="2" borderId="1" xfId="1" applyProtection="1">
      <protection locked="0"/>
    </xf>
    <xf numFmtId="0" fontId="4" fillId="3" borderId="1" xfId="2" applyProtection="1"/>
    <xf numFmtId="2" fontId="4" fillId="3" borderId="1" xfId="2" applyNumberFormat="1"/>
    <xf numFmtId="164" fontId="4" fillId="3" borderId="1" xfId="2" applyNumberFormat="1"/>
    <xf numFmtId="9" fontId="0" fillId="0" borderId="0" xfId="4" applyFont="1" applyFill="1"/>
    <xf numFmtId="0" fontId="8" fillId="5" borderId="0" xfId="5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vertical="top"/>
    </xf>
    <xf numFmtId="49" fontId="3" fillId="2" borderId="1" xfId="1" applyNumberFormat="1" applyProtection="1">
      <protection locked="0"/>
    </xf>
    <xf numFmtId="0" fontId="0" fillId="7" borderId="0" xfId="0" applyFill="1" applyAlignment="1">
      <alignment horizontal="center"/>
    </xf>
    <xf numFmtId="0" fontId="0" fillId="0" borderId="15" xfId="0" quotePrefix="1" applyBorder="1" applyAlignment="1">
      <alignment horizontal="right"/>
    </xf>
    <xf numFmtId="165" fontId="0" fillId="0" borderId="15" xfId="0" applyNumberFormat="1" applyBorder="1"/>
    <xf numFmtId="0" fontId="0" fillId="8" borderId="19" xfId="0" applyFill="1" applyBorder="1" applyAlignment="1">
      <alignment horizontal="center"/>
    </xf>
    <xf numFmtId="3" fontId="3" fillId="2" borderId="1" xfId="1" applyNumberFormat="1" applyProtection="1">
      <protection locked="0"/>
    </xf>
    <xf numFmtId="0" fontId="0" fillId="0" borderId="0" xfId="0" applyAlignment="1">
      <alignment horizontal="center" wrapText="1"/>
    </xf>
    <xf numFmtId="0" fontId="10" fillId="3" borderId="14" xfId="6"/>
    <xf numFmtId="0" fontId="3" fillId="2" borderId="1" xfId="1" applyAlignment="1" applyProtection="1">
      <alignment wrapText="1"/>
      <protection locked="0"/>
    </xf>
    <xf numFmtId="0" fontId="3" fillId="2" borderId="1" xfId="1" applyNumberFormat="1" applyProtection="1">
      <protection locked="0"/>
    </xf>
    <xf numFmtId="0" fontId="3" fillId="2" borderId="1" xfId="1" applyAlignment="1" applyProtection="1">
      <alignment horizontal="left"/>
      <protection locked="0"/>
    </xf>
    <xf numFmtId="0" fontId="1" fillId="4" borderId="0" xfId="3" applyFont="1" applyAlignment="1">
      <alignment horizontal="center"/>
    </xf>
    <xf numFmtId="0" fontId="1" fillId="0" borderId="15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7" borderId="9" xfId="0" applyFill="1" applyBorder="1" applyAlignment="1">
      <alignment horizontal="center" vertical="center"/>
    </xf>
    <xf numFmtId="0" fontId="3" fillId="2" borderId="1" xfId="1" applyAlignment="1" applyProtection="1">
      <protection locked="0"/>
    </xf>
    <xf numFmtId="0" fontId="2" fillId="0" borderId="15" xfId="3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4" fillId="3" borderId="15" xfId="2" applyBorder="1" applyAlignment="1"/>
    <xf numFmtId="0" fontId="0" fillId="0" borderId="5" xfId="0" applyBorder="1" applyAlignment="1">
      <alignment horizontal="right"/>
    </xf>
    <xf numFmtId="0" fontId="1" fillId="5" borderId="0" xfId="0" applyFont="1" applyFill="1"/>
    <xf numFmtId="0" fontId="3" fillId="2" borderId="1" xfId="1" applyProtection="1"/>
    <xf numFmtId="49" fontId="0" fillId="2" borderId="1" xfId="1" applyNumberFormat="1" applyFont="1" applyProtection="1">
      <protection locked="0"/>
    </xf>
    <xf numFmtId="0" fontId="0" fillId="2" borderId="1" xfId="1" applyFont="1" applyProtection="1">
      <protection locked="0"/>
    </xf>
    <xf numFmtId="0" fontId="0" fillId="0" borderId="15" xfId="0" applyBorder="1" applyAlignment="1">
      <alignment horizontal="left"/>
    </xf>
    <xf numFmtId="0" fontId="3" fillId="2" borderId="10" xfId="1" applyBorder="1" applyAlignment="1" applyProtection="1">
      <alignment horizontal="left" vertical="top" wrapText="1"/>
      <protection locked="0"/>
    </xf>
    <xf numFmtId="0" fontId="3" fillId="2" borderId="9" xfId="1" applyBorder="1" applyAlignment="1" applyProtection="1">
      <alignment horizontal="left" vertical="top" wrapText="1"/>
      <protection locked="0"/>
    </xf>
    <xf numFmtId="0" fontId="3" fillId="2" borderId="11" xfId="1" applyBorder="1" applyAlignment="1" applyProtection="1">
      <alignment horizontal="left" vertical="top" wrapText="1"/>
      <protection locked="0"/>
    </xf>
    <xf numFmtId="0" fontId="3" fillId="2" borderId="6" xfId="1" applyBorder="1" applyAlignment="1" applyProtection="1">
      <alignment horizontal="left" vertical="top" wrapText="1"/>
      <protection locked="0"/>
    </xf>
    <xf numFmtId="0" fontId="3" fillId="2" borderId="0" xfId="1" applyBorder="1" applyAlignment="1" applyProtection="1">
      <alignment horizontal="left" vertical="top" wrapText="1"/>
      <protection locked="0"/>
    </xf>
    <xf numFmtId="0" fontId="3" fillId="2" borderId="5" xfId="1" applyBorder="1" applyAlignment="1" applyProtection="1">
      <alignment horizontal="left" vertical="top" wrapText="1"/>
      <protection locked="0"/>
    </xf>
    <xf numFmtId="0" fontId="3" fillId="2" borderId="12" xfId="1" applyBorder="1" applyAlignment="1" applyProtection="1">
      <alignment horizontal="left" vertical="top" wrapText="1"/>
      <protection locked="0"/>
    </xf>
    <xf numFmtId="0" fontId="3" fillId="2" borderId="8" xfId="1" applyBorder="1" applyAlignment="1" applyProtection="1">
      <alignment horizontal="left" vertical="top" wrapText="1"/>
      <protection locked="0"/>
    </xf>
    <xf numFmtId="0" fontId="3" fillId="2" borderId="13" xfId="1" applyBorder="1" applyAlignment="1" applyProtection="1">
      <alignment horizontal="left" vertical="top" wrapText="1"/>
      <protection locked="0"/>
    </xf>
    <xf numFmtId="0" fontId="1" fillId="4" borderId="8" xfId="3" applyFont="1" applyBorder="1" applyAlignment="1">
      <alignment horizontal="center"/>
    </xf>
    <xf numFmtId="0" fontId="0" fillId="6" borderId="0" xfId="0" applyFill="1" applyAlignment="1">
      <alignment horizontal="right"/>
    </xf>
    <xf numFmtId="0" fontId="3" fillId="2" borderId="1" xfId="1" applyAlignment="1" applyProtection="1">
      <alignment horizontal="left"/>
      <protection locked="0"/>
    </xf>
    <xf numFmtId="0" fontId="1" fillId="4" borderId="0" xfId="3" applyFont="1" applyAlignment="1">
      <alignment horizontal="center"/>
    </xf>
    <xf numFmtId="0" fontId="2" fillId="0" borderId="31" xfId="3" applyFill="1" applyBorder="1" applyAlignment="1">
      <alignment horizontal="left"/>
    </xf>
    <xf numFmtId="0" fontId="2" fillId="0" borderId="32" xfId="3" applyFill="1" applyBorder="1" applyAlignment="1">
      <alignment horizontal="left"/>
    </xf>
    <xf numFmtId="0" fontId="2" fillId="0" borderId="33" xfId="3" applyFill="1" applyBorder="1" applyAlignment="1">
      <alignment horizontal="left"/>
    </xf>
    <xf numFmtId="0" fontId="1" fillId="0" borderId="15" xfId="3" applyFont="1" applyFill="1" applyBorder="1" applyAlignment="1">
      <alignment horizontal="center"/>
    </xf>
    <xf numFmtId="0" fontId="15" fillId="6" borderId="0" xfId="0" applyFont="1" applyFill="1" applyAlignment="1">
      <alignment horizontal="right"/>
    </xf>
    <xf numFmtId="0" fontId="9" fillId="0" borderId="0" xfId="0" quotePrefix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/>
    </xf>
    <xf numFmtId="0" fontId="10" fillId="3" borderId="14" xfId="6" applyAlignment="1" applyProtection="1">
      <alignment horizontal="left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1" fillId="8" borderId="10" xfId="1" applyFont="1" applyFill="1" applyBorder="1" applyAlignment="1" applyProtection="1">
      <alignment horizontal="center"/>
    </xf>
    <xf numFmtId="0" fontId="11" fillId="8" borderId="11" xfId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8" fillId="2" borderId="1" xfId="5" applyFill="1" applyBorder="1" applyAlignment="1" applyProtection="1">
      <alignment horizontal="left"/>
      <protection locked="0"/>
    </xf>
    <xf numFmtId="0" fontId="3" fillId="2" borderId="1" xfId="1" applyAlignment="1" applyProtection="1">
      <alignment horizontal="center"/>
      <protection locked="0"/>
    </xf>
    <xf numFmtId="0" fontId="8" fillId="2" borderId="2" xfId="5" applyFill="1" applyBorder="1" applyAlignment="1" applyProtection="1">
      <alignment horizontal="left"/>
      <protection locked="0"/>
    </xf>
    <xf numFmtId="0" fontId="3" fillId="2" borderId="3" xfId="1" applyBorder="1" applyAlignment="1" applyProtection="1">
      <alignment horizontal="left"/>
      <protection locked="0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2" borderId="2" xfId="1" applyBorder="1" applyAlignment="1" applyProtection="1">
      <alignment horizontal="left"/>
      <protection locked="0"/>
    </xf>
    <xf numFmtId="0" fontId="3" fillId="2" borderId="2" xfId="1" applyBorder="1" applyAlignment="1" applyProtection="1">
      <alignment horizontal="center"/>
      <protection locked="0"/>
    </xf>
    <xf numFmtId="0" fontId="3" fillId="2" borderId="4" xfId="1" applyBorder="1" applyAlignment="1" applyProtection="1">
      <alignment horizontal="center"/>
      <protection locked="0"/>
    </xf>
    <xf numFmtId="0" fontId="3" fillId="2" borderId="3" xfId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8" fillId="2" borderId="3" xfId="5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8" borderId="16" xfId="3" applyFill="1" applyBorder="1" applyAlignment="1">
      <alignment horizontal="center"/>
    </xf>
    <xf numFmtId="0" fontId="2" fillId="8" borderId="17" xfId="3" applyFill="1" applyBorder="1" applyAlignment="1">
      <alignment horizontal="center"/>
    </xf>
    <xf numFmtId="0" fontId="0" fillId="0" borderId="25" xfId="0" applyBorder="1" applyAlignment="1">
      <alignment horizontal="left"/>
    </xf>
    <xf numFmtId="0" fontId="3" fillId="2" borderId="1" xfId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4" fillId="3" borderId="2" xfId="2" applyBorder="1" applyAlignment="1">
      <alignment horizontal="center"/>
    </xf>
    <xf numFmtId="0" fontId="4" fillId="3" borderId="3" xfId="2" applyBorder="1" applyAlignment="1">
      <alignment horizontal="center"/>
    </xf>
    <xf numFmtId="0" fontId="1" fillId="0" borderId="0" xfId="0" applyFont="1" applyAlignment="1">
      <alignment horizontal="center"/>
    </xf>
    <xf numFmtId="49" fontId="3" fillId="2" borderId="1" xfId="1" applyNumberFormat="1" applyAlignment="1" applyProtection="1">
      <alignment horizontal="left"/>
      <protection locked="0"/>
    </xf>
    <xf numFmtId="0" fontId="3" fillId="2" borderId="23" xfId="1" applyBorder="1" applyAlignment="1" applyProtection="1">
      <alignment horizontal="center"/>
      <protection locked="0"/>
    </xf>
    <xf numFmtId="0" fontId="4" fillId="3" borderId="1" xfId="2" applyAlignment="1">
      <alignment horizontal="center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" fillId="2" borderId="1" xfId="1" applyAlignment="1" applyProtection="1">
      <alignment horizontal="left" vertical="top" wrapText="1"/>
      <protection locked="0"/>
    </xf>
    <xf numFmtId="0" fontId="3" fillId="2" borderId="1" xfId="1" applyAlignment="1" applyProtection="1">
      <alignment horizontal="center" vertical="center"/>
    </xf>
    <xf numFmtId="0" fontId="3" fillId="2" borderId="1" xfId="1" applyAlignment="1" applyProtection="1">
      <alignment horizontal="center" vertical="center" wrapText="1"/>
    </xf>
    <xf numFmtId="0" fontId="0" fillId="0" borderId="23" xfId="0" applyBorder="1" applyAlignment="1">
      <alignment horizontal="left" vertical="top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right"/>
    </xf>
    <xf numFmtId="0" fontId="3" fillId="2" borderId="21" xfId="1" applyBorder="1" applyAlignment="1" applyProtection="1">
      <alignment vertical="top" wrapText="1"/>
      <protection locked="0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8" borderId="21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6" fillId="0" borderId="0" xfId="0" applyFont="1" applyAlignment="1">
      <alignment horizontal="center" wrapText="1"/>
    </xf>
    <xf numFmtId="0" fontId="2" fillId="8" borderId="18" xfId="3" applyFill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15" fillId="0" borderId="0" xfId="0" applyFont="1" applyAlignment="1">
      <alignment horizontal="left"/>
    </xf>
    <xf numFmtId="0" fontId="3" fillId="2" borderId="4" xfId="1" applyBorder="1" applyAlignment="1" applyProtection="1">
      <alignment horizontal="left"/>
      <protection locked="0"/>
    </xf>
    <xf numFmtId="0" fontId="3" fillId="2" borderId="22" xfId="1" applyBorder="1" applyAlignment="1" applyProtection="1">
      <alignment horizontal="center"/>
      <protection locked="0"/>
    </xf>
    <xf numFmtId="0" fontId="2" fillId="8" borderId="16" xfId="3" applyFill="1" applyBorder="1" applyAlignment="1">
      <alignment horizontal="right"/>
    </xf>
    <xf numFmtId="0" fontId="2" fillId="8" borderId="17" xfId="3" applyFill="1" applyBorder="1" applyAlignment="1">
      <alignment horizontal="right"/>
    </xf>
    <xf numFmtId="0" fontId="2" fillId="8" borderId="18" xfId="3" applyFill="1" applyBorder="1" applyAlignment="1">
      <alignment horizontal="right"/>
    </xf>
    <xf numFmtId="0" fontId="2" fillId="0" borderId="16" xfId="3" applyFill="1" applyBorder="1" applyAlignment="1">
      <alignment horizontal="center"/>
    </xf>
    <xf numFmtId="0" fontId="2" fillId="0" borderId="18" xfId="3" applyFill="1" applyBorder="1" applyAlignment="1">
      <alignment horizontal="center"/>
    </xf>
    <xf numFmtId="0" fontId="3" fillId="2" borderId="1" xfId="1" applyAlignment="1" applyProtection="1">
      <protection locked="0"/>
    </xf>
    <xf numFmtId="0" fontId="8" fillId="2" borderId="1" xfId="5" applyFill="1" applyBorder="1" applyAlignment="1" applyProtection="1">
      <protection locked="0"/>
    </xf>
    <xf numFmtId="0" fontId="2" fillId="0" borderId="17" xfId="3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left"/>
    </xf>
    <xf numFmtId="0" fontId="0" fillId="7" borderId="0" xfId="0" applyFill="1" applyAlignment="1">
      <alignment horizontal="center"/>
    </xf>
  </cellXfs>
  <cellStyles count="7">
    <cellStyle name="40% - Accent1" xfId="3" builtinId="31"/>
    <cellStyle name="Calculation" xfId="2" builtinId="22"/>
    <cellStyle name="Hyperlink" xfId="5" builtinId="8"/>
    <cellStyle name="Input" xfId="1" builtinId="20"/>
    <cellStyle name="Normal" xfId="0" builtinId="0"/>
    <cellStyle name="Output" xfId="6" builtinId="21"/>
    <cellStyle name="Percent" xfId="4" builtinId="5"/>
  </cellStyles>
  <dxfs count="14"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Accumulator!$D$76:$D$91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xVal>
          <c:yVal>
            <c:numRef>
              <c:f>Accumulator!$E$76:$E$91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9-4D8E-BB06-5D3A7DD8CF3C}"/>
            </c:ext>
          </c:extLst>
        </c:ser>
        <c:ser>
          <c:idx val="1"/>
          <c:order val="1"/>
          <c:tx>
            <c:v>Continuous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Accumulator!$K$69:$K$70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Accumulator!$J$70:$J$71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6-4643-BBF1-7AEC6332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96879"/>
        <c:axId val="467792303"/>
      </c:scatterChart>
      <c:valAx>
        <c:axId val="46779687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92303"/>
        <c:crosses val="autoZero"/>
        <c:crossBetween val="midCat"/>
      </c:valAx>
      <c:valAx>
        <c:axId val="4677923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96879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APPS1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'Torque Security'!$A$5:$A$10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'Torque Security'!$B$5:$B$10</c:f>
              <c:numCache>
                <c:formatCode>General</c:formatCode>
                <c:ptCount val="6"/>
                <c:pt idx="0">
                  <c:v>0.372</c:v>
                </c:pt>
                <c:pt idx="1">
                  <c:v>0.71099999999999997</c:v>
                </c:pt>
                <c:pt idx="2">
                  <c:v>1.03</c:v>
                </c:pt>
                <c:pt idx="3">
                  <c:v>1.36</c:v>
                </c:pt>
                <c:pt idx="4">
                  <c:v>1.69</c:v>
                </c:pt>
                <c:pt idx="5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1-4966-AB63-F452BCD6BCA3}"/>
            </c:ext>
          </c:extLst>
        </c:ser>
        <c:ser>
          <c:idx val="1"/>
          <c:order val="1"/>
          <c:tx>
            <c:v>APPS2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'Torque Security'!$A$5:$A$10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'Torque Security'!$D$5:$D$10</c:f>
              <c:numCache>
                <c:formatCode>General</c:formatCode>
                <c:ptCount val="6"/>
                <c:pt idx="0">
                  <c:v>0.74</c:v>
                </c:pt>
                <c:pt idx="1">
                  <c:v>1.4</c:v>
                </c:pt>
                <c:pt idx="2">
                  <c:v>2.06</c:v>
                </c:pt>
                <c:pt idx="3">
                  <c:v>2.71</c:v>
                </c:pt>
                <c:pt idx="4">
                  <c:v>3.36</c:v>
                </c:pt>
                <c:pt idx="5">
                  <c:v>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1-4966-AB63-F452BCD6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187487"/>
        <c:axId val="664192479"/>
      </c:scatterChart>
      <c:valAx>
        <c:axId val="664187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92479"/>
        <c:crosses val="autoZero"/>
        <c:crossBetween val="midCat"/>
      </c:valAx>
      <c:valAx>
        <c:axId val="6641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 Output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8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1</xdr:row>
      <xdr:rowOff>19050</xdr:rowOff>
    </xdr:from>
    <xdr:to>
      <xdr:col>21</xdr:col>
      <xdr:colOff>466725</xdr:colOff>
      <xdr:row>26</xdr:row>
      <xdr:rowOff>162634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B1990B-AB32-8B12-00BE-FA697CEAE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9325" y="190500"/>
          <a:ext cx="6457950" cy="4429834"/>
        </a:xfrm>
        <a:prstGeom prst="rect">
          <a:avLst/>
        </a:prstGeom>
      </xdr:spPr>
    </xdr:pic>
    <xdr:clientData/>
  </xdr:twoCellAnchor>
  <xdr:twoCellAnchor editAs="oneCell">
    <xdr:from>
      <xdr:col>0</xdr:col>
      <xdr:colOff>717110</xdr:colOff>
      <xdr:row>1</xdr:row>
      <xdr:rowOff>10948</xdr:rowOff>
    </xdr:from>
    <xdr:to>
      <xdr:col>9</xdr:col>
      <xdr:colOff>305838</xdr:colOff>
      <xdr:row>26</xdr:row>
      <xdr:rowOff>141758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7E21C5-34B8-074A-56EA-F012BFDE1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110" y="180647"/>
          <a:ext cx="6366423" cy="4368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191549</xdr:colOff>
      <xdr:row>66</xdr:row>
      <xdr:rowOff>160877</xdr:rowOff>
    </xdr:from>
    <xdr:to>
      <xdr:col>15</xdr:col>
      <xdr:colOff>321679</xdr:colOff>
      <xdr:row>82</xdr:row>
      <xdr:rowOff>77778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79220</xdr:colOff>
      <xdr:row>32</xdr:row>
      <xdr:rowOff>55490</xdr:rowOff>
    </xdr:from>
    <xdr:to>
      <xdr:col>18</xdr:col>
      <xdr:colOff>1154337</xdr:colOff>
      <xdr:row>50</xdr:row>
      <xdr:rowOff>122696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263D65E0-4217-458C-A46E-2AD07837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600426" y="6593684"/>
          <a:ext cx="3153306" cy="1075117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285748</xdr:colOff>
      <xdr:row>32</xdr:row>
      <xdr:rowOff>74840</xdr:rowOff>
    </xdr:from>
    <xdr:to>
      <xdr:col>24</xdr:col>
      <xdr:colOff>312963</xdr:colOff>
      <xdr:row>50</xdr:row>
      <xdr:rowOff>125928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B71B8F-905F-42B4-AB83-2A78E6119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12141" y="5531304"/>
          <a:ext cx="2272393" cy="3112695"/>
        </a:xfrm>
        <a:prstGeom prst="rect">
          <a:avLst/>
        </a:prstGeom>
      </xdr:spPr>
    </xdr:pic>
    <xdr:clientData/>
  </xdr:twoCellAnchor>
  <xdr:twoCellAnchor editAs="oneCell">
    <xdr:from>
      <xdr:col>24</xdr:col>
      <xdr:colOff>532750</xdr:colOff>
      <xdr:row>32</xdr:row>
      <xdr:rowOff>56433</xdr:rowOff>
    </xdr:from>
    <xdr:to>
      <xdr:col>26</xdr:col>
      <xdr:colOff>419779</xdr:colOff>
      <xdr:row>50</xdr:row>
      <xdr:rowOff>123843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649A7E-04A3-4EC9-8F5B-9E927EC53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4321" y="5512897"/>
          <a:ext cx="1379053" cy="312425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36</xdr:row>
      <xdr:rowOff>114301</xdr:rowOff>
    </xdr:from>
    <xdr:to>
      <xdr:col>18</xdr:col>
      <xdr:colOff>83698</xdr:colOff>
      <xdr:row>45</xdr:row>
      <xdr:rowOff>36511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207BBD-37D1-1DDD-DF87-716323988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21550" y="6299201"/>
          <a:ext cx="5322448" cy="1460499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33</xdr:row>
      <xdr:rowOff>25399</xdr:rowOff>
    </xdr:from>
    <xdr:to>
      <xdr:col>9</xdr:col>
      <xdr:colOff>1087281</xdr:colOff>
      <xdr:row>50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68D7A6-D7F1-5FA7-006F-7965D0128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0" y="5695950"/>
          <a:ext cx="6333970" cy="2965450"/>
        </a:xfrm>
        <a:prstGeom prst="rect">
          <a:avLst/>
        </a:prstGeom>
      </xdr:spPr>
    </xdr:pic>
    <xdr:clientData/>
  </xdr:twoCellAnchor>
  <xdr:twoCellAnchor editAs="oneCell">
    <xdr:from>
      <xdr:col>29</xdr:col>
      <xdr:colOff>444500</xdr:colOff>
      <xdr:row>32</xdr:row>
      <xdr:rowOff>64288</xdr:rowOff>
    </xdr:from>
    <xdr:to>
      <xdr:col>36</xdr:col>
      <xdr:colOff>887162</xdr:colOff>
      <xdr:row>50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FA0616-3F81-2B84-8A6D-756DF187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98000" y="5563388"/>
          <a:ext cx="5687762" cy="3174212"/>
        </a:xfrm>
        <a:prstGeom prst="rect">
          <a:avLst/>
        </a:prstGeom>
      </xdr:spPr>
    </xdr:pic>
    <xdr:clientData/>
  </xdr:twoCellAnchor>
  <xdr:twoCellAnchor editAs="oneCell">
    <xdr:from>
      <xdr:col>38</xdr:col>
      <xdr:colOff>38100</xdr:colOff>
      <xdr:row>32</xdr:row>
      <xdr:rowOff>101600</xdr:rowOff>
    </xdr:from>
    <xdr:to>
      <xdr:col>45</xdr:col>
      <xdr:colOff>1150770</xdr:colOff>
      <xdr:row>50</xdr:row>
      <xdr:rowOff>106633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D47C84-740F-4909-9A26-DB945BF8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860751" y="5600700"/>
          <a:ext cx="6353008" cy="3086371"/>
        </a:xfrm>
        <a:prstGeom prst="rect">
          <a:avLst/>
        </a:prstGeom>
      </xdr:spPr>
    </xdr:pic>
    <xdr:clientData/>
  </xdr:twoCellAnchor>
  <xdr:twoCellAnchor editAs="oneCell">
    <xdr:from>
      <xdr:col>46</xdr:col>
      <xdr:colOff>742950</xdr:colOff>
      <xdr:row>32</xdr:row>
      <xdr:rowOff>15080</xdr:rowOff>
    </xdr:from>
    <xdr:to>
      <xdr:col>51</xdr:col>
      <xdr:colOff>47993</xdr:colOff>
      <xdr:row>42</xdr:row>
      <xdr:rowOff>150073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69C820-A1F4-6C1A-1BAA-83AB6C28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985450" y="5514180"/>
          <a:ext cx="3046781" cy="1844731"/>
        </a:xfrm>
        <a:prstGeom prst="rect">
          <a:avLst/>
        </a:prstGeom>
      </xdr:spPr>
    </xdr:pic>
    <xdr:clientData/>
  </xdr:twoCellAnchor>
  <xdr:twoCellAnchor editAs="oneCell">
    <xdr:from>
      <xdr:col>50</xdr:col>
      <xdr:colOff>501651</xdr:colOff>
      <xdr:row>37</xdr:row>
      <xdr:rowOff>26755</xdr:rowOff>
    </xdr:from>
    <xdr:to>
      <xdr:col>54</xdr:col>
      <xdr:colOff>1135063</xdr:colOff>
      <xdr:row>50</xdr:row>
      <xdr:rowOff>113575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7070EB-298A-9FEB-EA0B-B743A4D2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741351" y="6383106"/>
          <a:ext cx="3625850" cy="23156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395186</xdr:colOff>
      <xdr:row>12</xdr:row>
      <xdr:rowOff>10133</xdr:rowOff>
    </xdr:from>
    <xdr:to>
      <xdr:col>6</xdr:col>
      <xdr:colOff>577579</xdr:colOff>
      <xdr:row>30</xdr:row>
      <xdr:rowOff>158728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507594-E0C5-D47A-C67F-189B22EF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186" y="2077261"/>
          <a:ext cx="4681436" cy="3249286"/>
        </a:xfrm>
        <a:prstGeom prst="rect">
          <a:avLst/>
        </a:prstGeom>
      </xdr:spPr>
    </xdr:pic>
    <xdr:clientData/>
  </xdr:twoCellAnchor>
  <xdr:twoCellAnchor editAs="oneCell">
    <xdr:from>
      <xdr:col>9</xdr:col>
      <xdr:colOff>704647</xdr:colOff>
      <xdr:row>12</xdr:row>
      <xdr:rowOff>10538</xdr:rowOff>
    </xdr:from>
    <xdr:to>
      <xdr:col>16</xdr:col>
      <xdr:colOff>137200</xdr:colOff>
      <xdr:row>30</xdr:row>
      <xdr:rowOff>159133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E80917-F6F0-4344-BE02-F88BBA829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3211" y="2077666"/>
          <a:ext cx="4681436" cy="3249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113903</xdr:colOff>
      <xdr:row>9</xdr:row>
      <xdr:rowOff>9524</xdr:rowOff>
    </xdr:from>
    <xdr:to>
      <xdr:col>21</xdr:col>
      <xdr:colOff>352027</xdr:colOff>
      <xdr:row>34</xdr:row>
      <xdr:rowOff>142905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A33EF-5C99-5104-060F-AC74ABFE4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6716" y="1537493"/>
          <a:ext cx="6265862" cy="4350178"/>
        </a:xfrm>
        <a:prstGeom prst="rect">
          <a:avLst/>
        </a:prstGeom>
      </xdr:spPr>
    </xdr:pic>
    <xdr:clientData/>
  </xdr:twoCellAnchor>
  <xdr:twoCellAnchor editAs="oneCell">
    <xdr:from>
      <xdr:col>12</xdr:col>
      <xdr:colOff>103980</xdr:colOff>
      <xdr:row>46</xdr:row>
      <xdr:rowOff>64294</xdr:rowOff>
    </xdr:from>
    <xdr:to>
      <xdr:col>18</xdr:col>
      <xdr:colOff>7998</xdr:colOff>
      <xdr:row>73</xdr:row>
      <xdr:rowOff>153590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17CCAD-637F-30DF-4F76-3291648B5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2730" y="7833122"/>
          <a:ext cx="4416075" cy="4638675"/>
        </a:xfrm>
        <a:prstGeom prst="rect">
          <a:avLst/>
        </a:prstGeom>
      </xdr:spPr>
    </xdr:pic>
    <xdr:clientData/>
  </xdr:twoCellAnchor>
  <xdr:twoCellAnchor editAs="oneCell">
    <xdr:from>
      <xdr:col>18</xdr:col>
      <xdr:colOff>44448</xdr:colOff>
      <xdr:row>52</xdr:row>
      <xdr:rowOff>74215</xdr:rowOff>
    </xdr:from>
    <xdr:to>
      <xdr:col>22</xdr:col>
      <xdr:colOff>702739</xdr:colOff>
      <xdr:row>67</xdr:row>
      <xdr:rowOff>19844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5A5806-5B8D-58CC-945A-C963DBF84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7573" y="8855074"/>
          <a:ext cx="3674541" cy="2475708"/>
        </a:xfrm>
        <a:prstGeom prst="rect">
          <a:avLst/>
        </a:prstGeom>
      </xdr:spPr>
    </xdr:pic>
    <xdr:clientData/>
  </xdr:twoCellAnchor>
  <xdr:twoCellAnchor editAs="oneCell">
    <xdr:from>
      <xdr:col>0</xdr:col>
      <xdr:colOff>483723</xdr:colOff>
      <xdr:row>9</xdr:row>
      <xdr:rowOff>18111</xdr:rowOff>
    </xdr:from>
    <xdr:to>
      <xdr:col>9</xdr:col>
      <xdr:colOff>156482</xdr:colOff>
      <xdr:row>34</xdr:row>
      <xdr:rowOff>156151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56CE07-D0EF-A07F-5667-D0184DFE2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3723" y="1562522"/>
          <a:ext cx="6408295" cy="4390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114300</xdr:rowOff>
    </xdr:from>
    <xdr:to>
      <xdr:col>6</xdr:col>
      <xdr:colOff>85725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9</xdr:row>
      <xdr:rowOff>0</xdr:rowOff>
    </xdr:from>
    <xdr:to>
      <xdr:col>7</xdr:col>
      <xdr:colOff>588516</xdr:colOff>
      <xdr:row>25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DC89A-5292-53FE-3BC9-01515E79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1543050"/>
          <a:ext cx="5779640" cy="284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John Deere">
      <a:dk1>
        <a:sysClr val="windowText" lastClr="000000"/>
      </a:dk1>
      <a:lt1>
        <a:sysClr val="window" lastClr="FFFFFF"/>
      </a:lt1>
      <a:dk2>
        <a:srgbClr val="367C2B"/>
      </a:dk2>
      <a:lt2>
        <a:srgbClr val="FFDE00"/>
      </a:lt2>
      <a:accent1>
        <a:srgbClr val="367C2B"/>
      </a:accent1>
      <a:accent2>
        <a:srgbClr val="FFDE00"/>
      </a:accent2>
      <a:accent3>
        <a:srgbClr val="333333"/>
      </a:accent3>
      <a:accent4>
        <a:srgbClr val="86B080"/>
      </a:accent4>
      <a:accent5>
        <a:srgbClr val="FFF173"/>
      </a:accent5>
      <a:accent6>
        <a:srgbClr val="CCCCCC"/>
      </a:accent6>
      <a:hlink>
        <a:srgbClr val="367C2B"/>
      </a:hlink>
      <a:folHlink>
        <a:srgbClr val="666666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xonstorage.blob.core.windows.net/pdf/omron_g7l2axdc24_apr22_xonlink.pdf" TargetMode="External"/><Relationship Id="rId18" Type="http://schemas.openxmlformats.org/officeDocument/2006/relationships/hyperlink" Target="https://www.methodepowersolutions.com/wp-content/uploads/2019/09/Embedded_Bud_Connector_Data_Sheet-Verified.pdf" TargetMode="External"/><Relationship Id="rId26" Type="http://schemas.openxmlformats.org/officeDocument/2006/relationships/hyperlink" Target="https://www.hirose.com/en/product/document?clcode=CL0138-0200-0-04&amp;documentid=0001453697&amp;documenttype=SpecSheet&amp;lang=en&amp;productname=EM30MSD%2804%29" TargetMode="External"/><Relationship Id="rId39" Type="http://schemas.openxmlformats.org/officeDocument/2006/relationships/hyperlink" Target="https://odakpcb.com/downloads/KB-6167F-TDS.pdf" TargetMode="External"/><Relationship Id="rId21" Type="http://schemas.openxmlformats.org/officeDocument/2006/relationships/hyperlink" Target="https://amphenol-industrial.com/wp-content/uploads/2024/04/surlok-plus-series-ic-10.pdf" TargetMode="External"/><Relationship Id="rId34" Type="http://schemas.openxmlformats.org/officeDocument/2006/relationships/hyperlink" Target="https://docs.rs-online.com/7294/0900766b815851f3.pdf" TargetMode="External"/><Relationship Id="rId7" Type="http://schemas.openxmlformats.org/officeDocument/2006/relationships/hyperlink" Target="https://au.mouser.com/datasheet/2/240/L50QS_High_Speed_Fuse_Datasheet-3311429.pdf" TargetMode="External"/><Relationship Id="rId2" Type="http://schemas.openxmlformats.org/officeDocument/2006/relationships/hyperlink" Target="https://enepaq.com/wp-content/uploads/2025/02/Datasheet_with_VTC6_rev_D2024-10-28-1.pdf" TargetMode="External"/><Relationship Id="rId16" Type="http://schemas.openxmlformats.org/officeDocument/2006/relationships/hyperlink" Target="https://www.amphenol-industrial.com/wp-content/uploads/amphenol/epower-lite-series-ib-13.pdf" TargetMode="External"/><Relationship Id="rId20" Type="http://schemas.openxmlformats.org/officeDocument/2006/relationships/hyperlink" Target="https://amphenol-industrial.com/wp-content/uploads/2024/04/surlok-plus-series-ic-10.pdf" TargetMode="External"/><Relationship Id="rId29" Type="http://schemas.openxmlformats.org/officeDocument/2006/relationships/hyperlink" Target="https://lappaustralia.com.au/files/attachments/LAPP/CAT2018_2019/LAPP-Main-Catalogue-2018-19%20_%2087.pdf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enepaq.com/wp-content/uploads/2025/02/Datasheet_with_VTC6_rev_D2024-10-28-1.pdf" TargetMode="External"/><Relationship Id="rId6" Type="http://schemas.openxmlformats.org/officeDocument/2006/relationships/hyperlink" Target="https://enepaq.com/wp-content/uploads/2025/02/Datasheet_with_VTC6_rev_D2024-10-28-1.pdf" TargetMode="External"/><Relationship Id="rId11" Type="http://schemas.openxmlformats.org/officeDocument/2006/relationships/hyperlink" Target="https://www.te.com/commerce/DocumentDelivery/DDEController?Action=showdoc&amp;DocId=Data+Sheet%7F1773242%7FF%7Fpdf%7FEnglish%7FENG_DS_1773242_F.pdf%7F3-1879236-6" TargetMode="External"/><Relationship Id="rId24" Type="http://schemas.openxmlformats.org/officeDocument/2006/relationships/hyperlink" Target="https://www.te.com/commerce/DocumentDelivery/DDEController?Action=srchrtrv&amp;DocNm=114-13259&amp;DocType=Specification%20Or%20Standard&amp;DocLang=English&amp;DocFormat=pdf&amp;PartCntxt=4-2103177-4" TargetMode="External"/><Relationship Id="rId32" Type="http://schemas.openxmlformats.org/officeDocument/2006/relationships/hyperlink" Target="https://d347awuzx0kdse.cloudfront.net/epolnew/product-download/peeks-10-nat_data.pdf?v=c29889a00485eb1bbbe1571c356852d07481226b" TargetMode="External"/><Relationship Id="rId37" Type="http://schemas.openxmlformats.org/officeDocument/2006/relationships/hyperlink" Target="https://docs.rs-online.com/d42b/A700000006980855.pdf" TargetMode="External"/><Relationship Id="rId40" Type="http://schemas.openxmlformats.org/officeDocument/2006/relationships/hyperlink" Target="https://www.swiftsupplies.com.au/assets/files/DuPont%20Nomex%20410%20Insulation%20Paper%20TDS.pdf" TargetMode="External"/><Relationship Id="rId5" Type="http://schemas.openxmlformats.org/officeDocument/2006/relationships/hyperlink" Target="https://www.belfuse.com/media/datasheets/products/circuit-protection/ds-cp-c1q-series.pdf" TargetMode="External"/><Relationship Id="rId15" Type="http://schemas.openxmlformats.org/officeDocument/2006/relationships/hyperlink" Target="https://www.crimptech.com.au/wp-content/uploads/2020/12/ENG_DS_1-1773721-8_as_interconnection_0919.pdf" TargetMode="External"/><Relationship Id="rId23" Type="http://schemas.openxmlformats.org/officeDocument/2006/relationships/hyperlink" Target="https://amphenol-industrial.com/wp-content/uploads/2024/04/surlok-plus-series-ic-10.pdf" TargetMode="External"/><Relationship Id="rId28" Type="http://schemas.openxmlformats.org/officeDocument/2006/relationships/hyperlink" Target="https://lappaustralia.com.au/downloads/LAPP/LAPP%20AUS%20-%20SDI%20R-E-110%20LSZH%20-%20Tinned%20Switchboard%20Flex%20-%20Datasheet.pdf" TargetMode="External"/><Relationship Id="rId36" Type="http://schemas.openxmlformats.org/officeDocument/2006/relationships/hyperlink" Target="https://assets-cdn.helukabel.com/suppliers/Helukabel/documents/db/1DB_29450_en.pdf" TargetMode="External"/><Relationship Id="rId10" Type="http://schemas.openxmlformats.org/officeDocument/2006/relationships/hyperlink" Target="https://riedon.com/media/pdf/PF2470.pdf" TargetMode="External"/><Relationship Id="rId19" Type="http://schemas.openxmlformats.org/officeDocument/2006/relationships/hyperlink" Target="https://au.mouser.com/datasheet/2/18/1/IDS_67_RADLOK-372465.pdf" TargetMode="External"/><Relationship Id="rId31" Type="http://schemas.openxmlformats.org/officeDocument/2006/relationships/hyperlink" Target="https://cdn.shopify.com/s/files/1/0108/9116/5777/files/SRCV.pdf?v=1754739559" TargetMode="External"/><Relationship Id="rId4" Type="http://schemas.openxmlformats.org/officeDocument/2006/relationships/hyperlink" Target="https://www.littelfuse.com/media?resourcetype=datasheets&amp;itemid=e6b04cd1-0330-4f1d-91fa-6daf10bbffa3&amp;filename=l50qs-high-speed-fuse-datasheet" TargetMode="External"/><Relationship Id="rId9" Type="http://schemas.openxmlformats.org/officeDocument/2006/relationships/hyperlink" Target="https://docs.rs-online.com/a111/0900766b815a2504.pdf" TargetMode="External"/><Relationship Id="rId14" Type="http://schemas.openxmlformats.org/officeDocument/2006/relationships/hyperlink" Target="https://www.cynergy3.com/sites/default/files/cynergy3-d-v3.pdf" TargetMode="External"/><Relationship Id="rId22" Type="http://schemas.openxmlformats.org/officeDocument/2006/relationships/hyperlink" Target="https://amphenol-industrial.com/wp-content/uploads/2024/04/surlok-plus-series-ic-10.pdf" TargetMode="External"/><Relationship Id="rId27" Type="http://schemas.openxmlformats.org/officeDocument/2006/relationships/hyperlink" Target="https://enertronic.es/wp-content/uploads/2023/05/Adler-PU-Catalog-202303-.pdf" TargetMode="External"/><Relationship Id="rId30" Type="http://schemas.openxmlformats.org/officeDocument/2006/relationships/hyperlink" Target="https://cdn.shopify.com/s/files/1/0108/9116/5777/files/SRCV.pdf?v=1754739559" TargetMode="External"/><Relationship Id="rId35" Type="http://schemas.openxmlformats.org/officeDocument/2006/relationships/hyperlink" Target="https://www.champcable.com/wp-content/uploads/2018/08/212.-SAE-EXRAD-150-HVFX-XLE-Shielded-Battery-Cable.pdf" TargetMode="External"/><Relationship Id="rId8" Type="http://schemas.openxmlformats.org/officeDocument/2006/relationships/hyperlink" Target="https://au.mouser.com/datasheet/2/643/ds_cp_0adkx_series-3579021.pdf" TargetMode="External"/><Relationship Id="rId3" Type="http://schemas.openxmlformats.org/officeDocument/2006/relationships/hyperlink" Target="https://lappaustralia.com.au/downloads/LAPP/LAPP%20AUS%20-%20SDI%20R-E-110%20LSZH%20-%20Tinned%20Switchboard%20Flex%20-%20Datasheet.pdf" TargetMode="External"/><Relationship Id="rId12" Type="http://schemas.openxmlformats.org/officeDocument/2006/relationships/hyperlink" Target="https://www.mouser.com/datasheet/2/657/sensata_gigavac_gx12_series_open_contactors_datash-3077687.pdf" TargetMode="External"/><Relationship Id="rId17" Type="http://schemas.openxmlformats.org/officeDocument/2006/relationships/hyperlink" Target="https://www.amphenol-industrial.com/wp-content/uploads/amphenol/epower-lite-series-ib-13.pdf" TargetMode="External"/><Relationship Id="rId25" Type="http://schemas.openxmlformats.org/officeDocument/2006/relationships/hyperlink" Target="https://www.te.com/commerce/DocumentDelivery/DDEController?Action=srchrtrv&amp;DocNm=114-13259&amp;DocType=Specification%20Or%20Standard&amp;DocLang=English&amp;DocFormat=pdf&amp;PartCntxt=4-2103177-4" TargetMode="External"/><Relationship Id="rId33" Type="http://schemas.openxmlformats.org/officeDocument/2006/relationships/hyperlink" Target="https://www.champcable.com/wp-content/uploads/2018/08/212.-SAE-EXRAD-150-HVFX-XLE-Shielded-Battery-Cable.pdf" TargetMode="External"/><Relationship Id="rId38" Type="http://schemas.openxmlformats.org/officeDocument/2006/relationships/hyperlink" Target="https://docs.rs-online.com/d42b/A700000006980855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magna-power.com/assets/files/datasheets/datasheet_sl_4.5.0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u.mouser.com/datasheet/2/397/TCOA_S_A0010069265_1-2563810.pdf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emrax.com/wp-content/uploads/2024/02/EMRAX_228_datasheet_v1.5.pdf" TargetMode="External"/><Relationship Id="rId1" Type="http://schemas.openxmlformats.org/officeDocument/2006/relationships/hyperlink" Target="https://www.cascadiamotion.com/_files/ugd/7833d4_f46965a239f843afa9a2fa82f7d5d1ed.pdf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"/>
  <sheetViews>
    <sheetView zoomScale="25" zoomScaleNormal="25" workbookViewId="0">
      <selection activeCell="M8" sqref="M8"/>
    </sheetView>
  </sheetViews>
  <sheetFormatPr defaultColWidth="8.71875" defaultRowHeight="13.5" x14ac:dyDescent="0.35"/>
  <cols>
    <col min="1" max="1" width="8.71875" style="2"/>
    <col min="2" max="2" width="9.27734375" style="2" customWidth="1"/>
    <col min="3" max="7" width="8.71875" style="2"/>
    <col min="8" max="8" width="8.71875" style="2" customWidth="1"/>
    <col min="9" max="16384" width="8.71875" style="2"/>
  </cols>
  <sheetData>
    <row r="1" spans="1:16" x14ac:dyDescent="0.35">
      <c r="A1" s="53" t="s">
        <v>0</v>
      </c>
      <c r="B1" s="53"/>
      <c r="C1" s="53"/>
      <c r="D1" s="53"/>
      <c r="E1" s="53"/>
      <c r="F1" s="53"/>
      <c r="G1" s="53"/>
      <c r="H1" s="53"/>
      <c r="J1" s="53" t="s">
        <v>1</v>
      </c>
      <c r="K1" s="53"/>
      <c r="L1" s="53"/>
    </row>
    <row r="2" spans="1:16" x14ac:dyDescent="0.35">
      <c r="A2" s="59" t="s">
        <v>2</v>
      </c>
      <c r="B2" s="60"/>
      <c r="C2" s="60"/>
      <c r="D2" s="60"/>
      <c r="E2" s="60"/>
      <c r="F2" s="60"/>
      <c r="G2" s="60"/>
      <c r="H2" s="60"/>
      <c r="J2" s="51" t="s">
        <v>3</v>
      </c>
      <c r="K2" s="51"/>
      <c r="L2" s="12" t="str">
        <f ca="1">Datasheets!C1</f>
        <v>OK</v>
      </c>
    </row>
    <row r="3" spans="1:16" x14ac:dyDescent="0.35">
      <c r="A3" s="60"/>
      <c r="B3" s="60"/>
      <c r="C3" s="60"/>
      <c r="D3" s="60"/>
      <c r="E3" s="60"/>
      <c r="F3" s="60"/>
      <c r="G3" s="60"/>
      <c r="H3" s="60"/>
      <c r="J3" s="51" t="s">
        <v>4</v>
      </c>
      <c r="K3" s="51"/>
      <c r="L3" s="12" t="str">
        <f ca="1">'TS Schematics'!B1</f>
        <v>OK</v>
      </c>
    </row>
    <row r="4" spans="1:16" x14ac:dyDescent="0.35">
      <c r="A4" s="60"/>
      <c r="B4" s="60"/>
      <c r="C4" s="60"/>
      <c r="D4" s="60"/>
      <c r="E4" s="60"/>
      <c r="F4" s="60"/>
      <c r="G4" s="60"/>
      <c r="H4" s="60"/>
      <c r="J4" s="51" t="s">
        <v>5</v>
      </c>
      <c r="K4" s="51"/>
      <c r="L4" s="12" t="str">
        <f ca="1">Accumulator!B1</f>
        <v>OK</v>
      </c>
    </row>
    <row r="5" spans="1:16" x14ac:dyDescent="0.35">
      <c r="A5" s="60"/>
      <c r="B5" s="60"/>
      <c r="C5" s="60"/>
      <c r="D5" s="60"/>
      <c r="E5" s="60"/>
      <c r="F5" s="60"/>
      <c r="G5" s="60"/>
      <c r="H5" s="60"/>
      <c r="J5" s="58" t="s">
        <v>6</v>
      </c>
      <c r="K5" s="58"/>
      <c r="L5" s="12" t="str">
        <f ca="1">PrechargeDischarge!B1</f>
        <v>OK</v>
      </c>
    </row>
    <row r="6" spans="1:16" x14ac:dyDescent="0.35">
      <c r="A6" s="60"/>
      <c r="B6" s="60"/>
      <c r="C6" s="60"/>
      <c r="D6" s="60"/>
      <c r="E6" s="60"/>
      <c r="F6" s="60"/>
      <c r="G6" s="60"/>
      <c r="H6" s="60"/>
      <c r="J6" s="51" t="s">
        <v>7</v>
      </c>
      <c r="K6" s="51"/>
      <c r="L6" s="12" t="str">
        <f ca="1">Charging!B1</f>
        <v>OK</v>
      </c>
    </row>
    <row r="7" spans="1:16" x14ac:dyDescent="0.35">
      <c r="A7" s="60"/>
      <c r="B7" s="60"/>
      <c r="C7" s="60"/>
      <c r="D7" s="60"/>
      <c r="E7" s="60"/>
      <c r="F7" s="60"/>
      <c r="G7" s="60"/>
      <c r="H7" s="60"/>
      <c r="J7" s="51" t="s">
        <v>8</v>
      </c>
      <c r="K7" s="51"/>
      <c r="L7" s="12" t="str">
        <f ca="1">'Shutdown Circuit'!B1</f>
        <v>BLANK</v>
      </c>
    </row>
    <row r="8" spans="1:16" x14ac:dyDescent="0.35">
      <c r="A8" s="60"/>
      <c r="B8" s="60"/>
      <c r="C8" s="60"/>
      <c r="D8" s="60"/>
      <c r="E8" s="60"/>
      <c r="F8" s="60"/>
      <c r="G8" s="60"/>
      <c r="H8" s="60"/>
      <c r="J8" s="51" t="s">
        <v>9</v>
      </c>
      <c r="K8" s="51"/>
      <c r="L8" s="12" t="str">
        <f ca="1">'Torque Security'!$B$1</f>
        <v>OK</v>
      </c>
    </row>
    <row r="9" spans="1:16" x14ac:dyDescent="0.35">
      <c r="A9" s="60"/>
      <c r="B9" s="60"/>
      <c r="C9" s="60"/>
      <c r="D9" s="60"/>
      <c r="E9" s="60"/>
      <c r="F9" s="60"/>
      <c r="G9" s="60"/>
      <c r="H9" s="60"/>
      <c r="J9" s="51" t="s">
        <v>10</v>
      </c>
      <c r="K9" s="51"/>
      <c r="L9" s="12" t="str">
        <f ca="1">Other!B1</f>
        <v>BLANK</v>
      </c>
    </row>
    <row r="10" spans="1:16" x14ac:dyDescent="0.35">
      <c r="A10" s="60"/>
      <c r="B10" s="60"/>
      <c r="C10" s="60"/>
      <c r="D10" s="60"/>
      <c r="E10" s="60"/>
      <c r="F10" s="60"/>
      <c r="G10" s="60"/>
      <c r="H10" s="60"/>
    </row>
    <row r="11" spans="1:16" x14ac:dyDescent="0.35">
      <c r="A11" s="60"/>
      <c r="B11" s="60"/>
      <c r="C11" s="60"/>
      <c r="D11" s="60"/>
      <c r="E11" s="60"/>
      <c r="F11" s="60"/>
      <c r="G11" s="60"/>
      <c r="H11" s="60"/>
      <c r="J11" s="61" t="s">
        <v>11</v>
      </c>
      <c r="K11" s="61"/>
      <c r="L11" s="52" t="s">
        <v>12</v>
      </c>
      <c r="M11" s="52"/>
      <c r="N11" s="52"/>
      <c r="O11" s="52"/>
      <c r="P11" s="52"/>
    </row>
    <row r="12" spans="1:16" x14ac:dyDescent="0.35">
      <c r="A12" s="60"/>
      <c r="B12" s="60"/>
      <c r="C12" s="60"/>
      <c r="D12" s="60"/>
      <c r="E12" s="60"/>
      <c r="F12" s="60"/>
      <c r="G12" s="60"/>
      <c r="H12" s="60"/>
      <c r="J12" s="61" t="s">
        <v>13</v>
      </c>
      <c r="K12" s="61"/>
      <c r="L12" s="52" t="s">
        <v>14</v>
      </c>
      <c r="M12" s="52"/>
      <c r="N12" s="52"/>
      <c r="O12" s="52"/>
      <c r="P12" s="52"/>
    </row>
    <row r="13" spans="1:16" x14ac:dyDescent="0.35">
      <c r="A13" s="60"/>
      <c r="B13" s="60"/>
      <c r="C13" s="60"/>
      <c r="D13" s="60"/>
      <c r="E13" s="60"/>
      <c r="F13" s="60"/>
      <c r="G13" s="60"/>
      <c r="H13" s="60"/>
      <c r="J13" s="61" t="s">
        <v>15</v>
      </c>
      <c r="K13" s="61"/>
      <c r="L13" s="62">
        <v>2025</v>
      </c>
      <c r="M13" s="62"/>
      <c r="N13" s="62"/>
      <c r="O13" s="62"/>
      <c r="P13" s="62"/>
    </row>
    <row r="14" spans="1:16" x14ac:dyDescent="0.35">
      <c r="A14" s="60"/>
      <c r="B14" s="60"/>
      <c r="C14" s="60"/>
      <c r="D14" s="60"/>
      <c r="E14" s="60"/>
      <c r="F14" s="60"/>
      <c r="G14" s="60"/>
      <c r="H14" s="60"/>
    </row>
    <row r="15" spans="1:16" x14ac:dyDescent="0.35">
      <c r="A15" s="60"/>
      <c r="B15" s="60"/>
      <c r="C15" s="60"/>
      <c r="D15" s="60"/>
      <c r="E15" s="60"/>
      <c r="F15" s="60"/>
      <c r="G15" s="60"/>
      <c r="H15" s="60"/>
      <c r="J15" s="51" t="s">
        <v>16</v>
      </c>
      <c r="K15" s="51"/>
      <c r="L15" s="18">
        <f>MaxTSVoltage</f>
        <v>453.6</v>
      </c>
      <c r="M15" s="2" t="s">
        <v>17</v>
      </c>
    </row>
    <row r="16" spans="1:16" x14ac:dyDescent="0.35">
      <c r="A16" s="60"/>
      <c r="B16" s="60"/>
      <c r="C16" s="60"/>
      <c r="D16" s="60"/>
      <c r="E16" s="60"/>
      <c r="F16" s="60"/>
      <c r="G16" s="60"/>
      <c r="H16" s="60"/>
      <c r="J16" s="51" t="s">
        <v>18</v>
      </c>
      <c r="K16" s="51"/>
      <c r="L16" s="18">
        <f ca="1">Accumulator!W20</f>
        <v>100</v>
      </c>
      <c r="M16" s="2" t="s">
        <v>19</v>
      </c>
    </row>
    <row r="17" spans="1:16" x14ac:dyDescent="0.35">
      <c r="A17" s="60"/>
      <c r="B17" s="60"/>
      <c r="C17" s="60"/>
      <c r="D17" s="60"/>
      <c r="E17" s="60"/>
      <c r="F17" s="60"/>
      <c r="G17" s="60"/>
      <c r="H17" s="60"/>
    </row>
    <row r="19" spans="1:16" x14ac:dyDescent="0.35">
      <c r="A19" s="50" t="s">
        <v>20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</row>
    <row r="20" spans="1:16" x14ac:dyDescent="0.3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3"/>
    </row>
    <row r="21" spans="1:16" x14ac:dyDescent="0.35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</row>
    <row r="22" spans="1:16" x14ac:dyDescent="0.35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/>
    </row>
    <row r="23" spans="1:16" x14ac:dyDescent="0.35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</row>
    <row r="24" spans="1:16" x14ac:dyDescent="0.3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/>
    </row>
    <row r="25" spans="1:16" x14ac:dyDescent="0.3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</row>
    <row r="26" spans="1:16" x14ac:dyDescent="0.3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/>
    </row>
    <row r="27" spans="1:16" x14ac:dyDescent="0.3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</row>
    <row r="28" spans="1:16" x14ac:dyDescent="0.3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/>
    </row>
    <row r="29" spans="1:16" x14ac:dyDescent="0.3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/>
    </row>
    <row r="30" spans="1:16" x14ac:dyDescent="0.3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6"/>
    </row>
    <row r="31" spans="1:16" x14ac:dyDescent="0.3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6"/>
    </row>
    <row r="32" spans="1:16" x14ac:dyDescent="0.3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6"/>
    </row>
    <row r="33" spans="1:16" x14ac:dyDescent="0.3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6"/>
    </row>
    <row r="34" spans="1:16" x14ac:dyDescent="0.35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6"/>
    </row>
    <row r="35" spans="1:16" x14ac:dyDescent="0.3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9"/>
    </row>
    <row r="38" spans="1:16" x14ac:dyDescent="0.35">
      <c r="A38" s="53" t="s">
        <v>21</v>
      </c>
      <c r="B38" s="53"/>
      <c r="C38" s="53"/>
      <c r="D38" s="53"/>
      <c r="E38" s="53"/>
      <c r="F38" s="53"/>
      <c r="G38" s="53"/>
      <c r="H38" s="53"/>
    </row>
    <row r="39" spans="1:16" x14ac:dyDescent="0.35">
      <c r="A39" s="23" t="s">
        <v>22</v>
      </c>
      <c r="B39" s="23" t="s">
        <v>23</v>
      </c>
      <c r="C39" s="57" t="s">
        <v>24</v>
      </c>
      <c r="D39" s="57"/>
      <c r="E39" s="57"/>
      <c r="F39" s="57"/>
      <c r="G39" s="57"/>
      <c r="H39" s="57"/>
    </row>
    <row r="40" spans="1:16" x14ac:dyDescent="0.35">
      <c r="A40" s="30">
        <v>2.4</v>
      </c>
      <c r="B40" s="14">
        <v>45565</v>
      </c>
      <c r="C40" s="54" t="s">
        <v>25</v>
      </c>
      <c r="D40" s="55"/>
      <c r="E40" s="55"/>
      <c r="F40" s="55"/>
      <c r="G40" s="55"/>
      <c r="H40" s="56"/>
    </row>
    <row r="41" spans="1:16" x14ac:dyDescent="0.35">
      <c r="A41" s="30">
        <v>2.2999999999999998</v>
      </c>
      <c r="B41" s="14">
        <v>45228</v>
      </c>
      <c r="C41" s="54" t="s">
        <v>26</v>
      </c>
      <c r="D41" s="55"/>
      <c r="E41" s="55"/>
      <c r="F41" s="55"/>
      <c r="G41" s="55"/>
      <c r="H41" s="56"/>
    </row>
    <row r="42" spans="1:16" x14ac:dyDescent="0.35">
      <c r="A42" s="30">
        <v>2.2000000000000002</v>
      </c>
      <c r="B42" s="14">
        <v>44868</v>
      </c>
      <c r="C42" s="54" t="s">
        <v>27</v>
      </c>
      <c r="D42" s="55"/>
      <c r="E42" s="55"/>
      <c r="F42" s="55"/>
      <c r="G42" s="55"/>
      <c r="H42" s="56"/>
    </row>
    <row r="43" spans="1:16" x14ac:dyDescent="0.35">
      <c r="A43" s="13">
        <v>2.1</v>
      </c>
      <c r="B43" s="14">
        <v>44491</v>
      </c>
      <c r="C43" s="40" t="s">
        <v>28</v>
      </c>
      <c r="D43" s="40"/>
      <c r="E43" s="40"/>
      <c r="F43" s="40"/>
      <c r="G43" s="40"/>
      <c r="H43" s="40"/>
    </row>
    <row r="44" spans="1:16" x14ac:dyDescent="0.35">
      <c r="A44" s="13" t="s">
        <v>29</v>
      </c>
      <c r="B44" s="14">
        <v>44162</v>
      </c>
      <c r="C44" s="40" t="s">
        <v>30</v>
      </c>
      <c r="D44" s="40"/>
      <c r="E44" s="40"/>
      <c r="F44" s="40"/>
      <c r="G44" s="40"/>
      <c r="H44" s="40"/>
    </row>
  </sheetData>
  <sheetProtection algorithmName="SHA-512" hashValue="NbX41Js/zYV5nsmH8THIqU2DgCuLch6ZBXwIfRCdbXvGjd79JQzkhp5qqePF9LXb77RGd+tPpSIpA6fvEGWoxA==" saltValue="0L1Mzyw1SFWJfIpSeLuONw==" spinCount="100000" sheet="1" scenarios="1" insertHyperlinks="0"/>
  <mergeCells count="28">
    <mergeCell ref="C44:H44"/>
    <mergeCell ref="C39:H39"/>
    <mergeCell ref="J1:L1"/>
    <mergeCell ref="A1:H1"/>
    <mergeCell ref="J2:K2"/>
    <mergeCell ref="J3:K3"/>
    <mergeCell ref="J4:K4"/>
    <mergeCell ref="J5:K5"/>
    <mergeCell ref="J6:K6"/>
    <mergeCell ref="J7:K7"/>
    <mergeCell ref="A2:H17"/>
    <mergeCell ref="J12:K12"/>
    <mergeCell ref="J11:K11"/>
    <mergeCell ref="J13:K13"/>
    <mergeCell ref="L13:P13"/>
    <mergeCell ref="J15:K15"/>
    <mergeCell ref="C43:H43"/>
    <mergeCell ref="A20:P35"/>
    <mergeCell ref="A19:P19"/>
    <mergeCell ref="J8:K8"/>
    <mergeCell ref="J9:K9"/>
    <mergeCell ref="L11:P11"/>
    <mergeCell ref="L12:P12"/>
    <mergeCell ref="A38:H38"/>
    <mergeCell ref="J16:K16"/>
    <mergeCell ref="C42:H42"/>
    <mergeCell ref="C41:H41"/>
    <mergeCell ref="C40:H40"/>
  </mergeCells>
  <pageMargins left="0.25" right="0.25" top="0.75" bottom="0.75" header="0.3" footer="0.3"/>
  <pageSetup paperSize="8" orientation="landscape" cellComments="atEnd" r:id="rId1"/>
  <headerFooter>
    <oddFooter>&amp;R&amp;1#&amp;"Calibri"&amp;10&amp;KFF0000Public</oddFooter>
  </headerFooter>
  <ignoredErrors>
    <ignoredError sqref="A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4"/>
  <sheetViews>
    <sheetView topLeftCell="B1" zoomScale="25" zoomScaleNormal="25" workbookViewId="0">
      <selection activeCell="C57" sqref="C57"/>
    </sheetView>
  </sheetViews>
  <sheetFormatPr defaultColWidth="8.71875" defaultRowHeight="13.5" x14ac:dyDescent="0.35"/>
  <cols>
    <col min="1" max="1" width="15.71875" style="2" hidden="1" customWidth="1"/>
    <col min="2" max="2" width="11.88671875" style="2" customWidth="1"/>
    <col min="3" max="4" width="8.71875" style="2"/>
    <col min="5" max="6" width="8.71875" style="2" customWidth="1"/>
    <col min="7" max="16384" width="8.71875" style="2"/>
  </cols>
  <sheetData>
    <row r="1" spans="2:8" x14ac:dyDescent="0.35">
      <c r="B1" s="26" t="s">
        <v>1</v>
      </c>
      <c r="C1" s="12" t="str" cm="1">
        <f t="array" aca="1" ref="C1" ca="1">IF( SUM(COUNTIF(INDIRECT({"Datasheets!$F$2","Datasheets!$K$17","Datasheets!$K$39","Datasheets!$N$54","Datasheets!$K$63","Datasheets!$J$71","Datasheets!$L$93"}), "="&amp;IncompleteText))&gt;0, IncompleteText, IF(SUM(COUNTIF(INDIRECT({"Datasheets!$F$2","Datasheets!$K$17","Datasheets!$K$39","Datasheets!$N$54","Datasheets!$K$63","Datasheets!$J$71","Datasheets!$L$93"}), "="&amp;ErrorText)), ErrorText, OKText))</f>
        <v>OK</v>
      </c>
    </row>
    <row r="2" spans="2:8" x14ac:dyDescent="0.35">
      <c r="B2" s="53" t="s">
        <v>31</v>
      </c>
      <c r="C2" s="53"/>
      <c r="D2" s="53"/>
      <c r="E2" s="53"/>
      <c r="F2" s="12" t="str">
        <f>IF(COUNTBLANK(D3:D14)&gt;0, IncompleteText, OKText)</f>
        <v>OK</v>
      </c>
    </row>
    <row r="3" spans="2:8" x14ac:dyDescent="0.35">
      <c r="B3" s="82" t="s">
        <v>32</v>
      </c>
      <c r="C3" s="82"/>
      <c r="D3" s="52" t="s">
        <v>33</v>
      </c>
      <c r="E3" s="52"/>
    </row>
    <row r="4" spans="2:8" x14ac:dyDescent="0.35">
      <c r="B4" s="82" t="s">
        <v>34</v>
      </c>
      <c r="C4" s="82"/>
      <c r="D4" s="52" t="s">
        <v>35</v>
      </c>
      <c r="E4" s="52"/>
    </row>
    <row r="5" spans="2:8" x14ac:dyDescent="0.35">
      <c r="B5" s="82" t="s">
        <v>36</v>
      </c>
      <c r="C5" s="82"/>
      <c r="D5" s="11" t="s">
        <v>37</v>
      </c>
      <c r="E5" t="s">
        <v>38</v>
      </c>
    </row>
    <row r="6" spans="2:8" x14ac:dyDescent="0.35">
      <c r="B6" s="82" t="s">
        <v>39</v>
      </c>
      <c r="C6" s="82"/>
      <c r="D6" s="11" t="s">
        <v>40</v>
      </c>
      <c r="E6" t="s">
        <v>17</v>
      </c>
    </row>
    <row r="7" spans="2:8" x14ac:dyDescent="0.35">
      <c r="B7" s="82" t="s">
        <v>41</v>
      </c>
      <c r="C7" s="82"/>
      <c r="D7" s="11" t="s">
        <v>42</v>
      </c>
      <c r="E7" t="s">
        <v>17</v>
      </c>
    </row>
    <row r="8" spans="2:8" x14ac:dyDescent="0.35">
      <c r="B8" s="82" t="s">
        <v>43</v>
      </c>
      <c r="C8" s="82"/>
      <c r="D8" s="11" t="s">
        <v>44</v>
      </c>
      <c r="E8" t="s">
        <v>17</v>
      </c>
    </row>
    <row r="9" spans="2:8" x14ac:dyDescent="0.35">
      <c r="B9" s="82" t="s">
        <v>45</v>
      </c>
      <c r="C9" s="82"/>
      <c r="D9" s="11" t="s">
        <v>46</v>
      </c>
      <c r="E9" t="s">
        <v>19</v>
      </c>
    </row>
    <row r="10" spans="2:8" x14ac:dyDescent="0.35">
      <c r="B10" s="82" t="s">
        <v>47</v>
      </c>
      <c r="C10" s="82"/>
      <c r="D10" s="11" t="s">
        <v>48</v>
      </c>
      <c r="E10" t="s">
        <v>19</v>
      </c>
    </row>
    <row r="11" spans="2:8" x14ac:dyDescent="0.35">
      <c r="B11" s="82" t="s">
        <v>49</v>
      </c>
      <c r="C11" s="82"/>
      <c r="D11" s="11" t="s">
        <v>50</v>
      </c>
      <c r="E11" t="s">
        <v>51</v>
      </c>
    </row>
    <row r="12" spans="2:8" x14ac:dyDescent="0.35">
      <c r="B12" s="82" t="s">
        <v>52</v>
      </c>
      <c r="C12" s="82"/>
      <c r="D12" s="52" t="s">
        <v>53</v>
      </c>
      <c r="E12" s="52"/>
    </row>
    <row r="13" spans="2:8" x14ac:dyDescent="0.35">
      <c r="B13" s="82" t="s">
        <v>54</v>
      </c>
      <c r="C13" s="83"/>
      <c r="D13" s="74" t="s">
        <v>55</v>
      </c>
      <c r="E13" s="75"/>
    </row>
    <row r="14" spans="2:8" x14ac:dyDescent="0.35">
      <c r="B14" s="82" t="s">
        <v>56</v>
      </c>
      <c r="C14" s="83"/>
      <c r="D14" s="72" t="s">
        <v>55</v>
      </c>
      <c r="E14" s="52"/>
    </row>
    <row r="15" spans="2:8" x14ac:dyDescent="0.35">
      <c r="B15" s="82" t="s">
        <v>20</v>
      </c>
      <c r="C15" s="83"/>
      <c r="D15" s="52" t="s">
        <v>57</v>
      </c>
      <c r="E15" s="52"/>
      <c r="F15" s="52"/>
      <c r="G15" s="52"/>
      <c r="H15" s="52"/>
    </row>
    <row r="16" spans="2:8" x14ac:dyDescent="0.35">
      <c r="D16" s="8"/>
    </row>
    <row r="17" spans="1:18" x14ac:dyDescent="0.35">
      <c r="B17" s="53" t="s">
        <v>58</v>
      </c>
      <c r="C17" s="53"/>
      <c r="D17" s="53"/>
      <c r="E17" s="53"/>
      <c r="F17" s="53"/>
      <c r="G17" s="53"/>
      <c r="H17" s="53"/>
      <c r="I17" s="53"/>
      <c r="J17" s="22"/>
      <c r="K17" s="12" t="str">
        <f>IF(COUNTIF(K19:K37, "="&amp;IncompleteText), IncompleteText, IF(COUNTIF(K19:K37, "="&amp;ErrorText), ErrorText, OKText))</f>
        <v>OK</v>
      </c>
    </row>
    <row r="18" spans="1:18" ht="29.25" customHeight="1" x14ac:dyDescent="0.35">
      <c r="B18" t="s">
        <v>59</v>
      </c>
      <c r="C18" s="17" t="s">
        <v>60</v>
      </c>
      <c r="D18" s="17" t="s">
        <v>61</v>
      </c>
      <c r="E18" s="17" t="s">
        <v>62</v>
      </c>
      <c r="F18" s="17" t="s">
        <v>63</v>
      </c>
      <c r="G18" s="17" t="s">
        <v>64</v>
      </c>
      <c r="H18" s="76" t="s">
        <v>54</v>
      </c>
      <c r="I18" s="76"/>
      <c r="J18" s="17" t="s">
        <v>65</v>
      </c>
      <c r="K18" s="24"/>
      <c r="L18" s="71" t="s">
        <v>20</v>
      </c>
      <c r="M18" s="71"/>
      <c r="N18" s="71"/>
      <c r="O18" s="71"/>
      <c r="P18" s="71"/>
      <c r="Q18" s="69" t="s">
        <v>66</v>
      </c>
      <c r="R18" s="70"/>
    </row>
    <row r="19" spans="1:18" x14ac:dyDescent="0.35">
      <c r="A19" s="2" t="str">
        <f ca="1">CONCATENATE(INDIRECT(CONCATENATE("B",ROW(A19))), " ", INDIRECT(CONCATENATE("C",ROW(A19))))</f>
        <v>LAPP 3806143</v>
      </c>
      <c r="B19" s="3" t="s">
        <v>67</v>
      </c>
      <c r="C19" s="11" t="s">
        <v>68</v>
      </c>
      <c r="D19" s="3">
        <v>25</v>
      </c>
      <c r="E19" s="19">
        <v>600</v>
      </c>
      <c r="F19" s="3">
        <v>136</v>
      </c>
      <c r="G19" s="3">
        <v>110</v>
      </c>
      <c r="H19" s="72" t="s">
        <v>69</v>
      </c>
      <c r="I19" s="52"/>
      <c r="J19" s="21" t="s">
        <v>70</v>
      </c>
      <c r="K19" s="12" t="str">
        <f>IF(COUNTBLANK(B19:J19)=9,IncompleteText,IF(AND(COUNTBLANK(B19:J19)=1, G19&gt;=90),OKText,ErrorText))</f>
        <v>OK</v>
      </c>
      <c r="L19" s="52" t="s">
        <v>71</v>
      </c>
      <c r="M19" s="52"/>
      <c r="N19" s="52"/>
      <c r="O19" s="52"/>
      <c r="P19" s="52"/>
      <c r="Q19" s="63" t="s">
        <v>72</v>
      </c>
      <c r="R19" s="64"/>
    </row>
    <row r="20" spans="1:18" x14ac:dyDescent="0.35">
      <c r="A20" s="2" t="str">
        <f t="shared" ref="A20:A83" ca="1" si="0">CONCATENATE(INDIRECT(CONCATENATE("B",ROW(A20))), " ", INDIRECT(CONCATENATE("C",ROW(A20))))</f>
        <v>LAPP 3806142</v>
      </c>
      <c r="B20" s="3" t="s">
        <v>67</v>
      </c>
      <c r="C20" s="11" t="s">
        <v>73</v>
      </c>
      <c r="D20" s="3">
        <v>16</v>
      </c>
      <c r="E20" s="3">
        <v>600</v>
      </c>
      <c r="F20" s="3">
        <v>102</v>
      </c>
      <c r="G20" s="3">
        <v>110</v>
      </c>
      <c r="H20" s="72" t="s">
        <v>69</v>
      </c>
      <c r="I20" s="52"/>
      <c r="J20" s="21" t="s">
        <v>5</v>
      </c>
      <c r="K20" s="12" t="str">
        <f>IF(COUNTBLANK(B20:J20)=9,"",IF(AND(COUNTBLANK(B20:J20)=1, G20&gt;=90),OKText,ErrorText))</f>
        <v>OK</v>
      </c>
      <c r="L20" s="52" t="s">
        <v>74</v>
      </c>
      <c r="M20" s="52"/>
      <c r="N20" s="52"/>
      <c r="O20" s="52"/>
      <c r="P20" s="52"/>
      <c r="Q20" s="65"/>
      <c r="R20" s="66"/>
    </row>
    <row r="21" spans="1:18" x14ac:dyDescent="0.35">
      <c r="A21" s="2" t="str">
        <f t="shared" ca="1" si="0"/>
        <v>LAPP 16001303</v>
      </c>
      <c r="B21" s="3" t="s">
        <v>67</v>
      </c>
      <c r="C21" s="11" t="s">
        <v>75</v>
      </c>
      <c r="D21" s="3">
        <v>4</v>
      </c>
      <c r="E21" s="3">
        <v>750</v>
      </c>
      <c r="F21" s="3">
        <v>23</v>
      </c>
      <c r="G21" s="3">
        <v>110</v>
      </c>
      <c r="H21" s="72" t="s">
        <v>76</v>
      </c>
      <c r="I21" s="52"/>
      <c r="J21" s="21" t="s">
        <v>77</v>
      </c>
      <c r="K21" s="12" t="str">
        <f>IF(COUNTBLANK(B21:J21)=9,"",IF(AND(COUNTBLANK(B21:J21)=1, G21&gt;=90),OKText,ErrorText))</f>
        <v>OK</v>
      </c>
      <c r="L21" s="52" t="s">
        <v>78</v>
      </c>
      <c r="M21" s="52"/>
      <c r="N21" s="52"/>
      <c r="O21" s="52"/>
      <c r="P21" s="52"/>
      <c r="Q21" s="65"/>
      <c r="R21" s="66"/>
    </row>
    <row r="22" spans="1:18" x14ac:dyDescent="0.35">
      <c r="A22" s="2" t="str">
        <f t="shared" ca="1" si="0"/>
        <v>ELECTRA SRCV3025E</v>
      </c>
      <c r="B22" s="3" t="s">
        <v>79</v>
      </c>
      <c r="C22" s="11" t="s">
        <v>80</v>
      </c>
      <c r="D22" s="3">
        <v>2.5</v>
      </c>
      <c r="E22" s="3">
        <v>750</v>
      </c>
      <c r="F22" s="3">
        <v>21</v>
      </c>
      <c r="G22" s="3">
        <v>110</v>
      </c>
      <c r="H22" s="72" t="s">
        <v>81</v>
      </c>
      <c r="I22" s="52"/>
      <c r="J22" s="21" t="s">
        <v>77</v>
      </c>
      <c r="K22" s="12" t="str">
        <f t="shared" ref="K22:K37" si="1">IF(COUNTBLANK(B22:J22)=9,"",IF(AND(COUNTBLANK(B22:J22)=1, G22&gt;=90),OKText,ErrorText))</f>
        <v>OK</v>
      </c>
      <c r="L22" s="52" t="s">
        <v>82</v>
      </c>
      <c r="M22" s="52"/>
      <c r="N22" s="52"/>
      <c r="O22" s="52"/>
      <c r="P22" s="52"/>
      <c r="Q22" s="65"/>
      <c r="R22" s="66"/>
    </row>
    <row r="23" spans="1:18" x14ac:dyDescent="0.35">
      <c r="A23" s="2" t="str">
        <f t="shared" ca="1" si="0"/>
        <v>ELECTRA SRCV2025E</v>
      </c>
      <c r="B23" s="3" t="s">
        <v>79</v>
      </c>
      <c r="C23" s="11" t="s">
        <v>83</v>
      </c>
      <c r="D23" s="3">
        <v>2.5</v>
      </c>
      <c r="E23" s="3">
        <v>750</v>
      </c>
      <c r="F23" s="3">
        <v>22</v>
      </c>
      <c r="G23" s="3">
        <v>110</v>
      </c>
      <c r="H23" s="72" t="s">
        <v>81</v>
      </c>
      <c r="I23" s="52"/>
      <c r="J23" s="21" t="s">
        <v>77</v>
      </c>
      <c r="K23" s="12" t="str">
        <f t="shared" si="1"/>
        <v>OK</v>
      </c>
      <c r="L23" s="52" t="s">
        <v>84</v>
      </c>
      <c r="M23" s="52"/>
      <c r="N23" s="52"/>
      <c r="O23" s="52"/>
      <c r="P23" s="52"/>
      <c r="Q23" s="65"/>
      <c r="R23" s="66"/>
    </row>
    <row r="24" spans="1:18" x14ac:dyDescent="0.35">
      <c r="A24" s="2" t="str">
        <f t="shared" ca="1" si="0"/>
        <v xml:space="preserve">HELUKABEL 29468 </v>
      </c>
      <c r="B24" s="3" t="s">
        <v>85</v>
      </c>
      <c r="C24" s="11" t="s">
        <v>86</v>
      </c>
      <c r="D24" s="3">
        <v>1.5</v>
      </c>
      <c r="E24" s="3">
        <v>550</v>
      </c>
      <c r="F24" s="3">
        <v>16</v>
      </c>
      <c r="G24" s="3">
        <v>110</v>
      </c>
      <c r="H24" s="74" t="s">
        <v>87</v>
      </c>
      <c r="I24" s="75"/>
      <c r="J24" s="21" t="s">
        <v>77</v>
      </c>
      <c r="K24" s="12" t="str">
        <f>IF(COUNTBLANK(B24:J24)=9,"",IF(AND(COUNTBLANK(B24:J24)=1, G24&gt;=90),OKText,ErrorText))</f>
        <v>OK</v>
      </c>
      <c r="L24" s="52" t="s">
        <v>88</v>
      </c>
      <c r="M24" s="52"/>
      <c r="N24" s="52"/>
      <c r="O24" s="52"/>
      <c r="P24" s="52"/>
      <c r="Q24" s="65"/>
      <c r="R24" s="66"/>
    </row>
    <row r="25" spans="1:18" x14ac:dyDescent="0.35">
      <c r="A25" s="2" t="str">
        <f t="shared" ca="1" si="0"/>
        <v>ELETECK E254881</v>
      </c>
      <c r="B25" s="3" t="s">
        <v>89</v>
      </c>
      <c r="C25" s="11" t="s">
        <v>90</v>
      </c>
      <c r="D25" s="3">
        <v>0.33</v>
      </c>
      <c r="E25" s="3">
        <v>600</v>
      </c>
      <c r="F25" s="3">
        <v>5</v>
      </c>
      <c r="G25" s="3">
        <v>105</v>
      </c>
      <c r="H25" s="74" t="s">
        <v>91</v>
      </c>
      <c r="I25" s="75"/>
      <c r="J25" s="21" t="s">
        <v>92</v>
      </c>
      <c r="K25" s="12" t="str">
        <f>IF(COUNTBLANK(B25:J25)=9,"",IF(AND(COUNTBLANK(B25:J25)=1, G25&gt;=90),OKText,ErrorText))</f>
        <v>OK</v>
      </c>
      <c r="L25" s="52" t="s">
        <v>93</v>
      </c>
      <c r="M25" s="52"/>
      <c r="N25" s="52"/>
      <c r="O25" s="52"/>
      <c r="P25" s="52"/>
      <c r="Q25" s="65"/>
      <c r="R25" s="66"/>
    </row>
    <row r="26" spans="1:18" x14ac:dyDescent="0.35">
      <c r="A26" s="2" t="str">
        <f t="shared" ca="1" si="0"/>
        <v>EXRAD EXRAD-XHV/XLE-50</v>
      </c>
      <c r="B26" s="3" t="s">
        <v>94</v>
      </c>
      <c r="C26" s="11" t="s">
        <v>95</v>
      </c>
      <c r="D26" s="3">
        <v>50</v>
      </c>
      <c r="E26" s="3">
        <v>1000</v>
      </c>
      <c r="F26" s="3">
        <v>218</v>
      </c>
      <c r="G26" s="3">
        <v>150</v>
      </c>
      <c r="H26" s="74" t="s">
        <v>96</v>
      </c>
      <c r="I26" s="75"/>
      <c r="J26" s="21" t="s">
        <v>97</v>
      </c>
      <c r="K26" s="12" t="str">
        <f>IF(COUNTBLANK(B26:J26)=9,"",IF(AND(COUNTBLANK(B26:J26)=1, G26&gt;=90),OKText,ErrorText))</f>
        <v>OK</v>
      </c>
      <c r="L26" s="52" t="s">
        <v>98</v>
      </c>
      <c r="M26" s="52"/>
      <c r="N26" s="52"/>
      <c r="O26" s="52"/>
      <c r="P26" s="52"/>
      <c r="Q26" s="65"/>
      <c r="R26" s="66"/>
    </row>
    <row r="27" spans="1:18" x14ac:dyDescent="0.35">
      <c r="A27" s="2" t="str">
        <f t="shared" ca="1" si="0"/>
        <v>EXRAD EXRAD-XHV/XLE-50</v>
      </c>
      <c r="B27" s="3" t="s">
        <v>94</v>
      </c>
      <c r="C27" s="11" t="s">
        <v>95</v>
      </c>
      <c r="D27" s="3">
        <v>50</v>
      </c>
      <c r="E27" s="3">
        <v>600</v>
      </c>
      <c r="F27" s="3">
        <v>218</v>
      </c>
      <c r="G27" s="3">
        <v>150</v>
      </c>
      <c r="H27" s="72" t="s">
        <v>96</v>
      </c>
      <c r="I27" s="52"/>
      <c r="J27" s="21" t="s">
        <v>99</v>
      </c>
      <c r="K27" s="12" t="str">
        <f t="shared" si="1"/>
        <v>OK</v>
      </c>
      <c r="L27" s="52" t="s">
        <v>98</v>
      </c>
      <c r="M27" s="52"/>
      <c r="N27" s="52"/>
      <c r="O27" s="52"/>
      <c r="P27" s="52"/>
      <c r="Q27" s="65"/>
      <c r="R27" s="66"/>
    </row>
    <row r="28" spans="1:18" x14ac:dyDescent="0.35">
      <c r="A28" s="2" t="str">
        <f t="shared" ca="1" si="0"/>
        <v xml:space="preserve"> </v>
      </c>
      <c r="B28" s="3"/>
      <c r="C28" s="11"/>
      <c r="D28" s="3"/>
      <c r="E28" s="3"/>
      <c r="F28" s="3"/>
      <c r="G28" s="3"/>
      <c r="H28" s="52"/>
      <c r="I28" s="52"/>
      <c r="J28" s="21"/>
      <c r="K28" s="12" t="str">
        <f t="shared" si="1"/>
        <v/>
      </c>
      <c r="L28" s="52"/>
      <c r="M28" s="52"/>
      <c r="N28" s="52"/>
      <c r="O28" s="52"/>
      <c r="P28" s="52"/>
      <c r="Q28" s="65"/>
      <c r="R28" s="66"/>
    </row>
    <row r="29" spans="1:18" x14ac:dyDescent="0.35">
      <c r="A29" s="2" t="str">
        <f t="shared" ca="1" si="0"/>
        <v xml:space="preserve"> </v>
      </c>
      <c r="B29" s="3"/>
      <c r="C29" s="11"/>
      <c r="D29" s="3"/>
      <c r="E29" s="3"/>
      <c r="F29" s="3"/>
      <c r="G29" s="3"/>
      <c r="H29" s="52"/>
      <c r="I29" s="52"/>
      <c r="J29" s="21"/>
      <c r="K29" s="12" t="str">
        <f t="shared" si="1"/>
        <v/>
      </c>
      <c r="L29" s="52"/>
      <c r="M29" s="52"/>
      <c r="N29" s="52"/>
      <c r="O29" s="52"/>
      <c r="P29" s="52"/>
      <c r="Q29" s="65"/>
      <c r="R29" s="66"/>
    </row>
    <row r="30" spans="1:18" x14ac:dyDescent="0.35">
      <c r="A30" s="2" t="str">
        <f t="shared" ca="1" si="0"/>
        <v xml:space="preserve"> </v>
      </c>
      <c r="B30" s="3"/>
      <c r="C30" s="11"/>
      <c r="D30" s="3"/>
      <c r="E30" s="3"/>
      <c r="F30" s="3"/>
      <c r="G30" s="3"/>
      <c r="H30" s="52"/>
      <c r="I30" s="52"/>
      <c r="J30" s="21"/>
      <c r="K30" s="12" t="str">
        <f t="shared" si="1"/>
        <v/>
      </c>
      <c r="L30" s="52"/>
      <c r="M30" s="52"/>
      <c r="N30" s="52"/>
      <c r="O30" s="52"/>
      <c r="P30" s="52"/>
      <c r="Q30" s="65"/>
      <c r="R30" s="66"/>
    </row>
    <row r="31" spans="1:18" x14ac:dyDescent="0.35">
      <c r="A31" s="2" t="str">
        <f t="shared" ca="1" si="0"/>
        <v xml:space="preserve"> </v>
      </c>
      <c r="B31" s="3"/>
      <c r="C31" s="11"/>
      <c r="D31" s="3"/>
      <c r="E31" s="3"/>
      <c r="F31" s="3"/>
      <c r="G31" s="3"/>
      <c r="H31" s="52"/>
      <c r="I31" s="52"/>
      <c r="J31" s="21"/>
      <c r="K31" s="12" t="str">
        <f t="shared" si="1"/>
        <v/>
      </c>
      <c r="L31" s="52"/>
      <c r="M31" s="52"/>
      <c r="N31" s="52"/>
      <c r="O31" s="52"/>
      <c r="P31" s="52"/>
      <c r="Q31" s="65"/>
      <c r="R31" s="66"/>
    </row>
    <row r="32" spans="1:18" x14ac:dyDescent="0.35">
      <c r="A32" s="2" t="str">
        <f t="shared" ca="1" si="0"/>
        <v xml:space="preserve"> </v>
      </c>
      <c r="B32" s="3"/>
      <c r="C32" s="11"/>
      <c r="D32" s="3"/>
      <c r="E32" s="3"/>
      <c r="F32" s="3"/>
      <c r="G32" s="3"/>
      <c r="H32" s="52"/>
      <c r="I32" s="52"/>
      <c r="J32" s="21"/>
      <c r="K32" s="12" t="str">
        <f t="shared" si="1"/>
        <v/>
      </c>
      <c r="L32" s="52"/>
      <c r="M32" s="52"/>
      <c r="N32" s="52"/>
      <c r="O32" s="52"/>
      <c r="P32" s="52"/>
      <c r="Q32" s="65"/>
      <c r="R32" s="66"/>
    </row>
    <row r="33" spans="1:18" x14ac:dyDescent="0.35">
      <c r="A33" s="2" t="str">
        <f t="shared" ca="1" si="0"/>
        <v xml:space="preserve"> </v>
      </c>
      <c r="B33" s="3"/>
      <c r="C33" s="11"/>
      <c r="D33" s="3"/>
      <c r="E33" s="3"/>
      <c r="F33" s="3"/>
      <c r="G33" s="3"/>
      <c r="H33" s="52"/>
      <c r="I33" s="52"/>
      <c r="J33" s="21"/>
      <c r="K33" s="12" t="str">
        <f t="shared" si="1"/>
        <v/>
      </c>
      <c r="L33" s="52"/>
      <c r="M33" s="52"/>
      <c r="N33" s="52"/>
      <c r="O33" s="52"/>
      <c r="P33" s="52"/>
      <c r="Q33" s="65"/>
      <c r="R33" s="66"/>
    </row>
    <row r="34" spans="1:18" x14ac:dyDescent="0.35">
      <c r="A34" s="2" t="str">
        <f t="shared" ca="1" si="0"/>
        <v xml:space="preserve"> </v>
      </c>
      <c r="B34" s="3"/>
      <c r="C34" s="11"/>
      <c r="D34" s="3"/>
      <c r="E34" s="3"/>
      <c r="F34" s="3"/>
      <c r="G34" s="3"/>
      <c r="H34" s="52"/>
      <c r="I34" s="52"/>
      <c r="J34" s="21"/>
      <c r="K34" s="12" t="str">
        <f t="shared" si="1"/>
        <v/>
      </c>
      <c r="L34" s="52"/>
      <c r="M34" s="52"/>
      <c r="N34" s="52"/>
      <c r="O34" s="52"/>
      <c r="P34" s="52"/>
      <c r="Q34" s="65"/>
      <c r="R34" s="66"/>
    </row>
    <row r="35" spans="1:18" x14ac:dyDescent="0.35">
      <c r="A35" s="2" t="str">
        <f t="shared" ca="1" si="0"/>
        <v xml:space="preserve"> </v>
      </c>
      <c r="B35" s="3"/>
      <c r="C35" s="11"/>
      <c r="D35" s="3"/>
      <c r="E35" s="3"/>
      <c r="F35" s="3"/>
      <c r="G35" s="3"/>
      <c r="H35" s="52"/>
      <c r="I35" s="52"/>
      <c r="J35" s="21"/>
      <c r="K35" s="12" t="str">
        <f t="shared" si="1"/>
        <v/>
      </c>
      <c r="L35" s="52"/>
      <c r="M35" s="52"/>
      <c r="N35" s="52"/>
      <c r="O35" s="52"/>
      <c r="P35" s="52"/>
      <c r="Q35" s="65"/>
      <c r="R35" s="66"/>
    </row>
    <row r="36" spans="1:18" x14ac:dyDescent="0.35">
      <c r="A36" s="2" t="str">
        <f t="shared" ca="1" si="0"/>
        <v xml:space="preserve"> </v>
      </c>
      <c r="B36" s="3"/>
      <c r="C36" s="11"/>
      <c r="D36" s="3"/>
      <c r="E36" s="3"/>
      <c r="F36" s="3"/>
      <c r="G36" s="3"/>
      <c r="H36" s="52"/>
      <c r="I36" s="52"/>
      <c r="J36" s="21"/>
      <c r="K36" s="12" t="str">
        <f t="shared" si="1"/>
        <v/>
      </c>
      <c r="L36" s="52"/>
      <c r="M36" s="52"/>
      <c r="N36" s="52"/>
      <c r="O36" s="52"/>
      <c r="P36" s="52"/>
      <c r="Q36" s="65"/>
      <c r="R36" s="66"/>
    </row>
    <row r="37" spans="1:18" x14ac:dyDescent="0.35">
      <c r="A37" s="2" t="str">
        <f t="shared" ca="1" si="0"/>
        <v xml:space="preserve"> </v>
      </c>
      <c r="B37" s="3"/>
      <c r="C37" s="11"/>
      <c r="D37" s="3"/>
      <c r="E37" s="3"/>
      <c r="F37" s="3"/>
      <c r="G37" s="3"/>
      <c r="H37" s="52"/>
      <c r="I37" s="52"/>
      <c r="J37" s="21"/>
      <c r="K37" s="12" t="str">
        <f t="shared" si="1"/>
        <v/>
      </c>
      <c r="L37" s="52"/>
      <c r="M37" s="52"/>
      <c r="N37" s="52"/>
      <c r="O37" s="52"/>
      <c r="P37" s="52"/>
      <c r="Q37" s="67"/>
      <c r="R37" s="68"/>
    </row>
    <row r="38" spans="1:18" x14ac:dyDescent="0.35">
      <c r="A38" s="2" t="str">
        <f t="shared" ca="1" si="0"/>
        <v xml:space="preserve"> </v>
      </c>
    </row>
    <row r="39" spans="1:18" x14ac:dyDescent="0.35">
      <c r="A39" s="2" t="str">
        <f t="shared" ca="1" si="0"/>
        <v xml:space="preserve">Fuses </v>
      </c>
      <c r="B39" s="53" t="s">
        <v>100</v>
      </c>
      <c r="C39" s="53"/>
      <c r="D39" s="53"/>
      <c r="E39" s="53"/>
      <c r="F39" s="53"/>
      <c r="G39" s="53"/>
      <c r="H39" s="53"/>
      <c r="I39" s="53"/>
      <c r="J39" s="22"/>
      <c r="K39" s="12" t="str">
        <f>IF(COUNTIF(K41:K52, "="&amp;IncompleteText), IncompleteText, IF(COUNTIF(K41:K52, "="&amp;ErrorText), ErrorText, OKText))</f>
        <v>OK</v>
      </c>
    </row>
    <row r="40" spans="1:18" ht="27" x14ac:dyDescent="0.35">
      <c r="A40" s="2" t="str">
        <f t="shared" ca="1" si="0"/>
        <v>Manufacturer Part Number</v>
      </c>
      <c r="B40" t="s">
        <v>59</v>
      </c>
      <c r="C40" s="17" t="s">
        <v>60</v>
      </c>
      <c r="D40" s="17" t="s">
        <v>101</v>
      </c>
      <c r="E40" s="24" t="s">
        <v>102</v>
      </c>
      <c r="F40" s="17" t="s">
        <v>103</v>
      </c>
      <c r="G40" s="17" t="s">
        <v>104</v>
      </c>
      <c r="H40" s="76" t="s">
        <v>54</v>
      </c>
      <c r="I40" s="76"/>
      <c r="J40" s="17" t="s">
        <v>65</v>
      </c>
      <c r="K40" s="24"/>
      <c r="L40" s="71" t="s">
        <v>20</v>
      </c>
      <c r="M40" s="71"/>
      <c r="N40" s="71"/>
      <c r="O40" s="71"/>
      <c r="P40" s="71"/>
      <c r="Q40" s="69" t="s">
        <v>66</v>
      </c>
      <c r="R40" s="70"/>
    </row>
    <row r="41" spans="1:18" x14ac:dyDescent="0.35">
      <c r="A41" s="2" t="str">
        <f t="shared" ca="1" si="0"/>
        <v>Littlefuse L50QS100.T</v>
      </c>
      <c r="B41" s="3" t="s">
        <v>105</v>
      </c>
      <c r="C41" s="11" t="s">
        <v>106</v>
      </c>
      <c r="D41" s="3">
        <v>500</v>
      </c>
      <c r="E41" s="3" t="s">
        <v>107</v>
      </c>
      <c r="F41" s="3">
        <v>100</v>
      </c>
      <c r="G41" s="16">
        <v>50000</v>
      </c>
      <c r="H41" s="52" t="s">
        <v>108</v>
      </c>
      <c r="I41" s="52"/>
      <c r="J41" s="21" t="s">
        <v>109</v>
      </c>
      <c r="K41" s="12" t="str">
        <f>IF(COUNTBLANK(B41:J41)=9,IncompleteText,IF(COUNTBLANK(B41:J41)=1,OKText,ErrorText))</f>
        <v>OK</v>
      </c>
      <c r="L41" s="52" t="s">
        <v>110</v>
      </c>
      <c r="M41" s="52"/>
      <c r="N41" s="52"/>
      <c r="O41" s="52"/>
      <c r="P41" s="52"/>
      <c r="Q41" s="63" t="s">
        <v>111</v>
      </c>
      <c r="R41" s="64"/>
    </row>
    <row r="42" spans="1:18" x14ac:dyDescent="0.35">
      <c r="A42" s="2" t="str">
        <f t="shared" ca="1" si="0"/>
        <v>Bel Fuse C1Q 1</v>
      </c>
      <c r="B42" s="3" t="s">
        <v>112</v>
      </c>
      <c r="C42" s="11" t="s">
        <v>113</v>
      </c>
      <c r="D42" s="3">
        <v>63</v>
      </c>
      <c r="E42" s="3" t="s">
        <v>107</v>
      </c>
      <c r="F42" s="3">
        <v>1</v>
      </c>
      <c r="G42" s="3">
        <v>50</v>
      </c>
      <c r="H42" s="72" t="s">
        <v>114</v>
      </c>
      <c r="I42" s="52"/>
      <c r="J42" s="21" t="s">
        <v>115</v>
      </c>
      <c r="K42" s="12" t="str">
        <f t="shared" ref="K42:K52" si="2">IF(COUNTBLANK(B42:J42)=9,"",IF(COUNTBLANK(B42:J42)=1,OKText,ErrorText))</f>
        <v>OK</v>
      </c>
      <c r="L42" s="52" t="s">
        <v>116</v>
      </c>
      <c r="M42" s="52"/>
      <c r="N42" s="52"/>
      <c r="O42" s="52"/>
      <c r="P42" s="52"/>
      <c r="Q42" s="65"/>
      <c r="R42" s="66"/>
    </row>
    <row r="43" spans="1:18" x14ac:dyDescent="0.35">
      <c r="A43" s="2" t="str">
        <f t="shared" ca="1" si="0"/>
        <v>Energus Internal</v>
      </c>
      <c r="B43" s="3" t="s">
        <v>117</v>
      </c>
      <c r="C43" s="11" t="s">
        <v>118</v>
      </c>
      <c r="D43" s="3">
        <v>50</v>
      </c>
      <c r="E43" s="3" t="s">
        <v>107</v>
      </c>
      <c r="F43" s="3">
        <v>270</v>
      </c>
      <c r="G43" s="3">
        <v>500</v>
      </c>
      <c r="H43" s="72" t="s">
        <v>55</v>
      </c>
      <c r="I43" s="52"/>
      <c r="J43" s="21" t="s">
        <v>119</v>
      </c>
      <c r="K43" s="12" t="str">
        <f t="shared" si="2"/>
        <v>OK</v>
      </c>
      <c r="L43" s="52" t="s">
        <v>120</v>
      </c>
      <c r="M43" s="52"/>
      <c r="N43" s="52"/>
      <c r="O43" s="52"/>
      <c r="P43" s="52"/>
      <c r="Q43" s="65"/>
      <c r="R43" s="66"/>
    </row>
    <row r="44" spans="1:18" x14ac:dyDescent="0.35">
      <c r="A44" s="2" t="str">
        <f t="shared" ca="1" si="0"/>
        <v>Bel Fuse 0ADKC4000-BE</v>
      </c>
      <c r="B44" s="3" t="s">
        <v>112</v>
      </c>
      <c r="C44" s="11" t="s">
        <v>121</v>
      </c>
      <c r="D44" s="3">
        <v>500</v>
      </c>
      <c r="E44" s="3" t="s">
        <v>107</v>
      </c>
      <c r="F44" s="3">
        <v>4</v>
      </c>
      <c r="G44" s="3">
        <v>300</v>
      </c>
      <c r="H44" s="72" t="s">
        <v>122</v>
      </c>
      <c r="I44" s="52"/>
      <c r="J44" s="21" t="s">
        <v>123</v>
      </c>
      <c r="K44" s="12" t="str">
        <f t="shared" si="2"/>
        <v>OK</v>
      </c>
      <c r="L44" s="52" t="s">
        <v>124</v>
      </c>
      <c r="M44" s="52"/>
      <c r="N44" s="52"/>
      <c r="O44" s="52"/>
      <c r="P44" s="52"/>
      <c r="Q44" s="65"/>
      <c r="R44" s="66"/>
    </row>
    <row r="45" spans="1:18" x14ac:dyDescent="0.35">
      <c r="A45" s="2" t="str">
        <f t="shared" ca="1" si="0"/>
        <v xml:space="preserve">Adler APD0500700 </v>
      </c>
      <c r="B45" s="3" t="s">
        <v>125</v>
      </c>
      <c r="C45" s="11" t="s">
        <v>126</v>
      </c>
      <c r="D45" s="3">
        <v>1000</v>
      </c>
      <c r="E45" s="3" t="s">
        <v>107</v>
      </c>
      <c r="F45" s="3">
        <v>0.5</v>
      </c>
      <c r="G45" s="16">
        <v>30000</v>
      </c>
      <c r="H45" s="72" t="s">
        <v>127</v>
      </c>
      <c r="I45" s="52"/>
      <c r="J45" s="21" t="s">
        <v>5</v>
      </c>
      <c r="K45" s="12" t="str">
        <f t="shared" si="2"/>
        <v>OK</v>
      </c>
      <c r="L45" s="52" t="s">
        <v>128</v>
      </c>
      <c r="M45" s="52"/>
      <c r="N45" s="52"/>
      <c r="O45" s="52"/>
      <c r="P45" s="52"/>
      <c r="Q45" s="65"/>
      <c r="R45" s="66"/>
    </row>
    <row r="46" spans="1:18" x14ac:dyDescent="0.35">
      <c r="A46" s="2" t="str">
        <f t="shared" ca="1" si="0"/>
        <v xml:space="preserve"> </v>
      </c>
      <c r="B46" s="3"/>
      <c r="C46" s="11"/>
      <c r="D46" s="3"/>
      <c r="E46" s="3"/>
      <c r="F46" s="3"/>
      <c r="G46" s="3"/>
      <c r="H46" s="52"/>
      <c r="I46" s="52"/>
      <c r="J46" s="21"/>
      <c r="K46" s="12" t="str">
        <f t="shared" si="2"/>
        <v/>
      </c>
      <c r="L46" s="52"/>
      <c r="M46" s="52"/>
      <c r="N46" s="52"/>
      <c r="O46" s="52"/>
      <c r="P46" s="52"/>
      <c r="Q46" s="65"/>
      <c r="R46" s="66"/>
    </row>
    <row r="47" spans="1:18" x14ac:dyDescent="0.35">
      <c r="A47" s="2" t="str">
        <f t="shared" ca="1" si="0"/>
        <v xml:space="preserve"> </v>
      </c>
      <c r="B47" s="3"/>
      <c r="C47" s="11"/>
      <c r="D47" s="3"/>
      <c r="E47" s="3"/>
      <c r="F47" s="3"/>
      <c r="G47" s="3"/>
      <c r="H47" s="52"/>
      <c r="I47" s="52"/>
      <c r="J47" s="21"/>
      <c r="K47" s="12" t="str">
        <f t="shared" si="2"/>
        <v/>
      </c>
      <c r="L47" s="52"/>
      <c r="M47" s="52"/>
      <c r="N47" s="52"/>
      <c r="O47" s="52"/>
      <c r="P47" s="52"/>
      <c r="Q47" s="65"/>
      <c r="R47" s="66"/>
    </row>
    <row r="48" spans="1:18" x14ac:dyDescent="0.35">
      <c r="A48" s="2" t="str">
        <f t="shared" ca="1" si="0"/>
        <v xml:space="preserve"> </v>
      </c>
      <c r="B48" s="3"/>
      <c r="C48" s="11"/>
      <c r="D48" s="3"/>
      <c r="E48" s="3"/>
      <c r="F48" s="3"/>
      <c r="G48" s="3"/>
      <c r="H48" s="52"/>
      <c r="I48" s="52"/>
      <c r="J48" s="21"/>
      <c r="K48" s="12" t="str">
        <f t="shared" si="2"/>
        <v/>
      </c>
      <c r="L48" s="52"/>
      <c r="M48" s="52"/>
      <c r="N48" s="52"/>
      <c r="O48" s="52"/>
      <c r="P48" s="52"/>
      <c r="Q48" s="65"/>
      <c r="R48" s="66"/>
    </row>
    <row r="49" spans="1:21" x14ac:dyDescent="0.35">
      <c r="A49" s="2" t="str">
        <f t="shared" ca="1" si="0"/>
        <v xml:space="preserve"> </v>
      </c>
      <c r="B49" s="3"/>
      <c r="C49" s="11"/>
      <c r="D49" s="3"/>
      <c r="E49" s="3"/>
      <c r="F49" s="3"/>
      <c r="G49" s="3"/>
      <c r="H49" s="52"/>
      <c r="I49" s="52"/>
      <c r="J49" s="21"/>
      <c r="K49" s="12" t="str">
        <f t="shared" si="2"/>
        <v/>
      </c>
      <c r="L49" s="52"/>
      <c r="M49" s="52"/>
      <c r="N49" s="52"/>
      <c r="O49" s="52"/>
      <c r="P49" s="52"/>
      <c r="Q49" s="65"/>
      <c r="R49" s="66"/>
    </row>
    <row r="50" spans="1:21" x14ac:dyDescent="0.35">
      <c r="A50" s="2" t="str">
        <f t="shared" ca="1" si="0"/>
        <v xml:space="preserve"> </v>
      </c>
      <c r="B50" s="3"/>
      <c r="C50" s="11"/>
      <c r="D50" s="3"/>
      <c r="E50" s="3"/>
      <c r="F50" s="3"/>
      <c r="G50" s="3"/>
      <c r="H50" s="52"/>
      <c r="I50" s="52"/>
      <c r="J50" s="21"/>
      <c r="K50" s="12" t="str">
        <f t="shared" si="2"/>
        <v/>
      </c>
      <c r="L50" s="52"/>
      <c r="M50" s="52"/>
      <c r="N50" s="52"/>
      <c r="O50" s="52"/>
      <c r="P50" s="52"/>
      <c r="Q50" s="65"/>
      <c r="R50" s="66"/>
    </row>
    <row r="51" spans="1:21" x14ac:dyDescent="0.35">
      <c r="A51" s="2" t="str">
        <f t="shared" ca="1" si="0"/>
        <v xml:space="preserve"> </v>
      </c>
      <c r="B51" s="3"/>
      <c r="C51" s="11"/>
      <c r="D51" s="3"/>
      <c r="E51" s="3"/>
      <c r="F51" s="3"/>
      <c r="G51" s="3"/>
      <c r="H51" s="52"/>
      <c r="I51" s="52"/>
      <c r="J51" s="21"/>
      <c r="K51" s="12" t="str">
        <f t="shared" si="2"/>
        <v/>
      </c>
      <c r="L51" s="52"/>
      <c r="M51" s="52"/>
      <c r="N51" s="52"/>
      <c r="O51" s="52"/>
      <c r="P51" s="52"/>
      <c r="Q51" s="65"/>
      <c r="R51" s="66"/>
    </row>
    <row r="52" spans="1:21" x14ac:dyDescent="0.35">
      <c r="A52" s="2" t="str">
        <f t="shared" ca="1" si="0"/>
        <v xml:space="preserve"> </v>
      </c>
      <c r="B52" s="3"/>
      <c r="C52" s="11"/>
      <c r="D52" s="3"/>
      <c r="E52" s="3"/>
      <c r="F52" s="3"/>
      <c r="G52" s="3"/>
      <c r="H52" s="52"/>
      <c r="I52" s="52"/>
      <c r="J52" s="21"/>
      <c r="K52" s="12" t="str">
        <f t="shared" si="2"/>
        <v/>
      </c>
      <c r="L52" s="52"/>
      <c r="M52" s="52"/>
      <c r="N52" s="52"/>
      <c r="O52" s="52"/>
      <c r="P52" s="52"/>
      <c r="Q52" s="67"/>
      <c r="R52" s="68"/>
    </row>
    <row r="53" spans="1:21" x14ac:dyDescent="0.35">
      <c r="A53" s="2" t="str">
        <f t="shared" ca="1" si="0"/>
        <v xml:space="preserve"> </v>
      </c>
    </row>
    <row r="54" spans="1:21" x14ac:dyDescent="0.35">
      <c r="A54" s="2" t="str">
        <f t="shared" ca="1" si="0"/>
        <v xml:space="preserve">Resistors </v>
      </c>
      <c r="B54" s="53" t="s">
        <v>129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22"/>
      <c r="N54" s="12" t="str">
        <f>IF(COUNTIF(N56:N61, "="&amp;IncompleteText), IncompleteText, IF(COUNTIF(N56:N61, "="&amp;ErrorText), ErrorText, OKText))</f>
        <v>OK</v>
      </c>
    </row>
    <row r="55" spans="1:21" ht="41.25" x14ac:dyDescent="0.45">
      <c r="A55" s="2" t="str">
        <f t="shared" ca="1" si="0"/>
        <v>Manufacturer Part Number</v>
      </c>
      <c r="B55" t="s">
        <v>59</v>
      </c>
      <c r="C55" s="17" t="s">
        <v>60</v>
      </c>
      <c r="D55" s="17" t="s">
        <v>101</v>
      </c>
      <c r="E55" s="17" t="s">
        <v>130</v>
      </c>
      <c r="F55" s="17" t="s">
        <v>131</v>
      </c>
      <c r="G55" s="17" t="s">
        <v>132</v>
      </c>
      <c r="H55" s="77" t="s">
        <v>133</v>
      </c>
      <c r="I55" s="71"/>
      <c r="J55" s="71"/>
      <c r="K55" s="76" t="s">
        <v>54</v>
      </c>
      <c r="L55" s="76"/>
      <c r="M55" s="17" t="s">
        <v>65</v>
      </c>
      <c r="N55" s="24"/>
      <c r="O55" s="77" t="s">
        <v>134</v>
      </c>
      <c r="P55" s="71"/>
      <c r="Q55" s="71"/>
      <c r="R55" s="71"/>
      <c r="S55" s="71"/>
      <c r="T55" s="69" t="s">
        <v>66</v>
      </c>
      <c r="U55" s="70"/>
    </row>
    <row r="56" spans="1:21" x14ac:dyDescent="0.35">
      <c r="A56" s="2" t="str">
        <f t="shared" ca="1" si="0"/>
        <v>Arcol HS25 560R  J</v>
      </c>
      <c r="B56" s="11" t="s">
        <v>135</v>
      </c>
      <c r="C56" s="11" t="s">
        <v>136</v>
      </c>
      <c r="D56" s="11" t="s">
        <v>137</v>
      </c>
      <c r="E56" s="11" t="s">
        <v>138</v>
      </c>
      <c r="F56" s="11" t="s">
        <v>139</v>
      </c>
      <c r="G56" s="11" t="s">
        <v>140</v>
      </c>
      <c r="H56" s="73" t="s">
        <v>141</v>
      </c>
      <c r="I56" s="73"/>
      <c r="J56" s="73"/>
      <c r="K56" s="52" t="s">
        <v>142</v>
      </c>
      <c r="L56" s="52"/>
      <c r="M56" s="21" t="s">
        <v>143</v>
      </c>
      <c r="N56" s="12" t="str">
        <f>IF(COUNTBLANK(B56:M56)=12,IncompleteText,IF(COUNTBLANK(B56:M56)=3,OKText,ErrorText))</f>
        <v>OK</v>
      </c>
      <c r="O56" s="52" t="s">
        <v>144</v>
      </c>
      <c r="P56" s="52"/>
      <c r="Q56" s="52"/>
      <c r="R56" s="52"/>
      <c r="S56" s="52"/>
      <c r="T56" s="63" t="s">
        <v>145</v>
      </c>
      <c r="U56" s="64"/>
    </row>
    <row r="57" spans="1:21" ht="13.7" customHeight="1" x14ac:dyDescent="0.35">
      <c r="A57" s="2" t="str">
        <f t="shared" ca="1" si="0"/>
        <v>Riedon PF2472-3K3F1</v>
      </c>
      <c r="B57" s="3" t="s">
        <v>146</v>
      </c>
      <c r="C57" s="11" t="s">
        <v>147</v>
      </c>
      <c r="D57" s="3">
        <v>700</v>
      </c>
      <c r="E57" s="3">
        <v>3300</v>
      </c>
      <c r="F57" s="3">
        <v>100</v>
      </c>
      <c r="G57" s="3">
        <v>500</v>
      </c>
      <c r="H57" s="73">
        <v>19</v>
      </c>
      <c r="I57" s="73"/>
      <c r="J57" s="73"/>
      <c r="K57" s="52" t="s">
        <v>148</v>
      </c>
      <c r="L57" s="52"/>
      <c r="M57" s="21" t="s">
        <v>149</v>
      </c>
      <c r="N57" s="12" t="str">
        <f>IF(COUNTBLANK(B57:M57)=12,"",IF(COUNTBLANK(B57:M57)=3,OKText,ErrorText))</f>
        <v>OK</v>
      </c>
      <c r="O57" s="52" t="s">
        <v>150</v>
      </c>
      <c r="P57" s="52"/>
      <c r="Q57" s="52"/>
      <c r="R57" s="52"/>
      <c r="S57" s="52"/>
      <c r="T57" s="65"/>
      <c r="U57" s="66"/>
    </row>
    <row r="58" spans="1:21" x14ac:dyDescent="0.35">
      <c r="A58" s="2" t="str">
        <f t="shared" ca="1" si="0"/>
        <v>Te Connectivity SMF515KFT</v>
      </c>
      <c r="B58" s="3" t="s">
        <v>151</v>
      </c>
      <c r="C58" s="38" t="s">
        <v>152</v>
      </c>
      <c r="D58" s="3">
        <v>500</v>
      </c>
      <c r="E58" s="3">
        <v>15000</v>
      </c>
      <c r="F58" s="3">
        <v>5</v>
      </c>
      <c r="G58" s="3">
        <v>5</v>
      </c>
      <c r="H58" s="79" t="s">
        <v>141</v>
      </c>
      <c r="I58" s="80"/>
      <c r="J58" s="81"/>
      <c r="K58" s="72" t="s">
        <v>153</v>
      </c>
      <c r="L58" s="52"/>
      <c r="M58" s="21" t="s">
        <v>123</v>
      </c>
      <c r="N58" s="12" t="str">
        <f>IF(COUNTBLANK(B58:M58)=12,"",IF(COUNTBLANK(B58:M58)=3,OKText,ErrorText))</f>
        <v>OK</v>
      </c>
      <c r="O58" s="52" t="s">
        <v>154</v>
      </c>
      <c r="P58" s="52"/>
      <c r="Q58" s="52"/>
      <c r="R58" s="52"/>
      <c r="S58" s="52"/>
      <c r="T58" s="65"/>
      <c r="U58" s="66"/>
    </row>
    <row r="59" spans="1:21" ht="13.7" customHeight="1" x14ac:dyDescent="0.35">
      <c r="A59" s="2" t="str">
        <f t="shared" ca="1" si="0"/>
        <v xml:space="preserve"> </v>
      </c>
      <c r="B59" s="3"/>
      <c r="C59" s="11"/>
      <c r="D59" s="3"/>
      <c r="E59" s="3"/>
      <c r="F59" s="3"/>
      <c r="G59" s="3"/>
      <c r="H59" s="79"/>
      <c r="I59" s="80"/>
      <c r="J59" s="81"/>
      <c r="K59" s="52"/>
      <c r="L59" s="52"/>
      <c r="M59" s="21"/>
      <c r="N59" s="12" t="str">
        <f>IF(COUNTBLANK(B59:M59)=12,"",IF(COUNTBLANK(B59:M59)=3,OKText,ErrorText))</f>
        <v/>
      </c>
      <c r="O59" s="52"/>
      <c r="P59" s="52"/>
      <c r="Q59" s="52"/>
      <c r="R59" s="52"/>
      <c r="S59" s="52"/>
      <c r="T59" s="65"/>
      <c r="U59" s="66"/>
    </row>
    <row r="60" spans="1:21" x14ac:dyDescent="0.35">
      <c r="A60" s="2" t="str">
        <f t="shared" ca="1" si="0"/>
        <v xml:space="preserve"> </v>
      </c>
      <c r="B60" s="3"/>
      <c r="C60" s="11"/>
      <c r="D60" s="3"/>
      <c r="E60" s="3"/>
      <c r="F60" s="3"/>
      <c r="G60" s="3"/>
      <c r="H60" s="73"/>
      <c r="I60" s="73"/>
      <c r="J60" s="73"/>
      <c r="K60" s="52"/>
      <c r="L60" s="52"/>
      <c r="M60" s="21"/>
      <c r="N60" s="12" t="str">
        <f>IF(COUNTBLANK(B60:M60)=12,"",IF(COUNTBLANK(B60:M60)=3,OKText,ErrorText))</f>
        <v/>
      </c>
      <c r="O60" s="52"/>
      <c r="P60" s="52"/>
      <c r="Q60" s="52"/>
      <c r="R60" s="52"/>
      <c r="S60" s="52"/>
      <c r="T60" s="65"/>
      <c r="U60" s="66"/>
    </row>
    <row r="61" spans="1:21" ht="13.7" customHeight="1" x14ac:dyDescent="0.35">
      <c r="A61" s="2" t="str">
        <f t="shared" ca="1" si="0"/>
        <v xml:space="preserve"> </v>
      </c>
      <c r="B61" s="3"/>
      <c r="C61" s="11"/>
      <c r="D61" s="3"/>
      <c r="E61" s="3"/>
      <c r="F61" s="3"/>
      <c r="G61" s="3"/>
      <c r="H61" s="73"/>
      <c r="I61" s="73"/>
      <c r="J61" s="73"/>
      <c r="K61" s="52"/>
      <c r="L61" s="52"/>
      <c r="M61" s="21"/>
      <c r="N61" s="12" t="str">
        <f>IF(COUNTBLANK(B61:M61)=12,"",IF(COUNTBLANK(B61:M61)=3,OKText,ErrorText))</f>
        <v/>
      </c>
      <c r="O61" s="52"/>
      <c r="P61" s="52"/>
      <c r="Q61" s="52"/>
      <c r="R61" s="52"/>
      <c r="S61" s="52"/>
      <c r="T61" s="67"/>
      <c r="U61" s="68"/>
    </row>
    <row r="62" spans="1:21" x14ac:dyDescent="0.35">
      <c r="A62" s="2" t="str">
        <f t="shared" ca="1" si="0"/>
        <v xml:space="preserve"> </v>
      </c>
      <c r="N62" s="9"/>
      <c r="O62" s="9"/>
      <c r="P62" s="9"/>
      <c r="Q62" s="9"/>
      <c r="R62" s="9"/>
    </row>
    <row r="63" spans="1:21" x14ac:dyDescent="0.35">
      <c r="A63" s="2" t="str">
        <f t="shared" ca="1" si="0"/>
        <v xml:space="preserve">Contactors/Relays </v>
      </c>
      <c r="B63" s="53" t="s">
        <v>155</v>
      </c>
      <c r="C63" s="53"/>
      <c r="D63" s="53"/>
      <c r="E63" s="53"/>
      <c r="F63" s="53"/>
      <c r="G63" s="53"/>
      <c r="H63" s="53"/>
      <c r="I63" s="53"/>
      <c r="J63" s="53"/>
      <c r="K63" s="12" t="str">
        <f>IF(COUNTIF(K65:K69, "="&amp;IncompleteText), IncompleteText, IF(COUNTIF(K65:K69, "="&amp;ErrorText), ErrorText, OKText))</f>
        <v>OK</v>
      </c>
    </row>
    <row r="64" spans="1:21" ht="54" x14ac:dyDescent="0.35">
      <c r="A64" s="2" t="str">
        <f t="shared" ca="1" si="0"/>
        <v>Manufacturer Part Number</v>
      </c>
      <c r="B64" t="s">
        <v>59</v>
      </c>
      <c r="C64" s="17" t="s">
        <v>60</v>
      </c>
      <c r="D64" s="17" t="s">
        <v>156</v>
      </c>
      <c r="E64" s="33" t="s">
        <v>157</v>
      </c>
      <c r="F64" s="17" t="s">
        <v>158</v>
      </c>
      <c r="G64" s="17" t="s">
        <v>159</v>
      </c>
      <c r="H64" s="76" t="s">
        <v>54</v>
      </c>
      <c r="I64" s="76"/>
      <c r="J64" s="17" t="s">
        <v>65</v>
      </c>
      <c r="K64" s="24"/>
      <c r="L64" s="71" t="s">
        <v>20</v>
      </c>
      <c r="M64" s="71"/>
      <c r="N64" s="71"/>
      <c r="O64" s="71"/>
      <c r="P64" s="71"/>
      <c r="Q64" s="69" t="s">
        <v>66</v>
      </c>
      <c r="R64" s="70"/>
    </row>
    <row r="65" spans="1:18" x14ac:dyDescent="0.35">
      <c r="A65" s="2" t="str">
        <f t="shared" ca="1" si="0"/>
        <v>GigaVac EPICGX</v>
      </c>
      <c r="B65" s="3" t="s">
        <v>160</v>
      </c>
      <c r="C65" s="11" t="s">
        <v>161</v>
      </c>
      <c r="D65" s="3">
        <v>800</v>
      </c>
      <c r="E65" s="3">
        <v>225</v>
      </c>
      <c r="F65" s="3">
        <v>500</v>
      </c>
      <c r="G65" s="3" t="s">
        <v>162</v>
      </c>
      <c r="H65" s="72" t="s">
        <v>163</v>
      </c>
      <c r="I65" s="52"/>
      <c r="J65" s="21" t="s">
        <v>164</v>
      </c>
      <c r="K65" s="12" t="str">
        <f>IF(COUNTBLANK(B65:J65)=9,IncompleteText,IF(COUNTBLANK(B65:J65)=1,OKText,ErrorText))</f>
        <v>OK</v>
      </c>
      <c r="L65" s="52" t="s">
        <v>165</v>
      </c>
      <c r="M65" s="52"/>
      <c r="N65" s="52"/>
      <c r="O65" s="52"/>
      <c r="P65" s="52"/>
      <c r="Q65" s="63" t="s">
        <v>166</v>
      </c>
      <c r="R65" s="64"/>
    </row>
    <row r="66" spans="1:18" x14ac:dyDescent="0.35">
      <c r="A66" s="2" t="str">
        <f t="shared" ca="1" si="0"/>
        <v>Omron G7L-2A-X-L</v>
      </c>
      <c r="B66" s="3" t="s">
        <v>167</v>
      </c>
      <c r="C66" s="11" t="s">
        <v>168</v>
      </c>
      <c r="D66" s="3">
        <v>1000</v>
      </c>
      <c r="E66" s="3">
        <v>20</v>
      </c>
      <c r="F66" s="3">
        <v>20</v>
      </c>
      <c r="G66" s="3" t="s">
        <v>162</v>
      </c>
      <c r="H66" s="52" t="s">
        <v>169</v>
      </c>
      <c r="I66" s="52"/>
      <c r="J66" s="21" t="s">
        <v>143</v>
      </c>
      <c r="K66" s="12" t="str">
        <f>IF(COUNTBLANK(B66:J66)=9,"",IF(COUNTBLANK(B66:J66)=1,OKText,ErrorText))</f>
        <v>OK</v>
      </c>
      <c r="L66" s="52" t="s">
        <v>170</v>
      </c>
      <c r="M66" s="52"/>
      <c r="N66" s="52"/>
      <c r="O66" s="52"/>
      <c r="P66" s="52"/>
      <c r="Q66" s="65"/>
      <c r="R66" s="66"/>
    </row>
    <row r="67" spans="1:18" x14ac:dyDescent="0.35">
      <c r="A67" s="2" t="str">
        <f t="shared" ca="1" si="0"/>
        <v>Cynergy DBT71210</v>
      </c>
      <c r="B67" s="3" t="s">
        <v>171</v>
      </c>
      <c r="C67" s="11" t="s">
        <v>172</v>
      </c>
      <c r="D67" s="3">
        <v>7000</v>
      </c>
      <c r="E67" s="3">
        <v>2</v>
      </c>
      <c r="F67" s="3">
        <v>3</v>
      </c>
      <c r="G67" s="3" t="s">
        <v>173</v>
      </c>
      <c r="H67" s="52" t="s">
        <v>174</v>
      </c>
      <c r="I67" s="52"/>
      <c r="J67" s="21" t="s">
        <v>149</v>
      </c>
      <c r="K67" s="12" t="str">
        <f>IF(COUNTBLANK(B67:J67)=9,"",IF(COUNTBLANK(B67:J67)=1,OKText,ErrorText))</f>
        <v>OK</v>
      </c>
      <c r="L67" s="52" t="s">
        <v>175</v>
      </c>
      <c r="M67" s="52"/>
      <c r="N67" s="52"/>
      <c r="O67" s="52"/>
      <c r="P67" s="52"/>
      <c r="Q67" s="65"/>
      <c r="R67" s="66"/>
    </row>
    <row r="68" spans="1:18" x14ac:dyDescent="0.35">
      <c r="A68" s="2" t="str">
        <f t="shared" ca="1" si="0"/>
        <v xml:space="preserve"> </v>
      </c>
      <c r="B68" s="3"/>
      <c r="C68" s="11"/>
      <c r="D68" s="3"/>
      <c r="E68" s="3"/>
      <c r="F68" s="3"/>
      <c r="G68" s="3"/>
      <c r="H68" s="52"/>
      <c r="I68" s="52"/>
      <c r="J68" s="21"/>
      <c r="K68" s="12" t="str">
        <f>IF(COUNTBLANK(B68:J68)=9,"",IF(COUNTBLANK(B68:J68)=1,OKText,ErrorText))</f>
        <v/>
      </c>
      <c r="L68" s="52"/>
      <c r="M68" s="52"/>
      <c r="N68" s="52"/>
      <c r="O68" s="52"/>
      <c r="P68" s="52"/>
      <c r="Q68" s="65"/>
      <c r="R68" s="66"/>
    </row>
    <row r="69" spans="1:18" x14ac:dyDescent="0.35">
      <c r="A69" s="2" t="str">
        <f t="shared" ca="1" si="0"/>
        <v xml:space="preserve"> </v>
      </c>
      <c r="B69" s="3"/>
      <c r="C69" s="11"/>
      <c r="D69" s="3"/>
      <c r="E69" s="3"/>
      <c r="F69" s="3"/>
      <c r="G69" s="3"/>
      <c r="H69" s="52"/>
      <c r="I69" s="52"/>
      <c r="J69" s="21"/>
      <c r="K69" s="12" t="str">
        <f>IF(COUNTBLANK(B69:J69)=9,"",IF(COUNTBLANK(B69:J69)=1,OKText,ErrorText))</f>
        <v/>
      </c>
      <c r="L69" s="52"/>
      <c r="M69" s="52"/>
      <c r="N69" s="52"/>
      <c r="O69" s="52"/>
      <c r="P69" s="52"/>
      <c r="Q69" s="67"/>
      <c r="R69" s="68"/>
    </row>
    <row r="70" spans="1:18" x14ac:dyDescent="0.35">
      <c r="A70" s="2" t="str">
        <f t="shared" ca="1" si="0"/>
        <v xml:space="preserve"> </v>
      </c>
    </row>
    <row r="71" spans="1:18" x14ac:dyDescent="0.35">
      <c r="A71" s="2" t="str">
        <f t="shared" ca="1" si="0"/>
        <v xml:space="preserve">Connectors </v>
      </c>
      <c r="B71" s="53" t="s">
        <v>176</v>
      </c>
      <c r="C71" s="53"/>
      <c r="D71" s="53"/>
      <c r="E71" s="53"/>
      <c r="F71" s="53"/>
      <c r="G71" s="53"/>
      <c r="H71" s="53"/>
      <c r="I71" s="22"/>
      <c r="J71" s="12" t="str">
        <f>IF(COUNTIF(J73:J91, "="&amp;IncompleteText), IncompleteText, IF(COUNTIF(J73:J91, "="&amp;ErrorText), ErrorText, OKText))</f>
        <v>OK</v>
      </c>
    </row>
    <row r="72" spans="1:18" ht="42" x14ac:dyDescent="0.35">
      <c r="A72" s="2" t="str">
        <f t="shared" ca="1" si="0"/>
        <v>Manufacturer Part Number</v>
      </c>
      <c r="B72" t="s">
        <v>59</v>
      </c>
      <c r="C72" s="17" t="s">
        <v>60</v>
      </c>
      <c r="D72" s="17" t="s">
        <v>101</v>
      </c>
      <c r="E72" s="17" t="s">
        <v>63</v>
      </c>
      <c r="F72" s="17" t="s">
        <v>177</v>
      </c>
      <c r="G72" s="76" t="s">
        <v>54</v>
      </c>
      <c r="H72" s="76"/>
      <c r="I72" s="17" t="s">
        <v>65</v>
      </c>
      <c r="J72" s="24"/>
      <c r="K72" s="71" t="s">
        <v>20</v>
      </c>
      <c r="L72" s="71"/>
      <c r="M72" s="71"/>
      <c r="N72" s="71"/>
      <c r="O72" s="71"/>
      <c r="P72" s="69" t="s">
        <v>66</v>
      </c>
      <c r="Q72" s="70"/>
    </row>
    <row r="73" spans="1:18" x14ac:dyDescent="0.35">
      <c r="A73" s="2" t="str">
        <f t="shared" ca="1" si="0"/>
        <v>Amphenol ELPA2A2510</v>
      </c>
      <c r="B73" s="3" t="s">
        <v>178</v>
      </c>
      <c r="C73" s="11" t="s">
        <v>179</v>
      </c>
      <c r="D73" s="3">
        <v>850</v>
      </c>
      <c r="E73" s="3">
        <v>120</v>
      </c>
      <c r="F73" s="3">
        <v>25</v>
      </c>
      <c r="G73" s="72" t="s">
        <v>180</v>
      </c>
      <c r="H73" s="52"/>
      <c r="I73" s="21" t="s">
        <v>70</v>
      </c>
      <c r="J73" s="12" t="str">
        <f>IF(COUNTBLANK(B73:I73)=8,IncompleteText,IF(COUNTBLANK(B73:I73)=1,OKText,ErrorText))</f>
        <v>OK</v>
      </c>
      <c r="K73" s="52" t="s">
        <v>181</v>
      </c>
      <c r="L73" s="52"/>
      <c r="M73" s="52"/>
      <c r="N73" s="52"/>
      <c r="O73" s="52"/>
      <c r="P73" s="63" t="s">
        <v>182</v>
      </c>
      <c r="Q73" s="64"/>
    </row>
    <row r="74" spans="1:18" x14ac:dyDescent="0.35">
      <c r="A74" s="2" t="str">
        <f t="shared" ca="1" si="0"/>
        <v>Amphenol ELRA2A0301</v>
      </c>
      <c r="B74" s="3" t="s">
        <v>178</v>
      </c>
      <c r="C74" s="11" t="s">
        <v>183</v>
      </c>
      <c r="D74" s="3">
        <v>850</v>
      </c>
      <c r="E74" s="3">
        <v>120</v>
      </c>
      <c r="F74" s="3">
        <v>25</v>
      </c>
      <c r="G74" s="78" t="s">
        <v>180</v>
      </c>
      <c r="H74" s="75"/>
      <c r="I74" s="21" t="s">
        <v>184</v>
      </c>
      <c r="J74" s="12" t="str">
        <f>IF(COUNTBLANK(B74:I74)=8,"",IF(COUNTBLANK(B74:I74)=1,OKText,ErrorText))</f>
        <v>OK</v>
      </c>
      <c r="K74" s="52" t="s">
        <v>185</v>
      </c>
      <c r="L74" s="52"/>
      <c r="M74" s="52"/>
      <c r="N74" s="52"/>
      <c r="O74" s="52"/>
      <c r="P74" s="65"/>
      <c r="Q74" s="66"/>
    </row>
    <row r="75" spans="1:18" x14ac:dyDescent="0.35">
      <c r="A75" s="2" t="str">
        <f t="shared" ca="1" si="0"/>
        <v>Methode EBC 5.7mm</v>
      </c>
      <c r="B75" s="3" t="s">
        <v>186</v>
      </c>
      <c r="C75" s="11" t="s">
        <v>187</v>
      </c>
      <c r="D75" s="3">
        <v>600</v>
      </c>
      <c r="E75" s="3">
        <v>320</v>
      </c>
      <c r="F75" s="3">
        <v>60</v>
      </c>
      <c r="G75" s="74" t="s">
        <v>188</v>
      </c>
      <c r="H75" s="84"/>
      <c r="I75" s="21" t="s">
        <v>5</v>
      </c>
      <c r="J75" s="12" t="str">
        <f>IF(COUNTBLANK(B75:I75)=8,"",IF(COUNTBLANK(B75:I75)=1,OKText,ErrorText))</f>
        <v>OK</v>
      </c>
      <c r="K75" s="52" t="s">
        <v>189</v>
      </c>
      <c r="L75" s="52"/>
      <c r="M75" s="52"/>
      <c r="N75" s="52"/>
      <c r="O75" s="52"/>
      <c r="P75" s="65"/>
      <c r="Q75" s="66"/>
    </row>
    <row r="76" spans="1:18" x14ac:dyDescent="0.35">
      <c r="A76" s="2" t="str">
        <f t="shared" ca="1" si="0"/>
        <v>Amphenol Technical Products RL00571-16</v>
      </c>
      <c r="B76" s="3" t="s">
        <v>190</v>
      </c>
      <c r="C76" s="11" t="s">
        <v>191</v>
      </c>
      <c r="D76" s="3">
        <v>1000</v>
      </c>
      <c r="E76" s="3">
        <v>120</v>
      </c>
      <c r="F76" s="3">
        <v>25</v>
      </c>
      <c r="G76" s="52" t="s">
        <v>192</v>
      </c>
      <c r="H76" s="52"/>
      <c r="I76" s="21" t="s">
        <v>5</v>
      </c>
      <c r="J76" s="12" t="str">
        <f t="shared" ref="J76:J91" si="3">IF(COUNTBLANK(B76:I76)=8,"",IF(COUNTBLANK(B76:I76)=1,OKText,ErrorText))</f>
        <v>OK</v>
      </c>
      <c r="K76" s="52" t="s">
        <v>193</v>
      </c>
      <c r="L76" s="52"/>
      <c r="M76" s="52"/>
      <c r="N76" s="52"/>
      <c r="O76" s="52"/>
      <c r="P76" s="65"/>
      <c r="Q76" s="66"/>
    </row>
    <row r="77" spans="1:18" x14ac:dyDescent="0.35">
      <c r="A77" s="2" t="str">
        <f t="shared" ca="1" si="0"/>
        <v>Amphenol SLPPB50BSO0EH</v>
      </c>
      <c r="B77" s="3" t="s">
        <v>178</v>
      </c>
      <c r="C77" s="11" t="s">
        <v>194</v>
      </c>
      <c r="D77" s="3">
        <v>1000</v>
      </c>
      <c r="E77" s="3">
        <v>250</v>
      </c>
      <c r="F77" s="3">
        <v>50</v>
      </c>
      <c r="G77" s="52" t="s">
        <v>195</v>
      </c>
      <c r="H77" s="52"/>
      <c r="I77" s="21" t="s">
        <v>196</v>
      </c>
      <c r="J77" s="12" t="str">
        <f>IF(COUNTBLANK(B77:I77)=8,"",IF(COUNTBLANK(B77:I77)=1,OKText,ErrorText))</f>
        <v>OK</v>
      </c>
      <c r="K77" s="52" t="s">
        <v>197</v>
      </c>
      <c r="L77" s="52"/>
      <c r="M77" s="52"/>
      <c r="N77" s="52"/>
      <c r="O77" s="52"/>
      <c r="P77" s="65"/>
      <c r="Q77" s="66"/>
    </row>
    <row r="78" spans="1:18" x14ac:dyDescent="0.35">
      <c r="A78" s="2" t="str">
        <f t="shared" ca="1" si="0"/>
        <v>Amphenol SLPPB50BSO1EH</v>
      </c>
      <c r="B78" s="3" t="s">
        <v>178</v>
      </c>
      <c r="C78" s="11" t="s">
        <v>198</v>
      </c>
      <c r="D78" s="3">
        <v>1000</v>
      </c>
      <c r="E78" s="3">
        <v>250</v>
      </c>
      <c r="F78" s="3">
        <v>50</v>
      </c>
      <c r="G78" s="52" t="s">
        <v>195</v>
      </c>
      <c r="H78" s="52"/>
      <c r="I78" s="21" t="s">
        <v>196</v>
      </c>
      <c r="J78" s="12" t="str">
        <f t="shared" si="3"/>
        <v>OK</v>
      </c>
      <c r="K78" s="52" t="s">
        <v>199</v>
      </c>
      <c r="L78" s="52"/>
      <c r="M78" s="52"/>
      <c r="N78" s="52"/>
      <c r="O78" s="52"/>
      <c r="P78" s="65"/>
      <c r="Q78" s="66"/>
    </row>
    <row r="79" spans="1:18" x14ac:dyDescent="0.35">
      <c r="A79" s="2" t="str">
        <f t="shared" ca="1" si="0"/>
        <v>Amphenol SLPIRBBPSO0EH</v>
      </c>
      <c r="B79" s="3" t="s">
        <v>178</v>
      </c>
      <c r="C79" s="11" t="s">
        <v>200</v>
      </c>
      <c r="D79" s="3">
        <v>1000</v>
      </c>
      <c r="E79" s="3">
        <v>250</v>
      </c>
      <c r="F79" s="3">
        <v>50</v>
      </c>
      <c r="G79" s="52" t="s">
        <v>195</v>
      </c>
      <c r="H79" s="52"/>
      <c r="I79" s="21" t="s">
        <v>201</v>
      </c>
      <c r="J79" s="12" t="str">
        <f t="shared" si="3"/>
        <v>OK</v>
      </c>
      <c r="K79" s="52" t="s">
        <v>202</v>
      </c>
      <c r="L79" s="52"/>
      <c r="M79" s="52"/>
      <c r="N79" s="52"/>
      <c r="O79" s="52"/>
      <c r="P79" s="65"/>
      <c r="Q79" s="66"/>
    </row>
    <row r="80" spans="1:18" x14ac:dyDescent="0.35">
      <c r="A80" s="2" t="str">
        <f t="shared" ca="1" si="0"/>
        <v>Amphenol SLPIRBBPSO1EH</v>
      </c>
      <c r="B80" s="3" t="s">
        <v>178</v>
      </c>
      <c r="C80" s="11" t="s">
        <v>203</v>
      </c>
      <c r="D80" s="3">
        <v>1000</v>
      </c>
      <c r="E80" s="3">
        <v>250</v>
      </c>
      <c r="F80" s="3">
        <v>50</v>
      </c>
      <c r="G80" s="52" t="s">
        <v>195</v>
      </c>
      <c r="H80" s="52"/>
      <c r="I80" s="21" t="s">
        <v>201</v>
      </c>
      <c r="J80" s="12" t="str">
        <f t="shared" si="3"/>
        <v>OK</v>
      </c>
      <c r="K80" s="52" t="s">
        <v>204</v>
      </c>
      <c r="L80" s="52"/>
      <c r="M80" s="52"/>
      <c r="N80" s="52"/>
      <c r="O80" s="52"/>
      <c r="P80" s="65"/>
      <c r="Q80" s="66"/>
    </row>
    <row r="81" spans="1:19" x14ac:dyDescent="0.35">
      <c r="A81" s="2" t="str">
        <f t="shared" ca="1" si="0"/>
        <v>Te Connectivity 4-2103177-4</v>
      </c>
      <c r="B81" s="3" t="s">
        <v>151</v>
      </c>
      <c r="C81" s="11" t="s">
        <v>205</v>
      </c>
      <c r="D81" s="3">
        <v>600</v>
      </c>
      <c r="E81" s="3">
        <v>27</v>
      </c>
      <c r="F81" s="3">
        <v>12</v>
      </c>
      <c r="G81" s="52" t="s">
        <v>206</v>
      </c>
      <c r="H81" s="52"/>
      <c r="I81" s="21" t="s">
        <v>207</v>
      </c>
      <c r="J81" s="12" t="str">
        <f t="shared" si="3"/>
        <v>OK</v>
      </c>
      <c r="K81" s="52" t="s">
        <v>208</v>
      </c>
      <c r="L81" s="52"/>
      <c r="M81" s="52"/>
      <c r="N81" s="52"/>
      <c r="O81" s="52"/>
      <c r="P81" s="65"/>
      <c r="Q81" s="66"/>
    </row>
    <row r="82" spans="1:19" x14ac:dyDescent="0.35">
      <c r="A82" s="2" t="str">
        <f t="shared" ca="1" si="0"/>
        <v>Te Connectivity 2103124-4</v>
      </c>
      <c r="B82" s="3" t="s">
        <v>151</v>
      </c>
      <c r="C82" s="11" t="s">
        <v>209</v>
      </c>
      <c r="D82" s="3">
        <v>600</v>
      </c>
      <c r="E82" s="3">
        <v>30</v>
      </c>
      <c r="F82" s="3">
        <v>12</v>
      </c>
      <c r="G82" s="52" t="s">
        <v>206</v>
      </c>
      <c r="H82" s="52"/>
      <c r="I82" s="21" t="s">
        <v>201</v>
      </c>
      <c r="J82" s="12" t="str">
        <f t="shared" si="3"/>
        <v>OK</v>
      </c>
      <c r="K82" s="52" t="s">
        <v>210</v>
      </c>
      <c r="L82" s="52"/>
      <c r="M82" s="52"/>
      <c r="N82" s="52"/>
      <c r="O82" s="52"/>
      <c r="P82" s="65"/>
      <c r="Q82" s="66"/>
    </row>
    <row r="83" spans="1:19" x14ac:dyDescent="0.35">
      <c r="A83" s="2" t="str">
        <f t="shared" ca="1" si="0"/>
        <v>Hirose Electric Group EM30MSD(04)</v>
      </c>
      <c r="B83" s="39" t="s">
        <v>211</v>
      </c>
      <c r="C83" s="11" t="s">
        <v>212</v>
      </c>
      <c r="D83" s="3">
        <v>1500</v>
      </c>
      <c r="E83" s="3">
        <v>200</v>
      </c>
      <c r="F83" s="3">
        <v>40</v>
      </c>
      <c r="G83" s="72" t="s">
        <v>213</v>
      </c>
      <c r="H83" s="52"/>
      <c r="I83" s="21" t="s">
        <v>214</v>
      </c>
      <c r="J83" s="12" t="str">
        <f t="shared" si="3"/>
        <v>OK</v>
      </c>
      <c r="K83" s="52" t="s">
        <v>215</v>
      </c>
      <c r="L83" s="52"/>
      <c r="M83" s="52"/>
      <c r="N83" s="52"/>
      <c r="O83" s="52"/>
      <c r="P83" s="65"/>
      <c r="Q83" s="66"/>
    </row>
    <row r="84" spans="1:19" x14ac:dyDescent="0.35">
      <c r="A84" s="2" t="str">
        <f t="shared" ref="A84:A104" ca="1" si="4">CONCATENATE(INDIRECT(CONCATENATE("B",ROW(A84))), " ", INDIRECT(CONCATENATE("C",ROW(A84))))</f>
        <v xml:space="preserve"> </v>
      </c>
      <c r="B84" s="3"/>
      <c r="C84" s="11"/>
      <c r="D84" s="3"/>
      <c r="E84" s="3"/>
      <c r="F84" s="3"/>
      <c r="G84" s="72"/>
      <c r="H84" s="52"/>
      <c r="I84" s="21"/>
      <c r="J84" s="12" t="str">
        <f t="shared" si="3"/>
        <v/>
      </c>
      <c r="K84" s="52"/>
      <c r="L84" s="52"/>
      <c r="M84" s="52"/>
      <c r="N84" s="52"/>
      <c r="O84" s="52"/>
      <c r="P84" s="65"/>
      <c r="Q84" s="66"/>
    </row>
    <row r="85" spans="1:19" x14ac:dyDescent="0.35">
      <c r="A85" s="2" t="str">
        <f t="shared" ca="1" si="4"/>
        <v xml:space="preserve"> </v>
      </c>
      <c r="B85" s="3"/>
      <c r="C85" s="11"/>
      <c r="D85" s="3"/>
      <c r="E85" s="3"/>
      <c r="F85" s="3"/>
      <c r="G85" s="52"/>
      <c r="H85" s="52"/>
      <c r="I85" s="21"/>
      <c r="J85" s="12" t="str">
        <f t="shared" si="3"/>
        <v/>
      </c>
      <c r="K85" s="52"/>
      <c r="L85" s="52"/>
      <c r="M85" s="52"/>
      <c r="N85" s="52"/>
      <c r="O85" s="52"/>
      <c r="P85" s="65"/>
      <c r="Q85" s="66"/>
    </row>
    <row r="86" spans="1:19" x14ac:dyDescent="0.35">
      <c r="A86" s="2" t="str">
        <f t="shared" ca="1" si="4"/>
        <v xml:space="preserve"> </v>
      </c>
      <c r="B86" s="3"/>
      <c r="C86" s="11"/>
      <c r="D86" s="3"/>
      <c r="E86" s="3"/>
      <c r="F86" s="3"/>
      <c r="G86" s="52"/>
      <c r="H86" s="52"/>
      <c r="I86" s="21"/>
      <c r="J86" s="12" t="str">
        <f t="shared" si="3"/>
        <v/>
      </c>
      <c r="K86" s="52"/>
      <c r="L86" s="52"/>
      <c r="M86" s="52"/>
      <c r="N86" s="52"/>
      <c r="O86" s="52"/>
      <c r="P86" s="65"/>
      <c r="Q86" s="66"/>
    </row>
    <row r="87" spans="1:19" x14ac:dyDescent="0.35">
      <c r="A87" s="2" t="str">
        <f t="shared" ca="1" si="4"/>
        <v xml:space="preserve"> </v>
      </c>
      <c r="B87" s="3"/>
      <c r="C87" s="11"/>
      <c r="D87" s="3"/>
      <c r="E87" s="3"/>
      <c r="F87" s="3"/>
      <c r="G87" s="52"/>
      <c r="H87" s="52"/>
      <c r="I87" s="21"/>
      <c r="J87" s="12" t="str">
        <f t="shared" si="3"/>
        <v/>
      </c>
      <c r="K87" s="52"/>
      <c r="L87" s="52"/>
      <c r="M87" s="52"/>
      <c r="N87" s="52"/>
      <c r="O87" s="52"/>
      <c r="P87" s="65"/>
      <c r="Q87" s="66"/>
    </row>
    <row r="88" spans="1:19" x14ac:dyDescent="0.35">
      <c r="A88" s="2" t="str">
        <f t="shared" ca="1" si="4"/>
        <v xml:space="preserve"> </v>
      </c>
      <c r="B88" s="3"/>
      <c r="C88" s="11"/>
      <c r="D88" s="3"/>
      <c r="E88" s="3"/>
      <c r="F88" s="3"/>
      <c r="G88" s="52"/>
      <c r="H88" s="52"/>
      <c r="I88" s="21"/>
      <c r="J88" s="12" t="str">
        <f t="shared" si="3"/>
        <v/>
      </c>
      <c r="K88" s="52"/>
      <c r="L88" s="52"/>
      <c r="M88" s="52"/>
      <c r="N88" s="52"/>
      <c r="O88" s="52"/>
      <c r="P88" s="65"/>
      <c r="Q88" s="66"/>
    </row>
    <row r="89" spans="1:19" x14ac:dyDescent="0.35">
      <c r="A89" s="2" t="str">
        <f t="shared" ca="1" si="4"/>
        <v xml:space="preserve"> </v>
      </c>
      <c r="B89" s="3"/>
      <c r="C89" s="11"/>
      <c r="D89" s="3"/>
      <c r="E89" s="3"/>
      <c r="F89" s="3"/>
      <c r="G89" s="52"/>
      <c r="H89" s="52"/>
      <c r="I89" s="21"/>
      <c r="J89" s="12" t="str">
        <f t="shared" si="3"/>
        <v/>
      </c>
      <c r="K89" s="52"/>
      <c r="L89" s="52"/>
      <c r="M89" s="52"/>
      <c r="N89" s="52"/>
      <c r="O89" s="52"/>
      <c r="P89" s="65"/>
      <c r="Q89" s="66"/>
    </row>
    <row r="90" spans="1:19" x14ac:dyDescent="0.35">
      <c r="A90" s="2" t="str">
        <f t="shared" ca="1" si="4"/>
        <v xml:space="preserve"> </v>
      </c>
      <c r="B90" s="3"/>
      <c r="C90" s="11"/>
      <c r="D90" s="3"/>
      <c r="E90" s="3"/>
      <c r="F90" s="3"/>
      <c r="G90" s="52"/>
      <c r="H90" s="52"/>
      <c r="I90" s="21"/>
      <c r="J90" s="12" t="str">
        <f t="shared" si="3"/>
        <v/>
      </c>
      <c r="K90" s="52"/>
      <c r="L90" s="52"/>
      <c r="M90" s="52"/>
      <c r="N90" s="52"/>
      <c r="O90" s="52"/>
      <c r="P90" s="65"/>
      <c r="Q90" s="66"/>
    </row>
    <row r="91" spans="1:19" x14ac:dyDescent="0.35">
      <c r="A91" s="2" t="str">
        <f t="shared" ca="1" si="4"/>
        <v xml:space="preserve"> </v>
      </c>
      <c r="B91" s="3"/>
      <c r="C91" s="11"/>
      <c r="D91" s="3"/>
      <c r="E91" s="3"/>
      <c r="F91" s="3"/>
      <c r="G91" s="52"/>
      <c r="H91" s="52"/>
      <c r="I91" s="21"/>
      <c r="J91" s="12" t="str">
        <f t="shared" si="3"/>
        <v/>
      </c>
      <c r="K91" s="52"/>
      <c r="L91" s="52"/>
      <c r="M91" s="52"/>
      <c r="N91" s="52"/>
      <c r="O91" s="52"/>
      <c r="P91" s="67"/>
      <c r="Q91" s="68"/>
    </row>
    <row r="92" spans="1:19" x14ac:dyDescent="0.35">
      <c r="A92" s="2" t="str">
        <f t="shared" ca="1" si="4"/>
        <v xml:space="preserve"> </v>
      </c>
    </row>
    <row r="93" spans="1:19" x14ac:dyDescent="0.35">
      <c r="A93" s="2" t="str">
        <f t="shared" ca="1" si="4"/>
        <v xml:space="preserve">Insulating Materials </v>
      </c>
      <c r="B93" s="53" t="s">
        <v>216</v>
      </c>
      <c r="C93" s="53"/>
      <c r="D93" s="53"/>
      <c r="E93" s="53"/>
      <c r="F93" s="53"/>
      <c r="G93" s="53"/>
      <c r="H93" s="53"/>
      <c r="I93" s="53"/>
      <c r="J93" s="53"/>
      <c r="K93" s="22"/>
      <c r="L93" s="12" t="str">
        <f>IF(COUNTIF(L95:L104, "="&amp;IncompleteText), IncompleteText, IF(COUNTIF(L95:L104, "="&amp;ErrorText), ErrorText, OKText))</f>
        <v>OK</v>
      </c>
    </row>
    <row r="94" spans="1:19" ht="40.5" x14ac:dyDescent="0.35">
      <c r="A94" s="2" t="str">
        <f t="shared" ca="1" si="4"/>
        <v>Manufacturer Part Number</v>
      </c>
      <c r="B94" t="s">
        <v>59</v>
      </c>
      <c r="C94" s="17" t="s">
        <v>60</v>
      </c>
      <c r="D94" s="31" t="s">
        <v>217</v>
      </c>
      <c r="E94" s="17" t="s">
        <v>218</v>
      </c>
      <c r="F94" s="17" t="s">
        <v>219</v>
      </c>
      <c r="G94" s="17" t="s">
        <v>64</v>
      </c>
      <c r="H94" s="32" t="s">
        <v>220</v>
      </c>
      <c r="I94" s="76" t="s">
        <v>54</v>
      </c>
      <c r="J94" s="76"/>
      <c r="K94" s="17" t="s">
        <v>65</v>
      </c>
      <c r="L94" s="24"/>
      <c r="M94" s="71" t="s">
        <v>20</v>
      </c>
      <c r="N94" s="71"/>
      <c r="O94" s="71"/>
      <c r="P94" s="71"/>
      <c r="Q94" s="71"/>
      <c r="R94" s="69" t="s">
        <v>66</v>
      </c>
      <c r="S94" s="70"/>
    </row>
    <row r="95" spans="1:19" x14ac:dyDescent="0.35">
      <c r="A95" s="2" t="str">
        <f t="shared" ca="1" si="4"/>
        <v>ePOL PEEK-NAT/BLK</v>
      </c>
      <c r="B95" s="11" t="s">
        <v>221</v>
      </c>
      <c r="C95" s="11" t="s">
        <v>222</v>
      </c>
      <c r="D95" s="20">
        <v>10</v>
      </c>
      <c r="E95" s="20">
        <v>24000</v>
      </c>
      <c r="F95" s="1">
        <f t="shared" ref="F95:F104" si="5">IF(OR(ISBLANK(D95),ISBLANK(E95)), "", D95*E95)</f>
        <v>240000</v>
      </c>
      <c r="G95" s="20">
        <v>340</v>
      </c>
      <c r="H95" s="11" t="s">
        <v>223</v>
      </c>
      <c r="I95" s="52" t="s">
        <v>224</v>
      </c>
      <c r="J95" s="52"/>
      <c r="K95" s="21" t="s">
        <v>225</v>
      </c>
      <c r="L95" s="12" t="str">
        <f>IF(COUNTBLANK(B95:K95)=10,IncompleteText,IF(COUNTBLANK(B95:K95)=1,OKText,ErrorText))</f>
        <v>OK</v>
      </c>
      <c r="M95" s="52" t="s">
        <v>226</v>
      </c>
      <c r="N95" s="52"/>
      <c r="O95" s="52"/>
      <c r="P95" s="52"/>
      <c r="Q95" s="52"/>
      <c r="R95" s="63" t="s">
        <v>227</v>
      </c>
      <c r="S95" s="64"/>
    </row>
    <row r="96" spans="1:19" x14ac:dyDescent="0.35">
      <c r="A96" s="2" t="str">
        <f t="shared" ca="1" si="4"/>
        <v>RS PRO 20305179</v>
      </c>
      <c r="B96" s="3" t="s">
        <v>228</v>
      </c>
      <c r="C96" s="11" t="s">
        <v>229</v>
      </c>
      <c r="D96" s="20">
        <v>1</v>
      </c>
      <c r="E96" s="20">
        <v>31500</v>
      </c>
      <c r="F96" s="1">
        <f t="shared" si="5"/>
        <v>31500</v>
      </c>
      <c r="G96" s="20">
        <v>130</v>
      </c>
      <c r="H96" s="11" t="s">
        <v>223</v>
      </c>
      <c r="I96" s="72" t="s">
        <v>230</v>
      </c>
      <c r="J96" s="52"/>
      <c r="K96" s="21" t="s">
        <v>231</v>
      </c>
      <c r="L96" s="12" t="str">
        <f t="shared" ref="L96:L104" si="6">IF(COUNTBLANK(B96:K96)=10,"",IF(COUNTBLANK(B96:K96)=1,OKText,ErrorText))</f>
        <v>OK</v>
      </c>
      <c r="M96" s="52" t="s">
        <v>232</v>
      </c>
      <c r="N96" s="52"/>
      <c r="O96" s="52"/>
      <c r="P96" s="52"/>
      <c r="Q96" s="52"/>
      <c r="R96" s="65"/>
      <c r="S96" s="66"/>
    </row>
    <row r="97" spans="1:19" x14ac:dyDescent="0.35">
      <c r="A97" s="2" t="str">
        <f t="shared" ca="1" si="4"/>
        <v>DuPont Nomex 410</v>
      </c>
      <c r="B97" s="3" t="s">
        <v>233</v>
      </c>
      <c r="C97" s="11" t="s">
        <v>234</v>
      </c>
      <c r="D97" s="20">
        <v>0.25</v>
      </c>
      <c r="E97" s="20">
        <v>33000</v>
      </c>
      <c r="F97" s="1">
        <f>IF(OR(ISBLANK(D97),ISBLANK(E97)), "", D97*E97)</f>
        <v>8250</v>
      </c>
      <c r="G97" s="20">
        <v>260</v>
      </c>
      <c r="H97" s="11" t="s">
        <v>223</v>
      </c>
      <c r="I97" s="72" t="s">
        <v>235</v>
      </c>
      <c r="J97" s="52"/>
      <c r="K97" s="21" t="s">
        <v>236</v>
      </c>
      <c r="L97" s="12" t="str">
        <f>IF(COUNTBLANK(B97:K97)=10,"",IF(COUNTBLANK(B97:K97)=1,OKText,ErrorText))</f>
        <v>OK</v>
      </c>
      <c r="M97" s="52" t="s">
        <v>237</v>
      </c>
      <c r="N97" s="52"/>
      <c r="O97" s="52"/>
      <c r="P97" s="52"/>
      <c r="Q97" s="52"/>
      <c r="R97" s="65"/>
      <c r="S97" s="66"/>
    </row>
    <row r="98" spans="1:19" x14ac:dyDescent="0.35">
      <c r="A98" s="2" t="str">
        <f t="shared" ca="1" si="4"/>
        <v>PCB KB6165F TG 149</v>
      </c>
      <c r="B98" s="3" t="s">
        <v>238</v>
      </c>
      <c r="C98" s="11" t="s">
        <v>239</v>
      </c>
      <c r="D98" s="20">
        <v>1.6</v>
      </c>
      <c r="E98" s="20">
        <v>25000</v>
      </c>
      <c r="F98" s="1">
        <f t="shared" ref="F98:F103" si="7">IF(OR(ISBLANK(D98),ISBLANK(E98)), "", D98*E98)</f>
        <v>40000</v>
      </c>
      <c r="G98" s="20">
        <v>170</v>
      </c>
      <c r="H98" s="11" t="s">
        <v>240</v>
      </c>
      <c r="I98" s="52" t="s">
        <v>241</v>
      </c>
      <c r="J98" s="52"/>
      <c r="K98" s="21" t="s">
        <v>242</v>
      </c>
      <c r="L98" s="12" t="str">
        <f>IF(COUNTBLANK(B98:K98)=10,"",IF(COUNTBLANK(B98:K98)=1,OKText,ErrorText))</f>
        <v>OK</v>
      </c>
      <c r="M98" s="52" t="s">
        <v>243</v>
      </c>
      <c r="N98" s="52"/>
      <c r="O98" s="52"/>
      <c r="P98" s="52"/>
      <c r="Q98" s="52"/>
      <c r="R98" s="65"/>
      <c r="S98" s="66"/>
    </row>
    <row r="99" spans="1:19" x14ac:dyDescent="0.35">
      <c r="A99" s="2" t="str">
        <f t="shared" ca="1" si="4"/>
        <v xml:space="preserve"> </v>
      </c>
      <c r="B99" s="3"/>
      <c r="C99" s="11"/>
      <c r="D99" s="20"/>
      <c r="E99" s="20"/>
      <c r="F99" s="1" t="str">
        <f>IF(OR(ISBLANK(D99),ISBLANK(E99)), "", D99*E99)</f>
        <v/>
      </c>
      <c r="G99" s="20"/>
      <c r="H99" s="11"/>
      <c r="I99" s="72"/>
      <c r="J99" s="52"/>
      <c r="K99" s="21"/>
      <c r="L99" s="12" t="str">
        <f>IF(COUNTBLANK(B99:K99)=10,"",IF(COUNTBLANK(B99:K99)=1,OKText,ErrorText))</f>
        <v/>
      </c>
      <c r="M99" s="52"/>
      <c r="N99" s="52"/>
      <c r="O99" s="52"/>
      <c r="P99" s="52"/>
      <c r="Q99" s="52"/>
      <c r="R99" s="65"/>
      <c r="S99" s="66"/>
    </row>
    <row r="100" spans="1:19" x14ac:dyDescent="0.35">
      <c r="A100" s="2" t="str">
        <f t="shared" ca="1" si="4"/>
        <v xml:space="preserve"> </v>
      </c>
      <c r="B100" s="3"/>
      <c r="C100" s="11"/>
      <c r="D100" s="20"/>
      <c r="E100" s="20"/>
      <c r="F100" s="1" t="str">
        <f t="shared" si="7"/>
        <v/>
      </c>
      <c r="G100" s="20"/>
      <c r="H100" s="11"/>
      <c r="I100" s="52"/>
      <c r="J100" s="52"/>
      <c r="K100" s="21"/>
      <c r="L100" s="12" t="str">
        <f t="shared" si="6"/>
        <v/>
      </c>
      <c r="M100" s="52"/>
      <c r="N100" s="52"/>
      <c r="O100" s="52"/>
      <c r="P100" s="52"/>
      <c r="Q100" s="52"/>
      <c r="R100" s="65"/>
      <c r="S100" s="66"/>
    </row>
    <row r="101" spans="1:19" x14ac:dyDescent="0.35">
      <c r="A101" s="2" t="str">
        <f t="shared" ca="1" si="4"/>
        <v xml:space="preserve"> </v>
      </c>
      <c r="B101" s="3"/>
      <c r="C101" s="11"/>
      <c r="D101" s="20"/>
      <c r="E101" s="20"/>
      <c r="F101" s="1" t="str">
        <f t="shared" si="7"/>
        <v/>
      </c>
      <c r="G101" s="20"/>
      <c r="H101" s="11"/>
      <c r="I101" s="52"/>
      <c r="J101" s="52"/>
      <c r="K101" s="21"/>
      <c r="L101" s="12" t="str">
        <f t="shared" si="6"/>
        <v/>
      </c>
      <c r="M101" s="52"/>
      <c r="N101" s="52"/>
      <c r="O101" s="52"/>
      <c r="P101" s="52"/>
      <c r="Q101" s="52"/>
      <c r="R101" s="65"/>
      <c r="S101" s="66"/>
    </row>
    <row r="102" spans="1:19" x14ac:dyDescent="0.35">
      <c r="A102" s="2" t="str">
        <f t="shared" ca="1" si="4"/>
        <v xml:space="preserve"> </v>
      </c>
      <c r="B102" s="3"/>
      <c r="C102" s="11"/>
      <c r="D102" s="20"/>
      <c r="E102" s="20"/>
      <c r="F102" s="1" t="str">
        <f t="shared" si="7"/>
        <v/>
      </c>
      <c r="G102" s="20"/>
      <c r="H102" s="11"/>
      <c r="I102" s="52"/>
      <c r="J102" s="52"/>
      <c r="K102" s="21"/>
      <c r="L102" s="12" t="str">
        <f t="shared" si="6"/>
        <v/>
      </c>
      <c r="M102" s="52"/>
      <c r="N102" s="52"/>
      <c r="O102" s="52"/>
      <c r="P102" s="52"/>
      <c r="Q102" s="52"/>
      <c r="R102" s="65"/>
      <c r="S102" s="66"/>
    </row>
    <row r="103" spans="1:19" x14ac:dyDescent="0.35">
      <c r="A103" s="2" t="str">
        <f t="shared" ca="1" si="4"/>
        <v xml:space="preserve"> </v>
      </c>
      <c r="B103" s="3"/>
      <c r="C103" s="11"/>
      <c r="D103" s="20"/>
      <c r="E103" s="20"/>
      <c r="F103" s="1" t="str">
        <f t="shared" si="7"/>
        <v/>
      </c>
      <c r="G103" s="20"/>
      <c r="H103" s="11"/>
      <c r="I103" s="52"/>
      <c r="J103" s="52"/>
      <c r="K103" s="21"/>
      <c r="L103" s="12" t="str">
        <f t="shared" si="6"/>
        <v/>
      </c>
      <c r="M103" s="52"/>
      <c r="N103" s="52"/>
      <c r="O103" s="52"/>
      <c r="P103" s="52"/>
      <c r="Q103" s="52"/>
      <c r="R103" s="65"/>
      <c r="S103" s="66"/>
    </row>
    <row r="104" spans="1:19" x14ac:dyDescent="0.35">
      <c r="A104" s="2" t="str">
        <f t="shared" ca="1" si="4"/>
        <v xml:space="preserve"> </v>
      </c>
      <c r="B104" s="3"/>
      <c r="C104" s="11"/>
      <c r="D104" s="20"/>
      <c r="E104" s="20"/>
      <c r="F104" s="1" t="str">
        <f t="shared" si="5"/>
        <v/>
      </c>
      <c r="G104" s="20"/>
      <c r="H104" s="11"/>
      <c r="I104" s="52"/>
      <c r="J104" s="52"/>
      <c r="K104" s="21"/>
      <c r="L104" s="12" t="str">
        <f t="shared" si="6"/>
        <v/>
      </c>
      <c r="M104" s="52"/>
      <c r="N104" s="52"/>
      <c r="O104" s="52"/>
      <c r="P104" s="52"/>
      <c r="Q104" s="52"/>
      <c r="R104" s="67"/>
      <c r="S104" s="68"/>
    </row>
  </sheetData>
  <sheetProtection algorithmName="SHA-512" hashValue="PW8ksBwQMDlXPskrkVaARLRLLRAMZCXWKA3NWRawaQqdUasOA1HdPWEm5EGD3t+3SJuWw4jfxC9zQ/KVeR4QEg==" saltValue="DoHJ/IggtvENMxHssFpFSw==" spinCount="100000" sheet="1" scenarios="1" insertHyperlinks="0"/>
  <mergeCells count="199">
    <mergeCell ref="L48:P48"/>
    <mergeCell ref="B63:J63"/>
    <mergeCell ref="G82:H82"/>
    <mergeCell ref="G83:H83"/>
    <mergeCell ref="G84:H84"/>
    <mergeCell ref="K76:O76"/>
    <mergeCell ref="K77:O77"/>
    <mergeCell ref="K78:O78"/>
    <mergeCell ref="K79:O79"/>
    <mergeCell ref="K80:O80"/>
    <mergeCell ref="K81:O81"/>
    <mergeCell ref="K82:O82"/>
    <mergeCell ref="K83:O83"/>
    <mergeCell ref="K84:O84"/>
    <mergeCell ref="G75:H75"/>
    <mergeCell ref="H67:I67"/>
    <mergeCell ref="H68:I68"/>
    <mergeCell ref="H69:I69"/>
    <mergeCell ref="B71:H71"/>
    <mergeCell ref="L66:P66"/>
    <mergeCell ref="L67:P67"/>
    <mergeCell ref="L68:P68"/>
    <mergeCell ref="L69:P69"/>
    <mergeCell ref="K57:L57"/>
    <mergeCell ref="L42:P42"/>
    <mergeCell ref="H24:I24"/>
    <mergeCell ref="H43:I43"/>
    <mergeCell ref="H44:I44"/>
    <mergeCell ref="H45:I45"/>
    <mergeCell ref="H46:I46"/>
    <mergeCell ref="H41:I41"/>
    <mergeCell ref="H30:I30"/>
    <mergeCell ref="H36:I36"/>
    <mergeCell ref="H37:I37"/>
    <mergeCell ref="H40:I40"/>
    <mergeCell ref="H31:I31"/>
    <mergeCell ref="H32:I32"/>
    <mergeCell ref="H33:I33"/>
    <mergeCell ref="H34:I34"/>
    <mergeCell ref="H35:I35"/>
    <mergeCell ref="L30:P30"/>
    <mergeCell ref="L31:P31"/>
    <mergeCell ref="L43:P43"/>
    <mergeCell ref="L44:P44"/>
    <mergeCell ref="L45:P45"/>
    <mergeCell ref="B13:C13"/>
    <mergeCell ref="D13:E13"/>
    <mergeCell ref="H18:I18"/>
    <mergeCell ref="H19:I19"/>
    <mergeCell ref="B14:C14"/>
    <mergeCell ref="D14:E14"/>
    <mergeCell ref="H20:I20"/>
    <mergeCell ref="B15:C15"/>
    <mergeCell ref="D15:H15"/>
    <mergeCell ref="B2:E2"/>
    <mergeCell ref="B7:C7"/>
    <mergeCell ref="B12:C12"/>
    <mergeCell ref="B11:C11"/>
    <mergeCell ref="B10:C10"/>
    <mergeCell ref="B9:C9"/>
    <mergeCell ref="B8:C8"/>
    <mergeCell ref="B6:C6"/>
    <mergeCell ref="B4:C4"/>
    <mergeCell ref="D3:E3"/>
    <mergeCell ref="D4:E4"/>
    <mergeCell ref="D12:E12"/>
    <mergeCell ref="B3:C3"/>
    <mergeCell ref="B5:C5"/>
    <mergeCell ref="G86:H86"/>
    <mergeCell ref="H57:J57"/>
    <mergeCell ref="H60:J60"/>
    <mergeCell ref="H61:J61"/>
    <mergeCell ref="G72:H72"/>
    <mergeCell ref="G73:H73"/>
    <mergeCell ref="H58:J58"/>
    <mergeCell ref="G76:H76"/>
    <mergeCell ref="G77:H77"/>
    <mergeCell ref="G78:H78"/>
    <mergeCell ref="G79:H79"/>
    <mergeCell ref="G80:H80"/>
    <mergeCell ref="G81:H81"/>
    <mergeCell ref="H66:I66"/>
    <mergeCell ref="H59:J59"/>
    <mergeCell ref="I104:J104"/>
    <mergeCell ref="B17:I17"/>
    <mergeCell ref="I99:J99"/>
    <mergeCell ref="I100:J100"/>
    <mergeCell ref="I101:J101"/>
    <mergeCell ref="I102:J102"/>
    <mergeCell ref="I103:J103"/>
    <mergeCell ref="I94:J94"/>
    <mergeCell ref="I95:J95"/>
    <mergeCell ref="I96:J96"/>
    <mergeCell ref="I97:J97"/>
    <mergeCell ref="I98:J98"/>
    <mergeCell ref="G87:H87"/>
    <mergeCell ref="G88:H88"/>
    <mergeCell ref="H55:J55"/>
    <mergeCell ref="H47:I47"/>
    <mergeCell ref="H48:I48"/>
    <mergeCell ref="G74:H74"/>
    <mergeCell ref="H64:I64"/>
    <mergeCell ref="H65:I65"/>
    <mergeCell ref="G90:H90"/>
    <mergeCell ref="G91:H91"/>
    <mergeCell ref="B54:L54"/>
    <mergeCell ref="G85:H85"/>
    <mergeCell ref="M99:Q99"/>
    <mergeCell ref="M100:Q100"/>
    <mergeCell ref="M101:Q101"/>
    <mergeCell ref="M102:Q102"/>
    <mergeCell ref="M103:Q103"/>
    <mergeCell ref="M104:Q104"/>
    <mergeCell ref="M94:Q94"/>
    <mergeCell ref="L21:P21"/>
    <mergeCell ref="L22:P22"/>
    <mergeCell ref="L65:P65"/>
    <mergeCell ref="O55:S55"/>
    <mergeCell ref="O56:S56"/>
    <mergeCell ref="L40:P40"/>
    <mergeCell ref="L41:P41"/>
    <mergeCell ref="L46:P46"/>
    <mergeCell ref="L49:P49"/>
    <mergeCell ref="L50:P50"/>
    <mergeCell ref="L51:P51"/>
    <mergeCell ref="L52:P52"/>
    <mergeCell ref="O57:S57"/>
    <mergeCell ref="O58:S58"/>
    <mergeCell ref="O59:S59"/>
    <mergeCell ref="O60:S60"/>
    <mergeCell ref="K56:L56"/>
    <mergeCell ref="H21:I21"/>
    <mergeCell ref="H22:I22"/>
    <mergeCell ref="H27:I27"/>
    <mergeCell ref="L24:P24"/>
    <mergeCell ref="L25:P25"/>
    <mergeCell ref="L26:P26"/>
    <mergeCell ref="H56:J56"/>
    <mergeCell ref="H49:I49"/>
    <mergeCell ref="H50:I50"/>
    <mergeCell ref="H51:I51"/>
    <mergeCell ref="H52:I52"/>
    <mergeCell ref="B39:I39"/>
    <mergeCell ref="H42:I42"/>
    <mergeCell ref="L28:P28"/>
    <mergeCell ref="L29:P29"/>
    <mergeCell ref="L23:P23"/>
    <mergeCell ref="H28:I28"/>
    <mergeCell ref="H29:I29"/>
    <mergeCell ref="H25:I25"/>
    <mergeCell ref="H26:I26"/>
    <mergeCell ref="L27:P27"/>
    <mergeCell ref="L47:P47"/>
    <mergeCell ref="K55:L55"/>
    <mergeCell ref="H23:I23"/>
    <mergeCell ref="K58:L58"/>
    <mergeCell ref="M95:Q95"/>
    <mergeCell ref="M96:Q96"/>
    <mergeCell ref="M97:Q97"/>
    <mergeCell ref="K59:L59"/>
    <mergeCell ref="K60:L60"/>
    <mergeCell ref="K61:L61"/>
    <mergeCell ref="K87:O87"/>
    <mergeCell ref="K88:O88"/>
    <mergeCell ref="K89:O89"/>
    <mergeCell ref="K90:O90"/>
    <mergeCell ref="K91:O91"/>
    <mergeCell ref="K72:O72"/>
    <mergeCell ref="K73:O73"/>
    <mergeCell ref="K74:O74"/>
    <mergeCell ref="K75:O75"/>
    <mergeCell ref="K85:O85"/>
    <mergeCell ref="K86:O86"/>
    <mergeCell ref="L64:P64"/>
    <mergeCell ref="O61:S61"/>
    <mergeCell ref="B93:J93"/>
    <mergeCell ref="R95:S104"/>
    <mergeCell ref="M98:Q98"/>
    <mergeCell ref="G89:H89"/>
    <mergeCell ref="Q18:R18"/>
    <mergeCell ref="Q19:R37"/>
    <mergeCell ref="Q40:R40"/>
    <mergeCell ref="T55:U55"/>
    <mergeCell ref="Q64:R64"/>
    <mergeCell ref="P72:Q72"/>
    <mergeCell ref="R94:S94"/>
    <mergeCell ref="Q41:R52"/>
    <mergeCell ref="T56:U61"/>
    <mergeCell ref="P73:Q91"/>
    <mergeCell ref="Q65:R69"/>
    <mergeCell ref="L18:P18"/>
    <mergeCell ref="L19:P19"/>
    <mergeCell ref="L20:P20"/>
    <mergeCell ref="L37:P37"/>
    <mergeCell ref="L32:P32"/>
    <mergeCell ref="L33:P33"/>
    <mergeCell ref="L34:P34"/>
    <mergeCell ref="L35:P35"/>
    <mergeCell ref="L36:P36"/>
  </mergeCells>
  <phoneticPr fontId="19" type="noConversion"/>
  <dataValidations disablePrompts="1" count="3">
    <dataValidation type="list" allowBlank="1" showInputMessage="1" showErrorMessage="1" sqref="E41:E52" xr:uid="{00000000-0002-0000-0100-000000000000}">
      <formula1>"AC,DC"</formula1>
    </dataValidation>
    <dataValidation type="custom" allowBlank="1" showInputMessage="1" showErrorMessage="1" sqref="J37" xr:uid="{27FFF758-D8FB-445F-BE6B-8F48EBB74CDA}">
      <formula1>COUNTIF(J37,"ts*")+COUNTIF(J37,"glv*")</formula1>
    </dataValidation>
    <dataValidation type="list" allowBlank="1" showInputMessage="1" showErrorMessage="1" sqref="G65:G69" xr:uid="{EE7CF47C-5300-488D-95D7-2C884F7F0552}">
      <formula1>"NO,NC"</formula1>
    </dataValidation>
  </dataValidations>
  <hyperlinks>
    <hyperlink ref="D13" r:id="rId1" xr:uid="{1F8A1714-4A45-4149-902D-CB38D20B6112}"/>
    <hyperlink ref="D14" r:id="rId2" xr:uid="{6752BF6D-3CD8-4D54-A1D4-6BFA78D96FA5}"/>
    <hyperlink ref="H19" r:id="rId3" xr:uid="{D99C516C-B60B-4F82-9C8D-495EBCBCADBA}"/>
    <hyperlink ref="H41:I41" r:id="rId4" display="https://www.littelfuse.com/media?resourcetype=datasheets&amp;itemid=e6b04cd1-0330-4f1d-91fa-6daf10bbffa3&amp;filename=l50qs-high-speed-fuse-datasheet" xr:uid="{34F914AD-8ED5-48F9-AE40-5220396F0A34}"/>
    <hyperlink ref="H42" r:id="rId5" xr:uid="{5BB96512-E706-4E69-9C34-387971210900}"/>
    <hyperlink ref="H43" r:id="rId6" xr:uid="{BAE9F2DB-0106-4C06-9B67-1AD4C26CC739}"/>
    <hyperlink ref="H41" r:id="rId7" xr:uid="{2DC64924-F044-46FA-9797-A486185D6652}"/>
    <hyperlink ref="H44" r:id="rId8" xr:uid="{0529E709-17AA-4879-A321-32016BC4D780}"/>
    <hyperlink ref="K56:L56" r:id="rId9" display="https://docs.rs-online.com/a111/0900766b815a2504.pdf" xr:uid="{E000A981-5F97-4D64-97F9-8B8C8A071730}"/>
    <hyperlink ref="K57" r:id="rId10" xr:uid="{1E42E981-9D65-43C7-900F-CC4CE15DC0AD}"/>
    <hyperlink ref="K58" r:id="rId11" xr:uid="{1EB6AA0A-83F4-4C39-84C3-DAE73741249D}"/>
    <hyperlink ref="H65" r:id="rId12" xr:uid="{1BC7A1AF-3270-490A-90A7-63BD51A1E6A1}"/>
    <hyperlink ref="H66" r:id="rId13" xr:uid="{5B636A9F-2A9B-4DA9-B817-7253583D13D7}"/>
    <hyperlink ref="H67" r:id="rId14" xr:uid="{19401F7A-4AD6-4D44-9F89-C1BB9354535A}"/>
    <hyperlink ref="G73:H73" r:id="rId15" display="https://www.crimptech.com.au/wp-content/uploads/2020/12/ENG_DS_1-1773721-8_as_interconnection_0919.pdf" xr:uid="{2E0E2527-711D-44EB-9C43-57298C3C9506}"/>
    <hyperlink ref="G73" r:id="rId16" xr:uid="{649FB346-1BB0-4AC0-A7FC-9C2DFC4854AE}"/>
    <hyperlink ref="G74" r:id="rId17" xr:uid="{75FB8EE2-E377-4649-B903-AD2E7BE30CA6}"/>
    <hyperlink ref="G75" r:id="rId18" xr:uid="{7E94C22D-386E-4E3B-9D02-D49F150DBF8C}"/>
    <hyperlink ref="G76" r:id="rId19" xr:uid="{11C5B153-18A8-4179-A162-70E00B6A560E}"/>
    <hyperlink ref="G78" r:id="rId20" xr:uid="{7A2C7AEF-0622-45EE-9157-C37AC4348078}"/>
    <hyperlink ref="G77" r:id="rId21" xr:uid="{82AB2F7E-1A38-408B-92D5-B42973BFA856}"/>
    <hyperlink ref="G79" r:id="rId22" xr:uid="{90B8E202-EA53-4E5D-9E34-8B8D8A2504D0}"/>
    <hyperlink ref="G80" r:id="rId23" xr:uid="{DC0570E5-E616-4BD0-96D0-1AED6B25DDFD}"/>
    <hyperlink ref="G81" r:id="rId24" xr:uid="{B246D2CE-8407-4284-826E-DEF612D6FF61}"/>
    <hyperlink ref="G82" r:id="rId25" xr:uid="{5E425096-1E89-49D3-BF0E-CCF8835A6CB1}"/>
    <hyperlink ref="G83" r:id="rId26" xr:uid="{D677378B-CF17-4564-A57E-76BBEE075836}"/>
    <hyperlink ref="H45" r:id="rId27" xr:uid="{6A4CF513-D164-4351-8E4B-99514BA9973B}"/>
    <hyperlink ref="H20" r:id="rId28" xr:uid="{5E5CE134-3327-4586-80B7-75EAA82613FA}"/>
    <hyperlink ref="H21" r:id="rId29" xr:uid="{A2CDF54D-0AAA-465B-B1B5-61731E53B185}"/>
    <hyperlink ref="H23" r:id="rId30" xr:uid="{1A72F2C6-6032-4059-A8C9-7F25D15B44A9}"/>
    <hyperlink ref="H22" r:id="rId31" xr:uid="{1D8A52E2-AF5F-4EA4-866F-DB68D9F51A2E}"/>
    <hyperlink ref="I95" r:id="rId32" xr:uid="{7A4CFC04-4862-45D2-AC42-9641822CB787}"/>
    <hyperlink ref="H26" r:id="rId33" xr:uid="{5083DA0F-80B4-4461-86E3-3C41633754A3}"/>
    <hyperlink ref="H25" r:id="rId34" xr:uid="{6924C4C5-7D55-49E4-8297-21156C41ECE5}"/>
    <hyperlink ref="H27" r:id="rId35" xr:uid="{DFBD2005-8BB9-4F6E-BB8B-BE9FB9C43497}"/>
    <hyperlink ref="H24" r:id="rId36" xr:uid="{D661149D-69B2-4EED-B692-EE61057CBDB8}"/>
    <hyperlink ref="I96" r:id="rId37" xr:uid="{1D8A46E8-5CCB-4F1D-9897-3738A1D61FE7}"/>
    <hyperlink ref="I96:J97" r:id="rId38" display="https://docs.rs-online.com/d42b/A700000006980855.pdf" xr:uid="{09A48368-300B-4DA9-BA82-71266D466090}"/>
    <hyperlink ref="I98" r:id="rId39" xr:uid="{E858260E-071F-4B0C-9EC2-4BE0B535B371}"/>
    <hyperlink ref="I97" r:id="rId40" xr:uid="{CC74EEB0-8F3A-4330-A9D3-76E63272964D}"/>
  </hyperlinks>
  <pageMargins left="0.25" right="0.25" top="0.75" bottom="0.75" header="0.3" footer="0.3"/>
  <pageSetup paperSize="8" scale="80" orientation="landscape" cellComments="atEnd" r:id="rId41"/>
  <headerFooter>
    <oddFooter>&amp;R&amp;1#&amp;"Calibri"&amp;10&amp;KFF0000Public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4"/>
  <sheetViews>
    <sheetView zoomScale="40" zoomScaleNormal="40" workbookViewId="0">
      <selection activeCell="L16" sqref="L16"/>
    </sheetView>
  </sheetViews>
  <sheetFormatPr defaultColWidth="8.71875" defaultRowHeight="13.5" x14ac:dyDescent="0.35"/>
  <cols>
    <col min="1" max="4" width="8.71875" style="2"/>
    <col min="5" max="5" width="9.109375" style="2" bestFit="1" customWidth="1"/>
    <col min="6" max="16384" width="8.71875" style="2"/>
  </cols>
  <sheetData>
    <row r="1" spans="1:31" x14ac:dyDescent="0.35">
      <c r="A1" s="26" t="s">
        <v>1</v>
      </c>
      <c r="B1" s="12" t="str" cm="1">
        <f t="array" aca="1" ref="B1" ca="1">IF(SUM(COUNTIF(INDIRECT({"'TS Schematics'!$K$28","'TS Schematics'!$W$28","'TS Schematics'!$K$46"}), "="&amp;IncompleteText)), IncompleteText, IF(SUM(COUNTIF(INDIRECT({"'TS Schematics'!$K$28","'TS Schematics'!$W$28","'TS Schematics'!$K$46"}), "="&amp;ErrorText)), ErrorText, OKText))</f>
        <v>OK</v>
      </c>
    </row>
    <row r="2" spans="1:31" x14ac:dyDescent="0.35">
      <c r="A2" s="89" t="s">
        <v>244</v>
      </c>
      <c r="B2" s="89"/>
      <c r="C2" s="89"/>
      <c r="D2" s="89"/>
      <c r="E2" s="89"/>
      <c r="F2" s="89"/>
      <c r="G2" s="89"/>
      <c r="H2" s="89"/>
      <c r="I2" s="89"/>
      <c r="J2" s="89"/>
      <c r="K2" s="89"/>
      <c r="M2" s="89" t="s">
        <v>245</v>
      </c>
      <c r="N2" s="89"/>
      <c r="O2" s="89"/>
      <c r="P2" s="89"/>
      <c r="Q2" s="89"/>
      <c r="R2" s="89"/>
      <c r="S2" s="89"/>
      <c r="T2" s="89"/>
      <c r="U2" s="89"/>
      <c r="V2" s="89"/>
      <c r="W2" s="89"/>
      <c r="Y2" s="53" t="s">
        <v>20</v>
      </c>
      <c r="Z2" s="53"/>
      <c r="AA2" s="53"/>
      <c r="AB2" s="53"/>
      <c r="AC2" s="53"/>
      <c r="AD2" s="53"/>
      <c r="AE2" s="53"/>
    </row>
    <row r="3" spans="1:31" x14ac:dyDescent="0.3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Y3" s="42" t="s">
        <v>246</v>
      </c>
      <c r="Z3" s="42"/>
      <c r="AA3" s="42"/>
      <c r="AB3" s="42"/>
      <c r="AC3" s="42"/>
      <c r="AD3" s="42"/>
      <c r="AE3" s="42"/>
    </row>
    <row r="4" spans="1:31" x14ac:dyDescent="0.3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Y4" s="45"/>
      <c r="Z4" s="45"/>
      <c r="AA4" s="45"/>
      <c r="AB4" s="45"/>
      <c r="AC4" s="45"/>
      <c r="AD4" s="45"/>
      <c r="AE4" s="45"/>
    </row>
    <row r="5" spans="1:31" x14ac:dyDescent="0.3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Y5" s="45"/>
      <c r="Z5" s="45"/>
      <c r="AA5" s="45"/>
      <c r="AB5" s="45"/>
      <c r="AC5" s="45"/>
      <c r="AD5" s="45"/>
      <c r="AE5" s="45"/>
    </row>
    <row r="6" spans="1:31" x14ac:dyDescent="0.35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Y6" s="45"/>
      <c r="Z6" s="45"/>
      <c r="AA6" s="45"/>
      <c r="AB6" s="45"/>
      <c r="AC6" s="45"/>
      <c r="AD6" s="45"/>
      <c r="AE6" s="45"/>
    </row>
    <row r="7" spans="1:31" x14ac:dyDescent="0.35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Y7" s="45"/>
      <c r="Z7" s="45"/>
      <c r="AA7" s="45"/>
      <c r="AB7" s="45"/>
      <c r="AC7" s="45"/>
      <c r="AD7" s="45"/>
      <c r="AE7" s="45"/>
    </row>
    <row r="8" spans="1:31" x14ac:dyDescent="0.35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Y8" s="45"/>
      <c r="Z8" s="45"/>
      <c r="AA8" s="45"/>
      <c r="AB8" s="45"/>
      <c r="AC8" s="45"/>
      <c r="AD8" s="45"/>
      <c r="AE8" s="45"/>
    </row>
    <row r="9" spans="1:31" x14ac:dyDescent="0.35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Y9" s="45"/>
      <c r="Z9" s="45"/>
      <c r="AA9" s="45"/>
      <c r="AB9" s="45"/>
      <c r="AC9" s="45"/>
      <c r="AD9" s="45"/>
      <c r="AE9" s="45"/>
    </row>
    <row r="10" spans="1:31" x14ac:dyDescent="0.35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Y10" s="45"/>
      <c r="Z10" s="45"/>
      <c r="AA10" s="45"/>
      <c r="AB10" s="45"/>
      <c r="AC10" s="45"/>
      <c r="AD10" s="45"/>
      <c r="AE10" s="45"/>
    </row>
    <row r="11" spans="1:31" x14ac:dyDescent="0.3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Y11" s="45"/>
      <c r="Z11" s="45"/>
      <c r="AA11" s="45"/>
      <c r="AB11" s="45"/>
      <c r="AC11" s="45"/>
      <c r="AD11" s="45"/>
      <c r="AE11" s="45"/>
    </row>
    <row r="12" spans="1:31" x14ac:dyDescent="0.3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Y12" s="45"/>
      <c r="Z12" s="45"/>
      <c r="AA12" s="45"/>
      <c r="AB12" s="45"/>
      <c r="AC12" s="45"/>
      <c r="AD12" s="45"/>
      <c r="AE12" s="45"/>
    </row>
    <row r="13" spans="1:31" x14ac:dyDescent="0.35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Y13" s="45"/>
      <c r="Z13" s="45"/>
      <c r="AA13" s="45"/>
      <c r="AB13" s="45"/>
      <c r="AC13" s="45"/>
      <c r="AD13" s="45"/>
      <c r="AE13" s="45"/>
    </row>
    <row r="14" spans="1:31" x14ac:dyDescent="0.3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Y14" s="45"/>
      <c r="Z14" s="45"/>
      <c r="AA14" s="45"/>
      <c r="AB14" s="45"/>
      <c r="AC14" s="45"/>
      <c r="AD14" s="45"/>
      <c r="AE14" s="45"/>
    </row>
    <row r="15" spans="1:31" x14ac:dyDescent="0.3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Y15" s="45"/>
      <c r="Z15" s="45"/>
      <c r="AA15" s="45"/>
      <c r="AB15" s="45"/>
      <c r="AC15" s="45"/>
      <c r="AD15" s="45"/>
      <c r="AE15" s="45"/>
    </row>
    <row r="16" spans="1:31" x14ac:dyDescent="0.35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Y16" s="45"/>
      <c r="Z16" s="45"/>
      <c r="AA16" s="45"/>
      <c r="AB16" s="45"/>
      <c r="AC16" s="45"/>
      <c r="AD16" s="45"/>
      <c r="AE16" s="45"/>
    </row>
    <row r="17" spans="1:31" x14ac:dyDescent="0.3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Y17" s="45"/>
      <c r="Z17" s="45"/>
      <c r="AA17" s="45"/>
      <c r="AB17" s="45"/>
      <c r="AC17" s="45"/>
      <c r="AD17" s="45"/>
      <c r="AE17" s="45"/>
    </row>
    <row r="18" spans="1:31" x14ac:dyDescent="0.3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Y18" s="45"/>
      <c r="Z18" s="45"/>
      <c r="AA18" s="45"/>
      <c r="AB18" s="45"/>
      <c r="AC18" s="45"/>
      <c r="AD18" s="45"/>
      <c r="AE18" s="45"/>
    </row>
    <row r="19" spans="1:31" x14ac:dyDescent="0.3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Y19" s="45"/>
      <c r="Z19" s="45"/>
      <c r="AA19" s="45"/>
      <c r="AB19" s="45"/>
      <c r="AC19" s="45"/>
      <c r="AD19" s="45"/>
      <c r="AE19" s="45"/>
    </row>
    <row r="20" spans="1:31" x14ac:dyDescent="0.3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Y20" s="45"/>
      <c r="Z20" s="45"/>
      <c r="AA20" s="45"/>
      <c r="AB20" s="45"/>
      <c r="AC20" s="45"/>
      <c r="AD20" s="45"/>
      <c r="AE20" s="45"/>
    </row>
    <row r="21" spans="1:31" x14ac:dyDescent="0.3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Y21" s="45"/>
      <c r="Z21" s="45"/>
      <c r="AA21" s="45"/>
      <c r="AB21" s="45"/>
      <c r="AC21" s="45"/>
      <c r="AD21" s="45"/>
      <c r="AE21" s="45"/>
    </row>
    <row r="22" spans="1:31" x14ac:dyDescent="0.35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Y22" s="45"/>
      <c r="Z22" s="45"/>
      <c r="AA22" s="45"/>
      <c r="AB22" s="45"/>
      <c r="AC22" s="45"/>
      <c r="AD22" s="45"/>
      <c r="AE22" s="45"/>
    </row>
    <row r="23" spans="1:31" x14ac:dyDescent="0.3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Y23" s="45"/>
      <c r="Z23" s="45"/>
      <c r="AA23" s="45"/>
      <c r="AB23" s="45"/>
      <c r="AC23" s="45"/>
      <c r="AD23" s="45"/>
      <c r="AE23" s="45"/>
    </row>
    <row r="24" spans="1:31" x14ac:dyDescent="0.35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Y24" s="45"/>
      <c r="Z24" s="45"/>
      <c r="AA24" s="45"/>
      <c r="AB24" s="45"/>
      <c r="AC24" s="45"/>
      <c r="AD24" s="45"/>
      <c r="AE24" s="45"/>
    </row>
    <row r="25" spans="1:31" x14ac:dyDescent="0.3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Y25" s="45"/>
      <c r="Z25" s="45"/>
      <c r="AA25" s="45"/>
      <c r="AB25" s="45"/>
      <c r="AC25" s="45"/>
      <c r="AD25" s="45"/>
      <c r="AE25" s="45"/>
    </row>
    <row r="26" spans="1:31" x14ac:dyDescent="0.3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Y26" s="45"/>
      <c r="Z26" s="45"/>
      <c r="AA26" s="45"/>
      <c r="AB26" s="45"/>
      <c r="AC26" s="45"/>
      <c r="AD26" s="45"/>
      <c r="AE26" s="45"/>
    </row>
    <row r="27" spans="1:31" x14ac:dyDescent="0.35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Y27" s="45"/>
      <c r="Z27" s="45"/>
      <c r="AA27" s="45"/>
      <c r="AB27" s="45"/>
      <c r="AC27" s="45"/>
      <c r="AD27" s="45"/>
      <c r="AE27" s="45"/>
    </row>
    <row r="28" spans="1:31" x14ac:dyDescent="0.35">
      <c r="A28" s="53" t="s">
        <v>247</v>
      </c>
      <c r="B28" s="53"/>
      <c r="C28" s="53"/>
      <c r="D28" s="53"/>
      <c r="E28" s="53"/>
      <c r="F28" s="53"/>
      <c r="G28" s="53"/>
      <c r="H28" s="53"/>
      <c r="I28" s="53"/>
      <c r="J28" s="53"/>
      <c r="K28" s="90" t="str">
        <f>IF(COUNTIF(K30:K43, "="&amp;IncompleteText), IncompleteText, IF(COUNTIF(K30:K43, "="&amp;ErrorText), ErrorText, OKText))</f>
        <v>OK</v>
      </c>
      <c r="M28" s="53" t="s">
        <v>248</v>
      </c>
      <c r="N28" s="53"/>
      <c r="O28" s="53"/>
      <c r="P28" s="53"/>
      <c r="Q28" s="53"/>
      <c r="R28" s="53"/>
      <c r="S28" s="53"/>
      <c r="T28" s="53"/>
      <c r="U28" s="53"/>
      <c r="V28" s="53"/>
      <c r="W28" s="90" t="str">
        <f>IF(COUNTIF(W30:W41, "="&amp;IncompleteText), IncompleteText, IF(COUNTIF(W30:W41, "="&amp;ErrorText), ErrorText, OKText))</f>
        <v>OK</v>
      </c>
    </row>
    <row r="29" spans="1:31" x14ac:dyDescent="0.35">
      <c r="A29" s="92" t="s">
        <v>66</v>
      </c>
      <c r="B29" s="93"/>
      <c r="C29" s="22"/>
      <c r="D29" s="22"/>
      <c r="E29" s="22"/>
      <c r="F29" s="22"/>
      <c r="G29" s="22"/>
      <c r="H29" s="22"/>
      <c r="I29" s="22"/>
      <c r="J29" s="22"/>
      <c r="K29" s="91"/>
      <c r="M29" s="86" t="s">
        <v>66</v>
      </c>
      <c r="N29" s="87"/>
      <c r="O29" s="22"/>
      <c r="P29" s="22"/>
      <c r="Q29" s="22"/>
      <c r="R29" s="22"/>
      <c r="S29" s="22"/>
      <c r="T29" s="22"/>
      <c r="U29" s="22"/>
      <c r="V29" s="22"/>
      <c r="W29" s="91"/>
    </row>
    <row r="30" spans="1:31" x14ac:dyDescent="0.35">
      <c r="A30" s="88"/>
      <c r="B30" s="88"/>
      <c r="C30" s="82" t="s">
        <v>249</v>
      </c>
      <c r="D30" s="82"/>
      <c r="E30" s="82"/>
      <c r="F30" s="82"/>
      <c r="G30" s="82"/>
      <c r="H30" s="82"/>
      <c r="I30" s="83"/>
      <c r="J30" s="3" t="b">
        <v>1</v>
      </c>
      <c r="K30" s="12" t="str">
        <f t="shared" ref="K30:K53" si="0">IF(ISBLANK(J30),IncompleteText, IF(J30, OKText, ErrorText))</f>
        <v>OK</v>
      </c>
      <c r="M30" s="88"/>
      <c r="N30" s="88"/>
      <c r="O30" s="82" t="s">
        <v>250</v>
      </c>
      <c r="P30" s="82"/>
      <c r="Q30" s="82"/>
      <c r="R30" s="82"/>
      <c r="S30" s="82"/>
      <c r="T30" s="82"/>
      <c r="U30" s="83"/>
      <c r="V30" s="3" t="b">
        <v>1</v>
      </c>
      <c r="W30" s="12" t="str">
        <f t="shared" ref="W30:W40" si="1">IF(ISBLANK(V30),IncompleteText, IF(V30, OKText, ErrorText))</f>
        <v>OK</v>
      </c>
    </row>
    <row r="31" spans="1:31" x14ac:dyDescent="0.35">
      <c r="A31" s="85"/>
      <c r="B31" s="85"/>
      <c r="C31" s="82" t="s">
        <v>251</v>
      </c>
      <c r="D31" s="82"/>
      <c r="E31" s="82"/>
      <c r="F31" s="82"/>
      <c r="G31" s="82"/>
      <c r="H31" s="82"/>
      <c r="I31" s="83"/>
      <c r="J31" s="3" t="b">
        <v>1</v>
      </c>
      <c r="K31" s="12" t="str">
        <f t="shared" si="0"/>
        <v>OK</v>
      </c>
      <c r="M31" s="85"/>
      <c r="N31" s="85"/>
      <c r="O31" s="82" t="s">
        <v>252</v>
      </c>
      <c r="P31" s="82"/>
      <c r="Q31" s="82"/>
      <c r="R31" s="82"/>
      <c r="S31" s="82"/>
      <c r="T31" s="82"/>
      <c r="U31" s="83"/>
      <c r="V31" s="3" t="b">
        <v>1</v>
      </c>
      <c r="W31" s="12" t="str">
        <f t="shared" si="1"/>
        <v>OK</v>
      </c>
    </row>
    <row r="32" spans="1:31" x14ac:dyDescent="0.35">
      <c r="A32" s="85"/>
      <c r="B32" s="85"/>
      <c r="C32" s="82" t="s">
        <v>252</v>
      </c>
      <c r="D32" s="82"/>
      <c r="E32" s="82"/>
      <c r="F32" s="82"/>
      <c r="G32" s="82"/>
      <c r="H32" s="82"/>
      <c r="I32" s="83"/>
      <c r="J32" s="3" t="b">
        <v>1</v>
      </c>
      <c r="K32" s="12" t="str">
        <f t="shared" si="0"/>
        <v>OK</v>
      </c>
      <c r="M32" s="85"/>
      <c r="N32" s="85"/>
      <c r="O32" s="82" t="s">
        <v>253</v>
      </c>
      <c r="P32" s="82"/>
      <c r="Q32" s="82"/>
      <c r="R32" s="82"/>
      <c r="S32" s="82"/>
      <c r="T32" s="82"/>
      <c r="U32" s="83"/>
      <c r="V32" s="3" t="b">
        <v>1</v>
      </c>
      <c r="W32" s="12" t="str">
        <f t="shared" si="1"/>
        <v>OK</v>
      </c>
    </row>
    <row r="33" spans="1:23" x14ac:dyDescent="0.35">
      <c r="A33" s="85"/>
      <c r="B33" s="85"/>
      <c r="C33" s="82" t="s">
        <v>253</v>
      </c>
      <c r="D33" s="82"/>
      <c r="E33" s="82"/>
      <c r="F33" s="82"/>
      <c r="G33" s="82"/>
      <c r="H33" s="82"/>
      <c r="I33" s="83"/>
      <c r="J33" s="3" t="b">
        <v>1</v>
      </c>
      <c r="K33" s="12" t="str">
        <f t="shared" si="0"/>
        <v>OK</v>
      </c>
      <c r="M33" s="85" t="s">
        <v>254</v>
      </c>
      <c r="N33" s="85"/>
      <c r="O33" s="82" t="s">
        <v>255</v>
      </c>
      <c r="P33" s="82"/>
      <c r="Q33" s="82"/>
      <c r="R33" s="82"/>
      <c r="S33" s="82"/>
      <c r="T33" s="82"/>
      <c r="U33" s="83"/>
      <c r="V33" s="3" t="b">
        <v>1</v>
      </c>
      <c r="W33" s="12" t="str">
        <f t="shared" si="1"/>
        <v>OK</v>
      </c>
    </row>
    <row r="34" spans="1:23" x14ac:dyDescent="0.35">
      <c r="A34" s="85" t="s">
        <v>254</v>
      </c>
      <c r="B34" s="85"/>
      <c r="C34" s="82" t="s">
        <v>255</v>
      </c>
      <c r="D34" s="82"/>
      <c r="E34" s="82"/>
      <c r="F34" s="82"/>
      <c r="G34" s="82"/>
      <c r="H34" s="82"/>
      <c r="I34" s="83"/>
      <c r="J34" s="3" t="b">
        <v>1</v>
      </c>
      <c r="K34" s="12" t="str">
        <f t="shared" si="0"/>
        <v>OK</v>
      </c>
      <c r="M34" s="71"/>
      <c r="N34" s="71"/>
      <c r="O34" s="82" t="s">
        <v>256</v>
      </c>
      <c r="P34" s="82"/>
      <c r="Q34" s="82"/>
      <c r="R34" s="82"/>
      <c r="S34" s="82"/>
      <c r="T34" s="82"/>
      <c r="U34" s="83"/>
      <c r="V34" s="3" t="b">
        <v>1</v>
      </c>
      <c r="W34" s="12" t="str">
        <f t="shared" si="1"/>
        <v>OK</v>
      </c>
    </row>
    <row r="35" spans="1:23" x14ac:dyDescent="0.35">
      <c r="A35" s="85"/>
      <c r="B35" s="85"/>
      <c r="C35" s="82" t="s">
        <v>256</v>
      </c>
      <c r="D35" s="82"/>
      <c r="E35" s="82"/>
      <c r="F35" s="82"/>
      <c r="G35" s="82"/>
      <c r="H35" s="82"/>
      <c r="I35" s="83"/>
      <c r="J35" s="3" t="b">
        <v>1</v>
      </c>
      <c r="K35" s="12" t="str">
        <f t="shared" si="0"/>
        <v>OK</v>
      </c>
      <c r="M35" s="85"/>
      <c r="N35" s="85"/>
      <c r="O35" s="82" t="s">
        <v>257</v>
      </c>
      <c r="P35" s="82"/>
      <c r="Q35" s="82"/>
      <c r="R35" s="82"/>
      <c r="S35" s="82"/>
      <c r="T35" s="82"/>
      <c r="U35" s="83"/>
      <c r="V35" s="3" t="b">
        <v>1</v>
      </c>
      <c r="W35" s="12" t="str">
        <f t="shared" si="1"/>
        <v>OK</v>
      </c>
    </row>
    <row r="36" spans="1:23" x14ac:dyDescent="0.35">
      <c r="A36" s="85"/>
      <c r="B36" s="85"/>
      <c r="C36" s="82" t="s">
        <v>258</v>
      </c>
      <c r="D36" s="82"/>
      <c r="E36" s="82"/>
      <c r="F36" s="82"/>
      <c r="G36" s="82"/>
      <c r="H36" s="82"/>
      <c r="I36" s="83"/>
      <c r="J36" s="3" t="b">
        <v>1</v>
      </c>
      <c r="K36" s="12" t="str">
        <f t="shared" si="0"/>
        <v>OK</v>
      </c>
      <c r="M36" s="85"/>
      <c r="N36" s="85"/>
      <c r="O36" s="82" t="s">
        <v>259</v>
      </c>
      <c r="P36" s="82"/>
      <c r="Q36" s="82"/>
      <c r="R36" s="82"/>
      <c r="S36" s="82"/>
      <c r="T36" s="82"/>
      <c r="U36" s="83"/>
      <c r="V36" s="3" t="b">
        <v>1</v>
      </c>
      <c r="W36" s="12" t="str">
        <f t="shared" si="1"/>
        <v>OK</v>
      </c>
    </row>
    <row r="37" spans="1:23" x14ac:dyDescent="0.35">
      <c r="A37" s="85"/>
      <c r="B37" s="85"/>
      <c r="C37" s="82" t="s">
        <v>257</v>
      </c>
      <c r="D37" s="82"/>
      <c r="E37" s="82"/>
      <c r="F37" s="82"/>
      <c r="G37" s="82"/>
      <c r="H37" s="82"/>
      <c r="I37" s="83"/>
      <c r="J37" s="3" t="b">
        <v>1</v>
      </c>
      <c r="K37" s="12" t="str">
        <f t="shared" si="0"/>
        <v>OK</v>
      </c>
      <c r="M37" s="85"/>
      <c r="N37" s="85"/>
      <c r="O37" s="82" t="s">
        <v>260</v>
      </c>
      <c r="P37" s="82"/>
      <c r="Q37" s="82"/>
      <c r="R37" s="82"/>
      <c r="S37" s="82"/>
      <c r="T37" s="82"/>
      <c r="U37" s="83"/>
      <c r="V37" s="3" t="b">
        <v>1</v>
      </c>
      <c r="W37" s="12" t="str">
        <f>IF(ISBLANK(V37),IncompleteText, IF(V37, OKText, ErrorText))</f>
        <v>OK</v>
      </c>
    </row>
    <row r="38" spans="1:23" x14ac:dyDescent="0.35">
      <c r="A38" s="85"/>
      <c r="B38" s="85"/>
      <c r="C38" s="82" t="s">
        <v>259</v>
      </c>
      <c r="D38" s="82"/>
      <c r="E38" s="82"/>
      <c r="F38" s="82"/>
      <c r="G38" s="82"/>
      <c r="H38" s="82"/>
      <c r="I38" s="83"/>
      <c r="J38" s="3" t="b">
        <v>1</v>
      </c>
      <c r="K38" s="12" t="str">
        <f t="shared" si="0"/>
        <v>OK</v>
      </c>
      <c r="M38" s="85" t="s">
        <v>261</v>
      </c>
      <c r="N38" s="85"/>
      <c r="O38" s="82" t="s">
        <v>262</v>
      </c>
      <c r="P38" s="82"/>
      <c r="Q38" s="82"/>
      <c r="R38" s="82"/>
      <c r="S38" s="82"/>
      <c r="T38" s="82"/>
      <c r="U38" s="83"/>
      <c r="V38" s="3" t="b">
        <v>1</v>
      </c>
      <c r="W38" s="12" t="str">
        <f>IF(ISBLANK(V38),IncompleteText, IF(V38, OKText, ErrorText))</f>
        <v>OK</v>
      </c>
    </row>
    <row r="39" spans="1:23" x14ac:dyDescent="0.35">
      <c r="A39" s="85"/>
      <c r="B39" s="85"/>
      <c r="C39" s="82" t="s">
        <v>260</v>
      </c>
      <c r="D39" s="82"/>
      <c r="E39" s="82"/>
      <c r="F39" s="82"/>
      <c r="G39" s="82"/>
      <c r="H39" s="82"/>
      <c r="I39" s="83"/>
      <c r="J39" s="3" t="b">
        <v>1</v>
      </c>
      <c r="K39" s="12" t="str">
        <f t="shared" si="0"/>
        <v>OK</v>
      </c>
      <c r="M39" s="85" t="s">
        <v>263</v>
      </c>
      <c r="N39" s="85"/>
      <c r="O39" s="82" t="s">
        <v>264</v>
      </c>
      <c r="P39" s="82"/>
      <c r="Q39" s="82"/>
      <c r="R39" s="82"/>
      <c r="S39" s="82"/>
      <c r="T39" s="82"/>
      <c r="U39" s="83"/>
      <c r="V39" s="3" t="b">
        <v>1</v>
      </c>
      <c r="W39" s="12" t="str">
        <f t="shared" si="1"/>
        <v>OK</v>
      </c>
    </row>
    <row r="40" spans="1:23" x14ac:dyDescent="0.35">
      <c r="A40" s="85" t="s">
        <v>265</v>
      </c>
      <c r="B40" s="85"/>
      <c r="C40" s="82" t="s">
        <v>266</v>
      </c>
      <c r="D40" s="82"/>
      <c r="E40" s="82"/>
      <c r="F40" s="82"/>
      <c r="G40" s="82"/>
      <c r="H40" s="82"/>
      <c r="I40" s="83"/>
      <c r="J40" s="3" t="b">
        <v>1</v>
      </c>
      <c r="K40" s="12" t="str">
        <f t="shared" si="0"/>
        <v>OK</v>
      </c>
      <c r="M40" s="85"/>
      <c r="N40" s="85"/>
      <c r="O40" s="82" t="s">
        <v>267</v>
      </c>
      <c r="P40" s="82"/>
      <c r="Q40" s="82"/>
      <c r="R40" s="82"/>
      <c r="S40" s="82"/>
      <c r="T40" s="82"/>
      <c r="U40" s="83"/>
      <c r="V40" s="3" t="b">
        <v>1</v>
      </c>
      <c r="W40" s="12" t="str">
        <f t="shared" si="1"/>
        <v>OK</v>
      </c>
    </row>
    <row r="41" spans="1:23" x14ac:dyDescent="0.35">
      <c r="A41" s="85"/>
      <c r="B41" s="85"/>
      <c r="C41" s="82" t="s">
        <v>268</v>
      </c>
      <c r="D41" s="82"/>
      <c r="E41" s="82"/>
      <c r="F41" s="82"/>
      <c r="G41" s="82"/>
      <c r="H41" s="82"/>
      <c r="I41" s="83"/>
      <c r="J41" s="3" t="b">
        <v>1</v>
      </c>
      <c r="K41" s="12" t="str">
        <f t="shared" si="0"/>
        <v>OK</v>
      </c>
      <c r="M41" s="85" t="s">
        <v>269</v>
      </c>
      <c r="N41" s="85"/>
      <c r="O41" s="82" t="s">
        <v>270</v>
      </c>
      <c r="P41" s="82"/>
      <c r="Q41" s="82"/>
      <c r="R41" s="82"/>
      <c r="S41" s="82"/>
      <c r="T41" s="82"/>
      <c r="U41" s="83"/>
      <c r="V41" s="3" t="b">
        <v>1</v>
      </c>
      <c r="W41" s="12" t="str">
        <f t="shared" ref="W41" si="2">IF(ISBLANK(V41),IncompleteText, IF(V41, OKText, ErrorText))</f>
        <v>OK</v>
      </c>
    </row>
    <row r="42" spans="1:23" x14ac:dyDescent="0.35">
      <c r="A42" s="85"/>
      <c r="B42" s="85"/>
      <c r="C42" s="82" t="s">
        <v>271</v>
      </c>
      <c r="D42" s="82"/>
      <c r="E42" s="82"/>
      <c r="F42" s="82"/>
      <c r="G42" s="82"/>
      <c r="H42" s="82"/>
      <c r="I42" s="83"/>
      <c r="J42" s="3" t="b">
        <v>1</v>
      </c>
      <c r="K42" s="12" t="str">
        <f t="shared" si="0"/>
        <v>OK</v>
      </c>
    </row>
    <row r="43" spans="1:23" x14ac:dyDescent="0.35">
      <c r="A43" s="85" t="s">
        <v>272</v>
      </c>
      <c r="B43" s="85"/>
      <c r="C43" s="82" t="s">
        <v>273</v>
      </c>
      <c r="D43" s="82"/>
      <c r="E43" s="82"/>
      <c r="F43" s="82"/>
      <c r="G43" s="82"/>
      <c r="H43" s="82"/>
      <c r="I43" s="83"/>
      <c r="J43" s="3" t="b">
        <v>1</v>
      </c>
      <c r="K43" s="12" t="str">
        <f t="shared" si="0"/>
        <v>OK</v>
      </c>
    </row>
    <row r="46" spans="1:23" x14ac:dyDescent="0.35">
      <c r="A46" s="53" t="s">
        <v>274</v>
      </c>
      <c r="B46" s="53"/>
      <c r="C46" s="53"/>
      <c r="D46" s="53"/>
      <c r="E46" s="53"/>
      <c r="F46" s="53"/>
      <c r="G46" s="53"/>
      <c r="H46" s="53"/>
      <c r="I46" s="53"/>
      <c r="J46" s="53"/>
      <c r="K46" s="91" t="str">
        <f>IF(COUNTIF(K48:K54, "="&amp;IncompleteText), IncompleteText, IF(COUNTIF(K48:K54, "="&amp;ErrorText), ErrorText, OKText))</f>
        <v>OK</v>
      </c>
    </row>
    <row r="47" spans="1:23" x14ac:dyDescent="0.35">
      <c r="A47" s="86" t="s">
        <v>66</v>
      </c>
      <c r="B47" s="87"/>
      <c r="C47" s="22"/>
      <c r="D47" s="22"/>
      <c r="E47" s="22"/>
      <c r="F47" s="22"/>
      <c r="G47" s="22"/>
      <c r="H47" s="22"/>
      <c r="I47" s="22"/>
      <c r="J47" s="22"/>
      <c r="K47" s="91"/>
    </row>
    <row r="48" spans="1:23" x14ac:dyDescent="0.35">
      <c r="A48" s="88" t="s">
        <v>275</v>
      </c>
      <c r="B48" s="88"/>
      <c r="C48" s="82" t="s">
        <v>276</v>
      </c>
      <c r="D48" s="82"/>
      <c r="E48" s="82"/>
      <c r="F48" s="82"/>
      <c r="G48" s="82"/>
      <c r="H48" s="82"/>
      <c r="I48" s="83"/>
      <c r="J48" s="3" t="b">
        <v>1</v>
      </c>
      <c r="K48" s="12" t="str">
        <f t="shared" si="0"/>
        <v>OK</v>
      </c>
    </row>
    <row r="49" spans="1:11" x14ac:dyDescent="0.35">
      <c r="A49" s="85" t="s">
        <v>277</v>
      </c>
      <c r="B49" s="85"/>
      <c r="C49" s="82" t="s">
        <v>214</v>
      </c>
      <c r="D49" s="82"/>
      <c r="E49" s="82"/>
      <c r="F49" s="82"/>
      <c r="G49" s="82"/>
      <c r="H49" s="82"/>
      <c r="I49" s="83"/>
      <c r="J49" s="3" t="b">
        <v>1</v>
      </c>
      <c r="K49" s="12" t="str">
        <f t="shared" si="0"/>
        <v>OK</v>
      </c>
    </row>
    <row r="50" spans="1:11" x14ac:dyDescent="0.35">
      <c r="A50" s="85" t="s">
        <v>278</v>
      </c>
      <c r="B50" s="85"/>
      <c r="C50" s="82" t="s">
        <v>144</v>
      </c>
      <c r="D50" s="82"/>
      <c r="E50" s="82"/>
      <c r="F50" s="82"/>
      <c r="G50" s="82"/>
      <c r="H50" s="82"/>
      <c r="I50" s="83"/>
      <c r="J50" s="3" t="b">
        <v>1</v>
      </c>
      <c r="K50" s="12" t="str">
        <f t="shared" si="0"/>
        <v>OK</v>
      </c>
    </row>
    <row r="51" spans="1:11" x14ac:dyDescent="0.35">
      <c r="A51" s="85" t="s">
        <v>278</v>
      </c>
      <c r="B51" s="85"/>
      <c r="C51" s="82" t="s">
        <v>150</v>
      </c>
      <c r="D51" s="82"/>
      <c r="E51" s="82"/>
      <c r="F51" s="82"/>
      <c r="G51" s="82"/>
      <c r="H51" s="82"/>
      <c r="I51" s="83"/>
      <c r="J51" s="3" t="b">
        <v>1</v>
      </c>
      <c r="K51" s="12" t="str">
        <f t="shared" si="0"/>
        <v>OK</v>
      </c>
    </row>
    <row r="52" spans="1:11" x14ac:dyDescent="0.35">
      <c r="A52" s="85" t="s">
        <v>279</v>
      </c>
      <c r="B52" s="85"/>
      <c r="C52" s="82" t="s">
        <v>280</v>
      </c>
      <c r="D52" s="82"/>
      <c r="E52" s="82"/>
      <c r="F52" s="82"/>
      <c r="G52" s="82"/>
      <c r="H52" s="82"/>
      <c r="I52" s="83"/>
      <c r="J52" s="3" t="b">
        <v>1</v>
      </c>
      <c r="K52" s="12" t="str">
        <f t="shared" si="0"/>
        <v>OK</v>
      </c>
    </row>
    <row r="53" spans="1:11" x14ac:dyDescent="0.35">
      <c r="A53" s="85" t="s">
        <v>281</v>
      </c>
      <c r="B53" s="85"/>
      <c r="C53" s="82" t="s">
        <v>282</v>
      </c>
      <c r="D53" s="82"/>
      <c r="E53" s="82"/>
      <c r="F53" s="82"/>
      <c r="G53" s="82"/>
      <c r="H53" s="82"/>
      <c r="I53" s="83"/>
      <c r="J53" s="3" t="b">
        <v>1</v>
      </c>
      <c r="K53" s="12" t="str">
        <f t="shared" si="0"/>
        <v>OK</v>
      </c>
    </row>
    <row r="54" spans="1:11" x14ac:dyDescent="0.35">
      <c r="A54" s="85" t="s">
        <v>283</v>
      </c>
      <c r="B54" s="85"/>
      <c r="C54" s="82" t="s">
        <v>284</v>
      </c>
      <c r="D54" s="82"/>
      <c r="E54" s="82"/>
      <c r="F54" s="82"/>
      <c r="G54" s="82"/>
      <c r="H54" s="82"/>
      <c r="I54" s="83"/>
      <c r="J54" s="3" t="b">
        <v>1</v>
      </c>
      <c r="K54" s="12" t="str">
        <f t="shared" ref="K54" si="3">IF(ISBLANK(J54),IncompleteText, IF(J54, OKText, ErrorText))</f>
        <v>OK</v>
      </c>
    </row>
  </sheetData>
  <sheetProtection algorithmName="SHA-512" hashValue="Vt3CmIUX9nOlFEq1ihyWv/fpNSlkTgtiUdDjX2Vd3mVXrSrlcyISVibfIUxyK2wCDP9PgD6XgP+sZc5cGjgVzA==" saltValue="yBhlm0BpjKte9vlWoL+aew==" spinCount="100000" sheet="1" scenarios="1" insertHyperlinks="0"/>
  <mergeCells count="79">
    <mergeCell ref="A54:B54"/>
    <mergeCell ref="C54:I54"/>
    <mergeCell ref="M35:N35"/>
    <mergeCell ref="O34:U34"/>
    <mergeCell ref="O35:U35"/>
    <mergeCell ref="O36:U36"/>
    <mergeCell ref="M39:N39"/>
    <mergeCell ref="M38:N38"/>
    <mergeCell ref="M37:N37"/>
    <mergeCell ref="M36:N36"/>
    <mergeCell ref="O41:U41"/>
    <mergeCell ref="O40:U40"/>
    <mergeCell ref="O39:U39"/>
    <mergeCell ref="O38:U38"/>
    <mergeCell ref="O37:U37"/>
    <mergeCell ref="A53:B53"/>
    <mergeCell ref="W28:W29"/>
    <mergeCell ref="M29:N29"/>
    <mergeCell ref="K46:K47"/>
    <mergeCell ref="A46:J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C39:I39"/>
    <mergeCell ref="C40:I40"/>
    <mergeCell ref="C41:I41"/>
    <mergeCell ref="A30:B30"/>
    <mergeCell ref="A31:B31"/>
    <mergeCell ref="A32:B32"/>
    <mergeCell ref="A33:B33"/>
    <mergeCell ref="A29:B29"/>
    <mergeCell ref="C30:I30"/>
    <mergeCell ref="Y2:AE2"/>
    <mergeCell ref="Y3:AE27"/>
    <mergeCell ref="C31:I31"/>
    <mergeCell ref="C32:I32"/>
    <mergeCell ref="O30:U30"/>
    <mergeCell ref="O31:U31"/>
    <mergeCell ref="O32:U32"/>
    <mergeCell ref="M30:N30"/>
    <mergeCell ref="M31:N31"/>
    <mergeCell ref="M32:N32"/>
    <mergeCell ref="M2:W27"/>
    <mergeCell ref="M28:V28"/>
    <mergeCell ref="A2:K27"/>
    <mergeCell ref="A28:J28"/>
    <mergeCell ref="K28:K29"/>
    <mergeCell ref="C53:I53"/>
    <mergeCell ref="A48:B48"/>
    <mergeCell ref="A49:B49"/>
    <mergeCell ref="A50:B50"/>
    <mergeCell ref="A51:B51"/>
    <mergeCell ref="C48:I48"/>
    <mergeCell ref="C49:I49"/>
    <mergeCell ref="C50:I50"/>
    <mergeCell ref="C51:I51"/>
    <mergeCell ref="C52:I52"/>
    <mergeCell ref="M33:N33"/>
    <mergeCell ref="O33:U33"/>
    <mergeCell ref="M34:N34"/>
    <mergeCell ref="A52:B52"/>
    <mergeCell ref="A47:B47"/>
    <mergeCell ref="C33:I33"/>
    <mergeCell ref="C35:I35"/>
    <mergeCell ref="C36:I36"/>
    <mergeCell ref="C37:I37"/>
    <mergeCell ref="C38:I38"/>
    <mergeCell ref="C34:I34"/>
    <mergeCell ref="C42:I42"/>
    <mergeCell ref="C43:I43"/>
    <mergeCell ref="A34:B34"/>
    <mergeCell ref="M41:N41"/>
    <mergeCell ref="M40:N40"/>
  </mergeCells>
  <dataValidations count="1">
    <dataValidation type="list" allowBlank="1" showInputMessage="1" showErrorMessage="1" sqref="V30:V42 J30:J45 J48:J54" xr:uid="{00000000-0002-0000-0200-000000000000}">
      <formula1>"TRUE,FALSE"</formula1>
    </dataValidation>
  </dataValidations>
  <pageMargins left="0.25" right="0.25" top="0.75" bottom="0.75" header="0.3" footer="0.3"/>
  <pageSetup paperSize="8" scale="60" orientation="landscape" cellComments="atEnd" r:id="rId1"/>
  <headerFooter>
    <oddFooter>&amp;R&amp;1#&amp;"Calibri"&amp;10&amp;KFF0000Public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C91"/>
  <sheetViews>
    <sheetView view="pageBreakPreview" zoomScale="25" zoomScaleNormal="100" zoomScaleSheetLayoutView="25" workbookViewId="0">
      <selection activeCell="L16" sqref="L16"/>
    </sheetView>
  </sheetViews>
  <sheetFormatPr defaultColWidth="8.71875" defaultRowHeight="13.5" x14ac:dyDescent="0.35"/>
  <cols>
    <col min="1" max="2" width="8.71875" style="2" customWidth="1"/>
    <col min="3" max="3" width="8.71875" style="2"/>
    <col min="4" max="5" width="8.71875" style="2" hidden="1" customWidth="1"/>
    <col min="6" max="6" width="8.71875" style="2"/>
    <col min="7" max="7" width="10.27734375" style="2" customWidth="1"/>
    <col min="8" max="9" width="8.71875" style="2"/>
    <col min="10" max="10" width="13.71875" style="2" bestFit="1" customWidth="1"/>
    <col min="11" max="15" width="8.71875" style="2"/>
    <col min="16" max="16" width="8.88671875" style="2" bestFit="1" customWidth="1"/>
    <col min="17" max="18" width="8.71875" style="2"/>
    <col min="19" max="19" width="13.71875" style="2" bestFit="1" customWidth="1"/>
    <col min="20" max="27" width="8.71875" style="2"/>
    <col min="28" max="28" width="13.71875" style="2" bestFit="1" customWidth="1"/>
    <col min="29" max="36" width="8.71875" style="2"/>
    <col min="37" max="37" width="13.71875" style="2" bestFit="1" customWidth="1"/>
    <col min="38" max="45" width="8.71875" style="2"/>
    <col min="46" max="46" width="13.71875" style="2" bestFit="1" customWidth="1"/>
    <col min="47" max="54" width="8.71875" style="2"/>
    <col min="55" max="55" width="13.71875" style="2" bestFit="1" customWidth="1"/>
    <col min="56" max="16384" width="8.71875" style="2"/>
  </cols>
  <sheetData>
    <row r="1" spans="1:39" x14ac:dyDescent="0.35">
      <c r="A1" s="26" t="s">
        <v>1</v>
      </c>
      <c r="B1" s="12" t="str" cm="1">
        <f t="array" aca="1" ref="B1" ca="1">IF(SUM(COUNTIF(INDIRECT({"Accumulator!$I$3","Accumulator!$I$4","Accumulator!$L$8","Accumulator!$S$8","Accumulator!$Y$8","Accumulator!$AF$8","Accumulator!$AB$52","Accumulator!$S$52","Accumulator!$J$52","Accumulator!$H$62","Accumulator!$AK$52","Accumulator!$AT$52","Accumulator!$BC$52"}), "="&amp;IncompleteText)), IncompleteText, IF(SUM(COUNTIF(INDIRECT({"Accumulator!$I$3","Accumulator!$I$4","Accumulator!$L$8","Accumulator!$S$8","Accumulator!$Y$8","Accumulator!$AF$8","Accumulator!$AB$52","Accumulator!$S$52","Accumulator!$J$52","Accumulator!$H$62","Accumulator!$AK$52","Accumulator!$AT$52","Accumulator!$BC$52"}), "="&amp;ErrorText)), ErrorText, OKText))</f>
        <v>OK</v>
      </c>
    </row>
    <row r="3" spans="1:39" x14ac:dyDescent="0.35">
      <c r="A3" s="82" t="s">
        <v>285</v>
      </c>
      <c r="B3" s="82"/>
      <c r="C3" s="82"/>
      <c r="D3" s="82"/>
      <c r="E3" s="82"/>
      <c r="F3" s="83"/>
      <c r="G3" s="3" t="s">
        <v>286</v>
      </c>
      <c r="I3" s="12" t="str">
        <f>IF(ISBLANK(G3), IncompleteText, OKText)</f>
        <v>OK</v>
      </c>
    </row>
    <row r="4" spans="1:39" x14ac:dyDescent="0.35">
      <c r="A4" s="82" t="s">
        <v>287</v>
      </c>
      <c r="B4" s="82"/>
      <c r="C4" s="82"/>
      <c r="D4" s="82"/>
      <c r="E4" s="82"/>
      <c r="F4" s="83"/>
      <c r="G4" s="4" cm="1">
        <f t="array" ref="G4">IF(G3="Series",SUM(C12:C29)*BattCellMaxV,C12*BattCellMaxV*SUM(IF(FREQUENCY(G12:G29,G12:G29)&gt;0,1)))</f>
        <v>453.6</v>
      </c>
      <c r="H4" t="s">
        <v>17</v>
      </c>
      <c r="I4" s="12" t="str">
        <f>IF(G4 &gt; 600, ErrorText, OKText)</f>
        <v>OK</v>
      </c>
    </row>
    <row r="5" spans="1:39" x14ac:dyDescent="0.35">
      <c r="A5" s="82" t="s">
        <v>288</v>
      </c>
      <c r="B5" s="82"/>
      <c r="C5" s="82"/>
      <c r="D5" s="82"/>
      <c r="E5" s="82"/>
      <c r="F5" s="83"/>
      <c r="G5" s="4" cm="1">
        <f t="array" ref="G5">IF(G3="Series",SUM(C12:C29)*BattCellNomV,C12*BattCellNomV*SUM(IF(FREQUENCY(G12:G29,G12:G29)&gt;0,1)))</f>
        <v>388.8</v>
      </c>
      <c r="H5" t="s">
        <v>17</v>
      </c>
    </row>
    <row r="6" spans="1:39" x14ac:dyDescent="0.35">
      <c r="A6" s="82" t="s">
        <v>289</v>
      </c>
      <c r="B6" s="82"/>
      <c r="C6" s="82"/>
      <c r="D6" s="82"/>
      <c r="E6" s="82"/>
      <c r="F6" s="83"/>
      <c r="G6" s="4">
        <f>SUMPRODUCT(B12:B29,C12:C29)</f>
        <v>648</v>
      </c>
      <c r="H6"/>
    </row>
    <row r="8" spans="1:39" x14ac:dyDescent="0.35">
      <c r="A8" s="53" t="s">
        <v>290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12" t="str">
        <f>IF(COUNTIF(L9:L29, "="&amp;IncompleteText), IncompleteText, IF(COUNTIF(L9:L29, "="&amp;ErrorText), ErrorText, OKText))</f>
        <v>OK</v>
      </c>
      <c r="M8" s="53" t="s">
        <v>115</v>
      </c>
      <c r="N8" s="53"/>
      <c r="O8" s="53"/>
      <c r="P8" s="53"/>
      <c r="Q8" s="53"/>
      <c r="R8" s="53"/>
      <c r="S8" s="12" t="str">
        <f ca="1">IF(COUNTIF(S9:S30, "="&amp;IncompleteText), IncompleteText, IF(COUNTIF(S9:S30, "="&amp;ErrorText), ErrorText, OKText))</f>
        <v>OK</v>
      </c>
      <c r="T8" s="53" t="s">
        <v>291</v>
      </c>
      <c r="U8" s="53"/>
      <c r="V8" s="53"/>
      <c r="W8" s="53"/>
      <c r="X8" s="53"/>
      <c r="Y8" s="12" t="str">
        <f ca="1">IF(COUNTIF(Y9:Y24, "="&amp;IncompleteText), IncompleteText, IF(COUNTIF(Y9:Y24, "="&amp;ErrorText), ErrorText, OKText))</f>
        <v>OK</v>
      </c>
      <c r="Z8" s="53" t="s">
        <v>216</v>
      </c>
      <c r="AA8" s="53"/>
      <c r="AB8" s="53"/>
      <c r="AC8" s="53"/>
      <c r="AD8" s="53"/>
      <c r="AE8" s="53"/>
      <c r="AF8" s="12" t="str">
        <f ca="1">IF(COUNTIF(AF9:AF19, "="&amp;IncompleteText), IncompleteText, IF(COUNTIF(AF9:AF19, "="&amp;ErrorText), ErrorText, OKText))</f>
        <v>OK</v>
      </c>
      <c r="AG8" s="53" t="s">
        <v>20</v>
      </c>
      <c r="AH8" s="53"/>
      <c r="AI8" s="53"/>
      <c r="AJ8" s="53"/>
      <c r="AK8" s="53"/>
      <c r="AL8" s="53"/>
      <c r="AM8" s="53"/>
    </row>
    <row r="9" spans="1:39" ht="13.7" customHeight="1" x14ac:dyDescent="0.35">
      <c r="A9" s="82" t="s">
        <v>292</v>
      </c>
      <c r="B9" s="82"/>
      <c r="C9" s="83"/>
      <c r="D9" s="26"/>
      <c r="E9" s="26"/>
      <c r="F9" s="79" t="s">
        <v>293</v>
      </c>
      <c r="G9" s="81"/>
      <c r="H9"/>
      <c r="I9"/>
      <c r="J9"/>
      <c r="K9"/>
      <c r="L9" s="12" t="str">
        <f>IF(ISBLANK(F9), IncompleteText, OKText)</f>
        <v>OK</v>
      </c>
      <c r="M9" s="82" t="s">
        <v>294</v>
      </c>
      <c r="N9" s="82"/>
      <c r="O9" s="82"/>
      <c r="P9" s="83"/>
      <c r="Q9" s="52" t="s">
        <v>295</v>
      </c>
      <c r="R9" s="52"/>
      <c r="S9" s="12" t="str">
        <f>IF(ISBLANK(Q9), IncompleteText, OKText)</f>
        <v>OK</v>
      </c>
      <c r="T9" s="82" t="s">
        <v>296</v>
      </c>
      <c r="U9" s="82"/>
      <c r="V9" s="83"/>
      <c r="W9" s="79" t="s">
        <v>297</v>
      </c>
      <c r="X9" s="81"/>
      <c r="Y9" s="12" t="str">
        <f>IF(ISBLANK(W9), IncompleteText, OKText)</f>
        <v>OK</v>
      </c>
      <c r="Z9" s="82" t="s">
        <v>298</v>
      </c>
      <c r="AA9" s="82"/>
      <c r="AB9" s="82"/>
      <c r="AC9" s="83"/>
      <c r="AD9" s="52" t="s">
        <v>299</v>
      </c>
      <c r="AE9" s="52"/>
      <c r="AF9" s="12" t="str">
        <f>IF(ISBLANK(AD9), IncompleteText, OKText)</f>
        <v>OK</v>
      </c>
      <c r="AG9" s="103" t="s">
        <v>300</v>
      </c>
      <c r="AH9" s="103"/>
      <c r="AI9" s="103"/>
      <c r="AJ9" s="103"/>
      <c r="AK9" s="103"/>
      <c r="AL9" s="103"/>
      <c r="AM9" s="103"/>
    </row>
    <row r="10" spans="1:39" ht="13.7" customHeight="1" x14ac:dyDescent="0.35">
      <c r="A10" s="71" t="s">
        <v>301</v>
      </c>
      <c r="B10" s="77" t="s">
        <v>302</v>
      </c>
      <c r="C10" s="77" t="s">
        <v>303</v>
      </c>
      <c r="D10" s="17"/>
      <c r="E10" s="17"/>
      <c r="F10" s="77" t="s">
        <v>304</v>
      </c>
      <c r="G10" s="125" t="s">
        <v>305</v>
      </c>
      <c r="H10" s="71" t="s">
        <v>306</v>
      </c>
      <c r="I10" s="71"/>
      <c r="J10" s="77" t="s">
        <v>307</v>
      </c>
      <c r="K10" s="77"/>
      <c r="L10"/>
      <c r="M10" s="82" t="s">
        <v>308</v>
      </c>
      <c r="N10" s="82"/>
      <c r="O10" s="82"/>
      <c r="P10" s="83"/>
      <c r="Q10" s="52" t="s">
        <v>309</v>
      </c>
      <c r="R10" s="52"/>
      <c r="S10" s="12" t="str">
        <f>IF(ISBLANK(Q10), IncompleteText, OKText)</f>
        <v>OK</v>
      </c>
      <c r="T10" s="82" t="s">
        <v>310</v>
      </c>
      <c r="U10" s="82"/>
      <c r="V10" s="83"/>
      <c r="W10" s="1">
        <f ca="1">VLOOKUP(W9, ConnectorsTable, 5, FALSE)</f>
        <v>320</v>
      </c>
      <c r="X10" t="s">
        <v>19</v>
      </c>
      <c r="Y10" s="12" t="str">
        <f ca="1">IF(ISERROR(W10),IncompleteText,IF(G3="Series",IF(W10&gt;=W20,OKText,ErrorText),IF(G3="Parallel",IF(W10&gt;=W12,OKText,ErrorText),IncompleteText)))</f>
        <v>OK</v>
      </c>
      <c r="Z10" s="82" t="s">
        <v>311</v>
      </c>
      <c r="AA10" s="82"/>
      <c r="AB10" s="82"/>
      <c r="AC10" s="83"/>
      <c r="AD10" s="1">
        <f ca="1">VLOOKUP(AD9, InsulationsTable, 6, FALSE)</f>
        <v>31500</v>
      </c>
      <c r="AE10" s="27" t="s">
        <v>17</v>
      </c>
      <c r="AF10" s="12" t="str">
        <f ca="1">IF(ISERROR(AD10), IncompleteText, IF(AD10 &lt; MaxTSVoltage,  ErrorText, OKText))</f>
        <v>OK</v>
      </c>
      <c r="AG10" s="103"/>
      <c r="AH10" s="103"/>
      <c r="AI10" s="103"/>
      <c r="AJ10" s="103"/>
      <c r="AK10" s="103"/>
      <c r="AL10" s="103"/>
      <c r="AM10" s="103"/>
    </row>
    <row r="11" spans="1:39" x14ac:dyDescent="0.35">
      <c r="A11" s="71"/>
      <c r="B11" s="77"/>
      <c r="C11" s="77"/>
      <c r="D11" s="17"/>
      <c r="E11" s="17"/>
      <c r="F11" s="77"/>
      <c r="G11" s="125"/>
      <c r="H11" s="71"/>
      <c r="I11" s="71"/>
      <c r="J11" s="77"/>
      <c r="K11" s="77"/>
      <c r="L11"/>
      <c r="M11" s="26" t="s">
        <v>32</v>
      </c>
      <c r="N11" s="52" t="s">
        <v>312</v>
      </c>
      <c r="O11" s="52"/>
      <c r="P11" s="26" t="s">
        <v>34</v>
      </c>
      <c r="Q11" s="52" t="s">
        <v>313</v>
      </c>
      <c r="R11" s="52"/>
      <c r="S11" s="12" t="str">
        <f>IF(Q10="Purchased", IF(OR(ISBLANK(N11), ISBLANK(Q11)), IncompleteText, OKText), "")</f>
        <v>OK</v>
      </c>
      <c r="T11" s="82" t="s">
        <v>314</v>
      </c>
      <c r="U11" s="82"/>
      <c r="V11" s="83"/>
      <c r="W11" s="79"/>
      <c r="X11" s="81"/>
      <c r="Y11" s="12" t="str">
        <f>IF(G3="Series","",IF(ISBLANK(W11), IncompleteText, OKText))</f>
        <v/>
      </c>
      <c r="Z11" s="82" t="s">
        <v>315</v>
      </c>
      <c r="AA11" s="82"/>
      <c r="AB11" s="82"/>
      <c r="AC11" s="83"/>
      <c r="AD11" s="1">
        <f ca="1">VLOOKUP(AD9, InsulationsTable, 7, FALSE)</f>
        <v>130</v>
      </c>
      <c r="AE11" s="27" t="s">
        <v>51</v>
      </c>
      <c r="AF11" s="12" t="str">
        <f ca="1">IF(ISERROR(AD11), IncompleteText, IF(AD11 &lt; 90,  ErrorText, OKText))</f>
        <v>OK</v>
      </c>
      <c r="AG11" s="103"/>
      <c r="AH11" s="103"/>
      <c r="AI11" s="103"/>
      <c r="AJ11" s="103"/>
      <c r="AK11" s="103"/>
      <c r="AL11" s="103"/>
      <c r="AM11" s="103"/>
    </row>
    <row r="12" spans="1:39" x14ac:dyDescent="0.35">
      <c r="A12">
        <v>1</v>
      </c>
      <c r="B12" s="3">
        <v>6</v>
      </c>
      <c r="C12" s="3">
        <v>12</v>
      </c>
      <c r="D12" s="37"/>
      <c r="E12" s="37"/>
      <c r="F12" s="3">
        <v>20</v>
      </c>
      <c r="G12" s="3">
        <v>1</v>
      </c>
      <c r="H12" s="99">
        <f t="shared" ref="H12:H29" si="0">C12*BattCellMaxV</f>
        <v>50.400000000000006</v>
      </c>
      <c r="I12" s="99"/>
      <c r="J12" s="99">
        <f t="shared" ref="J12:J29" si="1">H12*B12*BattCellCapacity*0.0036</f>
        <v>3.3747840000000005</v>
      </c>
      <c r="K12" s="99"/>
      <c r="L12" s="12" t="str">
        <f>IF(COUNTBLANK(B12:C12)+COUNTBLANK(F12:G12) &gt; 0, IncompleteText, IF(OR(H12&gt;120, J12&gt;6), ErrorText, OKText))</f>
        <v>OK</v>
      </c>
      <c r="M12" s="82" t="s">
        <v>316</v>
      </c>
      <c r="N12" s="82"/>
      <c r="O12" s="82"/>
      <c r="P12" s="83"/>
      <c r="Q12" s="3">
        <v>1500</v>
      </c>
      <c r="R12" t="s">
        <v>17</v>
      </c>
      <c r="S12" s="12" t="str">
        <f>IF(ISBLANK(Q12), IncompleteText, IF(Q12&lt;G4, ErrorText, OKText))</f>
        <v>OK</v>
      </c>
      <c r="T12" s="82" t="s">
        <v>317</v>
      </c>
      <c r="U12" s="82"/>
      <c r="V12" s="83"/>
      <c r="W12" s="1" t="e">
        <f ca="1">VLOOKUP(W11, FusesTable, 6, FALSE)</f>
        <v>#N/A</v>
      </c>
      <c r="X12" t="s">
        <v>19</v>
      </c>
      <c r="Y12"/>
      <c r="Z12" s="82" t="s">
        <v>220</v>
      </c>
      <c r="AA12" s="82"/>
      <c r="AB12" s="82"/>
      <c r="AC12" s="83"/>
      <c r="AD12" s="94" t="str">
        <f ca="1">VLOOKUP(AD9, InsulationsTable, 8, FALSE)</f>
        <v>UL94 V-0</v>
      </c>
      <c r="AE12" s="95"/>
      <c r="AF12"/>
      <c r="AG12" s="103"/>
      <c r="AH12" s="103"/>
      <c r="AI12" s="103"/>
      <c r="AJ12" s="103"/>
      <c r="AK12" s="103"/>
      <c r="AL12" s="103"/>
      <c r="AM12" s="103"/>
    </row>
    <row r="13" spans="1:39" x14ac:dyDescent="0.35">
      <c r="A13">
        <v>2</v>
      </c>
      <c r="B13" s="3">
        <v>6</v>
      </c>
      <c r="C13" s="3">
        <v>12</v>
      </c>
      <c r="D13" s="37"/>
      <c r="E13" s="37"/>
      <c r="F13" s="3">
        <v>20</v>
      </c>
      <c r="G13" s="3">
        <v>1</v>
      </c>
      <c r="H13" s="99">
        <f t="shared" si="0"/>
        <v>50.400000000000006</v>
      </c>
      <c r="I13" s="99"/>
      <c r="J13" s="99">
        <f t="shared" si="1"/>
        <v>3.3747840000000005</v>
      </c>
      <c r="K13" s="99"/>
      <c r="L13" s="12" t="str">
        <f t="shared" ref="L13:L29" si="2">IF(COUNTBLANK(B13:C13)+COUNTBLANK(F13:G13)=4,"",IF(COUNTBLANK(B13:C13)+COUNTBLANK(F13:G13) &gt; 0, IncompleteText, IF(OR(H13&gt;120, J13&gt;6), ErrorText, OKText)))</f>
        <v>OK</v>
      </c>
      <c r="M13" s="82" t="s">
        <v>318</v>
      </c>
      <c r="N13" s="82"/>
      <c r="O13" s="82"/>
      <c r="P13" s="83"/>
      <c r="Q13" s="3">
        <v>2500</v>
      </c>
      <c r="R13" t="s">
        <v>17</v>
      </c>
      <c r="S13" s="12" t="str">
        <f>IF(ISBLANK(Q13), IncompleteText, IF(Q13&lt;MAX(H12:I29), ErrorText, OKText))</f>
        <v>OK</v>
      </c>
      <c r="T13" s="53" t="s">
        <v>319</v>
      </c>
      <c r="U13" s="53"/>
      <c r="V13" s="53"/>
      <c r="W13" s="53"/>
      <c r="X13" s="53"/>
      <c r="Y13"/>
      <c r="Z13" s="82" t="s">
        <v>320</v>
      </c>
      <c r="AA13" s="82"/>
      <c r="AB13" s="82"/>
      <c r="AC13" s="83"/>
      <c r="AD13" s="52" t="s">
        <v>321</v>
      </c>
      <c r="AE13" s="52"/>
      <c r="AF13" s="12" t="str">
        <f>IF(ISBLANK(AD13), IncompleteText, OKText)</f>
        <v>OK</v>
      </c>
      <c r="AG13" s="103"/>
      <c r="AH13" s="103"/>
      <c r="AI13" s="103"/>
      <c r="AJ13" s="103"/>
      <c r="AK13" s="103"/>
      <c r="AL13" s="103"/>
      <c r="AM13" s="103"/>
    </row>
    <row r="14" spans="1:39" x14ac:dyDescent="0.35">
      <c r="A14">
        <v>3</v>
      </c>
      <c r="B14" s="3">
        <v>6</v>
      </c>
      <c r="C14" s="3">
        <v>12</v>
      </c>
      <c r="D14" s="37"/>
      <c r="E14" s="37"/>
      <c r="F14" s="3">
        <v>20</v>
      </c>
      <c r="G14" s="3">
        <v>1</v>
      </c>
      <c r="H14" s="99">
        <f t="shared" si="0"/>
        <v>50.400000000000006</v>
      </c>
      <c r="I14" s="99"/>
      <c r="J14" s="99">
        <f t="shared" si="1"/>
        <v>3.3747840000000005</v>
      </c>
      <c r="K14" s="99"/>
      <c r="L14" s="12" t="str">
        <f t="shared" si="2"/>
        <v>OK</v>
      </c>
      <c r="M14" s="82" t="s">
        <v>322</v>
      </c>
      <c r="N14" s="82"/>
      <c r="O14" s="82"/>
      <c r="P14" s="83"/>
      <c r="Q14" s="97"/>
      <c r="R14" s="97"/>
      <c r="S14" s="12" t="str">
        <f>IF($Q$10="Team Built", IF(ISBLANK(Q14), IncompleteText, OKText), "")</f>
        <v/>
      </c>
      <c r="T14" s="82" t="s">
        <v>323</v>
      </c>
      <c r="U14" s="82"/>
      <c r="V14" s="83"/>
      <c r="W14" s="79" t="s">
        <v>324</v>
      </c>
      <c r="X14" s="81"/>
      <c r="Y14" s="12" t="str">
        <f>IF(ISBLANK(W14), IncompleteText, OKText)</f>
        <v>OK</v>
      </c>
      <c r="Z14" s="82" t="s">
        <v>311</v>
      </c>
      <c r="AA14" s="82"/>
      <c r="AB14" s="82"/>
      <c r="AC14" s="83"/>
      <c r="AD14" s="1">
        <f ca="1">VLOOKUP(AD13, InsulationsTable, 6, FALSE)</f>
        <v>40000</v>
      </c>
      <c r="AE14" s="27" t="s">
        <v>17</v>
      </c>
      <c r="AF14" s="12" t="str">
        <f ca="1">IF(ISERROR(AD14), IncompleteText, IF(AD14 &lt; MaxTSVoltage,  ErrorText, OKText))</f>
        <v>OK</v>
      </c>
      <c r="AG14" s="103"/>
      <c r="AH14" s="103"/>
      <c r="AI14" s="103"/>
      <c r="AJ14" s="103"/>
      <c r="AK14" s="103"/>
      <c r="AL14" s="103"/>
      <c r="AM14" s="103"/>
    </row>
    <row r="15" spans="1:39" x14ac:dyDescent="0.35">
      <c r="A15">
        <v>4</v>
      </c>
      <c r="B15" s="3">
        <v>6</v>
      </c>
      <c r="C15" s="3">
        <v>12</v>
      </c>
      <c r="D15" s="37"/>
      <c r="E15" s="37"/>
      <c r="F15" s="3">
        <v>20</v>
      </c>
      <c r="G15" s="3">
        <v>1</v>
      </c>
      <c r="H15" s="99">
        <f t="shared" si="0"/>
        <v>50.400000000000006</v>
      </c>
      <c r="I15" s="99"/>
      <c r="J15" s="99">
        <f t="shared" si="1"/>
        <v>3.3747840000000005</v>
      </c>
      <c r="K15" s="99"/>
      <c r="L15" s="12" t="str">
        <f t="shared" si="2"/>
        <v>OK</v>
      </c>
      <c r="M15" s="82" t="s">
        <v>325</v>
      </c>
      <c r="N15" s="82"/>
      <c r="O15" s="82"/>
      <c r="P15" s="83"/>
      <c r="Q15" s="52"/>
      <c r="R15" s="52"/>
      <c r="S15" s="12" t="str">
        <f>IF($Q$10="Team Built", IF(ISBLANK(Q15), IncompleteText, OKText), "")</f>
        <v/>
      </c>
      <c r="T15" s="82" t="s">
        <v>326</v>
      </c>
      <c r="U15" s="82"/>
      <c r="V15" s="83"/>
      <c r="W15" s="1">
        <f ca="1">VLOOKUP(W14, ContactorsTable, 4, FALSE)</f>
        <v>800</v>
      </c>
      <c r="X15" t="s">
        <v>17</v>
      </c>
      <c r="Y15" s="12" t="str">
        <f ca="1">IF(ISERROR(W15), IncompleteText, IF(W15 &lt; MaxTSVoltage,  ErrorText, OKText))</f>
        <v>OK</v>
      </c>
      <c r="Z15" s="82" t="s">
        <v>315</v>
      </c>
      <c r="AA15" s="82"/>
      <c r="AB15" s="82"/>
      <c r="AC15" s="83"/>
      <c r="AD15" s="1">
        <f ca="1">VLOOKUP(AD13, InsulationsTable, 7, FALSE)</f>
        <v>170</v>
      </c>
      <c r="AE15" s="27" t="s">
        <v>51</v>
      </c>
      <c r="AF15" s="12" t="str">
        <f ca="1">IF(ISERROR(AD15), IncompleteText, IF(AD15 &lt; 90,  ErrorText, OKText))</f>
        <v>OK</v>
      </c>
      <c r="AG15" s="103"/>
      <c r="AH15" s="103"/>
      <c r="AI15" s="103"/>
      <c r="AJ15" s="103"/>
      <c r="AK15" s="103"/>
      <c r="AL15" s="103"/>
      <c r="AM15" s="103"/>
    </row>
    <row r="16" spans="1:39" x14ac:dyDescent="0.35">
      <c r="A16">
        <v>5</v>
      </c>
      <c r="B16" s="3">
        <v>6</v>
      </c>
      <c r="C16" s="3">
        <v>12</v>
      </c>
      <c r="D16" s="37"/>
      <c r="E16" s="37"/>
      <c r="F16" s="3">
        <v>20</v>
      </c>
      <c r="G16" s="3">
        <v>1</v>
      </c>
      <c r="H16" s="99">
        <f t="shared" si="0"/>
        <v>50.400000000000006</v>
      </c>
      <c r="I16" s="99"/>
      <c r="J16" s="99">
        <f t="shared" si="1"/>
        <v>3.3747840000000005</v>
      </c>
      <c r="K16" s="99"/>
      <c r="L16" s="12" t="str">
        <f t="shared" si="2"/>
        <v>OK</v>
      </c>
      <c r="M16" s="96" t="s">
        <v>327</v>
      </c>
      <c r="N16" s="96"/>
      <c r="O16" s="96"/>
      <c r="P16" s="96"/>
      <c r="Q16" s="96"/>
      <c r="R16" s="96"/>
      <c r="S16"/>
      <c r="T16" s="82" t="s">
        <v>328</v>
      </c>
      <c r="U16" s="82"/>
      <c r="V16" s="83"/>
      <c r="W16" s="1">
        <f ca="1">VLOOKUP(W14, ContactorsTable, 6, FALSE)</f>
        <v>500</v>
      </c>
      <c r="X16" t="s">
        <v>19</v>
      </c>
      <c r="Y16"/>
      <c r="Z16" s="82" t="s">
        <v>220</v>
      </c>
      <c r="AA16" s="82"/>
      <c r="AB16" s="82"/>
      <c r="AC16" s="83"/>
      <c r="AD16" s="94" t="str">
        <f ca="1">VLOOKUP(AD13, InsulationsTable, 8, FALSE)</f>
        <v>UL94 V-1</v>
      </c>
      <c r="AE16" s="95"/>
      <c r="AF16"/>
      <c r="AG16" s="103"/>
      <c r="AH16" s="103"/>
      <c r="AI16" s="103"/>
      <c r="AJ16" s="103"/>
      <c r="AK16" s="103"/>
      <c r="AL16" s="103"/>
      <c r="AM16" s="103"/>
    </row>
    <row r="17" spans="1:39" x14ac:dyDescent="0.35">
      <c r="A17">
        <v>6</v>
      </c>
      <c r="B17" s="3">
        <v>6</v>
      </c>
      <c r="C17" s="3">
        <v>12</v>
      </c>
      <c r="D17" s="37"/>
      <c r="E17" s="37"/>
      <c r="F17" s="3">
        <v>20</v>
      </c>
      <c r="G17" s="3">
        <v>1</v>
      </c>
      <c r="H17" s="99">
        <f t="shared" si="0"/>
        <v>50.400000000000006</v>
      </c>
      <c r="I17" s="99"/>
      <c r="J17" s="99">
        <f t="shared" si="1"/>
        <v>3.3747840000000005</v>
      </c>
      <c r="K17" s="99"/>
      <c r="L17" s="12" t="str">
        <f t="shared" si="2"/>
        <v>OK</v>
      </c>
      <c r="M17" s="82" t="s">
        <v>329</v>
      </c>
      <c r="N17" s="82"/>
      <c r="O17" s="82"/>
      <c r="P17" s="83"/>
      <c r="Q17" s="3">
        <v>16</v>
      </c>
      <c r="R17" t="s">
        <v>330</v>
      </c>
      <c r="S17" s="12" t="str">
        <f>IF(ISBLANK(Q17), IncompleteText, IF(Q17&gt;150,  ErrorText, OKText))</f>
        <v>OK</v>
      </c>
      <c r="T17" s="82" t="s">
        <v>47</v>
      </c>
      <c r="U17" s="82"/>
      <c r="V17" s="83"/>
      <c r="W17" s="1">
        <f ca="1">VLOOKUP(W14, ContactorsTable, 5, FALSE)</f>
        <v>225</v>
      </c>
      <c r="X17" t="s">
        <v>19</v>
      </c>
      <c r="Y17" s="12" t="str">
        <f ca="1">IF(ISERROR(W17), IncompleteText, IF(W17&gt;=W20, OKText, ErrorText))</f>
        <v>OK</v>
      </c>
      <c r="Z17" s="82" t="s">
        <v>331</v>
      </c>
      <c r="AA17" s="82"/>
      <c r="AB17" s="82"/>
      <c r="AC17" s="83"/>
      <c r="AD17" s="78" t="s">
        <v>332</v>
      </c>
      <c r="AE17" s="75"/>
      <c r="AF17" s="12" t="str">
        <f>IF(ISBLANK(AD17), IncompleteText, OKText)</f>
        <v>OK</v>
      </c>
      <c r="AG17" s="103"/>
      <c r="AH17" s="103"/>
      <c r="AI17" s="103"/>
      <c r="AJ17" s="103"/>
      <c r="AK17" s="103"/>
      <c r="AL17" s="103"/>
      <c r="AM17" s="103"/>
    </row>
    <row r="18" spans="1:39" x14ac:dyDescent="0.35">
      <c r="A18">
        <v>7</v>
      </c>
      <c r="B18" s="3">
        <v>6</v>
      </c>
      <c r="C18" s="3">
        <v>12</v>
      </c>
      <c r="D18" s="37"/>
      <c r="E18" s="37"/>
      <c r="F18" s="3">
        <v>20</v>
      </c>
      <c r="G18" s="3">
        <v>1</v>
      </c>
      <c r="H18" s="99">
        <f t="shared" si="0"/>
        <v>50.400000000000006</v>
      </c>
      <c r="I18" s="99"/>
      <c r="J18" s="99">
        <f t="shared" si="1"/>
        <v>3.3747840000000005</v>
      </c>
      <c r="K18" s="99"/>
      <c r="L18" s="12" t="str">
        <f t="shared" si="2"/>
        <v>OK</v>
      </c>
      <c r="M18" s="107" t="s">
        <v>333</v>
      </c>
      <c r="N18" s="107"/>
      <c r="O18" s="107"/>
      <c r="P18" s="108"/>
      <c r="Q18" s="52" t="s">
        <v>334</v>
      </c>
      <c r="R18" s="52"/>
      <c r="S18" s="12" t="str">
        <f>IF(ISBLANK(Q18), IncompleteText, OKText)</f>
        <v>OK</v>
      </c>
      <c r="T18" s="53" t="s">
        <v>335</v>
      </c>
      <c r="U18" s="53"/>
      <c r="V18" s="53"/>
      <c r="W18" s="53"/>
      <c r="X18" s="53"/>
      <c r="Y18"/>
      <c r="Z18" s="82" t="s">
        <v>311</v>
      </c>
      <c r="AA18" s="82"/>
      <c r="AB18" s="82"/>
      <c r="AC18" s="83"/>
      <c r="AD18" s="1">
        <f ca="1">VLOOKUP(AD17, InsulationsTable, 6, FALSE)</f>
        <v>240000</v>
      </c>
      <c r="AE18" s="27" t="s">
        <v>17</v>
      </c>
      <c r="AF18" s="12" t="str">
        <f ca="1">IF(ISERROR(AD18), IncompleteText, IF(AD18 &lt; MaxTSVoltage,  ErrorText, OKText))</f>
        <v>OK</v>
      </c>
      <c r="AG18" s="103"/>
      <c r="AH18" s="103"/>
      <c r="AI18" s="103"/>
      <c r="AJ18" s="103"/>
      <c r="AK18" s="103"/>
      <c r="AL18" s="103"/>
      <c r="AM18" s="103"/>
    </row>
    <row r="19" spans="1:39" x14ac:dyDescent="0.35">
      <c r="A19">
        <v>8</v>
      </c>
      <c r="B19" s="3">
        <v>6</v>
      </c>
      <c r="C19" s="3">
        <v>12</v>
      </c>
      <c r="D19" s="37"/>
      <c r="E19" s="37"/>
      <c r="F19" s="3">
        <v>20</v>
      </c>
      <c r="G19" s="3">
        <v>1</v>
      </c>
      <c r="H19" s="99">
        <f t="shared" si="0"/>
        <v>50.400000000000006</v>
      </c>
      <c r="I19" s="99"/>
      <c r="J19" s="99">
        <f t="shared" si="1"/>
        <v>3.3747840000000005</v>
      </c>
      <c r="K19" s="99"/>
      <c r="L19" s="12" t="str">
        <f t="shared" si="2"/>
        <v>OK</v>
      </c>
      <c r="M19" s="82" t="s">
        <v>336</v>
      </c>
      <c r="N19" s="82"/>
      <c r="O19" s="82"/>
      <c r="P19" s="83"/>
      <c r="Q19" s="52" t="s">
        <v>10</v>
      </c>
      <c r="R19" s="52"/>
      <c r="S19" s="12" t="str">
        <f>IF(ISBLANK(Q19), IncompleteText, OKText)</f>
        <v>OK</v>
      </c>
      <c r="T19" s="82" t="s">
        <v>335</v>
      </c>
      <c r="U19" s="82"/>
      <c r="V19" s="83"/>
      <c r="W19" s="79" t="s">
        <v>337</v>
      </c>
      <c r="X19" s="81"/>
      <c r="Y19" s="12" t="str">
        <f>IF(ISBLANK(W19), IncompleteText, OKText)</f>
        <v>OK</v>
      </c>
      <c r="Z19" s="82" t="s">
        <v>315</v>
      </c>
      <c r="AA19" s="82"/>
      <c r="AB19" s="82"/>
      <c r="AC19" s="83"/>
      <c r="AD19" s="1">
        <f ca="1">VLOOKUP(AD17, InsulationsTable, 7, FALSE)</f>
        <v>340</v>
      </c>
      <c r="AE19" s="27" t="s">
        <v>51</v>
      </c>
      <c r="AF19" s="12" t="str">
        <f ca="1">IF(ISERROR(AD19), IncompleteText, IF(AD19 &lt; 90,  ErrorText, OKText))</f>
        <v>OK</v>
      </c>
      <c r="AG19" s="103"/>
      <c r="AH19" s="103"/>
      <c r="AI19" s="103"/>
      <c r="AJ19" s="103"/>
      <c r="AK19" s="103"/>
      <c r="AL19" s="103"/>
      <c r="AM19" s="103"/>
    </row>
    <row r="20" spans="1:39" x14ac:dyDescent="0.35">
      <c r="A20">
        <v>9</v>
      </c>
      <c r="B20" s="3">
        <v>6</v>
      </c>
      <c r="C20" s="3">
        <v>12</v>
      </c>
      <c r="D20" s="37"/>
      <c r="E20" s="37"/>
      <c r="F20" s="3">
        <v>20</v>
      </c>
      <c r="G20" s="3">
        <v>1</v>
      </c>
      <c r="H20" s="99">
        <f t="shared" si="0"/>
        <v>50.400000000000006</v>
      </c>
      <c r="I20" s="99"/>
      <c r="J20" s="99">
        <f t="shared" si="1"/>
        <v>3.3747840000000005</v>
      </c>
      <c r="K20" s="99"/>
      <c r="L20" s="12" t="str">
        <f t="shared" si="2"/>
        <v>OK</v>
      </c>
      <c r="M20" s="82" t="s">
        <v>338</v>
      </c>
      <c r="N20" s="82"/>
      <c r="O20" s="82"/>
      <c r="P20" s="83"/>
      <c r="Q20" s="98" t="s">
        <v>339</v>
      </c>
      <c r="R20" s="73"/>
      <c r="S20" s="12" t="str">
        <f>IF(Q19="Other", IF(ISBLANK(Q20), IncompleteText, OKText), "")</f>
        <v>OK</v>
      </c>
      <c r="T20" s="82" t="s">
        <v>340</v>
      </c>
      <c r="U20" s="82"/>
      <c r="V20" s="83"/>
      <c r="W20" s="1">
        <f ca="1">VLOOKUP(W19, FusesTable, 6, FALSE)</f>
        <v>100</v>
      </c>
      <c r="X20" t="s">
        <v>19</v>
      </c>
      <c r="Y20"/>
      <c r="Z20" s="82" t="s">
        <v>220</v>
      </c>
      <c r="AA20" s="82"/>
      <c r="AB20" s="82"/>
      <c r="AC20" s="83"/>
      <c r="AD20" s="94" t="str">
        <f ca="1">VLOOKUP(AD17, InsulationsTable, 8, FALSE)</f>
        <v>UL94 V-0</v>
      </c>
      <c r="AE20" s="95"/>
      <c r="AF20"/>
      <c r="AG20" s="103"/>
      <c r="AH20" s="103"/>
      <c r="AI20" s="103"/>
      <c r="AJ20" s="103"/>
      <c r="AK20" s="103"/>
      <c r="AL20" s="103"/>
      <c r="AM20" s="103"/>
    </row>
    <row r="21" spans="1:39" x14ac:dyDescent="0.35">
      <c r="A21">
        <v>10</v>
      </c>
      <c r="B21" s="3"/>
      <c r="C21" s="3"/>
      <c r="D21" s="37"/>
      <c r="E21" s="37"/>
      <c r="F21" s="3"/>
      <c r="G21" s="3"/>
      <c r="H21" s="99">
        <f t="shared" si="0"/>
        <v>0</v>
      </c>
      <c r="I21" s="99"/>
      <c r="J21" s="99">
        <f t="shared" si="1"/>
        <v>0</v>
      </c>
      <c r="K21" s="99"/>
      <c r="L21" s="12" t="str">
        <f t="shared" si="2"/>
        <v/>
      </c>
      <c r="M21" s="82" t="s">
        <v>341</v>
      </c>
      <c r="N21" s="82"/>
      <c r="O21" s="82"/>
      <c r="P21" s="82"/>
      <c r="Q21" s="34">
        <f ca="1">VLOOKUP(Q18, FusesTable, 4, FALSE)</f>
        <v>63</v>
      </c>
      <c r="R21" t="s">
        <v>17</v>
      </c>
      <c r="S21" s="12" t="str">
        <f ca="1">IF(ISERROR(Q21), IncompleteText, IF(AND(Q21 &lt; MAX(H12:I29), Q9 = "Centralized"),  ErrorText, OKText))</f>
        <v>OK</v>
      </c>
      <c r="T21" s="82" t="s">
        <v>342</v>
      </c>
      <c r="U21" s="82"/>
      <c r="V21" s="83"/>
      <c r="W21" s="1">
        <f ca="1">VLOOKUP(W19, FusesTable, 4, FALSE)</f>
        <v>500</v>
      </c>
      <c r="X21" t="s">
        <v>17</v>
      </c>
      <c r="Y21" s="12" t="str">
        <f ca="1">IF(ISERROR(W21), IncompleteText,IF(W21 &lt; MaxTSVoltage, ErrorText, OKText))</f>
        <v>OK</v>
      </c>
      <c r="AG21" s="103"/>
      <c r="AH21" s="103"/>
      <c r="AI21" s="103"/>
      <c r="AJ21" s="103"/>
      <c r="AK21" s="103"/>
      <c r="AL21" s="103"/>
      <c r="AM21" s="103"/>
    </row>
    <row r="22" spans="1:39" x14ac:dyDescent="0.35">
      <c r="A22">
        <v>11</v>
      </c>
      <c r="B22" s="3"/>
      <c r="C22" s="3"/>
      <c r="D22" s="37"/>
      <c r="E22" s="37"/>
      <c r="F22" s="3"/>
      <c r="G22" s="3"/>
      <c r="H22" s="99">
        <f t="shared" si="0"/>
        <v>0</v>
      </c>
      <c r="I22" s="99"/>
      <c r="J22" s="99">
        <f t="shared" si="1"/>
        <v>0</v>
      </c>
      <c r="K22" s="99"/>
      <c r="L22" s="12" t="str">
        <f t="shared" si="2"/>
        <v/>
      </c>
      <c r="M22" s="96" t="s">
        <v>343</v>
      </c>
      <c r="N22" s="96"/>
      <c r="O22" s="96"/>
      <c r="P22" s="96"/>
      <c r="Q22" s="96"/>
      <c r="R22" s="96"/>
      <c r="S22"/>
      <c r="T22" s="53" t="s">
        <v>214</v>
      </c>
      <c r="U22" s="53"/>
      <c r="V22" s="53"/>
      <c r="W22" s="53"/>
      <c r="X22" s="53"/>
      <c r="Y22"/>
      <c r="AG22" s="103"/>
      <c r="AH22" s="103"/>
      <c r="AI22" s="103"/>
      <c r="AJ22" s="103"/>
      <c r="AK22" s="103"/>
      <c r="AL22" s="103"/>
      <c r="AM22" s="103"/>
    </row>
    <row r="23" spans="1:39" x14ac:dyDescent="0.35">
      <c r="A23">
        <v>12</v>
      </c>
      <c r="B23" s="3"/>
      <c r="C23" s="3"/>
      <c r="D23" s="37"/>
      <c r="E23" s="37"/>
      <c r="F23" s="3"/>
      <c r="G23" s="3"/>
      <c r="H23" s="99">
        <f t="shared" si="0"/>
        <v>0</v>
      </c>
      <c r="I23" s="99"/>
      <c r="J23" s="99">
        <f t="shared" si="1"/>
        <v>0</v>
      </c>
      <c r="K23" s="99"/>
      <c r="L23" s="12" t="str">
        <f t="shared" si="2"/>
        <v/>
      </c>
      <c r="M23" s="82" t="s">
        <v>344</v>
      </c>
      <c r="N23" s="82"/>
      <c r="O23" s="82"/>
      <c r="P23" s="83"/>
      <c r="Q23" s="79" t="s">
        <v>345</v>
      </c>
      <c r="R23" s="81"/>
      <c r="S23" s="12" t="str">
        <f>IF(ISBLANK(Q23), IncompleteText, OKText)</f>
        <v>OK</v>
      </c>
      <c r="T23" s="82" t="s">
        <v>214</v>
      </c>
      <c r="U23" s="82"/>
      <c r="V23" s="83"/>
      <c r="W23" s="79" t="s">
        <v>346</v>
      </c>
      <c r="X23" s="81"/>
      <c r="Y23" s="12" t="str">
        <f>IF(ISBLANK(W23), IncompleteText, OKText)</f>
        <v>OK</v>
      </c>
      <c r="AG23" s="103"/>
      <c r="AH23" s="103"/>
      <c r="AI23" s="103"/>
      <c r="AJ23" s="103"/>
      <c r="AK23" s="103"/>
      <c r="AL23" s="103"/>
      <c r="AM23" s="103"/>
    </row>
    <row r="24" spans="1:39" x14ac:dyDescent="0.35">
      <c r="A24">
        <v>13</v>
      </c>
      <c r="B24" s="3"/>
      <c r="C24" s="3"/>
      <c r="D24" s="37"/>
      <c r="E24" s="37"/>
      <c r="F24" s="3"/>
      <c r="G24" s="3"/>
      <c r="H24" s="99">
        <f t="shared" si="0"/>
        <v>0</v>
      </c>
      <c r="I24" s="99"/>
      <c r="J24" s="99">
        <f t="shared" si="1"/>
        <v>0</v>
      </c>
      <c r="K24" s="99"/>
      <c r="L24" s="12" t="str">
        <f t="shared" si="2"/>
        <v/>
      </c>
      <c r="M24" s="82" t="s">
        <v>347</v>
      </c>
      <c r="N24" s="82"/>
      <c r="O24" s="82"/>
      <c r="P24" s="83"/>
      <c r="Q24" s="3">
        <v>8</v>
      </c>
      <c r="R24" t="s">
        <v>330</v>
      </c>
      <c r="S24" s="12" t="str">
        <f>IF(Q23="On cell terminal","",IF(ISBLANK(Q24),IncompleteText,IF(Q24&lt;10,OKText,ErrorText)))</f>
        <v/>
      </c>
      <c r="T24" s="82" t="s">
        <v>310</v>
      </c>
      <c r="U24" s="82"/>
      <c r="V24" s="83"/>
      <c r="W24" s="1">
        <f ca="1">VLOOKUP(W23, ConnectorsTable, 5, FALSE)</f>
        <v>200</v>
      </c>
      <c r="X24" t="s">
        <v>19</v>
      </c>
      <c r="Y24" s="12" t="str">
        <f ca="1">IF(ISERROR(W24), IncompleteText, IF(W24 &lt; W20,  ErrorText, OKText))</f>
        <v>OK</v>
      </c>
      <c r="AG24" s="103"/>
      <c r="AH24" s="103"/>
      <c r="AI24" s="103"/>
      <c r="AJ24" s="103"/>
      <c r="AK24" s="103"/>
      <c r="AL24" s="103"/>
      <c r="AM24" s="103"/>
    </row>
    <row r="25" spans="1:39" x14ac:dyDescent="0.35">
      <c r="A25">
        <v>14</v>
      </c>
      <c r="B25" s="3"/>
      <c r="C25" s="3"/>
      <c r="D25" s="37"/>
      <c r="E25" s="37"/>
      <c r="F25" s="3"/>
      <c r="G25" s="3"/>
      <c r="H25" s="99">
        <f t="shared" si="0"/>
        <v>0</v>
      </c>
      <c r="I25" s="99"/>
      <c r="J25" s="99">
        <f t="shared" si="1"/>
        <v>0</v>
      </c>
      <c r="K25" s="99"/>
      <c r="L25" s="12" t="str">
        <f t="shared" si="2"/>
        <v/>
      </c>
      <c r="M25" s="82" t="s">
        <v>348</v>
      </c>
      <c r="N25" s="82"/>
      <c r="O25" s="82"/>
      <c r="P25" s="83"/>
      <c r="Q25" s="3">
        <v>2</v>
      </c>
      <c r="R25" t="s">
        <v>349</v>
      </c>
      <c r="S25" s="12" t="str">
        <f>IF(ISBLANK(Q25), IncompleteText, OKText)</f>
        <v>OK</v>
      </c>
      <c r="AG25" s="103"/>
      <c r="AH25" s="103"/>
      <c r="AI25" s="103"/>
      <c r="AJ25" s="103"/>
      <c r="AK25" s="103"/>
      <c r="AL25" s="103"/>
      <c r="AM25" s="103"/>
    </row>
    <row r="26" spans="1:39" x14ac:dyDescent="0.35">
      <c r="A26">
        <v>15</v>
      </c>
      <c r="B26" s="3"/>
      <c r="C26" s="3"/>
      <c r="D26" s="37"/>
      <c r="E26" s="37"/>
      <c r="F26" s="3"/>
      <c r="G26" s="3"/>
      <c r="H26" s="99">
        <f t="shared" si="0"/>
        <v>0</v>
      </c>
      <c r="I26" s="99"/>
      <c r="J26" s="99">
        <f t="shared" si="1"/>
        <v>0</v>
      </c>
      <c r="K26" s="99"/>
      <c r="L26" s="12" t="str">
        <f t="shared" si="2"/>
        <v/>
      </c>
      <c r="M26" s="82" t="s">
        <v>350</v>
      </c>
      <c r="N26" s="82"/>
      <c r="O26" s="82"/>
      <c r="P26" s="83"/>
      <c r="Q26" s="79"/>
      <c r="R26" s="81"/>
      <c r="S26" s="24"/>
      <c r="AG26" s="103"/>
      <c r="AH26" s="103"/>
      <c r="AI26" s="103"/>
      <c r="AJ26" s="103"/>
      <c r="AK26" s="103"/>
      <c r="AL26" s="103"/>
      <c r="AM26" s="103"/>
    </row>
    <row r="27" spans="1:39" x14ac:dyDescent="0.35">
      <c r="A27">
        <v>16</v>
      </c>
      <c r="B27" s="3"/>
      <c r="C27" s="3"/>
      <c r="D27" s="37"/>
      <c r="E27" s="37"/>
      <c r="F27" s="3"/>
      <c r="G27" s="3"/>
      <c r="H27" s="99">
        <f t="shared" si="0"/>
        <v>0</v>
      </c>
      <c r="I27" s="99"/>
      <c r="J27" s="99">
        <f t="shared" si="1"/>
        <v>0</v>
      </c>
      <c r="K27" s="99"/>
      <c r="L27" s="12" t="str">
        <f t="shared" si="2"/>
        <v/>
      </c>
      <c r="M27" s="82" t="s">
        <v>351</v>
      </c>
      <c r="N27" s="82"/>
      <c r="O27" s="82"/>
      <c r="P27" s="83"/>
      <c r="Q27" s="79"/>
      <c r="R27" s="81"/>
      <c r="S27" s="12" t="str">
        <f>IF(ISBLANK($Q$26), "", IF(ISBLANK(Q27), IncompleteText, OKText))</f>
        <v/>
      </c>
      <c r="AG27" s="103"/>
      <c r="AH27" s="103"/>
      <c r="AI27" s="103"/>
      <c r="AJ27" s="103"/>
      <c r="AK27" s="103"/>
      <c r="AL27" s="103"/>
      <c r="AM27" s="103"/>
    </row>
    <row r="28" spans="1:39" ht="14.25" x14ac:dyDescent="0.45">
      <c r="A28">
        <v>17</v>
      </c>
      <c r="B28" s="3"/>
      <c r="C28" s="3"/>
      <c r="D28" s="37"/>
      <c r="E28" s="37"/>
      <c r="F28" s="3"/>
      <c r="G28" s="3"/>
      <c r="H28" s="99">
        <f t="shared" si="0"/>
        <v>0</v>
      </c>
      <c r="I28" s="99"/>
      <c r="J28" s="99">
        <f t="shared" si="1"/>
        <v>0</v>
      </c>
      <c r="K28" s="99"/>
      <c r="L28" s="12" t="str">
        <f t="shared" si="2"/>
        <v/>
      </c>
      <c r="M28" s="82" t="s">
        <v>352</v>
      </c>
      <c r="N28" s="82"/>
      <c r="O28" s="82"/>
      <c r="P28" s="83"/>
      <c r="Q28" s="3"/>
      <c r="R28" t="s">
        <v>353</v>
      </c>
      <c r="S28" s="12" t="str">
        <f>IF(ISBLANK($Q$26), "", IF(ISBLANK(Q28), IncompleteText, OKText))</f>
        <v/>
      </c>
      <c r="AG28" s="103"/>
      <c r="AH28" s="103"/>
      <c r="AI28" s="103"/>
      <c r="AJ28" s="103"/>
      <c r="AK28" s="103"/>
      <c r="AL28" s="103"/>
      <c r="AM28" s="103"/>
    </row>
    <row r="29" spans="1:39" x14ac:dyDescent="0.35">
      <c r="A29">
        <v>18</v>
      </c>
      <c r="B29" s="3"/>
      <c r="C29" s="3"/>
      <c r="D29" s="37"/>
      <c r="E29" s="37"/>
      <c r="F29" s="3"/>
      <c r="G29" s="3"/>
      <c r="H29" s="99">
        <f t="shared" si="0"/>
        <v>0</v>
      </c>
      <c r="I29" s="99"/>
      <c r="J29" s="99">
        <f t="shared" si="1"/>
        <v>0</v>
      </c>
      <c r="K29" s="99"/>
      <c r="L29" s="12" t="str">
        <f t="shared" si="2"/>
        <v/>
      </c>
      <c r="M29" s="82" t="s">
        <v>354</v>
      </c>
      <c r="N29" s="82"/>
      <c r="O29" s="82"/>
      <c r="P29" s="83"/>
      <c r="Q29" s="3"/>
      <c r="R29" t="s">
        <v>330</v>
      </c>
      <c r="S29" s="12" t="str">
        <f>IF(ISBLANK($Q$26), "", IF(ISBLANK(Q29), IncompleteText, OKText))</f>
        <v/>
      </c>
      <c r="AG29" s="103"/>
      <c r="AH29" s="103"/>
      <c r="AI29" s="103"/>
      <c r="AJ29" s="103"/>
      <c r="AK29" s="103"/>
      <c r="AL29" s="103"/>
      <c r="AM29" s="103"/>
    </row>
    <row r="30" spans="1:39" x14ac:dyDescent="0.35">
      <c r="M30" s="82" t="s">
        <v>355</v>
      </c>
      <c r="N30" s="82"/>
      <c r="O30" s="82"/>
      <c r="P30" s="83"/>
      <c r="Q30" s="4">
        <f>SUMIF(L12:L29, "=OK", F12:F29)*CellsPerTempSensor/TotalCells*100</f>
        <v>55.555555555555557</v>
      </c>
      <c r="R30" t="s">
        <v>356</v>
      </c>
      <c r="S30" s="12" t="str">
        <f>IF(ISERROR(Q30),IncompleteText,IF(Q30&lt;20,ErrorText,OKText))</f>
        <v>OK</v>
      </c>
    </row>
    <row r="33" spans="1:55" x14ac:dyDescent="0.35">
      <c r="A33" s="104" t="s">
        <v>357</v>
      </c>
      <c r="B33" s="104"/>
      <c r="C33" s="104"/>
      <c r="D33" s="104"/>
      <c r="E33" s="104"/>
      <c r="F33" s="104"/>
      <c r="G33" s="104"/>
      <c r="H33" s="104"/>
      <c r="I33" s="104"/>
      <c r="J33" s="104"/>
      <c r="L33" s="105" t="s">
        <v>358</v>
      </c>
      <c r="M33" s="104"/>
      <c r="N33" s="104"/>
      <c r="O33" s="104"/>
      <c r="P33" s="104"/>
      <c r="Q33" s="104"/>
      <c r="R33" s="104"/>
      <c r="S33" s="104"/>
      <c r="U33" s="104" t="s">
        <v>359</v>
      </c>
      <c r="V33" s="104"/>
      <c r="W33" s="104"/>
      <c r="X33" s="104"/>
      <c r="Y33" s="104"/>
      <c r="Z33" s="104"/>
      <c r="AA33" s="104"/>
      <c r="AB33" s="104"/>
      <c r="AD33" s="104" t="s">
        <v>360</v>
      </c>
      <c r="AE33" s="104"/>
      <c r="AF33" s="104"/>
      <c r="AG33" s="104"/>
      <c r="AH33" s="104"/>
      <c r="AI33" s="104"/>
      <c r="AJ33" s="104"/>
      <c r="AK33" s="104"/>
      <c r="AM33" s="105" t="s">
        <v>361</v>
      </c>
      <c r="AN33" s="105"/>
      <c r="AO33" s="105"/>
      <c r="AP33" s="105"/>
      <c r="AQ33" s="105"/>
      <c r="AR33" s="105"/>
      <c r="AS33" s="105"/>
      <c r="AT33" s="105"/>
      <c r="AV33" s="104" t="s">
        <v>362</v>
      </c>
      <c r="AW33" s="104"/>
      <c r="AX33" s="104"/>
      <c r="AY33" s="104"/>
      <c r="AZ33" s="104"/>
      <c r="BA33" s="104"/>
      <c r="BB33" s="104"/>
      <c r="BC33" s="104"/>
    </row>
    <row r="34" spans="1:55" x14ac:dyDescent="0.35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L34" s="104"/>
      <c r="M34" s="104"/>
      <c r="N34" s="104"/>
      <c r="O34" s="104"/>
      <c r="P34" s="104"/>
      <c r="Q34" s="104"/>
      <c r="R34" s="104"/>
      <c r="S34" s="104"/>
      <c r="U34" s="104"/>
      <c r="V34" s="104"/>
      <c r="W34" s="104"/>
      <c r="X34" s="104"/>
      <c r="Y34" s="104"/>
      <c r="Z34" s="104"/>
      <c r="AA34" s="104"/>
      <c r="AB34" s="104"/>
      <c r="AD34" s="104"/>
      <c r="AE34" s="104"/>
      <c r="AF34" s="104"/>
      <c r="AG34" s="104"/>
      <c r="AH34" s="104"/>
      <c r="AI34" s="104"/>
      <c r="AJ34" s="104"/>
      <c r="AK34" s="104"/>
      <c r="AM34" s="105"/>
      <c r="AN34" s="105"/>
      <c r="AO34" s="105"/>
      <c r="AP34" s="105"/>
      <c r="AQ34" s="105"/>
      <c r="AR34" s="105"/>
      <c r="AS34" s="105"/>
      <c r="AT34" s="105"/>
      <c r="AV34" s="104"/>
      <c r="AW34" s="104"/>
      <c r="AX34" s="104"/>
      <c r="AY34" s="104"/>
      <c r="AZ34" s="104"/>
      <c r="BA34" s="104"/>
      <c r="BB34" s="104"/>
      <c r="BC34" s="104"/>
    </row>
    <row r="35" spans="1:55" x14ac:dyDescent="0.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L35" s="104"/>
      <c r="M35" s="104"/>
      <c r="N35" s="104"/>
      <c r="O35" s="104"/>
      <c r="P35" s="104"/>
      <c r="Q35" s="104"/>
      <c r="R35" s="104"/>
      <c r="S35" s="104"/>
      <c r="U35" s="104"/>
      <c r="V35" s="104"/>
      <c r="W35" s="104"/>
      <c r="X35" s="104"/>
      <c r="Y35" s="104"/>
      <c r="Z35" s="104"/>
      <c r="AA35" s="104"/>
      <c r="AB35" s="104"/>
      <c r="AD35" s="104"/>
      <c r="AE35" s="104"/>
      <c r="AF35" s="104"/>
      <c r="AG35" s="104"/>
      <c r="AH35" s="104"/>
      <c r="AI35" s="104"/>
      <c r="AJ35" s="104"/>
      <c r="AK35" s="104"/>
      <c r="AM35" s="105"/>
      <c r="AN35" s="105"/>
      <c r="AO35" s="105"/>
      <c r="AP35" s="105"/>
      <c r="AQ35" s="105"/>
      <c r="AR35" s="105"/>
      <c r="AS35" s="105"/>
      <c r="AT35" s="105"/>
      <c r="AV35" s="104"/>
      <c r="AW35" s="104"/>
      <c r="AX35" s="104"/>
      <c r="AY35" s="104"/>
      <c r="AZ35" s="104"/>
      <c r="BA35" s="104"/>
      <c r="BB35" s="104"/>
      <c r="BC35" s="104"/>
    </row>
    <row r="36" spans="1:55" x14ac:dyDescent="0.35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L36" s="104"/>
      <c r="M36" s="104"/>
      <c r="N36" s="104"/>
      <c r="O36" s="104"/>
      <c r="P36" s="104"/>
      <c r="Q36" s="104"/>
      <c r="R36" s="104"/>
      <c r="S36" s="104"/>
      <c r="U36" s="104"/>
      <c r="V36" s="104"/>
      <c r="W36" s="104"/>
      <c r="X36" s="104"/>
      <c r="Y36" s="104"/>
      <c r="Z36" s="104"/>
      <c r="AA36" s="104"/>
      <c r="AB36" s="104"/>
      <c r="AD36" s="104"/>
      <c r="AE36" s="104"/>
      <c r="AF36" s="104"/>
      <c r="AG36" s="104"/>
      <c r="AH36" s="104"/>
      <c r="AI36" s="104"/>
      <c r="AJ36" s="104"/>
      <c r="AK36" s="104"/>
      <c r="AM36" s="105"/>
      <c r="AN36" s="105"/>
      <c r="AO36" s="105"/>
      <c r="AP36" s="105"/>
      <c r="AQ36" s="105"/>
      <c r="AR36" s="105"/>
      <c r="AS36" s="105"/>
      <c r="AT36" s="105"/>
      <c r="AV36" s="104"/>
      <c r="AW36" s="104"/>
      <c r="AX36" s="104"/>
      <c r="AY36" s="104"/>
      <c r="AZ36" s="104"/>
      <c r="BA36" s="104"/>
      <c r="BB36" s="104"/>
      <c r="BC36" s="104"/>
    </row>
    <row r="37" spans="1:55" x14ac:dyDescent="0.35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L37" s="104"/>
      <c r="M37" s="104"/>
      <c r="N37" s="104"/>
      <c r="O37" s="104"/>
      <c r="P37" s="104"/>
      <c r="Q37" s="104"/>
      <c r="R37" s="104"/>
      <c r="S37" s="104"/>
      <c r="U37" s="104"/>
      <c r="V37" s="104"/>
      <c r="W37" s="104"/>
      <c r="X37" s="104"/>
      <c r="Y37" s="104"/>
      <c r="Z37" s="104"/>
      <c r="AA37" s="104"/>
      <c r="AB37" s="104"/>
      <c r="AD37" s="104"/>
      <c r="AE37" s="104"/>
      <c r="AF37" s="104"/>
      <c r="AG37" s="104"/>
      <c r="AH37" s="104"/>
      <c r="AI37" s="104"/>
      <c r="AJ37" s="104"/>
      <c r="AK37" s="104"/>
      <c r="AM37" s="105"/>
      <c r="AN37" s="105"/>
      <c r="AO37" s="105"/>
      <c r="AP37" s="105"/>
      <c r="AQ37" s="105"/>
      <c r="AR37" s="105"/>
      <c r="AS37" s="105"/>
      <c r="AT37" s="105"/>
      <c r="AV37" s="104"/>
      <c r="AW37" s="104"/>
      <c r="AX37" s="104"/>
      <c r="AY37" s="104"/>
      <c r="AZ37" s="104"/>
      <c r="BA37" s="104"/>
      <c r="BB37" s="104"/>
      <c r="BC37" s="104"/>
    </row>
    <row r="38" spans="1:55" x14ac:dyDescent="0.35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L38" s="104"/>
      <c r="M38" s="104"/>
      <c r="N38" s="104"/>
      <c r="O38" s="104"/>
      <c r="P38" s="104"/>
      <c r="Q38" s="104"/>
      <c r="R38" s="104"/>
      <c r="S38" s="104"/>
      <c r="U38" s="104"/>
      <c r="V38" s="104"/>
      <c r="W38" s="104"/>
      <c r="X38" s="104"/>
      <c r="Y38" s="104"/>
      <c r="Z38" s="104"/>
      <c r="AA38" s="104"/>
      <c r="AB38" s="104"/>
      <c r="AD38" s="104"/>
      <c r="AE38" s="104"/>
      <c r="AF38" s="104"/>
      <c r="AG38" s="104"/>
      <c r="AH38" s="104"/>
      <c r="AI38" s="104"/>
      <c r="AJ38" s="104"/>
      <c r="AK38" s="104"/>
      <c r="AM38" s="105"/>
      <c r="AN38" s="105"/>
      <c r="AO38" s="105"/>
      <c r="AP38" s="105"/>
      <c r="AQ38" s="105"/>
      <c r="AR38" s="105"/>
      <c r="AS38" s="105"/>
      <c r="AT38" s="105"/>
      <c r="AV38" s="104"/>
      <c r="AW38" s="104"/>
      <c r="AX38" s="104"/>
      <c r="AY38" s="104"/>
      <c r="AZ38" s="104"/>
      <c r="BA38" s="104"/>
      <c r="BB38" s="104"/>
      <c r="BC38" s="104"/>
    </row>
    <row r="39" spans="1:55" x14ac:dyDescent="0.35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L39" s="104"/>
      <c r="M39" s="104"/>
      <c r="N39" s="104"/>
      <c r="O39" s="104"/>
      <c r="P39" s="104"/>
      <c r="Q39" s="104"/>
      <c r="R39" s="104"/>
      <c r="S39" s="104"/>
      <c r="U39" s="104"/>
      <c r="V39" s="104"/>
      <c r="W39" s="104"/>
      <c r="X39" s="104"/>
      <c r="Y39" s="104"/>
      <c r="Z39" s="104"/>
      <c r="AA39" s="104"/>
      <c r="AB39" s="104"/>
      <c r="AD39" s="104"/>
      <c r="AE39" s="104"/>
      <c r="AF39" s="104"/>
      <c r="AG39" s="104"/>
      <c r="AH39" s="104"/>
      <c r="AI39" s="104"/>
      <c r="AJ39" s="104"/>
      <c r="AK39" s="104"/>
      <c r="AM39" s="105"/>
      <c r="AN39" s="105"/>
      <c r="AO39" s="105"/>
      <c r="AP39" s="105"/>
      <c r="AQ39" s="105"/>
      <c r="AR39" s="105"/>
      <c r="AS39" s="105"/>
      <c r="AT39" s="105"/>
      <c r="AV39" s="104"/>
      <c r="AW39" s="104"/>
      <c r="AX39" s="104"/>
      <c r="AY39" s="104"/>
      <c r="AZ39" s="104"/>
      <c r="BA39" s="104"/>
      <c r="BB39" s="104"/>
      <c r="BC39" s="104"/>
    </row>
    <row r="40" spans="1:55" x14ac:dyDescent="0.3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L40" s="104"/>
      <c r="M40" s="104"/>
      <c r="N40" s="104"/>
      <c r="O40" s="104"/>
      <c r="P40" s="104"/>
      <c r="Q40" s="104"/>
      <c r="R40" s="104"/>
      <c r="S40" s="104"/>
      <c r="U40" s="104"/>
      <c r="V40" s="104"/>
      <c r="W40" s="104"/>
      <c r="X40" s="104"/>
      <c r="Y40" s="104"/>
      <c r="Z40" s="104"/>
      <c r="AA40" s="104"/>
      <c r="AB40" s="104"/>
      <c r="AD40" s="104"/>
      <c r="AE40" s="104"/>
      <c r="AF40" s="104"/>
      <c r="AG40" s="104"/>
      <c r="AH40" s="104"/>
      <c r="AI40" s="104"/>
      <c r="AJ40" s="104"/>
      <c r="AK40" s="104"/>
      <c r="AM40" s="105"/>
      <c r="AN40" s="105"/>
      <c r="AO40" s="105"/>
      <c r="AP40" s="105"/>
      <c r="AQ40" s="105"/>
      <c r="AR40" s="105"/>
      <c r="AS40" s="105"/>
      <c r="AT40" s="105"/>
      <c r="AV40" s="104"/>
      <c r="AW40" s="104"/>
      <c r="AX40" s="104"/>
      <c r="AY40" s="104"/>
      <c r="AZ40" s="104"/>
      <c r="BA40" s="104"/>
      <c r="BB40" s="104"/>
      <c r="BC40" s="104"/>
    </row>
    <row r="41" spans="1:55" x14ac:dyDescent="0.35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L41" s="104"/>
      <c r="M41" s="104"/>
      <c r="N41" s="104"/>
      <c r="O41" s="104"/>
      <c r="P41" s="104"/>
      <c r="Q41" s="104"/>
      <c r="R41" s="104"/>
      <c r="S41" s="104"/>
      <c r="U41" s="104"/>
      <c r="V41" s="104"/>
      <c r="W41" s="104"/>
      <c r="X41" s="104"/>
      <c r="Y41" s="104"/>
      <c r="Z41" s="104"/>
      <c r="AA41" s="104"/>
      <c r="AB41" s="104"/>
      <c r="AD41" s="104"/>
      <c r="AE41" s="104"/>
      <c r="AF41" s="104"/>
      <c r="AG41" s="104"/>
      <c r="AH41" s="104"/>
      <c r="AI41" s="104"/>
      <c r="AJ41" s="104"/>
      <c r="AK41" s="104"/>
      <c r="AM41" s="105"/>
      <c r="AN41" s="105"/>
      <c r="AO41" s="105"/>
      <c r="AP41" s="105"/>
      <c r="AQ41" s="105"/>
      <c r="AR41" s="105"/>
      <c r="AS41" s="105"/>
      <c r="AT41" s="105"/>
      <c r="AV41" s="104"/>
      <c r="AW41" s="104"/>
      <c r="AX41" s="104"/>
      <c r="AY41" s="104"/>
      <c r="AZ41" s="104"/>
      <c r="BA41" s="104"/>
      <c r="BB41" s="104"/>
      <c r="BC41" s="104"/>
    </row>
    <row r="42" spans="1:55" x14ac:dyDescent="0.35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L42" s="104"/>
      <c r="M42" s="104"/>
      <c r="N42" s="104"/>
      <c r="O42" s="104"/>
      <c r="P42" s="104"/>
      <c r="Q42" s="104"/>
      <c r="R42" s="104"/>
      <c r="S42" s="104"/>
      <c r="U42" s="104"/>
      <c r="V42" s="104"/>
      <c r="W42" s="104"/>
      <c r="X42" s="104"/>
      <c r="Y42" s="104"/>
      <c r="Z42" s="104"/>
      <c r="AA42" s="104"/>
      <c r="AB42" s="104"/>
      <c r="AD42" s="104"/>
      <c r="AE42" s="104"/>
      <c r="AF42" s="104"/>
      <c r="AG42" s="104"/>
      <c r="AH42" s="104"/>
      <c r="AI42" s="104"/>
      <c r="AJ42" s="104"/>
      <c r="AK42" s="104"/>
      <c r="AM42" s="105"/>
      <c r="AN42" s="105"/>
      <c r="AO42" s="105"/>
      <c r="AP42" s="105"/>
      <c r="AQ42" s="105"/>
      <c r="AR42" s="105"/>
      <c r="AS42" s="105"/>
      <c r="AT42" s="105"/>
      <c r="AV42" s="104"/>
      <c r="AW42" s="104"/>
      <c r="AX42" s="104"/>
      <c r="AY42" s="104"/>
      <c r="AZ42" s="104"/>
      <c r="BA42" s="104"/>
      <c r="BB42" s="104"/>
      <c r="BC42" s="104"/>
    </row>
    <row r="43" spans="1:55" x14ac:dyDescent="0.35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L43" s="104"/>
      <c r="M43" s="104"/>
      <c r="N43" s="104"/>
      <c r="O43" s="104"/>
      <c r="P43" s="104"/>
      <c r="Q43" s="104"/>
      <c r="R43" s="104"/>
      <c r="S43" s="104"/>
      <c r="U43" s="104"/>
      <c r="V43" s="104"/>
      <c r="W43" s="104"/>
      <c r="X43" s="104"/>
      <c r="Y43" s="104"/>
      <c r="Z43" s="104"/>
      <c r="AA43" s="104"/>
      <c r="AB43" s="104"/>
      <c r="AD43" s="104"/>
      <c r="AE43" s="104"/>
      <c r="AF43" s="104"/>
      <c r="AG43" s="104"/>
      <c r="AH43" s="104"/>
      <c r="AI43" s="104"/>
      <c r="AJ43" s="104"/>
      <c r="AK43" s="104"/>
      <c r="AM43" s="105"/>
      <c r="AN43" s="105"/>
      <c r="AO43" s="105"/>
      <c r="AP43" s="105"/>
      <c r="AQ43" s="105"/>
      <c r="AR43" s="105"/>
      <c r="AS43" s="105"/>
      <c r="AT43" s="105"/>
      <c r="AV43" s="104"/>
      <c r="AW43" s="104"/>
      <c r="AX43" s="104"/>
      <c r="AY43" s="104"/>
      <c r="AZ43" s="104"/>
      <c r="BA43" s="104"/>
      <c r="BB43" s="104"/>
      <c r="BC43" s="104"/>
    </row>
    <row r="44" spans="1:55" x14ac:dyDescent="0.35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L44" s="104"/>
      <c r="M44" s="104"/>
      <c r="N44" s="104"/>
      <c r="O44" s="104"/>
      <c r="P44" s="104"/>
      <c r="Q44" s="104"/>
      <c r="R44" s="104"/>
      <c r="S44" s="104"/>
      <c r="U44" s="104"/>
      <c r="V44" s="104"/>
      <c r="W44" s="104"/>
      <c r="X44" s="104"/>
      <c r="Y44" s="104"/>
      <c r="Z44" s="104"/>
      <c r="AA44" s="104"/>
      <c r="AB44" s="104"/>
      <c r="AD44" s="104"/>
      <c r="AE44" s="104"/>
      <c r="AF44" s="104"/>
      <c r="AG44" s="104"/>
      <c r="AH44" s="104"/>
      <c r="AI44" s="104"/>
      <c r="AJ44" s="104"/>
      <c r="AK44" s="104"/>
      <c r="AM44" s="105"/>
      <c r="AN44" s="105"/>
      <c r="AO44" s="105"/>
      <c r="AP44" s="105"/>
      <c r="AQ44" s="105"/>
      <c r="AR44" s="105"/>
      <c r="AS44" s="105"/>
      <c r="AT44" s="105"/>
      <c r="AV44" s="104"/>
      <c r="AW44" s="104"/>
      <c r="AX44" s="104"/>
      <c r="AY44" s="104"/>
      <c r="AZ44" s="104"/>
      <c r="BA44" s="104"/>
      <c r="BB44" s="104"/>
      <c r="BC44" s="104"/>
    </row>
    <row r="45" spans="1:55" x14ac:dyDescent="0.3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L45" s="104"/>
      <c r="M45" s="104"/>
      <c r="N45" s="104"/>
      <c r="O45" s="104"/>
      <c r="P45" s="104"/>
      <c r="Q45" s="104"/>
      <c r="R45" s="104"/>
      <c r="S45" s="104"/>
      <c r="U45" s="104"/>
      <c r="V45" s="104"/>
      <c r="W45" s="104"/>
      <c r="X45" s="104"/>
      <c r="Y45" s="104"/>
      <c r="Z45" s="104"/>
      <c r="AA45" s="104"/>
      <c r="AB45" s="104"/>
      <c r="AD45" s="104"/>
      <c r="AE45" s="104"/>
      <c r="AF45" s="104"/>
      <c r="AG45" s="104"/>
      <c r="AH45" s="104"/>
      <c r="AI45" s="104"/>
      <c r="AJ45" s="104"/>
      <c r="AK45" s="104"/>
      <c r="AM45" s="105"/>
      <c r="AN45" s="105"/>
      <c r="AO45" s="105"/>
      <c r="AP45" s="105"/>
      <c r="AQ45" s="105"/>
      <c r="AR45" s="105"/>
      <c r="AS45" s="105"/>
      <c r="AT45" s="105"/>
      <c r="AV45" s="104"/>
      <c r="AW45" s="104"/>
      <c r="AX45" s="104"/>
      <c r="AY45" s="104"/>
      <c r="AZ45" s="104"/>
      <c r="BA45" s="104"/>
      <c r="BB45" s="104"/>
      <c r="BC45" s="104"/>
    </row>
    <row r="46" spans="1:55" x14ac:dyDescent="0.35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L46" s="104"/>
      <c r="M46" s="104"/>
      <c r="N46" s="104"/>
      <c r="O46" s="104"/>
      <c r="P46" s="104"/>
      <c r="Q46" s="104"/>
      <c r="R46" s="104"/>
      <c r="S46" s="104"/>
      <c r="U46" s="104"/>
      <c r="V46" s="104"/>
      <c r="W46" s="104"/>
      <c r="X46" s="104"/>
      <c r="Y46" s="104"/>
      <c r="Z46" s="104"/>
      <c r="AA46" s="104"/>
      <c r="AB46" s="104"/>
      <c r="AD46" s="104"/>
      <c r="AE46" s="104"/>
      <c r="AF46" s="104"/>
      <c r="AG46" s="104"/>
      <c r="AH46" s="104"/>
      <c r="AI46" s="104"/>
      <c r="AJ46" s="104"/>
      <c r="AK46" s="104"/>
      <c r="AM46" s="105"/>
      <c r="AN46" s="105"/>
      <c r="AO46" s="105"/>
      <c r="AP46" s="105"/>
      <c r="AQ46" s="105"/>
      <c r="AR46" s="105"/>
      <c r="AS46" s="105"/>
      <c r="AT46" s="105"/>
      <c r="AV46" s="104"/>
      <c r="AW46" s="104"/>
      <c r="AX46" s="104"/>
      <c r="AY46" s="104"/>
      <c r="AZ46" s="104"/>
      <c r="BA46" s="104"/>
      <c r="BB46" s="104"/>
      <c r="BC46" s="104"/>
    </row>
    <row r="47" spans="1:55" x14ac:dyDescent="0.35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L47" s="104"/>
      <c r="M47" s="104"/>
      <c r="N47" s="104"/>
      <c r="O47" s="104"/>
      <c r="P47" s="104"/>
      <c r="Q47" s="104"/>
      <c r="R47" s="104"/>
      <c r="S47" s="104"/>
      <c r="U47" s="104"/>
      <c r="V47" s="104"/>
      <c r="W47" s="104"/>
      <c r="X47" s="104"/>
      <c r="Y47" s="104"/>
      <c r="Z47" s="104"/>
      <c r="AA47" s="104"/>
      <c r="AB47" s="104"/>
      <c r="AD47" s="104"/>
      <c r="AE47" s="104"/>
      <c r="AF47" s="104"/>
      <c r="AG47" s="104"/>
      <c r="AH47" s="104"/>
      <c r="AI47" s="104"/>
      <c r="AJ47" s="104"/>
      <c r="AK47" s="104"/>
      <c r="AM47" s="105"/>
      <c r="AN47" s="105"/>
      <c r="AO47" s="105"/>
      <c r="AP47" s="105"/>
      <c r="AQ47" s="105"/>
      <c r="AR47" s="105"/>
      <c r="AS47" s="105"/>
      <c r="AT47" s="105"/>
      <c r="AV47" s="104"/>
      <c r="AW47" s="104"/>
      <c r="AX47" s="104"/>
      <c r="AY47" s="104"/>
      <c r="AZ47" s="104"/>
      <c r="BA47" s="104"/>
      <c r="BB47" s="104"/>
      <c r="BC47" s="104"/>
    </row>
    <row r="48" spans="1:55" x14ac:dyDescent="0.35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L48" s="104"/>
      <c r="M48" s="104"/>
      <c r="N48" s="104"/>
      <c r="O48" s="104"/>
      <c r="P48" s="104"/>
      <c r="Q48" s="104"/>
      <c r="R48" s="104"/>
      <c r="S48" s="104"/>
      <c r="U48" s="104"/>
      <c r="V48" s="104"/>
      <c r="W48" s="104"/>
      <c r="X48" s="104"/>
      <c r="Y48" s="104"/>
      <c r="Z48" s="104"/>
      <c r="AA48" s="104"/>
      <c r="AB48" s="104"/>
      <c r="AD48" s="104"/>
      <c r="AE48" s="104"/>
      <c r="AF48" s="104"/>
      <c r="AG48" s="104"/>
      <c r="AH48" s="104"/>
      <c r="AI48" s="104"/>
      <c r="AJ48" s="104"/>
      <c r="AK48" s="104"/>
      <c r="AM48" s="105"/>
      <c r="AN48" s="105"/>
      <c r="AO48" s="105"/>
      <c r="AP48" s="105"/>
      <c r="AQ48" s="105"/>
      <c r="AR48" s="105"/>
      <c r="AS48" s="105"/>
      <c r="AT48" s="105"/>
      <c r="AV48" s="104"/>
      <c r="AW48" s="104"/>
      <c r="AX48" s="104"/>
      <c r="AY48" s="104"/>
      <c r="AZ48" s="104"/>
      <c r="BA48" s="104"/>
      <c r="BB48" s="104"/>
      <c r="BC48" s="104"/>
    </row>
    <row r="49" spans="1:55" x14ac:dyDescent="0.35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L49" s="104"/>
      <c r="M49" s="104"/>
      <c r="N49" s="104"/>
      <c r="O49" s="104"/>
      <c r="P49" s="104"/>
      <c r="Q49" s="104"/>
      <c r="R49" s="104"/>
      <c r="S49" s="104"/>
      <c r="U49" s="104"/>
      <c r="V49" s="104"/>
      <c r="W49" s="104"/>
      <c r="X49" s="104"/>
      <c r="Y49" s="104"/>
      <c r="Z49" s="104"/>
      <c r="AA49" s="104"/>
      <c r="AB49" s="104"/>
      <c r="AD49" s="104"/>
      <c r="AE49" s="104"/>
      <c r="AF49" s="104"/>
      <c r="AG49" s="104"/>
      <c r="AH49" s="104"/>
      <c r="AI49" s="104"/>
      <c r="AJ49" s="104"/>
      <c r="AK49" s="104"/>
      <c r="AM49" s="105"/>
      <c r="AN49" s="105"/>
      <c r="AO49" s="105"/>
      <c r="AP49" s="105"/>
      <c r="AQ49" s="105"/>
      <c r="AR49" s="105"/>
      <c r="AS49" s="105"/>
      <c r="AT49" s="105"/>
      <c r="AV49" s="104"/>
      <c r="AW49" s="104"/>
      <c r="AX49" s="104"/>
      <c r="AY49" s="104"/>
      <c r="AZ49" s="104"/>
      <c r="BA49" s="104"/>
      <c r="BB49" s="104"/>
      <c r="BC49" s="104"/>
    </row>
    <row r="50" spans="1:55" x14ac:dyDescent="0.35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L50" s="104"/>
      <c r="M50" s="104"/>
      <c r="N50" s="104"/>
      <c r="O50" s="104"/>
      <c r="P50" s="104"/>
      <c r="Q50" s="104"/>
      <c r="R50" s="104"/>
      <c r="S50" s="104"/>
      <c r="U50" s="104"/>
      <c r="V50" s="104"/>
      <c r="W50" s="104"/>
      <c r="X50" s="104"/>
      <c r="Y50" s="104"/>
      <c r="Z50" s="104"/>
      <c r="AA50" s="104"/>
      <c r="AB50" s="104"/>
      <c r="AD50" s="104"/>
      <c r="AE50" s="104"/>
      <c r="AF50" s="104"/>
      <c r="AG50" s="104"/>
      <c r="AH50" s="104"/>
      <c r="AI50" s="104"/>
      <c r="AJ50" s="104"/>
      <c r="AK50" s="104"/>
      <c r="AM50" s="105"/>
      <c r="AN50" s="105"/>
      <c r="AO50" s="105"/>
      <c r="AP50" s="105"/>
      <c r="AQ50" s="105"/>
      <c r="AR50" s="105"/>
      <c r="AS50" s="105"/>
      <c r="AT50" s="105"/>
      <c r="AV50" s="104"/>
      <c r="AW50" s="104"/>
      <c r="AX50" s="104"/>
      <c r="AY50" s="104"/>
      <c r="AZ50" s="104"/>
      <c r="BA50" s="104"/>
      <c r="BB50" s="104"/>
      <c r="BC50" s="104"/>
    </row>
    <row r="51" spans="1:55" x14ac:dyDescent="0.35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L51" s="104"/>
      <c r="M51" s="104"/>
      <c r="N51" s="104"/>
      <c r="O51" s="104"/>
      <c r="P51" s="104"/>
      <c r="Q51" s="104"/>
      <c r="R51" s="104"/>
      <c r="S51" s="104"/>
      <c r="U51" s="104"/>
      <c r="V51" s="104"/>
      <c r="W51" s="104"/>
      <c r="X51" s="104"/>
      <c r="Y51" s="104"/>
      <c r="Z51" s="104"/>
      <c r="AA51" s="104"/>
      <c r="AB51" s="104"/>
      <c r="AD51" s="104"/>
      <c r="AE51" s="104"/>
      <c r="AF51" s="104"/>
      <c r="AG51" s="104"/>
      <c r="AH51" s="104"/>
      <c r="AI51" s="104"/>
      <c r="AJ51" s="104"/>
      <c r="AK51" s="104"/>
      <c r="AM51" s="105"/>
      <c r="AN51" s="105"/>
      <c r="AO51" s="105"/>
      <c r="AP51" s="105"/>
      <c r="AQ51" s="105"/>
      <c r="AR51" s="105"/>
      <c r="AS51" s="105"/>
      <c r="AT51" s="105"/>
      <c r="AV51" s="104"/>
      <c r="AW51" s="104"/>
      <c r="AX51" s="104"/>
      <c r="AY51" s="104"/>
      <c r="AZ51" s="104"/>
      <c r="BA51" s="104"/>
      <c r="BB51" s="104"/>
      <c r="BC51" s="104"/>
    </row>
    <row r="52" spans="1:55" x14ac:dyDescent="0.35">
      <c r="A52" s="53" t="s">
        <v>363</v>
      </c>
      <c r="B52" s="53"/>
      <c r="C52" s="53"/>
      <c r="D52" s="53"/>
      <c r="E52" s="53"/>
      <c r="F52" s="53"/>
      <c r="G52" s="53"/>
      <c r="H52" s="53"/>
      <c r="I52" s="53"/>
      <c r="J52" s="12" t="str">
        <f>IF(COUNTIF(J53:J56, "="&amp;IncompleteText), IncompleteText, IF(COUNTIF(J53:J56, "="&amp;ErrorText), ErrorText, OKText))</f>
        <v>OK</v>
      </c>
      <c r="L52" s="53" t="s">
        <v>364</v>
      </c>
      <c r="M52" s="53"/>
      <c r="N52" s="53"/>
      <c r="O52" s="53"/>
      <c r="P52" s="53"/>
      <c r="Q52" s="53"/>
      <c r="R52" s="53"/>
      <c r="S52" s="12" t="str">
        <f>IF(COUNTIF(S53:S55, "="&amp;IncompleteText), IncompleteText, IF(COUNTIF(S53:S55, "="&amp;ErrorText), ErrorText, OKText))</f>
        <v>OK</v>
      </c>
      <c r="U52" s="53" t="s">
        <v>365</v>
      </c>
      <c r="V52" s="53"/>
      <c r="W52" s="53"/>
      <c r="X52" s="53"/>
      <c r="Y52" s="53"/>
      <c r="Z52" s="53"/>
      <c r="AA52" s="53"/>
      <c r="AB52" s="12" t="str">
        <f>IF(COUNTIF(AB53:AB54, "="&amp;IncompleteText), IncompleteText, IF(COUNTIF(AB53:AB54, "="&amp;ErrorText), ErrorText, OKText))</f>
        <v>OK</v>
      </c>
      <c r="AD52" s="53" t="s">
        <v>366</v>
      </c>
      <c r="AE52" s="53"/>
      <c r="AF52" s="53"/>
      <c r="AG52" s="53"/>
      <c r="AH52" s="53"/>
      <c r="AI52" s="53"/>
      <c r="AJ52" s="53"/>
      <c r="AK52" s="12" t="str">
        <f>IF(COUNTIF(AK53, "="&amp;IncompleteText), IncompleteText, IF(COUNTIF(AK53, "="&amp;ErrorText), ErrorText, OKText))</f>
        <v>OK</v>
      </c>
      <c r="AM52" s="53" t="s">
        <v>367</v>
      </c>
      <c r="AN52" s="53"/>
      <c r="AO52" s="53"/>
      <c r="AP52" s="53"/>
      <c r="AQ52" s="53"/>
      <c r="AR52" s="53"/>
      <c r="AS52" s="53"/>
      <c r="AT52" s="12" t="str">
        <f>IF(COUNTIF(AT53, "="&amp;IncompleteText), IncompleteText, IF(COUNTIF(AT53, "="&amp;ErrorText), ErrorText, OKText))</f>
        <v>OK</v>
      </c>
      <c r="AV52" s="53" t="s">
        <v>367</v>
      </c>
      <c r="AW52" s="53"/>
      <c r="AX52" s="53"/>
      <c r="AY52" s="53"/>
      <c r="AZ52" s="53"/>
      <c r="BA52" s="53"/>
      <c r="BB52" s="53"/>
      <c r="BC52" s="12" t="str">
        <f>IF(COUNTIF(BC53, "="&amp;IncompleteText), IncompleteText, IF(COUNTIF(BC53, "="&amp;ErrorText), ErrorText, OKText))</f>
        <v>OK</v>
      </c>
    </row>
    <row r="53" spans="1:55" x14ac:dyDescent="0.35">
      <c r="A53" s="82" t="s">
        <v>368</v>
      </c>
      <c r="B53" s="82"/>
      <c r="C53" s="82"/>
      <c r="D53" s="82"/>
      <c r="E53" s="82"/>
      <c r="F53" s="82"/>
      <c r="G53" s="82"/>
      <c r="H53" s="82"/>
      <c r="I53" s="3" t="b">
        <v>1</v>
      </c>
      <c r="J53" s="12" t="str">
        <f>IF(ISBLANK(I53),IncompleteText, IF(I53, OKText, ErrorText))</f>
        <v>OK</v>
      </c>
      <c r="L53" s="82" t="s">
        <v>369</v>
      </c>
      <c r="M53" s="82"/>
      <c r="N53" s="82"/>
      <c r="O53" s="82"/>
      <c r="P53" s="82"/>
      <c r="Q53" s="83"/>
      <c r="R53" s="3" t="b">
        <v>1</v>
      </c>
      <c r="S53" s="12" t="str">
        <f>IF(ISBLANK(R53),IncompleteText, IF(R53, OKText, ErrorText))</f>
        <v>OK</v>
      </c>
      <c r="U53" s="82" t="s">
        <v>370</v>
      </c>
      <c r="V53" s="82"/>
      <c r="W53" s="82"/>
      <c r="X53" s="82"/>
      <c r="Y53" s="82"/>
      <c r="Z53" s="83"/>
      <c r="AA53" s="3" t="b">
        <v>1</v>
      </c>
      <c r="AB53" s="12" t="str">
        <f>IF(ISBLANK(AA53),IncompleteText, IF(AA53, OKText, ErrorText))</f>
        <v>OK</v>
      </c>
      <c r="AD53" s="82" t="s">
        <v>371</v>
      </c>
      <c r="AE53" s="82"/>
      <c r="AF53" s="82"/>
      <c r="AG53" s="82"/>
      <c r="AH53" s="82"/>
      <c r="AI53" s="83"/>
      <c r="AJ53" s="3" t="b">
        <v>1</v>
      </c>
      <c r="AK53" s="12" t="str">
        <f>IF(ISBLANK(AJ53),IncompleteText, IF(AJ53, OKText, ErrorText))</f>
        <v>OK</v>
      </c>
      <c r="AM53" s="82" t="s">
        <v>372</v>
      </c>
      <c r="AN53" s="82"/>
      <c r="AO53" s="82"/>
      <c r="AP53" s="82"/>
      <c r="AQ53" s="82"/>
      <c r="AR53" s="83"/>
      <c r="AS53" s="3" t="b">
        <v>1</v>
      </c>
      <c r="AT53" s="12" t="str">
        <f>IF(ISBLANK(AS53),IncompleteText, IF(AS53, OKText, ErrorText))</f>
        <v>OK</v>
      </c>
      <c r="AV53" s="82" t="s">
        <v>373</v>
      </c>
      <c r="AW53" s="82"/>
      <c r="AX53" s="82"/>
      <c r="AY53" s="82"/>
      <c r="AZ53" s="82"/>
      <c r="BA53" s="83"/>
      <c r="BB53" s="3" t="b">
        <v>1</v>
      </c>
      <c r="BC53" s="12" t="str">
        <f>IF(ISBLANK(BB53),IncompleteText, IF(BB53, OKText, ErrorText))</f>
        <v>OK</v>
      </c>
    </row>
    <row r="54" spans="1:55" x14ac:dyDescent="0.35">
      <c r="A54" s="82" t="s">
        <v>374</v>
      </c>
      <c r="B54" s="82"/>
      <c r="C54" s="82"/>
      <c r="D54" s="82"/>
      <c r="E54" s="82"/>
      <c r="F54" s="82"/>
      <c r="G54" s="82"/>
      <c r="H54" s="82"/>
      <c r="I54" s="3" t="b">
        <v>1</v>
      </c>
      <c r="J54" s="12" t="str">
        <f>IF(ISBLANK(I54),IncompleteText, IF(I54, OKText, ErrorText))</f>
        <v>OK</v>
      </c>
      <c r="L54" s="82" t="s">
        <v>375</v>
      </c>
      <c r="M54" s="82"/>
      <c r="N54" s="82"/>
      <c r="O54" s="82"/>
      <c r="P54" s="82"/>
      <c r="Q54" s="83"/>
      <c r="R54" s="3" t="b">
        <v>1</v>
      </c>
      <c r="S54" s="12" t="str">
        <f>IF($B$12=1,OKText,IF(ISBLANK(R54),IncompleteText, IF(R54, OKText, ErrorText)))</f>
        <v>OK</v>
      </c>
      <c r="U54" s="82" t="s">
        <v>376</v>
      </c>
      <c r="V54" s="82"/>
      <c r="W54" s="82"/>
      <c r="X54" s="82"/>
      <c r="Y54" s="82"/>
      <c r="Z54" s="83"/>
      <c r="AA54" s="3" t="b">
        <v>1</v>
      </c>
      <c r="AB54" s="12" t="str">
        <f>IF(ISBLANK(AA54),IncompleteText, IF(AA54, OKText, ErrorText))</f>
        <v>OK</v>
      </c>
      <c r="AD54" s="53" t="s">
        <v>20</v>
      </c>
      <c r="AE54" s="53"/>
      <c r="AF54" s="53"/>
      <c r="AG54" s="53"/>
      <c r="AH54" s="53"/>
      <c r="AI54" s="53"/>
      <c r="AJ54" s="53"/>
      <c r="AK54" s="15" t="s">
        <v>66</v>
      </c>
      <c r="AM54" s="53" t="s">
        <v>20</v>
      </c>
      <c r="AN54" s="53"/>
      <c r="AO54" s="53"/>
      <c r="AP54" s="53"/>
      <c r="AQ54" s="53"/>
      <c r="AR54" s="53"/>
      <c r="AS54" s="53"/>
      <c r="AT54" s="15" t="s">
        <v>66</v>
      </c>
      <c r="AV54" s="53" t="s">
        <v>20</v>
      </c>
      <c r="AW54" s="53"/>
      <c r="AX54" s="53"/>
      <c r="AY54" s="53"/>
      <c r="AZ54" s="53"/>
      <c r="BA54" s="53"/>
      <c r="BB54" s="53"/>
      <c r="BC54" s="15" t="s">
        <v>66</v>
      </c>
    </row>
    <row r="55" spans="1:55" x14ac:dyDescent="0.35">
      <c r="A55" s="82" t="s">
        <v>377</v>
      </c>
      <c r="B55" s="82"/>
      <c r="C55" s="82"/>
      <c r="D55" s="82"/>
      <c r="E55" s="82"/>
      <c r="F55" s="82"/>
      <c r="G55" s="82"/>
      <c r="H55" s="82"/>
      <c r="I55" s="3" t="b">
        <v>1</v>
      </c>
      <c r="J55" s="12" t="str">
        <f>IF(ISBLANK(I55),IncompleteText, IF(I55, OKText, ErrorText))</f>
        <v>OK</v>
      </c>
      <c r="L55" s="82" t="s">
        <v>378</v>
      </c>
      <c r="M55" s="82"/>
      <c r="N55" s="82"/>
      <c r="O55" s="82"/>
      <c r="P55" s="82"/>
      <c r="Q55" s="83"/>
      <c r="R55" s="3" t="b">
        <v>1</v>
      </c>
      <c r="S55" s="12" t="str">
        <f>IF(ISBLANK(R55),IncompleteText, IF(R55, OKText, ErrorText))</f>
        <v>OK</v>
      </c>
      <c r="U55" s="53" t="s">
        <v>20</v>
      </c>
      <c r="V55" s="53"/>
      <c r="W55" s="53"/>
      <c r="X55" s="53"/>
      <c r="Y55" s="53"/>
      <c r="Z55" s="53"/>
      <c r="AA55" s="53"/>
      <c r="AB55" s="15" t="s">
        <v>66</v>
      </c>
      <c r="AD55" s="103"/>
      <c r="AE55" s="103"/>
      <c r="AF55" s="103"/>
      <c r="AG55" s="103"/>
      <c r="AH55" s="103"/>
      <c r="AI55" s="103"/>
      <c r="AJ55" s="103"/>
      <c r="AK55" s="106" t="s">
        <v>379</v>
      </c>
      <c r="AM55" s="103"/>
      <c r="AN55" s="103"/>
      <c r="AO55" s="103"/>
      <c r="AP55" s="103"/>
      <c r="AQ55" s="103"/>
      <c r="AR55" s="103"/>
      <c r="AS55" s="103"/>
      <c r="AT55" s="100" t="s">
        <v>380</v>
      </c>
      <c r="AV55" s="103"/>
      <c r="AW55" s="103"/>
      <c r="AX55" s="103"/>
      <c r="AY55" s="103"/>
      <c r="AZ55" s="103"/>
      <c r="BA55" s="103"/>
      <c r="BB55" s="103"/>
      <c r="BC55" s="100" t="s">
        <v>380</v>
      </c>
    </row>
    <row r="56" spans="1:55" s="10" customFormat="1" x14ac:dyDescent="0.35">
      <c r="A56" s="82" t="s">
        <v>381</v>
      </c>
      <c r="B56" s="82"/>
      <c r="C56" s="82"/>
      <c r="D56" s="82"/>
      <c r="E56" s="82"/>
      <c r="F56" s="82"/>
      <c r="G56" s="82"/>
      <c r="H56" s="82"/>
      <c r="I56" s="3" t="b">
        <v>1</v>
      </c>
      <c r="J56" s="12" t="str">
        <f>IF(ISBLANK(I56),IncompleteText, IF(I56, OKText, ErrorText))</f>
        <v>OK</v>
      </c>
      <c r="L56" s="53" t="s">
        <v>20</v>
      </c>
      <c r="M56" s="53"/>
      <c r="N56" s="53"/>
      <c r="O56" s="53"/>
      <c r="P56" s="53"/>
      <c r="Q56" s="53"/>
      <c r="R56" s="53"/>
      <c r="S56" s="15" t="s">
        <v>66</v>
      </c>
      <c r="U56" s="103" t="s">
        <v>382</v>
      </c>
      <c r="V56" s="103"/>
      <c r="W56" s="103"/>
      <c r="X56" s="103"/>
      <c r="Y56" s="103"/>
      <c r="Z56" s="103"/>
      <c r="AA56" s="103"/>
      <c r="AB56" s="106" t="s">
        <v>383</v>
      </c>
      <c r="AD56" s="103"/>
      <c r="AE56" s="103"/>
      <c r="AF56" s="103"/>
      <c r="AG56" s="103"/>
      <c r="AH56" s="103"/>
      <c r="AI56" s="103"/>
      <c r="AJ56" s="103"/>
      <c r="AK56" s="101"/>
      <c r="AM56" s="103"/>
      <c r="AN56" s="103"/>
      <c r="AO56" s="103"/>
      <c r="AP56" s="103"/>
      <c r="AQ56" s="103"/>
      <c r="AR56" s="103"/>
      <c r="AS56" s="103"/>
      <c r="AT56" s="101"/>
      <c r="AV56" s="103"/>
      <c r="AW56" s="103"/>
      <c r="AX56" s="103"/>
      <c r="AY56" s="103"/>
      <c r="AZ56" s="103"/>
      <c r="BA56" s="103"/>
      <c r="BB56" s="103"/>
      <c r="BC56" s="101"/>
    </row>
    <row r="57" spans="1:55" s="10" customFormat="1" x14ac:dyDescent="0.35">
      <c r="A57" s="53" t="s">
        <v>20</v>
      </c>
      <c r="B57" s="53"/>
      <c r="C57" s="53"/>
      <c r="D57" s="53"/>
      <c r="E57" s="53"/>
      <c r="F57" s="53"/>
      <c r="G57" s="53"/>
      <c r="H57" s="53"/>
      <c r="I57" s="53"/>
      <c r="J57" s="15" t="s">
        <v>66</v>
      </c>
      <c r="L57" s="103"/>
      <c r="M57" s="103"/>
      <c r="N57" s="103"/>
      <c r="O57" s="103"/>
      <c r="P57" s="103"/>
      <c r="Q57" s="103"/>
      <c r="R57" s="103"/>
      <c r="S57" s="100" t="s">
        <v>384</v>
      </c>
      <c r="U57" s="103"/>
      <c r="V57" s="103"/>
      <c r="W57" s="103"/>
      <c r="X57" s="103"/>
      <c r="Y57" s="103"/>
      <c r="Z57" s="103"/>
      <c r="AA57" s="103"/>
      <c r="AB57" s="101"/>
      <c r="AD57" s="103"/>
      <c r="AE57" s="103"/>
      <c r="AF57" s="103"/>
      <c r="AG57" s="103"/>
      <c r="AH57" s="103"/>
      <c r="AI57" s="103"/>
      <c r="AJ57" s="103"/>
      <c r="AK57" s="101"/>
      <c r="AM57" s="103"/>
      <c r="AN57" s="103"/>
      <c r="AO57" s="103"/>
      <c r="AP57" s="103"/>
      <c r="AQ57" s="103"/>
      <c r="AR57" s="103"/>
      <c r="AS57" s="103"/>
      <c r="AT57" s="101"/>
      <c r="AV57" s="103"/>
      <c r="AW57" s="103"/>
      <c r="AX57" s="103"/>
      <c r="AY57" s="103"/>
      <c r="AZ57" s="103"/>
      <c r="BA57" s="103"/>
      <c r="BB57" s="103"/>
      <c r="BC57" s="101"/>
    </row>
    <row r="58" spans="1:55" s="10" customFormat="1" x14ac:dyDescent="0.35">
      <c r="A58" s="109" t="s">
        <v>385</v>
      </c>
      <c r="B58" s="110"/>
      <c r="C58" s="110"/>
      <c r="D58" s="110"/>
      <c r="E58" s="110"/>
      <c r="F58" s="110"/>
      <c r="G58" s="110"/>
      <c r="H58" s="110"/>
      <c r="I58" s="111"/>
      <c r="J58" s="106" t="s">
        <v>263</v>
      </c>
      <c r="L58" s="103"/>
      <c r="M58" s="103"/>
      <c r="N58" s="103"/>
      <c r="O58" s="103"/>
      <c r="P58" s="103"/>
      <c r="Q58" s="103"/>
      <c r="R58" s="103"/>
      <c r="S58" s="101"/>
      <c r="U58" s="103"/>
      <c r="V58" s="103"/>
      <c r="W58" s="103"/>
      <c r="X58" s="103"/>
      <c r="Y58" s="103"/>
      <c r="Z58" s="103"/>
      <c r="AA58" s="103"/>
      <c r="AB58" s="101"/>
      <c r="AD58" s="103"/>
      <c r="AE58" s="103"/>
      <c r="AF58" s="103"/>
      <c r="AG58" s="103"/>
      <c r="AH58" s="103"/>
      <c r="AI58" s="103"/>
      <c r="AJ58" s="103"/>
      <c r="AK58" s="102"/>
      <c r="AM58" s="103"/>
      <c r="AN58" s="103"/>
      <c r="AO58" s="103"/>
      <c r="AP58" s="103"/>
      <c r="AQ58" s="103"/>
      <c r="AR58" s="103"/>
      <c r="AS58" s="103"/>
      <c r="AT58" s="102"/>
      <c r="AV58" s="103"/>
      <c r="AW58" s="103"/>
      <c r="AX58" s="103"/>
      <c r="AY58" s="103"/>
      <c r="AZ58" s="103"/>
      <c r="BA58" s="103"/>
      <c r="BB58" s="103"/>
      <c r="BC58" s="102"/>
    </row>
    <row r="59" spans="1:55" s="10" customFormat="1" x14ac:dyDescent="0.35">
      <c r="A59" s="112"/>
      <c r="B59" s="113"/>
      <c r="C59" s="113"/>
      <c r="D59" s="113"/>
      <c r="E59" s="113"/>
      <c r="F59" s="113"/>
      <c r="G59" s="113"/>
      <c r="H59" s="113"/>
      <c r="I59" s="114"/>
      <c r="J59" s="101"/>
      <c r="L59" s="103"/>
      <c r="M59" s="103"/>
      <c r="N59" s="103"/>
      <c r="O59" s="103"/>
      <c r="P59" s="103"/>
      <c r="Q59" s="103"/>
      <c r="R59" s="103"/>
      <c r="S59" s="101"/>
      <c r="U59" s="103"/>
      <c r="V59" s="103"/>
      <c r="W59" s="103"/>
      <c r="X59" s="103"/>
      <c r="Y59" s="103"/>
      <c r="Z59" s="103"/>
      <c r="AA59" s="103"/>
      <c r="AB59" s="102"/>
    </row>
    <row r="60" spans="1:55" x14ac:dyDescent="0.35">
      <c r="A60" s="115"/>
      <c r="B60" s="116"/>
      <c r="C60" s="116"/>
      <c r="D60" s="116"/>
      <c r="E60" s="116"/>
      <c r="F60" s="116"/>
      <c r="G60" s="116"/>
      <c r="H60" s="116"/>
      <c r="I60" s="117"/>
      <c r="J60" s="102"/>
      <c r="L60" s="103"/>
      <c r="M60" s="103"/>
      <c r="N60" s="103"/>
      <c r="O60" s="103"/>
      <c r="P60" s="103"/>
      <c r="Q60" s="103"/>
      <c r="R60" s="103"/>
      <c r="S60" s="102"/>
    </row>
    <row r="62" spans="1:55" x14ac:dyDescent="0.35">
      <c r="A62" s="53" t="s">
        <v>386</v>
      </c>
      <c r="B62" s="53"/>
      <c r="C62" s="53"/>
      <c r="D62" s="53"/>
      <c r="E62" s="53"/>
      <c r="F62" s="53"/>
      <c r="G62" s="53"/>
      <c r="H62" s="12" t="str">
        <f ca="1">IF(B12=1, OKText, IF(COUNTIF(H63:H72, "="&amp;IncompleteText), IncompleteText, IF(COUNTIF(H63:H72, "="&amp;ErrorText), ErrorText, OKText)))</f>
        <v>OK</v>
      </c>
      <c r="I62" s="118" t="s">
        <v>387</v>
      </c>
      <c r="J62" s="119"/>
    </row>
    <row r="63" spans="1:55" x14ac:dyDescent="0.35">
      <c r="A63" s="82" t="s">
        <v>388</v>
      </c>
      <c r="B63" s="82"/>
      <c r="C63" s="83"/>
      <c r="D63" s="26"/>
      <c r="E63" s="26"/>
      <c r="F63" s="78" t="s">
        <v>309</v>
      </c>
      <c r="G63" s="75"/>
      <c r="H63" s="12" t="str">
        <f>IF(B12 &lt;&gt; 1, IF(ISBLANK(F63),IncompleteText,OKText), "")</f>
        <v>OK</v>
      </c>
      <c r="I63" s="63" t="s">
        <v>389</v>
      </c>
      <c r="J63" s="120"/>
    </row>
    <row r="64" spans="1:55" x14ac:dyDescent="0.35">
      <c r="A64" s="82" t="s">
        <v>323</v>
      </c>
      <c r="B64" s="82"/>
      <c r="C64" s="83"/>
      <c r="D64" s="26"/>
      <c r="E64" s="26"/>
      <c r="F64" s="78" t="s">
        <v>390</v>
      </c>
      <c r="G64" s="75"/>
      <c r="H64" s="12" t="str">
        <f>IF(F63 = "Purchased", IF(ISBLANK(F64), IncompleteText, OKText), "")</f>
        <v>OK</v>
      </c>
      <c r="I64" s="121"/>
      <c r="J64" s="122"/>
    </row>
    <row r="65" spans="1:11" x14ac:dyDescent="0.35">
      <c r="A65" s="82" t="s">
        <v>391</v>
      </c>
      <c r="B65" s="82"/>
      <c r="C65" s="83"/>
      <c r="D65" s="35"/>
      <c r="E65" s="35"/>
      <c r="F65" s="4">
        <f ca="1">VLOOKUP(F64, FusesTable, 6, FALSE)</f>
        <v>270</v>
      </c>
      <c r="G65" t="s">
        <v>19</v>
      </c>
      <c r="H65" s="12" t="str">
        <f ca="1">IF(F63="Purchased",  _xlfn.IFNA(IF(F65*B12/3 &gt;= W20, OKText, ErrorText),IncompleteText), "")</f>
        <v>OK</v>
      </c>
      <c r="I65" s="121"/>
      <c r="J65" s="122"/>
    </row>
    <row r="66" spans="1:11" x14ac:dyDescent="0.35">
      <c r="A66" s="82" t="s">
        <v>391</v>
      </c>
      <c r="B66" s="82"/>
      <c r="C66" s="83"/>
      <c r="D66" s="35"/>
      <c r="E66" s="35"/>
      <c r="F66" s="3"/>
      <c r="G66" t="s">
        <v>19</v>
      </c>
      <c r="H66" s="12" t="str">
        <f>IF(F63="Team Designed", _xlfn.IFNA(IF(F66*B12/3 &gt;= W20, OKText, ErrorText),IncompleteText), "")</f>
        <v/>
      </c>
      <c r="I66" s="123"/>
      <c r="J66" s="124"/>
    </row>
    <row r="68" spans="1:11" x14ac:dyDescent="0.35">
      <c r="A68" s="53" t="s">
        <v>392</v>
      </c>
      <c r="B68" s="53"/>
      <c r="C68" s="53"/>
      <c r="D68" s="53"/>
      <c r="E68" s="53"/>
      <c r="F68" s="53"/>
      <c r="G68" s="53"/>
    </row>
    <row r="69" spans="1:11" x14ac:dyDescent="0.35">
      <c r="A69" s="82" t="s">
        <v>393</v>
      </c>
      <c r="B69" s="82"/>
      <c r="C69" s="83"/>
      <c r="D69" s="35"/>
      <c r="E69" s="35"/>
      <c r="F69" s="1">
        <f>COUNTIFS(C76:C91, "&lt;300", C76:C91, "&gt;30")</f>
        <v>0</v>
      </c>
      <c r="G69"/>
      <c r="H69" s="12" t="str">
        <f>IF(F$63 = "Team Designed",IF(F69&gt;=4, OKText, ErrorText), "")</f>
        <v/>
      </c>
      <c r="K69" s="2" t="e">
        <f>IF(F66&gt;0,F66,NA())</f>
        <v>#N/A</v>
      </c>
    </row>
    <row r="70" spans="1:11" x14ac:dyDescent="0.35">
      <c r="A70" s="82" t="s">
        <v>394</v>
      </c>
      <c r="B70" s="82"/>
      <c r="C70" s="83"/>
      <c r="D70" s="35"/>
      <c r="E70" s="35"/>
      <c r="F70" s="1">
        <f>COUNTIFS(C76:C91, "&lt;15", C76:C91, "&gt;5")</f>
        <v>0</v>
      </c>
      <c r="G70"/>
      <c r="H70" s="12" t="str">
        <f>IF(F$63 = "Team Designed",IF(F70&gt;=4, OKText, ErrorText), "")</f>
        <v/>
      </c>
      <c r="J70" s="2" t="e">
        <f>IFERROR(10^ROUNDDOWN(LOG10(MIN(C76:C91)), 0),NA())</f>
        <v>#N/A</v>
      </c>
      <c r="K70" s="2" t="e">
        <f>IF(F66&gt;0,F66,NA())</f>
        <v>#N/A</v>
      </c>
    </row>
    <row r="71" spans="1:11" x14ac:dyDescent="0.35">
      <c r="A71" s="82" t="s">
        <v>395</v>
      </c>
      <c r="B71" s="82"/>
      <c r="C71" s="83"/>
      <c r="D71" s="35"/>
      <c r="E71" s="35"/>
      <c r="F71" s="1">
        <f>COUNTIFS(C76:C91, "&lt;1", C76:C91, "&gt;0.2")</f>
        <v>0</v>
      </c>
      <c r="G71"/>
      <c r="H71" s="12" t="str">
        <f>IF(F$63 = "Team Designed",IF(F71&gt;=4, OKText, ErrorText), "")</f>
        <v/>
      </c>
      <c r="J71" s="2" t="e">
        <f>IFERROR(10^ROUNDUP(LOG10(MAX(C76:C91)), 0),NA())</f>
        <v>#N/A</v>
      </c>
    </row>
    <row r="72" spans="1:11" x14ac:dyDescent="0.35">
      <c r="A72" s="82" t="s">
        <v>396</v>
      </c>
      <c r="B72" s="82"/>
      <c r="C72" s="83"/>
      <c r="D72" s="35"/>
      <c r="E72" s="35"/>
      <c r="F72" s="1">
        <f>COUNTIFS(C76:C91, "&lt;0.15", C76:C91, "&gt;0.05")</f>
        <v>0</v>
      </c>
      <c r="G72"/>
      <c r="H72" s="12" t="str">
        <f>IF(F$63 = "Team Designed",IF(F72&gt;=4, OKText, ErrorText), "")</f>
        <v/>
      </c>
    </row>
    <row r="73" spans="1:11" x14ac:dyDescent="0.35">
      <c r="A73" s="2" t="s">
        <v>397</v>
      </c>
    </row>
    <row r="75" spans="1:11" ht="27" x14ac:dyDescent="0.35">
      <c r="A75" t="s">
        <v>398</v>
      </c>
      <c r="B75" s="17" t="s">
        <v>399</v>
      </c>
      <c r="C75" s="17" t="s">
        <v>400</v>
      </c>
      <c r="D75" s="17" t="s">
        <v>401</v>
      </c>
      <c r="E75" s="17" t="s">
        <v>402</v>
      </c>
    </row>
    <row r="76" spans="1:11" x14ac:dyDescent="0.35">
      <c r="A76" t="s">
        <v>403</v>
      </c>
      <c r="B76" s="3"/>
      <c r="C76" s="3"/>
      <c r="D76" s="4" t="e">
        <f>IF(B76&gt;0,B76,NA())</f>
        <v>#N/A</v>
      </c>
      <c r="E76" s="4" t="e">
        <f>IF(C76&gt;0,C76,NA())</f>
        <v>#N/A</v>
      </c>
    </row>
    <row r="77" spans="1:11" x14ac:dyDescent="0.35">
      <c r="A77" t="s">
        <v>404</v>
      </c>
      <c r="B77" s="3"/>
      <c r="C77" s="3"/>
      <c r="D77" s="4" t="e">
        <f t="shared" ref="D77:D91" si="3">IF(B77&gt;0,B77,NA())</f>
        <v>#N/A</v>
      </c>
      <c r="E77" s="4" t="e">
        <f t="shared" ref="E77:E91" si="4">IF(C77&gt;0,C77,NA())</f>
        <v>#N/A</v>
      </c>
    </row>
    <row r="78" spans="1:11" x14ac:dyDescent="0.35">
      <c r="A78" t="s">
        <v>405</v>
      </c>
      <c r="B78" s="3"/>
      <c r="C78" s="3"/>
      <c r="D78" s="4" t="e">
        <f t="shared" si="3"/>
        <v>#N/A</v>
      </c>
      <c r="E78" s="4" t="e">
        <f t="shared" si="4"/>
        <v>#N/A</v>
      </c>
    </row>
    <row r="79" spans="1:11" x14ac:dyDescent="0.35">
      <c r="A79" t="s">
        <v>406</v>
      </c>
      <c r="B79" s="3"/>
      <c r="C79" s="3"/>
      <c r="D79" s="4" t="e">
        <f t="shared" si="3"/>
        <v>#N/A</v>
      </c>
      <c r="E79" s="4" t="e">
        <f t="shared" si="4"/>
        <v>#N/A</v>
      </c>
    </row>
    <row r="80" spans="1:11" x14ac:dyDescent="0.35">
      <c r="A80" t="s">
        <v>407</v>
      </c>
      <c r="B80" s="3"/>
      <c r="C80" s="3"/>
      <c r="D80" s="4" t="e">
        <f t="shared" si="3"/>
        <v>#N/A</v>
      </c>
      <c r="E80" s="4" t="e">
        <f t="shared" si="4"/>
        <v>#N/A</v>
      </c>
    </row>
    <row r="81" spans="1:5" x14ac:dyDescent="0.35">
      <c r="A81" t="s">
        <v>408</v>
      </c>
      <c r="B81" s="3"/>
      <c r="C81" s="3"/>
      <c r="D81" s="4" t="e">
        <f t="shared" si="3"/>
        <v>#N/A</v>
      </c>
      <c r="E81" s="4" t="e">
        <f t="shared" si="4"/>
        <v>#N/A</v>
      </c>
    </row>
    <row r="82" spans="1:5" x14ac:dyDescent="0.35">
      <c r="A82" t="s">
        <v>409</v>
      </c>
      <c r="B82" s="3"/>
      <c r="C82" s="3"/>
      <c r="D82" s="4" t="e">
        <f t="shared" si="3"/>
        <v>#N/A</v>
      </c>
      <c r="E82" s="4" t="e">
        <f t="shared" si="4"/>
        <v>#N/A</v>
      </c>
    </row>
    <row r="83" spans="1:5" x14ac:dyDescent="0.35">
      <c r="A83" t="s">
        <v>410</v>
      </c>
      <c r="B83" s="3"/>
      <c r="C83" s="3"/>
      <c r="D83" s="4" t="e">
        <f t="shared" si="3"/>
        <v>#N/A</v>
      </c>
      <c r="E83" s="4" t="e">
        <f t="shared" si="4"/>
        <v>#N/A</v>
      </c>
    </row>
    <row r="84" spans="1:5" x14ac:dyDescent="0.35">
      <c r="A84" t="s">
        <v>411</v>
      </c>
      <c r="B84" s="3"/>
      <c r="C84" s="3"/>
      <c r="D84" s="4" t="e">
        <f t="shared" si="3"/>
        <v>#N/A</v>
      </c>
      <c r="E84" s="4" t="e">
        <f t="shared" si="4"/>
        <v>#N/A</v>
      </c>
    </row>
    <row r="85" spans="1:5" x14ac:dyDescent="0.35">
      <c r="A85" t="s">
        <v>412</v>
      </c>
      <c r="B85" s="3"/>
      <c r="C85" s="3"/>
      <c r="D85" s="4" t="e">
        <f t="shared" si="3"/>
        <v>#N/A</v>
      </c>
      <c r="E85" s="4" t="e">
        <f t="shared" si="4"/>
        <v>#N/A</v>
      </c>
    </row>
    <row r="86" spans="1:5" x14ac:dyDescent="0.35">
      <c r="A86" t="s">
        <v>413</v>
      </c>
      <c r="B86" s="3"/>
      <c r="C86" s="3"/>
      <c r="D86" s="4" t="e">
        <f t="shared" si="3"/>
        <v>#N/A</v>
      </c>
      <c r="E86" s="4" t="e">
        <f t="shared" si="4"/>
        <v>#N/A</v>
      </c>
    </row>
    <row r="87" spans="1:5" x14ac:dyDescent="0.35">
      <c r="A87" t="s">
        <v>414</v>
      </c>
      <c r="B87" s="3"/>
      <c r="C87" s="3"/>
      <c r="D87" s="4" t="e">
        <f t="shared" si="3"/>
        <v>#N/A</v>
      </c>
      <c r="E87" s="4" t="e">
        <f t="shared" si="4"/>
        <v>#N/A</v>
      </c>
    </row>
    <row r="88" spans="1:5" x14ac:dyDescent="0.35">
      <c r="A88" t="s">
        <v>415</v>
      </c>
      <c r="B88" s="3"/>
      <c r="C88" s="3"/>
      <c r="D88" s="4" t="e">
        <f t="shared" si="3"/>
        <v>#N/A</v>
      </c>
      <c r="E88" s="4" t="e">
        <f t="shared" si="4"/>
        <v>#N/A</v>
      </c>
    </row>
    <row r="89" spans="1:5" x14ac:dyDescent="0.35">
      <c r="A89" t="s">
        <v>416</v>
      </c>
      <c r="B89" s="3"/>
      <c r="C89" s="3"/>
      <c r="D89" s="4" t="e">
        <f t="shared" si="3"/>
        <v>#N/A</v>
      </c>
      <c r="E89" s="4" t="e">
        <f t="shared" si="4"/>
        <v>#N/A</v>
      </c>
    </row>
    <row r="90" spans="1:5" x14ac:dyDescent="0.35">
      <c r="A90" t="s">
        <v>417</v>
      </c>
      <c r="B90" s="3"/>
      <c r="C90" s="3"/>
      <c r="D90" s="4" t="e">
        <f t="shared" si="3"/>
        <v>#N/A</v>
      </c>
      <c r="E90" s="4" t="e">
        <f t="shared" si="4"/>
        <v>#N/A</v>
      </c>
    </row>
    <row r="91" spans="1:5" x14ac:dyDescent="0.35">
      <c r="A91" t="s">
        <v>418</v>
      </c>
      <c r="B91" s="3"/>
      <c r="C91" s="3"/>
      <c r="D91" s="4" t="e">
        <f t="shared" si="3"/>
        <v>#N/A</v>
      </c>
      <c r="E91" s="4" t="e">
        <f t="shared" si="4"/>
        <v>#N/A</v>
      </c>
    </row>
  </sheetData>
  <sheetProtection algorithmName="SHA-512" hashValue="GGbNteXjcSLw7RJUexbMpYaoiH1UYSza0be3xsIStpjvqN2sQx11a8CrdZU388WpZMLrZ+8tYLzfS+TWN3PuKw==" saltValue="gyilWbUHjIa6X+JqA7gSKw==" spinCount="100000" sheet="1" scenarios="1" insertHyperlinks="0"/>
  <mergeCells count="183">
    <mergeCell ref="A3:F3"/>
    <mergeCell ref="A4:F4"/>
    <mergeCell ref="A5:F5"/>
    <mergeCell ref="A6:F6"/>
    <mergeCell ref="F9:G9"/>
    <mergeCell ref="A9:C9"/>
    <mergeCell ref="Q23:R23"/>
    <mergeCell ref="T18:X18"/>
    <mergeCell ref="T21:V21"/>
    <mergeCell ref="H14:I14"/>
    <mergeCell ref="H15:I15"/>
    <mergeCell ref="H16:I16"/>
    <mergeCell ref="H17:I17"/>
    <mergeCell ref="J14:K14"/>
    <mergeCell ref="J15:K15"/>
    <mergeCell ref="H12:I12"/>
    <mergeCell ref="H13:I13"/>
    <mergeCell ref="A8:K8"/>
    <mergeCell ref="G10:G11"/>
    <mergeCell ref="W14:X14"/>
    <mergeCell ref="N11:O11"/>
    <mergeCell ref="Q10:R10"/>
    <mergeCell ref="Q11:R11"/>
    <mergeCell ref="J16:K16"/>
    <mergeCell ref="A70:C70"/>
    <mergeCell ref="A71:C71"/>
    <mergeCell ref="A72:C72"/>
    <mergeCell ref="H20:I20"/>
    <mergeCell ref="A68:G68"/>
    <mergeCell ref="F64:G64"/>
    <mergeCell ref="F63:G63"/>
    <mergeCell ref="A63:C63"/>
    <mergeCell ref="A64:C64"/>
    <mergeCell ref="A65:C65"/>
    <mergeCell ref="A66:C66"/>
    <mergeCell ref="H27:I27"/>
    <mergeCell ref="H28:I28"/>
    <mergeCell ref="A62:G62"/>
    <mergeCell ref="A53:H53"/>
    <mergeCell ref="A54:H54"/>
    <mergeCell ref="A52:I52"/>
    <mergeCell ref="I62:J62"/>
    <mergeCell ref="I63:J66"/>
    <mergeCell ref="H29:I29"/>
    <mergeCell ref="J29:K29"/>
    <mergeCell ref="H22:I22"/>
    <mergeCell ref="J22:K22"/>
    <mergeCell ref="J26:K26"/>
    <mergeCell ref="A69:C69"/>
    <mergeCell ref="J28:K28"/>
    <mergeCell ref="M25:P25"/>
    <mergeCell ref="M26:P26"/>
    <mergeCell ref="M27:P27"/>
    <mergeCell ref="M28:P28"/>
    <mergeCell ref="H25:I25"/>
    <mergeCell ref="J25:K25"/>
    <mergeCell ref="H26:I26"/>
    <mergeCell ref="J58:J60"/>
    <mergeCell ref="A58:I60"/>
    <mergeCell ref="A56:H56"/>
    <mergeCell ref="L54:Q54"/>
    <mergeCell ref="H18:I18"/>
    <mergeCell ref="H19:I19"/>
    <mergeCell ref="J19:K19"/>
    <mergeCell ref="J27:K27"/>
    <mergeCell ref="M17:P17"/>
    <mergeCell ref="M18:P18"/>
    <mergeCell ref="M19:P19"/>
    <mergeCell ref="M20:P20"/>
    <mergeCell ref="H21:I21"/>
    <mergeCell ref="J18:K18"/>
    <mergeCell ref="J20:K20"/>
    <mergeCell ref="J17:K17"/>
    <mergeCell ref="M24:P24"/>
    <mergeCell ref="J21:K21"/>
    <mergeCell ref="M21:P21"/>
    <mergeCell ref="M8:R8"/>
    <mergeCell ref="W9:X9"/>
    <mergeCell ref="T13:X13"/>
    <mergeCell ref="A10:A11"/>
    <mergeCell ref="B10:B11"/>
    <mergeCell ref="Q9:R9"/>
    <mergeCell ref="J10:K11"/>
    <mergeCell ref="H10:I11"/>
    <mergeCell ref="C10:C11"/>
    <mergeCell ref="F10:F11"/>
    <mergeCell ref="J12:K12"/>
    <mergeCell ref="J13:K13"/>
    <mergeCell ref="T9:V9"/>
    <mergeCell ref="Z9:AC9"/>
    <mergeCell ref="Z10:AC10"/>
    <mergeCell ref="Z13:AC13"/>
    <mergeCell ref="T8:X8"/>
    <mergeCell ref="Z11:AC11"/>
    <mergeCell ref="T11:V11"/>
    <mergeCell ref="W11:X11"/>
    <mergeCell ref="AD9:AE9"/>
    <mergeCell ref="AD13:AE13"/>
    <mergeCell ref="Z12:AC12"/>
    <mergeCell ref="AD12:AE12"/>
    <mergeCell ref="AG8:AM8"/>
    <mergeCell ref="AG9:AM29"/>
    <mergeCell ref="A57:I57"/>
    <mergeCell ref="L56:R56"/>
    <mergeCell ref="L57:R60"/>
    <mergeCell ref="U55:AA55"/>
    <mergeCell ref="U56:AA59"/>
    <mergeCell ref="AD54:AJ54"/>
    <mergeCell ref="AD55:AJ58"/>
    <mergeCell ref="A33:J51"/>
    <mergeCell ref="M9:P9"/>
    <mergeCell ref="M10:P10"/>
    <mergeCell ref="M12:P12"/>
    <mergeCell ref="M13:P13"/>
    <mergeCell ref="M14:P14"/>
    <mergeCell ref="M15:P15"/>
    <mergeCell ref="S57:S60"/>
    <mergeCell ref="AD33:AK51"/>
    <mergeCell ref="Z8:AE8"/>
    <mergeCell ref="T12:V12"/>
    <mergeCell ref="T10:V10"/>
    <mergeCell ref="Z20:AC20"/>
    <mergeCell ref="M23:P23"/>
    <mergeCell ref="M29:P29"/>
    <mergeCell ref="BC55:BC58"/>
    <mergeCell ref="AV54:BB54"/>
    <mergeCell ref="AV55:BB58"/>
    <mergeCell ref="AV33:BC51"/>
    <mergeCell ref="AV52:BB52"/>
    <mergeCell ref="AV53:BA53"/>
    <mergeCell ref="U53:Z53"/>
    <mergeCell ref="M30:P30"/>
    <mergeCell ref="U33:AB51"/>
    <mergeCell ref="L52:R52"/>
    <mergeCell ref="L53:Q53"/>
    <mergeCell ref="L55:Q55"/>
    <mergeCell ref="L33:S51"/>
    <mergeCell ref="U52:AA52"/>
    <mergeCell ref="AT55:AT58"/>
    <mergeCell ref="AM33:AT51"/>
    <mergeCell ref="AM52:AS52"/>
    <mergeCell ref="AM53:AR53"/>
    <mergeCell ref="AM54:AS54"/>
    <mergeCell ref="AM55:AS58"/>
    <mergeCell ref="AK55:AK58"/>
    <mergeCell ref="AB56:AB59"/>
    <mergeCell ref="U54:Z54"/>
    <mergeCell ref="AD52:AJ52"/>
    <mergeCell ref="AD53:AI53"/>
    <mergeCell ref="T20:V20"/>
    <mergeCell ref="T22:X22"/>
    <mergeCell ref="T23:V23"/>
    <mergeCell ref="W23:X23"/>
    <mergeCell ref="T24:V24"/>
    <mergeCell ref="AD20:AE20"/>
    <mergeCell ref="Q26:R26"/>
    <mergeCell ref="A55:H55"/>
    <mergeCell ref="Q20:R20"/>
    <mergeCell ref="M22:R22"/>
    <mergeCell ref="J23:K23"/>
    <mergeCell ref="H24:I24"/>
    <mergeCell ref="J24:K24"/>
    <mergeCell ref="H23:I23"/>
    <mergeCell ref="Q27:R27"/>
    <mergeCell ref="Z14:AC14"/>
    <mergeCell ref="Z15:AC15"/>
    <mergeCell ref="Z17:AC17"/>
    <mergeCell ref="Z18:AC18"/>
    <mergeCell ref="Z19:AC19"/>
    <mergeCell ref="Z16:AC16"/>
    <mergeCell ref="AD16:AE16"/>
    <mergeCell ref="Q15:R15"/>
    <mergeCell ref="M16:R16"/>
    <mergeCell ref="T14:V14"/>
    <mergeCell ref="T15:V15"/>
    <mergeCell ref="T16:V16"/>
    <mergeCell ref="Q14:R14"/>
    <mergeCell ref="Q18:R18"/>
    <mergeCell ref="Q19:R19"/>
    <mergeCell ref="AD17:AE17"/>
    <mergeCell ref="T17:V17"/>
    <mergeCell ref="W19:X19"/>
    <mergeCell ref="T19:V19"/>
  </mergeCells>
  <conditionalFormatting sqref="A63:H66 B76:C91">
    <cfRule type="expression" dxfId="13" priority="12">
      <formula>$B$12 = 1</formula>
    </cfRule>
  </conditionalFormatting>
  <conditionalFormatting sqref="A64:H65">
    <cfRule type="expression" dxfId="12" priority="15">
      <formula>$F$63 = "Team Designed"</formula>
    </cfRule>
  </conditionalFormatting>
  <conditionalFormatting sqref="A66:H66 B75:C91">
    <cfRule type="expression" dxfId="11" priority="14">
      <formula>$F$63 = "Purchased"</formula>
    </cfRule>
  </conditionalFormatting>
  <conditionalFormatting sqref="L54:S54">
    <cfRule type="expression" dxfId="10" priority="1">
      <formula>$B$12 = 1</formula>
    </cfRule>
  </conditionalFormatting>
  <conditionalFormatting sqref="M14:M15 Q14:Q15">
    <cfRule type="expression" dxfId="9" priority="17">
      <formula>$Q$10="Purchased"</formula>
    </cfRule>
  </conditionalFormatting>
  <conditionalFormatting sqref="M20 Q20:R20">
    <cfRule type="expression" dxfId="8" priority="16">
      <formula>$Q$19&lt;&gt;"Other"</formula>
    </cfRule>
  </conditionalFormatting>
  <conditionalFormatting sqref="M24 Q24:S24">
    <cfRule type="expression" dxfId="7" priority="7">
      <formula>$Q$23="On cell terminal"</formula>
    </cfRule>
  </conditionalFormatting>
  <conditionalFormatting sqref="M11:N11 P11:Q11">
    <cfRule type="expression" dxfId="6" priority="18">
      <formula>$Q$10="Team Built"</formula>
    </cfRule>
  </conditionalFormatting>
  <conditionalFormatting sqref="T11:Y12">
    <cfRule type="expression" dxfId="5" priority="20">
      <formula>$G$3 ="Series"</formula>
    </cfRule>
  </conditionalFormatting>
  <dataValidations count="12">
    <dataValidation type="list" allowBlank="1" showInputMessage="1" showErrorMessage="1" sqref="Q9" xr:uid="{00000000-0002-0000-0300-000000000000}">
      <formula1>"Distributed, Centralized"</formula1>
    </dataValidation>
    <dataValidation type="list" allowBlank="1" showInputMessage="1" showErrorMessage="1" sqref="Q19" xr:uid="{00000000-0002-0000-0300-000001000000}">
      <formula1>"BMS PCB, Conductor, Other"</formula1>
    </dataValidation>
    <dataValidation type="list" allowBlank="1" showInputMessage="1" showErrorMessage="1" sqref="Q10" xr:uid="{00000000-0002-0000-0300-000002000000}">
      <formula1>"Purchased, Team Built"</formula1>
    </dataValidation>
    <dataValidation type="list" allowBlank="1" showInputMessage="1" showErrorMessage="1" sqref="W9:X9 W23:X23" xr:uid="{00000000-0002-0000-0300-000003000000}">
      <formula1>ConnectorNames</formula1>
    </dataValidation>
    <dataValidation type="list" allowBlank="1" showInputMessage="1" showErrorMessage="1" sqref="W14" xr:uid="{00000000-0002-0000-0300-000004000000}">
      <formula1>ContactorNames</formula1>
    </dataValidation>
    <dataValidation type="list" allowBlank="1" showInputMessage="1" showErrorMessage="1" sqref="Q18:R18 F64 W19 W11" xr:uid="{00000000-0002-0000-0300-000005000000}">
      <formula1>FuseNames</formula1>
    </dataValidation>
    <dataValidation type="list" allowBlank="1" showInputMessage="1" showErrorMessage="1" sqref="AD9:AE9 AD13:AE13 AD17" xr:uid="{00000000-0002-0000-0300-000006000000}">
      <formula1>InsulationNames</formula1>
    </dataValidation>
    <dataValidation type="list" allowBlank="1" showInputMessage="1" showErrorMessage="1" sqref="F9" xr:uid="{FEBBBF5F-743C-41A6-9672-F95C8045A6EB}">
      <formula1>"Parallel then Series, Series then Parallel"</formula1>
    </dataValidation>
    <dataValidation type="list" allowBlank="1" showInputMessage="1" showErrorMessage="1" sqref="F63" xr:uid="{EC03A901-3090-449C-8CF9-077968499065}">
      <formula1>"Purchased,Team Designed"</formula1>
    </dataValidation>
    <dataValidation type="list" allowBlank="1" showInputMessage="1" showErrorMessage="1" sqref="AA53:AA54 AJ53 BB53 AS53 I53:I56 R53:R55" xr:uid="{00000000-0002-0000-0300-00000A000000}">
      <formula1>"TRUE,FALSE"</formula1>
    </dataValidation>
    <dataValidation type="list" allowBlank="1" showInputMessage="1" showErrorMessage="1" sqref="Q23" xr:uid="{00000000-0002-0000-0300-00000B000000}">
      <formula1>"On cell terminal,On bus bar"</formula1>
    </dataValidation>
    <dataValidation type="list" allowBlank="1" showInputMessage="1" showErrorMessage="1" sqref="G3" xr:uid="{B7DEC16E-C209-4A56-9CF9-ED6B2438E6CF}">
      <formula1>"Parallel, Series"</formula1>
    </dataValidation>
  </dataValidations>
  <pageMargins left="0.25" right="0.25" top="0.75" bottom="0.75" header="0.3" footer="0.3"/>
  <pageSetup paperSize="8" scale="60" orientation="landscape" cellComments="atEnd" r:id="rId1"/>
  <headerFooter>
    <oddFooter>&amp;R&amp;1#&amp;"Calibri"&amp;10&amp;KFF0000Public</oddFooter>
  </headerFooter>
  <ignoredErrors>
    <ignoredError sqref="W10 W12" evalErro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40"/>
  <sheetViews>
    <sheetView zoomScale="52" zoomScaleNormal="100" workbookViewId="0">
      <selection activeCell="J12" sqref="J12"/>
    </sheetView>
  </sheetViews>
  <sheetFormatPr defaultColWidth="8.71875" defaultRowHeight="13.5" x14ac:dyDescent="0.35"/>
  <cols>
    <col min="1" max="3" width="8.71875" style="2" customWidth="1"/>
    <col min="4" max="4" width="8.88671875" style="2" bestFit="1" customWidth="1"/>
    <col min="5" max="16384" width="8.71875" style="2"/>
  </cols>
  <sheetData>
    <row r="1" spans="1:20" x14ac:dyDescent="0.35">
      <c r="A1" s="26" t="s">
        <v>1</v>
      </c>
      <c r="B1" s="12" t="str" cm="1">
        <f t="array" aca="1" ref="B1" ca="1">IF(SUM(COUNTIF(INDIRECT({"PrechargeDischarge!$F$2","PrechargeDischarge!$L$2","PrechargeDischarge!$R$2","PrechargeDischarge!$R$10"}), "="&amp;IncompleteText)), IncompleteText, IF(SUM(COUNTIF(INDIRECT({"PrechargeDischarge!$F$2","PrechargeDischarge!$L$2","PrechargeDischarge!$R$2","PrechargeDischarge!$R$10"}), "="&amp;ErrorText)), ErrorText, OKText))</f>
        <v>OK</v>
      </c>
    </row>
    <row r="2" spans="1:20" x14ac:dyDescent="0.35">
      <c r="A2" s="53" t="s">
        <v>144</v>
      </c>
      <c r="B2" s="53"/>
      <c r="C2" s="53"/>
      <c r="D2" s="53"/>
      <c r="E2" s="53"/>
      <c r="F2" s="12" t="str">
        <f ca="1">IF(COUNTIF(F3:F22, "="&amp;IncompleteText), IncompleteText, IF(COUNTIF(F3:F22, "="&amp;ErrorText), ErrorText, OKText))</f>
        <v>OK</v>
      </c>
      <c r="G2" s="53" t="s">
        <v>150</v>
      </c>
      <c r="H2" s="53"/>
      <c r="I2" s="53"/>
      <c r="J2" s="53"/>
      <c r="K2" s="53"/>
      <c r="L2" s="12" t="str">
        <f ca="1">IF(COUNTIF(L3:L16, "="&amp;IncompleteText), IncompleteText, IF(COUNTIF(L3:L16, "="&amp;ErrorText), ErrorText, OKText))</f>
        <v>OK</v>
      </c>
      <c r="M2" s="53" t="s">
        <v>419</v>
      </c>
      <c r="N2" s="53"/>
      <c r="O2" s="53"/>
      <c r="P2" s="53"/>
      <c r="Q2" s="53"/>
      <c r="R2" s="12" t="str">
        <f ca="1">IF(COUNTIF(R3:R8, "="&amp;IncompleteText), IncompleteText, IF(COUNTIF(R3:R8, "="&amp;ErrorText), ErrorText, OKText))</f>
        <v>OK</v>
      </c>
      <c r="S2" s="86" t="s">
        <v>66</v>
      </c>
      <c r="T2" s="126"/>
    </row>
    <row r="3" spans="1:20" x14ac:dyDescent="0.35">
      <c r="A3" s="82" t="s">
        <v>420</v>
      </c>
      <c r="B3" s="82"/>
      <c r="C3" s="83"/>
      <c r="D3" s="78" t="s">
        <v>421</v>
      </c>
      <c r="E3" s="75"/>
      <c r="F3" s="12" t="str">
        <f>IF(ISBLANK(D3), IncompleteText, OKText)</f>
        <v>OK</v>
      </c>
      <c r="G3" s="82" t="s">
        <v>420</v>
      </c>
      <c r="H3" s="82"/>
      <c r="I3" s="83"/>
      <c r="J3" s="78" t="s">
        <v>422</v>
      </c>
      <c r="K3" s="75"/>
      <c r="L3" s="12" t="str">
        <f>IF(ISBLANK(J3), IncompleteText, OKText)</f>
        <v>OK</v>
      </c>
      <c r="M3" s="82" t="s">
        <v>420</v>
      </c>
      <c r="N3" s="82"/>
      <c r="O3" s="83"/>
      <c r="P3" s="78" t="s">
        <v>423</v>
      </c>
      <c r="Q3" s="75"/>
      <c r="R3" s="12" t="str">
        <f>IF(ISBLANK(P3), IncompleteText, OKText)</f>
        <v>OK</v>
      </c>
      <c r="S3" s="127" t="s">
        <v>424</v>
      </c>
      <c r="T3" s="127"/>
    </row>
    <row r="4" spans="1:20" x14ac:dyDescent="0.35">
      <c r="A4" s="82" t="s">
        <v>425</v>
      </c>
      <c r="B4" s="82"/>
      <c r="C4" s="83"/>
      <c r="D4" s="3">
        <v>1</v>
      </c>
      <c r="E4"/>
      <c r="F4" s="12" t="str">
        <f>IF(ISBLANK(D4), IncompleteText, OKText)</f>
        <v>OK</v>
      </c>
      <c r="G4" s="82" t="s">
        <v>425</v>
      </c>
      <c r="H4" s="82"/>
      <c r="I4" s="83"/>
      <c r="J4" s="3">
        <v>1</v>
      </c>
      <c r="K4"/>
      <c r="L4" s="12" t="str">
        <f>IF(ISBLANK(J4), IncompleteText, OKText)</f>
        <v>OK</v>
      </c>
      <c r="M4" s="82" t="s">
        <v>425</v>
      </c>
      <c r="N4" s="82"/>
      <c r="O4" s="83"/>
      <c r="P4" s="73">
        <v>1</v>
      </c>
      <c r="Q4" s="73"/>
      <c r="R4" s="12" t="str">
        <f>IF(ISBLANK(P4), IncompleteText, OKText)</f>
        <v>OK</v>
      </c>
      <c r="S4" s="128"/>
      <c r="T4" s="128"/>
    </row>
    <row r="5" spans="1:20" x14ac:dyDescent="0.35">
      <c r="A5" s="82" t="s">
        <v>426</v>
      </c>
      <c r="B5" s="82"/>
      <c r="C5" s="83"/>
      <c r="D5" s="3">
        <v>1</v>
      </c>
      <c r="E5"/>
      <c r="F5" s="12" t="str">
        <f>IF(ISBLANK(D5), IncompleteText, OKText)</f>
        <v>OK</v>
      </c>
      <c r="G5" s="82" t="s">
        <v>426</v>
      </c>
      <c r="H5" s="82"/>
      <c r="I5" s="83"/>
      <c r="J5" s="3">
        <v>1</v>
      </c>
      <c r="K5"/>
      <c r="L5" s="12" t="str">
        <f>IF(ISBLANK(J5), IncompleteText, OKText)</f>
        <v>OK</v>
      </c>
      <c r="M5" s="82" t="s">
        <v>426</v>
      </c>
      <c r="N5" s="82"/>
      <c r="O5" s="83"/>
      <c r="P5" s="73">
        <v>1</v>
      </c>
      <c r="Q5" s="73"/>
      <c r="R5" s="12" t="str">
        <f>IF(ISBLANK(P5), IncompleteText, OKText)</f>
        <v>OK</v>
      </c>
      <c r="S5" s="128"/>
      <c r="T5" s="128"/>
    </row>
    <row r="6" spans="1:20" x14ac:dyDescent="0.35">
      <c r="A6" s="82" t="s">
        <v>427</v>
      </c>
      <c r="B6" s="82"/>
      <c r="C6" s="83"/>
      <c r="D6" s="1">
        <f ca="1">VLOOKUP(D3, ResistorsTable, 5, )*D5/D4</f>
        <v>560</v>
      </c>
      <c r="E6" t="s">
        <v>428</v>
      </c>
      <c r="G6" s="82" t="s">
        <v>427</v>
      </c>
      <c r="H6" s="82"/>
      <c r="I6" s="83"/>
      <c r="J6" s="1">
        <f ca="1">VLOOKUP(J3, ResistorsTable, 5, )*J5/J4</f>
        <v>3300</v>
      </c>
      <c r="K6" t="s">
        <v>428</v>
      </c>
      <c r="M6" s="82" t="s">
        <v>427</v>
      </c>
      <c r="N6" s="82"/>
      <c r="O6" s="83"/>
      <c r="P6" s="1">
        <f ca="1">VLOOKUP(P3, ResistorsTable, 5, )*P5/P4</f>
        <v>15000</v>
      </c>
      <c r="Q6" t="s">
        <v>428</v>
      </c>
      <c r="R6" s="12" t="str">
        <f ca="1">IF(MaxTSVoltage&lt;=200,IF(P6=5000, OKText, ErrorText),IF(MaxTSVoltage &gt; 400, IF(P6=15000, OKText, ErrorText), IF(P6=10000, OKText, ErrorText)))</f>
        <v>OK</v>
      </c>
      <c r="S6" s="128"/>
      <c r="T6" s="128"/>
    </row>
    <row r="7" spans="1:20" x14ac:dyDescent="0.35">
      <c r="A7" s="82" t="s">
        <v>429</v>
      </c>
      <c r="B7" s="82"/>
      <c r="C7" s="83"/>
      <c r="D7" s="1">
        <f ca="1">VLOOKUP(D3, ResistorsTable, 6, FALSE)*D4*D5</f>
        <v>25</v>
      </c>
      <c r="E7" t="s">
        <v>430</v>
      </c>
      <c r="G7" s="82" t="s">
        <v>429</v>
      </c>
      <c r="H7" s="82"/>
      <c r="I7" s="83"/>
      <c r="J7" s="1">
        <f ca="1">VLOOKUP(J3, ResistorsTable, 6, FALSE)*J4*J5</f>
        <v>100</v>
      </c>
      <c r="K7" t="s">
        <v>430</v>
      </c>
      <c r="M7" s="82" t="s">
        <v>429</v>
      </c>
      <c r="N7" s="82"/>
      <c r="O7" s="83"/>
      <c r="P7" s="1">
        <f ca="1">VLOOKUP(P3, ResistorsTable, 6, FALSE)*P5*P4</f>
        <v>5</v>
      </c>
      <c r="Q7" t="s">
        <v>430</v>
      </c>
      <c r="R7" s="12" t="str">
        <f ca="1">IF(P7&lt;(MaxTSVoltage/2)^2/P6, ErrorText, OKText)</f>
        <v>OK</v>
      </c>
      <c r="S7" s="128"/>
      <c r="T7" s="128"/>
    </row>
    <row r="8" spans="1:20" x14ac:dyDescent="0.35">
      <c r="A8" s="82" t="s">
        <v>431</v>
      </c>
      <c r="B8" s="82"/>
      <c r="C8" s="83"/>
      <c r="D8" s="1">
        <f ca="1">VLOOKUP(D3, ResistorsTable, 7, FALSE)*D4*D5</f>
        <v>75</v>
      </c>
      <c r="E8" t="s">
        <v>430</v>
      </c>
      <c r="G8" s="82" t="s">
        <v>431</v>
      </c>
      <c r="H8" s="82"/>
      <c r="I8" s="83"/>
      <c r="J8" s="1">
        <f ca="1">VLOOKUP(J3, ResistorsTable, 7, FALSE)*J4*J5</f>
        <v>500</v>
      </c>
      <c r="K8" t="s">
        <v>430</v>
      </c>
      <c r="L8" s="12" t="str">
        <f ca="1">IF(J8&lt;MaxTSVoltage^2/DischargeRes, ErrorText, OKText)</f>
        <v>OK</v>
      </c>
      <c r="M8" s="82" t="s">
        <v>432</v>
      </c>
      <c r="N8" s="82"/>
      <c r="O8" s="83"/>
      <c r="P8" s="1">
        <f ca="1">VLOOKUP(P3, ResistorsTable, 4, FALSE)*P5</f>
        <v>500</v>
      </c>
      <c r="Q8" t="s">
        <v>17</v>
      </c>
      <c r="R8" s="12" t="str">
        <f ca="1">IF(P8&lt;(MaxTSVoltage/2), ErrorText, OKText)</f>
        <v>OK</v>
      </c>
      <c r="S8" s="128"/>
      <c r="T8" s="128"/>
    </row>
    <row r="9" spans="1:20" x14ac:dyDescent="0.35">
      <c r="A9" s="82" t="s">
        <v>432</v>
      </c>
      <c r="B9" s="82"/>
      <c r="C9" s="83"/>
      <c r="D9" s="1">
        <f ca="1">VLOOKUP(D3, ResistorsTable, 4, FALSE)*D5</f>
        <v>550</v>
      </c>
      <c r="E9" t="s">
        <v>17</v>
      </c>
      <c r="F9" s="12" t="str">
        <f ca="1">IF(D9&lt;MaxTSVoltage, ErrorText, OKText)</f>
        <v>OK</v>
      </c>
      <c r="G9" s="82" t="s">
        <v>432</v>
      </c>
      <c r="H9" s="82"/>
      <c r="I9" s="83"/>
      <c r="J9" s="1">
        <f ca="1">VLOOKUP(J3, ResistorsTable, 4, FALSE)*J5</f>
        <v>700</v>
      </c>
      <c r="K9" t="s">
        <v>17</v>
      </c>
      <c r="L9" s="12" t="str">
        <f ca="1">IF(J9&lt;MaxTSVoltage, ErrorText, OKText)</f>
        <v>OK</v>
      </c>
    </row>
    <row r="10" spans="1:20" x14ac:dyDescent="0.35">
      <c r="A10" s="82" t="s">
        <v>433</v>
      </c>
      <c r="B10" s="82"/>
      <c r="C10" s="83"/>
      <c r="D10" s="25">
        <v>0.65</v>
      </c>
      <c r="E10" t="s">
        <v>434</v>
      </c>
      <c r="F10" s="12" t="str">
        <f>IF(ISBLANK(BusCap), IncompleteText, OKText)</f>
        <v>OK</v>
      </c>
      <c r="G10" s="82" t="s">
        <v>435</v>
      </c>
      <c r="H10" s="82"/>
      <c r="I10" s="83"/>
      <c r="J10" s="1">
        <f ca="1">MaxTSVoltage^2/DischargeRes</f>
        <v>62.349381818181826</v>
      </c>
      <c r="K10" t="s">
        <v>430</v>
      </c>
      <c r="M10" s="53" t="s">
        <v>436</v>
      </c>
      <c r="N10" s="53"/>
      <c r="O10" s="53"/>
      <c r="P10" s="53"/>
      <c r="Q10" s="53"/>
      <c r="R10" s="12" t="str">
        <f>IF(COUNTIF(R11:R17, "="&amp;IncompleteText), IncompleteText, IF(COUNTIF(R11:R17, "="&amp;ErrorText), ErrorText, OKText))</f>
        <v>OK</v>
      </c>
      <c r="S10" s="86" t="s">
        <v>66</v>
      </c>
      <c r="T10" s="126"/>
    </row>
    <row r="11" spans="1:20" x14ac:dyDescent="0.35">
      <c r="A11" s="82" t="s">
        <v>437</v>
      </c>
      <c r="B11" s="82"/>
      <c r="C11" s="83"/>
      <c r="D11" s="52" t="s">
        <v>438</v>
      </c>
      <c r="E11" s="52"/>
      <c r="F11" s="12" t="str">
        <f>IF(ISBLANK(D11), IncompleteText, OKText)</f>
        <v>OK</v>
      </c>
      <c r="G11" s="82" t="s">
        <v>439</v>
      </c>
      <c r="H11" s="82"/>
      <c r="I11" s="83"/>
      <c r="J11" s="5">
        <f ca="1">MaxTSVoltage/DischargeRes</f>
        <v>0.13745454545454547</v>
      </c>
      <c r="K11" t="s">
        <v>19</v>
      </c>
      <c r="M11" s="82" t="s">
        <v>440</v>
      </c>
      <c r="N11" s="82"/>
      <c r="O11" s="83"/>
      <c r="P11" s="78" t="s">
        <v>441</v>
      </c>
      <c r="Q11" s="75"/>
      <c r="R11" s="12" t="str">
        <f>IF(ISBLANK(P11), IncompleteText, OKText)</f>
        <v>OK</v>
      </c>
      <c r="S11" s="127" t="s">
        <v>424</v>
      </c>
      <c r="T11" s="127"/>
    </row>
    <row r="12" spans="1:20" x14ac:dyDescent="0.35">
      <c r="A12" s="82"/>
      <c r="B12" s="82"/>
      <c r="C12" s="83"/>
      <c r="D12" s="3"/>
      <c r="E12"/>
      <c r="F12" s="12"/>
      <c r="G12" s="82" t="s">
        <v>442</v>
      </c>
      <c r="H12" s="82"/>
      <c r="I12" s="82"/>
      <c r="J12" s="1">
        <f ca="1">-LN(60/MaxTSVoltage)*DischargeRes*(BusCap/1000)</f>
        <v>4.3390587029606422</v>
      </c>
      <c r="K12" t="s">
        <v>443</v>
      </c>
      <c r="L12" s="12" t="str">
        <f ca="1">IF(J12&gt;5, ErrorText, OKText)</f>
        <v>OK</v>
      </c>
      <c r="M12" s="82" t="s">
        <v>420</v>
      </c>
      <c r="N12" s="82"/>
      <c r="O12" s="83"/>
      <c r="P12" s="78"/>
      <c r="Q12" s="75"/>
      <c r="R12" s="12" t="str">
        <f>IF(P$11="No",IF(ISBLANK(P12), IncompleteText, OKText),"")</f>
        <v/>
      </c>
      <c r="S12" s="128"/>
      <c r="T12" s="128"/>
    </row>
    <row r="13" spans="1:20" x14ac:dyDescent="0.35">
      <c r="A13" s="82" t="s">
        <v>444</v>
      </c>
      <c r="B13" s="82"/>
      <c r="C13" s="83"/>
      <c r="D13" s="3"/>
      <c r="E13" t="s">
        <v>17</v>
      </c>
      <c r="F13" s="12" t="str">
        <f>IF(D11&lt;&gt;"Delta Voltage", "", IF(ISBLANK(D13), IncompleteText, IF(D13 &gt; MaxTSVoltage*0.1, ErrorText, OKText)))</f>
        <v/>
      </c>
      <c r="G13" s="82" t="s">
        <v>445</v>
      </c>
      <c r="H13" s="82"/>
      <c r="I13" s="83"/>
      <c r="J13" s="52" t="s">
        <v>446</v>
      </c>
      <c r="K13" s="52"/>
      <c r="L13" s="12" t="str">
        <f>IF(ISBLANK(J13), IncompleteText, OKText)</f>
        <v>OK</v>
      </c>
      <c r="M13" s="82" t="s">
        <v>425</v>
      </c>
      <c r="N13" s="82"/>
      <c r="O13" s="83"/>
      <c r="P13" s="73"/>
      <c r="Q13" s="73"/>
      <c r="R13" s="12" t="str">
        <f>IF(P$11="No",IF(ISBLANK(P13), IncompleteText, OKText),"")</f>
        <v/>
      </c>
      <c r="S13" s="128"/>
      <c r="T13" s="128"/>
    </row>
    <row r="14" spans="1:20" x14ac:dyDescent="0.35">
      <c r="A14" s="82" t="s">
        <v>447</v>
      </c>
      <c r="B14" s="82"/>
      <c r="C14" s="83"/>
      <c r="D14" s="3">
        <v>90</v>
      </c>
      <c r="E14" t="s">
        <v>356</v>
      </c>
      <c r="F14" s="12" t="str">
        <f>IF(D11&lt;&gt;"Ratio", "", IF(ISBLANK(D14), IncompleteText, IF(D14 &lt; 90, ErrorText, OKText)))</f>
        <v>OK</v>
      </c>
      <c r="G14" s="82" t="s">
        <v>448</v>
      </c>
      <c r="H14" s="82"/>
      <c r="I14" s="83"/>
      <c r="J14" s="1">
        <f ca="1">VLOOKUP(J13, ContactorsTable, 4, FALSE)</f>
        <v>7000</v>
      </c>
      <c r="K14" t="s">
        <v>17</v>
      </c>
      <c r="L14" s="12" t="str">
        <f ca="1">IF(J14&lt;MaxTSVoltage, ErrorText, OKText)</f>
        <v>OK</v>
      </c>
      <c r="M14" s="82" t="s">
        <v>426</v>
      </c>
      <c r="N14" s="82"/>
      <c r="O14" s="83"/>
      <c r="P14" s="73"/>
      <c r="Q14" s="73"/>
      <c r="R14" s="12" t="str">
        <f>IF(P$11="No",IF(ISBLANK(P14), IncompleteText, OKText),"")</f>
        <v/>
      </c>
      <c r="S14" s="128"/>
      <c r="T14" s="128"/>
    </row>
    <row r="15" spans="1:20" x14ac:dyDescent="0.35">
      <c r="A15" s="82" t="s">
        <v>435</v>
      </c>
      <c r="B15" s="82"/>
      <c r="C15" s="83"/>
      <c r="D15" s="1">
        <f ca="1">MaxTSVoltage^2/PrechargeRes</f>
        <v>367.41600000000005</v>
      </c>
      <c r="E15" t="s">
        <v>430</v>
      </c>
      <c r="G15" s="82" t="s">
        <v>449</v>
      </c>
      <c r="H15" s="82"/>
      <c r="I15" s="83"/>
      <c r="J15" s="1">
        <f ca="1">VLOOKUP(J13, ContactorsTable, 5, FALSE)</f>
        <v>2</v>
      </c>
      <c r="K15" t="s">
        <v>19</v>
      </c>
      <c r="L15" s="12" t="str">
        <f ca="1">IF(J15&lt;J11, ErrorText, OKText)</f>
        <v>OK</v>
      </c>
      <c r="M15" s="82" t="s">
        <v>427</v>
      </c>
      <c r="N15" s="82"/>
      <c r="O15" s="83"/>
      <c r="P15" s="1" t="e">
        <f ca="1">VLOOKUP(P12, ResistorsTable, 5, )*P14/P13</f>
        <v>#N/A</v>
      </c>
      <c r="Q15" t="s">
        <v>428</v>
      </c>
      <c r="R15" s="12" t="str">
        <f>IF(P$11="No",IF(MaxTSVoltage&lt;=200,IF(P15=5000, OKText, ErrorText),IF(MaxTSVoltage &gt; 400, IF(P15=15000, OKText, ErrorText), IF(P15=10000, OKText, ErrorText))),"")</f>
        <v/>
      </c>
      <c r="S15" s="128"/>
      <c r="T15" s="128"/>
    </row>
    <row r="16" spans="1:20" x14ac:dyDescent="0.35">
      <c r="A16" s="82" t="s">
        <v>439</v>
      </c>
      <c r="B16" s="82"/>
      <c r="C16" s="83"/>
      <c r="D16" s="5">
        <f ca="1">MaxTSVoltage/PrechargeRes</f>
        <v>0.81</v>
      </c>
      <c r="E16" t="s">
        <v>19</v>
      </c>
      <c r="G16" s="82" t="s">
        <v>159</v>
      </c>
      <c r="H16" s="82"/>
      <c r="I16" s="83"/>
      <c r="J16" s="1" t="str">
        <f ca="1">VLOOKUP(J13, ContactorsTable, 7, FALSE)</f>
        <v>NC</v>
      </c>
      <c r="K16"/>
      <c r="L16" s="12" t="str">
        <f ca="1">IF(J16&lt;&gt; "NC", ErrorText, OKText)</f>
        <v>OK</v>
      </c>
      <c r="M16" s="82" t="s">
        <v>429</v>
      </c>
      <c r="N16" s="82"/>
      <c r="O16" s="83"/>
      <c r="P16" s="1" t="e">
        <f ca="1">VLOOKUP(P12, ResistorsTable, 6, FALSE)*P14*P13</f>
        <v>#N/A</v>
      </c>
      <c r="Q16" t="s">
        <v>430</v>
      </c>
      <c r="R16" s="12" t="str">
        <f>IF(P$11="No",IF(P16&lt;(MaxTSVoltage/2)^2/P15, ErrorText, OKText),"")</f>
        <v/>
      </c>
      <c r="S16" s="128"/>
      <c r="T16" s="128"/>
    </row>
    <row r="17" spans="1:18" x14ac:dyDescent="0.35">
      <c r="A17" s="82" t="s">
        <v>450</v>
      </c>
      <c r="B17" s="82"/>
      <c r="C17" s="83"/>
      <c r="D17" s="5">
        <f ca="1">-LN(0.1)*(BusCap/1000)*PrechargeRes</f>
        <v>0.83814097384983255</v>
      </c>
      <c r="E17" t="s">
        <v>451</v>
      </c>
      <c r="G17" s="86" t="s">
        <v>66</v>
      </c>
      <c r="H17" s="126"/>
      <c r="M17" s="82" t="s">
        <v>432</v>
      </c>
      <c r="N17" s="82"/>
      <c r="O17" s="83"/>
      <c r="P17" s="1" t="e">
        <f ca="1">VLOOKUP(P12, ResistorsTable, 4, FALSE)*P14</f>
        <v>#N/A</v>
      </c>
      <c r="Q17" t="s">
        <v>17</v>
      </c>
      <c r="R17" s="12" t="str">
        <f>IF(P$11="No",IF(P17&lt;(MaxTSVoltage/2), ErrorText, OKText),"")</f>
        <v/>
      </c>
    </row>
    <row r="18" spans="1:18" x14ac:dyDescent="0.35">
      <c r="A18" s="71" t="s">
        <v>452</v>
      </c>
      <c r="B18" s="71"/>
      <c r="C18" s="129"/>
      <c r="D18" s="5">
        <f ca="1">MaxTSVoltage^2*(BusCap/1000)/2*(1-EXP(-D17*2/(PrechargeRes*(BusCap/1000))))</f>
        <v>66.201014880000002</v>
      </c>
      <c r="E18" t="s">
        <v>453</v>
      </c>
      <c r="G18" s="130" t="s">
        <v>454</v>
      </c>
      <c r="H18" s="130"/>
    </row>
    <row r="19" spans="1:18" x14ac:dyDescent="0.35">
      <c r="A19" s="82" t="s">
        <v>455</v>
      </c>
      <c r="B19" s="82"/>
      <c r="C19" s="83"/>
      <c r="D19" s="6">
        <f ca="1">D18/D17</f>
        <v>78.985536974667767</v>
      </c>
      <c r="E19" t="s">
        <v>430</v>
      </c>
    </row>
    <row r="20" spans="1:18" x14ac:dyDescent="0.35">
      <c r="A20" s="82" t="s">
        <v>445</v>
      </c>
      <c r="B20" s="82"/>
      <c r="C20" s="83"/>
      <c r="D20" s="52" t="s">
        <v>456</v>
      </c>
      <c r="E20" s="52"/>
      <c r="F20" s="12" t="str">
        <f>IF(ISBLANK(D20), IncompleteText, OKText)</f>
        <v>OK</v>
      </c>
    </row>
    <row r="21" spans="1:18" x14ac:dyDescent="0.35">
      <c r="A21" s="82" t="s">
        <v>448</v>
      </c>
      <c r="B21" s="82"/>
      <c r="C21" s="83"/>
      <c r="D21" s="1">
        <f ca="1">VLOOKUP(D20, ContactorsTable, 4, FALSE)</f>
        <v>1000</v>
      </c>
      <c r="E21" t="s">
        <v>17</v>
      </c>
      <c r="F21" s="12" t="str">
        <f ca="1">IF(D21&lt;MaxTSVoltage, ErrorText, OKText)</f>
        <v>OK</v>
      </c>
    </row>
    <row r="22" spans="1:18" x14ac:dyDescent="0.35">
      <c r="A22" s="82" t="s">
        <v>449</v>
      </c>
      <c r="B22" s="82"/>
      <c r="C22" s="83"/>
      <c r="D22" s="1">
        <f ca="1">VLOOKUP(D20, ContactorsTable, 5, FALSE)</f>
        <v>20</v>
      </c>
      <c r="E22" t="s">
        <v>19</v>
      </c>
      <c r="F22" s="12" t="str">
        <f ca="1">IF(D22&lt;D16, ErrorText, OKText)</f>
        <v>OK</v>
      </c>
    </row>
    <row r="24" spans="1:18" x14ac:dyDescent="0.35">
      <c r="A24" s="50" t="s">
        <v>20</v>
      </c>
      <c r="B24" s="50"/>
      <c r="C24" s="50"/>
      <c r="D24" s="50"/>
      <c r="E24" s="50"/>
      <c r="F24" s="50"/>
      <c r="G24" s="50"/>
    </row>
    <row r="25" spans="1:18" x14ac:dyDescent="0.35">
      <c r="A25" s="41"/>
      <c r="B25" s="42"/>
      <c r="C25" s="42"/>
      <c r="D25" s="42"/>
      <c r="E25" s="42"/>
      <c r="F25" s="42"/>
      <c r="G25" s="43"/>
    </row>
    <row r="26" spans="1:18" x14ac:dyDescent="0.35">
      <c r="A26" s="44"/>
      <c r="B26" s="45"/>
      <c r="C26" s="45"/>
      <c r="D26" s="45"/>
      <c r="E26" s="45"/>
      <c r="F26" s="45"/>
      <c r="G26" s="46"/>
    </row>
    <row r="27" spans="1:18" x14ac:dyDescent="0.35">
      <c r="A27" s="44"/>
      <c r="B27" s="45"/>
      <c r="C27" s="45"/>
      <c r="D27" s="45"/>
      <c r="E27" s="45"/>
      <c r="F27" s="45"/>
      <c r="G27" s="46"/>
    </row>
    <row r="28" spans="1:18" x14ac:dyDescent="0.35">
      <c r="A28" s="44"/>
      <c r="B28" s="45"/>
      <c r="C28" s="45"/>
      <c r="D28" s="45"/>
      <c r="E28" s="45"/>
      <c r="F28" s="45"/>
      <c r="G28" s="46"/>
    </row>
    <row r="29" spans="1:18" x14ac:dyDescent="0.35">
      <c r="A29" s="44"/>
      <c r="B29" s="45"/>
      <c r="C29" s="45"/>
      <c r="D29" s="45"/>
      <c r="E29" s="45"/>
      <c r="F29" s="45"/>
      <c r="G29" s="46"/>
    </row>
    <row r="30" spans="1:18" x14ac:dyDescent="0.35">
      <c r="A30" s="44"/>
      <c r="B30" s="45"/>
      <c r="C30" s="45"/>
      <c r="D30" s="45"/>
      <c r="E30" s="45"/>
      <c r="F30" s="45"/>
      <c r="G30" s="46"/>
    </row>
    <row r="31" spans="1:18" x14ac:dyDescent="0.35">
      <c r="A31" s="44"/>
      <c r="B31" s="45"/>
      <c r="C31" s="45"/>
      <c r="D31" s="45"/>
      <c r="E31" s="45"/>
      <c r="F31" s="45"/>
      <c r="G31" s="46"/>
    </row>
    <row r="32" spans="1:18" x14ac:dyDescent="0.35">
      <c r="A32" s="44"/>
      <c r="B32" s="45"/>
      <c r="C32" s="45"/>
      <c r="D32" s="45"/>
      <c r="E32" s="45"/>
      <c r="F32" s="45"/>
      <c r="G32" s="46"/>
    </row>
    <row r="33" spans="1:7" x14ac:dyDescent="0.35">
      <c r="A33" s="44"/>
      <c r="B33" s="45"/>
      <c r="C33" s="45"/>
      <c r="D33" s="45"/>
      <c r="E33" s="45"/>
      <c r="F33" s="45"/>
      <c r="G33" s="46"/>
    </row>
    <row r="34" spans="1:7" x14ac:dyDescent="0.35">
      <c r="A34" s="44"/>
      <c r="B34" s="45"/>
      <c r="C34" s="45"/>
      <c r="D34" s="45"/>
      <c r="E34" s="45"/>
      <c r="F34" s="45"/>
      <c r="G34" s="46"/>
    </row>
    <row r="35" spans="1:7" x14ac:dyDescent="0.35">
      <c r="A35" s="44"/>
      <c r="B35" s="45"/>
      <c r="C35" s="45"/>
      <c r="D35" s="45"/>
      <c r="E35" s="45"/>
      <c r="F35" s="45"/>
      <c r="G35" s="46"/>
    </row>
    <row r="36" spans="1:7" x14ac:dyDescent="0.35">
      <c r="A36" s="44"/>
      <c r="B36" s="45"/>
      <c r="C36" s="45"/>
      <c r="D36" s="45"/>
      <c r="E36" s="45"/>
      <c r="F36" s="45"/>
      <c r="G36" s="46"/>
    </row>
    <row r="37" spans="1:7" x14ac:dyDescent="0.35">
      <c r="A37" s="44"/>
      <c r="B37" s="45"/>
      <c r="C37" s="45"/>
      <c r="D37" s="45"/>
      <c r="E37" s="45"/>
      <c r="F37" s="45"/>
      <c r="G37" s="46"/>
    </row>
    <row r="38" spans="1:7" x14ac:dyDescent="0.35">
      <c r="A38" s="44"/>
      <c r="B38" s="45"/>
      <c r="C38" s="45"/>
      <c r="D38" s="45"/>
      <c r="E38" s="45"/>
      <c r="F38" s="45"/>
      <c r="G38" s="46"/>
    </row>
    <row r="39" spans="1:7" x14ac:dyDescent="0.35">
      <c r="A39" s="44"/>
      <c r="B39" s="45"/>
      <c r="C39" s="45"/>
      <c r="D39" s="45"/>
      <c r="E39" s="45"/>
      <c r="F39" s="45"/>
      <c r="G39" s="46"/>
    </row>
    <row r="40" spans="1:7" x14ac:dyDescent="0.35">
      <c r="A40" s="47"/>
      <c r="B40" s="48"/>
      <c r="C40" s="48"/>
      <c r="D40" s="48"/>
      <c r="E40" s="48"/>
      <c r="F40" s="48"/>
      <c r="G40" s="49"/>
    </row>
  </sheetData>
  <sheetProtection algorithmName="SHA-512" hashValue="5J6Rju39WVyazDuaXj/MR46bsjbMFcXCGky5V+wxHi1FhJLJJdQBbbH5Wj+dJQ4wluVUEjDDnmXcJ6KdtrMhHw==" saltValue="aJFgO8TrfECYfSiAeUGN9Q==" spinCount="100000" sheet="1" scenarios="1" insertHyperlinks="0"/>
  <mergeCells count="71">
    <mergeCell ref="P11:Q11"/>
    <mergeCell ref="M11:O11"/>
    <mergeCell ref="M10:Q10"/>
    <mergeCell ref="S10:T10"/>
    <mergeCell ref="M12:O12"/>
    <mergeCell ref="P12:Q12"/>
    <mergeCell ref="S11:T16"/>
    <mergeCell ref="M13:O13"/>
    <mergeCell ref="P13:Q13"/>
    <mergeCell ref="M14:O14"/>
    <mergeCell ref="P14:Q14"/>
    <mergeCell ref="M15:O15"/>
    <mergeCell ref="M16:O16"/>
    <mergeCell ref="M17:O17"/>
    <mergeCell ref="A24:G24"/>
    <mergeCell ref="A25:G40"/>
    <mergeCell ref="A14:C14"/>
    <mergeCell ref="G13:I13"/>
    <mergeCell ref="J13:K13"/>
    <mergeCell ref="G14:I14"/>
    <mergeCell ref="G15:I15"/>
    <mergeCell ref="A15:C15"/>
    <mergeCell ref="A13:C13"/>
    <mergeCell ref="A22:C22"/>
    <mergeCell ref="A21:C21"/>
    <mergeCell ref="G17:H17"/>
    <mergeCell ref="G16:I16"/>
    <mergeCell ref="G18:H18"/>
    <mergeCell ref="G7:I7"/>
    <mergeCell ref="G12:I12"/>
    <mergeCell ref="G10:I10"/>
    <mergeCell ref="G11:I11"/>
    <mergeCell ref="G8:I8"/>
    <mergeCell ref="G9:I9"/>
    <mergeCell ref="G3:I3"/>
    <mergeCell ref="J3:K3"/>
    <mergeCell ref="G4:I4"/>
    <mergeCell ref="G5:I5"/>
    <mergeCell ref="G6:I6"/>
    <mergeCell ref="A2:E2"/>
    <mergeCell ref="D20:E20"/>
    <mergeCell ref="A5:C5"/>
    <mergeCell ref="A4:C4"/>
    <mergeCell ref="D3:E3"/>
    <mergeCell ref="A6:C6"/>
    <mergeCell ref="A3:C3"/>
    <mergeCell ref="A20:C20"/>
    <mergeCell ref="A18:C18"/>
    <mergeCell ref="A19:C19"/>
    <mergeCell ref="A16:C16"/>
    <mergeCell ref="A17:C17"/>
    <mergeCell ref="D11:E11"/>
    <mergeCell ref="A7:C7"/>
    <mergeCell ref="A12:C12"/>
    <mergeCell ref="A11:C11"/>
    <mergeCell ref="G2:K2"/>
    <mergeCell ref="A10:C10"/>
    <mergeCell ref="A9:C9"/>
    <mergeCell ref="A8:C8"/>
    <mergeCell ref="S2:T2"/>
    <mergeCell ref="S3:T8"/>
    <mergeCell ref="M8:O8"/>
    <mergeCell ref="M2:Q2"/>
    <mergeCell ref="M3:O3"/>
    <mergeCell ref="P3:Q3"/>
    <mergeCell ref="M6:O6"/>
    <mergeCell ref="M7:O7"/>
    <mergeCell ref="M4:O4"/>
    <mergeCell ref="M5:O5"/>
    <mergeCell ref="P4:Q4"/>
    <mergeCell ref="P5:Q5"/>
  </mergeCells>
  <conditionalFormatting sqref="A12 D12:F12">
    <cfRule type="expression" dxfId="4" priority="8">
      <formula>$D$11 &lt;&gt; "Time"</formula>
    </cfRule>
  </conditionalFormatting>
  <conditionalFormatting sqref="A13 D13:F13">
    <cfRule type="expression" dxfId="3" priority="7">
      <formula>$D$11 &lt;&gt; "Delta Voltage"</formula>
    </cfRule>
  </conditionalFormatting>
  <conditionalFormatting sqref="A14:F14">
    <cfRule type="expression" dxfId="2" priority="2">
      <formula>$D$11&lt;&gt;"Ratio"</formula>
    </cfRule>
  </conditionalFormatting>
  <conditionalFormatting sqref="M12:R17">
    <cfRule type="expression" dxfId="1" priority="1">
      <formula>$P$11="Yes"</formula>
    </cfRule>
  </conditionalFormatting>
  <dataValidations count="5">
    <dataValidation type="list" allowBlank="1" showInputMessage="1" showErrorMessage="1" sqref="D3:E3 J3:K3 P3:Q3 P12:Q12" xr:uid="{00000000-0002-0000-0400-000000000000}">
      <formula1>ResistorsNames</formula1>
    </dataValidation>
    <dataValidation type="list" allowBlank="1" showInputMessage="1" showErrorMessage="1" sqref="D11:E11" xr:uid="{00000000-0002-0000-0400-000001000000}">
      <formula1>"Delta Voltage,Ratio"</formula1>
    </dataValidation>
    <dataValidation type="list" allowBlank="1" showInputMessage="1" showErrorMessage="1" sqref="D20:E20 J13:K13" xr:uid="{00000000-0002-0000-0400-000002000000}">
      <formula1>ContactorNames</formula1>
    </dataValidation>
    <dataValidation type="whole" allowBlank="1" showInputMessage="1" showErrorMessage="1" sqref="D4:D5 J4:J5" xr:uid="{00000000-0002-0000-0400-000003000000}">
      <formula1>1</formula1>
      <formula2>1000</formula2>
    </dataValidation>
    <dataValidation type="list" allowBlank="1" showInputMessage="1" showErrorMessage="1" sqref="P11:Q11" xr:uid="{D22BE47C-B533-4CA3-BD79-9FEAF96A7C27}">
      <formula1>"Yes, No"</formula1>
    </dataValidation>
  </dataValidations>
  <pageMargins left="0.25" right="0.25" top="0.75" bottom="0.75" header="0.3" footer="0.3"/>
  <pageSetup paperSize="8" scale="90" orientation="landscape" cellComments="atEnd" r:id="rId1"/>
  <headerFooter>
    <oddFooter>&amp;R&amp;1#&amp;"Calibri"&amp;10&amp;KFF0000Public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44"/>
  <sheetViews>
    <sheetView topLeftCell="A13" zoomScale="60" zoomScaleNormal="60" workbookViewId="0">
      <selection activeCell="J13" sqref="J13:Q31"/>
    </sheetView>
  </sheetViews>
  <sheetFormatPr defaultColWidth="8.71875" defaultRowHeight="13.5" x14ac:dyDescent="0.35"/>
  <cols>
    <col min="1" max="16384" width="8.71875" style="2"/>
  </cols>
  <sheetData>
    <row r="1" spans="1:17" x14ac:dyDescent="0.35">
      <c r="A1" s="26" t="s">
        <v>1</v>
      </c>
      <c r="B1" s="12" t="str" cm="1">
        <f t="array" aca="1" ref="B1" ca="1">IF(SUM(COUNTIF(INDIRECT({"Charging!$F$2","Charging!$H$32","Charging!$Q$32"}), "="&amp;IncompleteText)), IncompleteText, IF(SUM(COUNTIF(INDIRECT({"Charging!$F$2","Charging!$H$32","Charging!$Q$32"}), "="&amp;ErrorText)), ErrorText, OKText))</f>
        <v>OK</v>
      </c>
    </row>
    <row r="2" spans="1:17" x14ac:dyDescent="0.35">
      <c r="A2" s="53" t="s">
        <v>77</v>
      </c>
      <c r="B2" s="53"/>
      <c r="C2" s="53"/>
      <c r="D2" s="53"/>
      <c r="E2" s="53"/>
      <c r="F2" s="12" t="str">
        <f>IF(COUNTIF(F3:F11, "="&amp;IncompleteText), IncompleteText, IF(COUNTIF(F3:F11, "="&amp;ErrorText), ErrorText, OKText))</f>
        <v>OK</v>
      </c>
      <c r="H2" s="53" t="s">
        <v>20</v>
      </c>
      <c r="I2" s="53"/>
      <c r="J2" s="53"/>
      <c r="K2" s="53"/>
      <c r="L2" s="53"/>
      <c r="M2" s="53"/>
      <c r="N2" s="53"/>
    </row>
    <row r="3" spans="1:17" x14ac:dyDescent="0.35">
      <c r="A3" s="82" t="s">
        <v>32</v>
      </c>
      <c r="B3" s="82"/>
      <c r="C3" s="83"/>
      <c r="D3" s="78" t="s">
        <v>457</v>
      </c>
      <c r="E3" s="75"/>
      <c r="F3" s="12" t="str">
        <f t="shared" ref="F3:F11" si="0">IF(ISBLANK(D3), IncompleteText, OKText)</f>
        <v>OK</v>
      </c>
      <c r="H3" s="42"/>
      <c r="I3" s="42"/>
      <c r="J3" s="42"/>
      <c r="K3" s="42"/>
      <c r="L3" s="42"/>
      <c r="M3" s="42"/>
      <c r="N3" s="42"/>
    </row>
    <row r="4" spans="1:17" x14ac:dyDescent="0.35">
      <c r="A4" s="82" t="s">
        <v>34</v>
      </c>
      <c r="B4" s="82"/>
      <c r="C4" s="82"/>
      <c r="D4" s="52" t="s">
        <v>458</v>
      </c>
      <c r="E4" s="52"/>
      <c r="F4" s="12" t="str">
        <f t="shared" si="0"/>
        <v>OK</v>
      </c>
      <c r="H4" s="45"/>
      <c r="I4" s="45"/>
      <c r="J4" s="45"/>
      <c r="K4" s="45"/>
      <c r="L4" s="45"/>
      <c r="M4" s="45"/>
      <c r="N4" s="45"/>
    </row>
    <row r="5" spans="1:17" x14ac:dyDescent="0.35">
      <c r="A5" s="82" t="s">
        <v>54</v>
      </c>
      <c r="B5" s="82"/>
      <c r="C5" s="83"/>
      <c r="D5" s="72" t="s">
        <v>459</v>
      </c>
      <c r="E5" s="52"/>
      <c r="F5" s="12" t="str">
        <f t="shared" si="0"/>
        <v>OK</v>
      </c>
      <c r="H5" s="45"/>
      <c r="I5" s="45"/>
      <c r="J5" s="45"/>
      <c r="K5" s="45"/>
      <c r="L5" s="45"/>
      <c r="M5" s="45"/>
      <c r="N5" s="45"/>
    </row>
    <row r="6" spans="1:17" x14ac:dyDescent="0.35">
      <c r="A6" s="82" t="s">
        <v>460</v>
      </c>
      <c r="B6" s="82"/>
      <c r="C6" s="83"/>
      <c r="D6" s="25" t="s">
        <v>461</v>
      </c>
      <c r="E6" s="27" t="s">
        <v>17</v>
      </c>
      <c r="F6" s="12" t="str">
        <f t="shared" si="0"/>
        <v>OK</v>
      </c>
      <c r="H6" s="45"/>
      <c r="I6" s="45"/>
      <c r="J6" s="45"/>
      <c r="K6" s="45"/>
      <c r="L6" s="45"/>
      <c r="M6" s="45"/>
      <c r="N6" s="45"/>
    </row>
    <row r="7" spans="1:17" x14ac:dyDescent="0.35">
      <c r="A7" s="82" t="s">
        <v>462</v>
      </c>
      <c r="B7" s="82"/>
      <c r="C7" s="83"/>
      <c r="D7" s="25">
        <v>11</v>
      </c>
      <c r="E7" s="27" t="s">
        <v>19</v>
      </c>
      <c r="F7" s="12" t="str">
        <f t="shared" si="0"/>
        <v>OK</v>
      </c>
      <c r="H7" s="45"/>
      <c r="I7" s="45"/>
      <c r="J7" s="45"/>
      <c r="K7" s="45"/>
      <c r="L7" s="45"/>
      <c r="M7" s="45"/>
      <c r="N7" s="45"/>
    </row>
    <row r="8" spans="1:17" x14ac:dyDescent="0.35">
      <c r="A8" s="82" t="s">
        <v>463</v>
      </c>
      <c r="B8" s="82"/>
      <c r="C8" s="83"/>
      <c r="D8" s="25">
        <v>500</v>
      </c>
      <c r="E8" s="27" t="s">
        <v>17</v>
      </c>
      <c r="F8" s="12" t="str">
        <f t="shared" si="0"/>
        <v>OK</v>
      </c>
      <c r="H8" s="45"/>
      <c r="I8" s="45"/>
      <c r="J8" s="45"/>
      <c r="K8" s="45"/>
      <c r="L8" s="45"/>
      <c r="M8" s="45"/>
      <c r="N8" s="45"/>
    </row>
    <row r="9" spans="1:17" x14ac:dyDescent="0.35">
      <c r="A9" s="82" t="s">
        <v>464</v>
      </c>
      <c r="B9" s="82"/>
      <c r="C9" s="83"/>
      <c r="D9" s="25">
        <v>10</v>
      </c>
      <c r="E9" s="27" t="s">
        <v>19</v>
      </c>
      <c r="F9" s="12" t="str">
        <f t="shared" si="0"/>
        <v>OK</v>
      </c>
      <c r="H9" s="45"/>
      <c r="I9" s="45"/>
      <c r="J9" s="45"/>
      <c r="K9" s="45"/>
      <c r="L9" s="45"/>
      <c r="M9" s="45"/>
      <c r="N9" s="45"/>
    </row>
    <row r="10" spans="1:17" x14ac:dyDescent="0.35">
      <c r="A10" s="82" t="s">
        <v>465</v>
      </c>
      <c r="B10" s="82"/>
      <c r="C10" s="83"/>
      <c r="D10" s="25">
        <v>4</v>
      </c>
      <c r="E10" s="27" t="s">
        <v>466</v>
      </c>
      <c r="F10" s="12" t="str">
        <f t="shared" si="0"/>
        <v>OK</v>
      </c>
      <c r="H10" s="45"/>
      <c r="I10" s="45"/>
      <c r="J10" s="45"/>
      <c r="K10" s="45"/>
      <c r="L10" s="45"/>
      <c r="M10" s="45"/>
      <c r="N10" s="45"/>
    </row>
    <row r="11" spans="1:17" x14ac:dyDescent="0.35">
      <c r="A11" s="82" t="s">
        <v>467</v>
      </c>
      <c r="B11" s="82"/>
      <c r="C11" s="83"/>
      <c r="D11" s="78">
        <v>2.5</v>
      </c>
      <c r="E11" s="75"/>
      <c r="F11" s="12" t="str">
        <f t="shared" si="0"/>
        <v>OK</v>
      </c>
    </row>
    <row r="13" spans="1:17" x14ac:dyDescent="0.35">
      <c r="A13" s="104" t="s">
        <v>468</v>
      </c>
      <c r="B13" s="104"/>
      <c r="C13" s="104"/>
      <c r="D13" s="104"/>
      <c r="E13" s="104"/>
      <c r="F13" s="104"/>
      <c r="G13" s="104"/>
      <c r="H13" s="104"/>
      <c r="J13" s="104" t="s">
        <v>469</v>
      </c>
      <c r="K13" s="104"/>
      <c r="L13" s="104"/>
      <c r="M13" s="104"/>
      <c r="N13" s="104"/>
      <c r="O13" s="104"/>
      <c r="P13" s="104"/>
      <c r="Q13" s="104"/>
    </row>
    <row r="14" spans="1:17" x14ac:dyDescent="0.35">
      <c r="A14" s="104"/>
      <c r="B14" s="104"/>
      <c r="C14" s="104"/>
      <c r="D14" s="104"/>
      <c r="E14" s="104"/>
      <c r="F14" s="104"/>
      <c r="G14" s="104"/>
      <c r="H14" s="104"/>
      <c r="J14" s="104"/>
      <c r="K14" s="104"/>
      <c r="L14" s="104"/>
      <c r="M14" s="104"/>
      <c r="N14" s="104"/>
      <c r="O14" s="104"/>
      <c r="P14" s="104"/>
      <c r="Q14" s="104"/>
    </row>
    <row r="15" spans="1:17" x14ac:dyDescent="0.35">
      <c r="A15" s="104"/>
      <c r="B15" s="104"/>
      <c r="C15" s="104"/>
      <c r="D15" s="104"/>
      <c r="E15" s="104"/>
      <c r="F15" s="104"/>
      <c r="G15" s="104"/>
      <c r="H15" s="104"/>
      <c r="J15" s="104"/>
      <c r="K15" s="104"/>
      <c r="L15" s="104"/>
      <c r="M15" s="104"/>
      <c r="N15" s="104"/>
      <c r="O15" s="104"/>
      <c r="P15" s="104"/>
      <c r="Q15" s="104"/>
    </row>
    <row r="16" spans="1:17" x14ac:dyDescent="0.35">
      <c r="A16" s="104"/>
      <c r="B16" s="104"/>
      <c r="C16" s="104"/>
      <c r="D16" s="104"/>
      <c r="E16" s="104"/>
      <c r="F16" s="104"/>
      <c r="G16" s="104"/>
      <c r="H16" s="104"/>
      <c r="J16" s="104"/>
      <c r="K16" s="104"/>
      <c r="L16" s="104"/>
      <c r="M16" s="104"/>
      <c r="N16" s="104"/>
      <c r="O16" s="104"/>
      <c r="P16" s="104"/>
      <c r="Q16" s="104"/>
    </row>
    <row r="17" spans="1:17" x14ac:dyDescent="0.35">
      <c r="A17" s="104"/>
      <c r="B17" s="104"/>
      <c r="C17" s="104"/>
      <c r="D17" s="104"/>
      <c r="E17" s="104"/>
      <c r="F17" s="104"/>
      <c r="G17" s="104"/>
      <c r="H17" s="104"/>
      <c r="J17" s="104"/>
      <c r="K17" s="104"/>
      <c r="L17" s="104"/>
      <c r="M17" s="104"/>
      <c r="N17" s="104"/>
      <c r="O17" s="104"/>
      <c r="P17" s="104"/>
      <c r="Q17" s="104"/>
    </row>
    <row r="18" spans="1:17" x14ac:dyDescent="0.35">
      <c r="A18" s="104"/>
      <c r="B18" s="104"/>
      <c r="C18" s="104"/>
      <c r="D18" s="104"/>
      <c r="E18" s="104"/>
      <c r="F18" s="104"/>
      <c r="G18" s="104"/>
      <c r="H18" s="104"/>
      <c r="J18" s="104"/>
      <c r="K18" s="104"/>
      <c r="L18" s="104"/>
      <c r="M18" s="104"/>
      <c r="N18" s="104"/>
      <c r="O18" s="104"/>
      <c r="P18" s="104"/>
      <c r="Q18" s="104"/>
    </row>
    <row r="19" spans="1:17" x14ac:dyDescent="0.35">
      <c r="A19" s="104"/>
      <c r="B19" s="104"/>
      <c r="C19" s="104"/>
      <c r="D19" s="104"/>
      <c r="E19" s="104"/>
      <c r="F19" s="104"/>
      <c r="G19" s="104"/>
      <c r="H19" s="104"/>
      <c r="J19" s="104"/>
      <c r="K19" s="104"/>
      <c r="L19" s="104"/>
      <c r="M19" s="104"/>
      <c r="N19" s="104"/>
      <c r="O19" s="104"/>
      <c r="P19" s="104"/>
      <c r="Q19" s="104"/>
    </row>
    <row r="20" spans="1:17" x14ac:dyDescent="0.35">
      <c r="A20" s="104"/>
      <c r="B20" s="104"/>
      <c r="C20" s="104"/>
      <c r="D20" s="104"/>
      <c r="E20" s="104"/>
      <c r="F20" s="104"/>
      <c r="G20" s="104"/>
      <c r="H20" s="104"/>
      <c r="J20" s="104"/>
      <c r="K20" s="104"/>
      <c r="L20" s="104"/>
      <c r="M20" s="104"/>
      <c r="N20" s="104"/>
      <c r="O20" s="104"/>
      <c r="P20" s="104"/>
      <c r="Q20" s="104"/>
    </row>
    <row r="21" spans="1:17" x14ac:dyDescent="0.35">
      <c r="A21" s="104"/>
      <c r="B21" s="104"/>
      <c r="C21" s="104"/>
      <c r="D21" s="104"/>
      <c r="E21" s="104"/>
      <c r="F21" s="104"/>
      <c r="G21" s="104"/>
      <c r="H21" s="104"/>
      <c r="J21" s="104"/>
      <c r="K21" s="104"/>
      <c r="L21" s="104"/>
      <c r="M21" s="104"/>
      <c r="N21" s="104"/>
      <c r="O21" s="104"/>
      <c r="P21" s="104"/>
      <c r="Q21" s="104"/>
    </row>
    <row r="22" spans="1:17" x14ac:dyDescent="0.35">
      <c r="A22" s="104"/>
      <c r="B22" s="104"/>
      <c r="C22" s="104"/>
      <c r="D22" s="104"/>
      <c r="E22" s="104"/>
      <c r="F22" s="104"/>
      <c r="G22" s="104"/>
      <c r="H22" s="104"/>
      <c r="J22" s="104"/>
      <c r="K22" s="104"/>
      <c r="L22" s="104"/>
      <c r="M22" s="104"/>
      <c r="N22" s="104"/>
      <c r="O22" s="104"/>
      <c r="P22" s="104"/>
      <c r="Q22" s="104"/>
    </row>
    <row r="23" spans="1:17" x14ac:dyDescent="0.35">
      <c r="A23" s="104"/>
      <c r="B23" s="104"/>
      <c r="C23" s="104"/>
      <c r="D23" s="104"/>
      <c r="E23" s="104"/>
      <c r="F23" s="104"/>
      <c r="G23" s="104"/>
      <c r="H23" s="104"/>
      <c r="J23" s="104"/>
      <c r="K23" s="104"/>
      <c r="L23" s="104"/>
      <c r="M23" s="104"/>
      <c r="N23" s="104"/>
      <c r="O23" s="104"/>
      <c r="P23" s="104"/>
      <c r="Q23" s="104"/>
    </row>
    <row r="24" spans="1:17" x14ac:dyDescent="0.35">
      <c r="A24" s="104"/>
      <c r="B24" s="104"/>
      <c r="C24" s="104"/>
      <c r="D24" s="104"/>
      <c r="E24" s="104"/>
      <c r="F24" s="104"/>
      <c r="G24" s="104"/>
      <c r="H24" s="104"/>
      <c r="J24" s="104"/>
      <c r="K24" s="104"/>
      <c r="L24" s="104"/>
      <c r="M24" s="104"/>
      <c r="N24" s="104"/>
      <c r="O24" s="104"/>
      <c r="P24" s="104"/>
      <c r="Q24" s="104"/>
    </row>
    <row r="25" spans="1:17" x14ac:dyDescent="0.35">
      <c r="A25" s="104"/>
      <c r="B25" s="104"/>
      <c r="C25" s="104"/>
      <c r="D25" s="104"/>
      <c r="E25" s="104"/>
      <c r="F25" s="104"/>
      <c r="G25" s="104"/>
      <c r="H25" s="104"/>
      <c r="J25" s="104"/>
      <c r="K25" s="104"/>
      <c r="L25" s="104"/>
      <c r="M25" s="104"/>
      <c r="N25" s="104"/>
      <c r="O25" s="104"/>
      <c r="P25" s="104"/>
      <c r="Q25" s="104"/>
    </row>
    <row r="26" spans="1:17" x14ac:dyDescent="0.35">
      <c r="A26" s="104"/>
      <c r="B26" s="104"/>
      <c r="C26" s="104"/>
      <c r="D26" s="104"/>
      <c r="E26" s="104"/>
      <c r="F26" s="104"/>
      <c r="G26" s="104"/>
      <c r="H26" s="104"/>
      <c r="J26" s="104"/>
      <c r="K26" s="104"/>
      <c r="L26" s="104"/>
      <c r="M26" s="104"/>
      <c r="N26" s="104"/>
      <c r="O26" s="104"/>
      <c r="P26" s="104"/>
      <c r="Q26" s="104"/>
    </row>
    <row r="27" spans="1:17" x14ac:dyDescent="0.35">
      <c r="A27" s="104"/>
      <c r="B27" s="104"/>
      <c r="C27" s="104"/>
      <c r="D27" s="104"/>
      <c r="E27" s="104"/>
      <c r="F27" s="104"/>
      <c r="G27" s="104"/>
      <c r="H27" s="104"/>
      <c r="J27" s="104"/>
      <c r="K27" s="104"/>
      <c r="L27" s="104"/>
      <c r="M27" s="104"/>
      <c r="N27" s="104"/>
      <c r="O27" s="104"/>
      <c r="P27" s="104"/>
      <c r="Q27" s="104"/>
    </row>
    <row r="28" spans="1:17" x14ac:dyDescent="0.35">
      <c r="A28" s="104"/>
      <c r="B28" s="104"/>
      <c r="C28" s="104"/>
      <c r="D28" s="104"/>
      <c r="E28" s="104"/>
      <c r="F28" s="104"/>
      <c r="G28" s="104"/>
      <c r="H28" s="104"/>
      <c r="J28" s="104"/>
      <c r="K28" s="104"/>
      <c r="L28" s="104"/>
      <c r="M28" s="104"/>
      <c r="N28" s="104"/>
      <c r="O28" s="104"/>
      <c r="P28" s="104"/>
      <c r="Q28" s="104"/>
    </row>
    <row r="29" spans="1:17" x14ac:dyDescent="0.35">
      <c r="A29" s="104"/>
      <c r="B29" s="104"/>
      <c r="C29" s="104"/>
      <c r="D29" s="104"/>
      <c r="E29" s="104"/>
      <c r="F29" s="104"/>
      <c r="G29" s="104"/>
      <c r="H29" s="104"/>
      <c r="J29" s="104"/>
      <c r="K29" s="104"/>
      <c r="L29" s="104"/>
      <c r="M29" s="104"/>
      <c r="N29" s="104"/>
      <c r="O29" s="104"/>
      <c r="P29" s="104"/>
      <c r="Q29" s="104"/>
    </row>
    <row r="30" spans="1:17" x14ac:dyDescent="0.35">
      <c r="A30" s="104"/>
      <c r="B30" s="104"/>
      <c r="C30" s="104"/>
      <c r="D30" s="104"/>
      <c r="E30" s="104"/>
      <c r="F30" s="104"/>
      <c r="G30" s="104"/>
      <c r="H30" s="104"/>
      <c r="J30" s="104"/>
      <c r="K30" s="104"/>
      <c r="L30" s="104"/>
      <c r="M30" s="104"/>
      <c r="N30" s="104"/>
      <c r="O30" s="104"/>
      <c r="P30" s="104"/>
      <c r="Q30" s="104"/>
    </row>
    <row r="31" spans="1:17" x14ac:dyDescent="0.35">
      <c r="A31" s="104"/>
      <c r="B31" s="104"/>
      <c r="C31" s="104"/>
      <c r="D31" s="104"/>
      <c r="E31" s="104"/>
      <c r="F31" s="104"/>
      <c r="G31" s="104"/>
      <c r="H31" s="104"/>
      <c r="J31" s="104"/>
      <c r="K31" s="104"/>
      <c r="L31" s="104"/>
      <c r="M31" s="104"/>
      <c r="N31" s="104"/>
      <c r="O31" s="104"/>
      <c r="P31" s="104"/>
      <c r="Q31" s="104"/>
    </row>
    <row r="32" spans="1:17" x14ac:dyDescent="0.35">
      <c r="A32" s="53" t="s">
        <v>470</v>
      </c>
      <c r="B32" s="53"/>
      <c r="C32" s="53"/>
      <c r="D32" s="53"/>
      <c r="E32" s="53"/>
      <c r="F32" s="53"/>
      <c r="G32" s="53"/>
      <c r="H32" s="90" t="str">
        <f>IF(COUNTIF(H34:H39, "="&amp;IncompleteText), IncompleteText, IF(COUNTIF(H34:H39, "="&amp;ErrorText), ErrorText, OKText))</f>
        <v>OK</v>
      </c>
      <c r="J32" s="53" t="s">
        <v>471</v>
      </c>
      <c r="K32" s="53"/>
      <c r="L32" s="53"/>
      <c r="M32" s="53"/>
      <c r="N32" s="53"/>
      <c r="O32" s="53"/>
      <c r="P32" s="53"/>
      <c r="Q32" s="90" t="str">
        <f>IF(COUNTIF(Q34:Q39, "="&amp;IncompleteText), IncompleteText, IF(COUNTIF(Q34:Q39, "="&amp;ErrorText), ErrorText, OKText))</f>
        <v>OK</v>
      </c>
    </row>
    <row r="33" spans="1:17" x14ac:dyDescent="0.35">
      <c r="A33" s="86" t="s">
        <v>66</v>
      </c>
      <c r="B33" s="126"/>
      <c r="C33" s="22"/>
      <c r="D33" s="22"/>
      <c r="E33" s="22"/>
      <c r="F33" s="22"/>
      <c r="G33" s="22"/>
      <c r="H33" s="91"/>
      <c r="J33" s="86" t="s">
        <v>66</v>
      </c>
      <c r="K33" s="126"/>
      <c r="L33" s="22"/>
      <c r="M33" s="22"/>
      <c r="N33" s="22"/>
      <c r="O33" s="22"/>
      <c r="P33" s="22"/>
      <c r="Q33" s="91"/>
    </row>
    <row r="34" spans="1:17" x14ac:dyDescent="0.35">
      <c r="A34" s="85" t="s">
        <v>472</v>
      </c>
      <c r="B34" s="85"/>
      <c r="C34" s="82" t="s">
        <v>473</v>
      </c>
      <c r="D34" s="82"/>
      <c r="E34" s="82"/>
      <c r="F34" s="83"/>
      <c r="G34" s="3" t="b">
        <v>1</v>
      </c>
      <c r="H34" s="12" t="str">
        <f t="shared" ref="H34:H39" si="1">IF(ISBLANK(G34),IncompleteText, IF(G34, OKText, ErrorText))</f>
        <v>OK</v>
      </c>
      <c r="J34" s="85" t="s">
        <v>474</v>
      </c>
      <c r="K34" s="85"/>
      <c r="L34" s="82" t="s">
        <v>475</v>
      </c>
      <c r="M34" s="82"/>
      <c r="N34" s="82"/>
      <c r="O34" s="83"/>
      <c r="P34" s="3" t="b">
        <v>1</v>
      </c>
      <c r="Q34" s="12" t="str">
        <f t="shared" ref="Q34:Q39" si="2">IF(ISBLANK(P34),IncompleteText, IF(P34, OKText, ErrorText))</f>
        <v>OK</v>
      </c>
    </row>
    <row r="35" spans="1:17" x14ac:dyDescent="0.35">
      <c r="A35" s="85"/>
      <c r="B35" s="85"/>
      <c r="C35" s="82" t="s">
        <v>176</v>
      </c>
      <c r="D35" s="82"/>
      <c r="E35" s="82"/>
      <c r="F35" s="83"/>
      <c r="G35" s="3" t="b">
        <v>1</v>
      </c>
      <c r="H35" s="12" t="str">
        <f t="shared" si="1"/>
        <v>OK</v>
      </c>
      <c r="J35" s="85" t="s">
        <v>474</v>
      </c>
      <c r="K35" s="85"/>
      <c r="L35" s="82" t="s">
        <v>476</v>
      </c>
      <c r="M35" s="82"/>
      <c r="N35" s="82"/>
      <c r="O35" s="83"/>
      <c r="P35" s="3" t="b">
        <v>1</v>
      </c>
      <c r="Q35" s="12" t="str">
        <f t="shared" si="2"/>
        <v>OK</v>
      </c>
    </row>
    <row r="36" spans="1:17" x14ac:dyDescent="0.35">
      <c r="A36" s="85"/>
      <c r="B36" s="85"/>
      <c r="C36" s="82" t="s">
        <v>477</v>
      </c>
      <c r="D36" s="82"/>
      <c r="E36" s="82"/>
      <c r="F36" s="83"/>
      <c r="G36" s="3" t="b">
        <v>1</v>
      </c>
      <c r="H36" s="12" t="str">
        <f t="shared" si="1"/>
        <v>OK</v>
      </c>
      <c r="J36" s="85" t="s">
        <v>478</v>
      </c>
      <c r="K36" s="85"/>
      <c r="L36" s="82" t="s">
        <v>479</v>
      </c>
      <c r="M36" s="82"/>
      <c r="N36" s="82"/>
      <c r="O36" s="83"/>
      <c r="P36" s="3" t="b">
        <v>1</v>
      </c>
      <c r="Q36" s="12" t="str">
        <f t="shared" si="2"/>
        <v>OK</v>
      </c>
    </row>
    <row r="37" spans="1:17" x14ac:dyDescent="0.35">
      <c r="A37" s="85" t="s">
        <v>480</v>
      </c>
      <c r="B37" s="85"/>
      <c r="C37" s="82" t="s">
        <v>276</v>
      </c>
      <c r="D37" s="82"/>
      <c r="E37" s="82"/>
      <c r="F37" s="83"/>
      <c r="G37" s="3" t="b">
        <v>1</v>
      </c>
      <c r="H37" s="12" t="str">
        <f t="shared" si="1"/>
        <v>OK</v>
      </c>
      <c r="J37" s="85" t="s">
        <v>480</v>
      </c>
      <c r="K37" s="85"/>
      <c r="L37" s="82" t="s">
        <v>262</v>
      </c>
      <c r="M37" s="82"/>
      <c r="N37" s="82"/>
      <c r="O37" s="83"/>
      <c r="P37" s="3" t="b">
        <v>1</v>
      </c>
      <c r="Q37" s="12" t="str">
        <f t="shared" si="2"/>
        <v>OK</v>
      </c>
    </row>
    <row r="38" spans="1:17" x14ac:dyDescent="0.35">
      <c r="A38" s="85" t="s">
        <v>481</v>
      </c>
      <c r="B38" s="85"/>
      <c r="C38" s="82" t="s">
        <v>262</v>
      </c>
      <c r="D38" s="82"/>
      <c r="E38" s="82"/>
      <c r="F38" s="83"/>
      <c r="G38" s="3" t="b">
        <v>1</v>
      </c>
      <c r="H38" s="12" t="str">
        <f t="shared" si="1"/>
        <v>OK</v>
      </c>
      <c r="J38" s="85" t="s">
        <v>482</v>
      </c>
      <c r="K38" s="85"/>
      <c r="L38" s="82" t="s">
        <v>483</v>
      </c>
      <c r="M38" s="82"/>
      <c r="N38" s="82"/>
      <c r="O38" s="83"/>
      <c r="P38" s="3" t="b">
        <v>1</v>
      </c>
      <c r="Q38" s="12" t="str">
        <f t="shared" si="2"/>
        <v>OK</v>
      </c>
    </row>
    <row r="39" spans="1:17" x14ac:dyDescent="0.35">
      <c r="A39" s="85" t="s">
        <v>484</v>
      </c>
      <c r="B39" s="85"/>
      <c r="C39" s="82" t="s">
        <v>266</v>
      </c>
      <c r="D39" s="82"/>
      <c r="E39" s="82"/>
      <c r="F39" s="83"/>
      <c r="G39" s="3" t="b">
        <v>1</v>
      </c>
      <c r="H39" s="12" t="str">
        <f t="shared" si="1"/>
        <v>OK</v>
      </c>
      <c r="J39" s="131" t="s">
        <v>485</v>
      </c>
      <c r="K39" s="131"/>
      <c r="L39" s="82" t="s">
        <v>486</v>
      </c>
      <c r="M39" s="82"/>
      <c r="N39" s="82"/>
      <c r="O39" s="83"/>
      <c r="P39" s="3" t="b">
        <v>1</v>
      </c>
      <c r="Q39" s="12" t="str">
        <f t="shared" si="2"/>
        <v>OK</v>
      </c>
    </row>
    <row r="40" spans="1:17" x14ac:dyDescent="0.35">
      <c r="A40" s="53" t="s">
        <v>20</v>
      </c>
      <c r="B40" s="53"/>
      <c r="C40" s="53"/>
      <c r="D40" s="53"/>
      <c r="E40" s="53"/>
      <c r="F40" s="53"/>
      <c r="G40" s="53"/>
      <c r="J40" s="53" t="s">
        <v>20</v>
      </c>
      <c r="K40" s="53"/>
      <c r="L40" s="53"/>
      <c r="M40" s="53"/>
      <c r="N40" s="53"/>
      <c r="O40" s="53"/>
      <c r="P40" s="53"/>
    </row>
    <row r="41" spans="1:17" x14ac:dyDescent="0.35">
      <c r="A41" s="103"/>
      <c r="B41" s="103"/>
      <c r="C41" s="103"/>
      <c r="D41" s="103"/>
      <c r="E41" s="103"/>
      <c r="F41" s="103"/>
      <c r="G41" s="103"/>
      <c r="J41" s="103"/>
      <c r="K41" s="103"/>
      <c r="L41" s="103"/>
      <c r="M41" s="103"/>
      <c r="N41" s="103"/>
      <c r="O41" s="103"/>
      <c r="P41" s="103"/>
    </row>
    <row r="42" spans="1:17" x14ac:dyDescent="0.35">
      <c r="A42" s="103"/>
      <c r="B42" s="103"/>
      <c r="C42" s="103"/>
      <c r="D42" s="103"/>
      <c r="E42" s="103"/>
      <c r="F42" s="103"/>
      <c r="G42" s="103"/>
      <c r="J42" s="103"/>
      <c r="K42" s="103"/>
      <c r="L42" s="103"/>
      <c r="M42" s="103"/>
      <c r="N42" s="103"/>
      <c r="O42" s="103"/>
      <c r="P42" s="103"/>
    </row>
    <row r="43" spans="1:17" x14ac:dyDescent="0.35">
      <c r="A43" s="103"/>
      <c r="B43" s="103"/>
      <c r="C43" s="103"/>
      <c r="D43" s="103"/>
      <c r="E43" s="103"/>
      <c r="F43" s="103"/>
      <c r="G43" s="103"/>
      <c r="J43" s="103"/>
      <c r="K43" s="103"/>
      <c r="L43" s="103"/>
      <c r="M43" s="103"/>
      <c r="N43" s="103"/>
      <c r="O43" s="103"/>
      <c r="P43" s="103"/>
    </row>
    <row r="44" spans="1:17" x14ac:dyDescent="0.35">
      <c r="A44" s="103"/>
      <c r="B44" s="103"/>
      <c r="C44" s="103"/>
      <c r="D44" s="103"/>
      <c r="E44" s="103"/>
      <c r="F44" s="103"/>
      <c r="G44" s="103"/>
      <c r="J44" s="103"/>
      <c r="K44" s="103"/>
      <c r="L44" s="103"/>
      <c r="M44" s="103"/>
      <c r="N44" s="103"/>
      <c r="O44" s="103"/>
      <c r="P44" s="103"/>
    </row>
  </sheetData>
  <sheetProtection algorithmName="SHA-512" hashValue="f9wMEOjbecCXEwmehPDarovKDvjLBO9D9sj3AGZwiETQCoRtyFVaTdP3Mt3i5UEL/NuZqCSvA/BXZtKqjCAwfw==" saltValue="cFMsfoKzIXxzfxSdzpWmqw==" spinCount="100000" sheet="1" scenarios="1" insertHyperlinks="0"/>
  <mergeCells count="52">
    <mergeCell ref="A40:G40"/>
    <mergeCell ref="J40:P40"/>
    <mergeCell ref="A41:G44"/>
    <mergeCell ref="J41:P44"/>
    <mergeCell ref="H3:N10"/>
    <mergeCell ref="J13:Q31"/>
    <mergeCell ref="J32:P32"/>
    <mergeCell ref="A3:C3"/>
    <mergeCell ref="D3:E3"/>
    <mergeCell ref="A4:C4"/>
    <mergeCell ref="A11:C11"/>
    <mergeCell ref="A5:C5"/>
    <mergeCell ref="D4:E4"/>
    <mergeCell ref="D5:E5"/>
    <mergeCell ref="D11:E11"/>
    <mergeCell ref="A13:H31"/>
    <mergeCell ref="H2:N2"/>
    <mergeCell ref="A2:E2"/>
    <mergeCell ref="A32:G32"/>
    <mergeCell ref="A6:C6"/>
    <mergeCell ref="A7:C7"/>
    <mergeCell ref="A8:C8"/>
    <mergeCell ref="A9:C9"/>
    <mergeCell ref="A10:C10"/>
    <mergeCell ref="H32:H33"/>
    <mergeCell ref="A33:B33"/>
    <mergeCell ref="A39:B39"/>
    <mergeCell ref="C39:F39"/>
    <mergeCell ref="J34:K34"/>
    <mergeCell ref="J35:K35"/>
    <mergeCell ref="J36:K36"/>
    <mergeCell ref="J37:K37"/>
    <mergeCell ref="C37:F37"/>
    <mergeCell ref="C38:F38"/>
    <mergeCell ref="A34:B34"/>
    <mergeCell ref="A35:B35"/>
    <mergeCell ref="A36:B36"/>
    <mergeCell ref="A37:B37"/>
    <mergeCell ref="A38:B38"/>
    <mergeCell ref="J38:K38"/>
    <mergeCell ref="J39:K39"/>
    <mergeCell ref="C35:F35"/>
    <mergeCell ref="L39:O39"/>
    <mergeCell ref="J33:K33"/>
    <mergeCell ref="C34:F34"/>
    <mergeCell ref="C36:F36"/>
    <mergeCell ref="Q32:Q33"/>
    <mergeCell ref="L34:O34"/>
    <mergeCell ref="L35:O35"/>
    <mergeCell ref="L36:O36"/>
    <mergeCell ref="L37:O37"/>
    <mergeCell ref="L38:O38"/>
  </mergeCells>
  <dataValidations count="1">
    <dataValidation type="list" allowBlank="1" showInputMessage="1" showErrorMessage="1" sqref="G34:G39 P34:P39" xr:uid="{00000000-0002-0000-0500-000000000000}">
      <formula1>"TRUE,FALSE"</formula1>
    </dataValidation>
  </dataValidations>
  <hyperlinks>
    <hyperlink ref="D5" r:id="rId1" xr:uid="{FB126B02-7B15-416F-87DC-26A3288D8272}"/>
  </hyperlinks>
  <pageMargins left="0.25" right="0.25" top="0.75" bottom="0.75" header="0.3" footer="0.3"/>
  <pageSetup paperSize="8" orientation="landscape" cellComments="atEnd" r:id="rId2"/>
  <headerFooter>
    <oddFooter>&amp;R&amp;1#&amp;"Calibri"&amp;10&amp;KFF0000Public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87"/>
  <sheetViews>
    <sheetView tabSelected="1" topLeftCell="A51" zoomScale="50" zoomScaleNormal="50" workbookViewId="0">
      <selection activeCell="L16" sqref="L16"/>
    </sheetView>
  </sheetViews>
  <sheetFormatPr defaultColWidth="8.71875" defaultRowHeight="13.5" x14ac:dyDescent="0.35"/>
  <cols>
    <col min="1" max="16384" width="8.71875" style="2"/>
  </cols>
  <sheetData>
    <row r="1" spans="1:23" x14ac:dyDescent="0.35">
      <c r="A1" s="26" t="s">
        <v>1</v>
      </c>
      <c r="B1" s="12" t="str" cm="1">
        <f t="array" aca="1" ref="B1" ca="1">IF(SUM(COUNTIF(INDIRECT({"'Shutdown Circuit'!$F$2","'Shutdown Circuit'!$M$2","'Shutdown Circuit'!$K$36","'Shutdown Circuit'!$W$36","'Shutdown Circuit'!$W$75"}), "="&amp;IncompleteText)), IncompleteText, IF(SUM(COUNTIF(INDIRECT({"'Shutdown Circuit'!$F$2","'Shutdown Circuit'!$M$2","'Shutdown Circuit'!$K$36","'Shutdown Circuit'!$W$36","'Shutdown Circuit'!$W$75"}), "="&amp;ErrorText)), ErrorText, OKText))</f>
        <v>BLANK</v>
      </c>
    </row>
    <row r="2" spans="1:23" x14ac:dyDescent="0.35">
      <c r="A2" s="53" t="s">
        <v>276</v>
      </c>
      <c r="B2" s="53"/>
      <c r="C2" s="53"/>
      <c r="D2" s="53"/>
      <c r="E2" s="53"/>
      <c r="F2" s="91" t="str">
        <f>IF(COUNTIF(F4:F5, "="&amp;IncompleteText), IncompleteText, IF(COUNTIF(F4:F5, "="&amp;ErrorText), ErrorText, OKText))</f>
        <v>OK</v>
      </c>
      <c r="H2" s="53" t="s">
        <v>487</v>
      </c>
      <c r="I2" s="53"/>
      <c r="J2" s="53"/>
      <c r="K2" s="53"/>
      <c r="L2" s="53"/>
      <c r="M2" s="91" t="str">
        <f>IF(COUNTIF(M4:M8, "="&amp;IncompleteText), IncompleteText, IF(COUNTIF(M4:M8, "="&amp;ErrorText), ErrorText, OKText))</f>
        <v>OK</v>
      </c>
    </row>
    <row r="3" spans="1:23" x14ac:dyDescent="0.35">
      <c r="A3" s="134" t="s">
        <v>488</v>
      </c>
      <c r="B3" s="135"/>
      <c r="C3" s="135"/>
      <c r="D3" s="137" t="s">
        <v>275</v>
      </c>
      <c r="E3" s="138"/>
      <c r="F3" s="91"/>
      <c r="H3" s="134" t="s">
        <v>488</v>
      </c>
      <c r="I3" s="135"/>
      <c r="J3" s="136"/>
      <c r="K3" s="137" t="s">
        <v>489</v>
      </c>
      <c r="L3" s="138"/>
      <c r="M3" s="91"/>
    </row>
    <row r="4" spans="1:23" x14ac:dyDescent="0.35">
      <c r="A4" s="82" t="s">
        <v>323</v>
      </c>
      <c r="B4" s="82"/>
      <c r="C4" s="82"/>
      <c r="D4" s="133" t="s">
        <v>490</v>
      </c>
      <c r="E4" s="133"/>
      <c r="F4" s="12" t="str">
        <f>IF(ISBLANK(D4), IncompleteText, OKText)</f>
        <v>OK</v>
      </c>
      <c r="H4" s="82" t="s">
        <v>491</v>
      </c>
      <c r="I4" s="82"/>
      <c r="J4" s="82"/>
      <c r="K4" s="139" t="s">
        <v>492</v>
      </c>
      <c r="L4" s="139"/>
      <c r="M4" s="12" t="str">
        <f>IF(ISBLANK(K4), IncompleteText, OKText)</f>
        <v>OK</v>
      </c>
    </row>
    <row r="5" spans="1:23" ht="14.25" x14ac:dyDescent="0.45">
      <c r="A5" s="82" t="s">
        <v>493</v>
      </c>
      <c r="B5" s="82"/>
      <c r="C5" s="82"/>
      <c r="D5" s="3">
        <v>250</v>
      </c>
      <c r="E5" t="s">
        <v>494</v>
      </c>
      <c r="F5" s="12" t="str">
        <f>IF(ISBLANK(D5), IncompleteText, IF(D5&lt;(MaxTSVoltage*0.5), ErrorText, OKText))</f>
        <v>OK</v>
      </c>
      <c r="H5" s="82" t="s">
        <v>495</v>
      </c>
      <c r="I5" s="82"/>
      <c r="J5" s="82"/>
      <c r="K5" s="140" t="s">
        <v>496</v>
      </c>
      <c r="L5" s="139"/>
      <c r="M5" s="12" t="str">
        <f>IF(ISBLANK(K5), IncompleteText, OKText)</f>
        <v>OK</v>
      </c>
    </row>
    <row r="6" spans="1:23" x14ac:dyDescent="0.35">
      <c r="H6" s="82" t="s">
        <v>497</v>
      </c>
      <c r="I6" s="82"/>
      <c r="J6" s="82"/>
      <c r="K6" s="3">
        <v>12.5</v>
      </c>
      <c r="L6" t="s">
        <v>19</v>
      </c>
      <c r="M6" s="12" t="str">
        <f>IF(ISBLANK(K6),IncompleteText,IF(K6&gt;(5000/NominalTSVoltage),ErrorText,OKText))</f>
        <v>OK</v>
      </c>
    </row>
    <row r="7" spans="1:23" x14ac:dyDescent="0.35">
      <c r="H7" s="82" t="s">
        <v>498</v>
      </c>
      <c r="I7" s="82"/>
      <c r="J7" s="82"/>
      <c r="K7" s="3">
        <v>2.57</v>
      </c>
      <c r="L7" t="s">
        <v>17</v>
      </c>
      <c r="M7" s="12" t="str">
        <f>IF(ISBLANK(K7), IncompleteText, OKText)</f>
        <v>OK</v>
      </c>
    </row>
    <row r="8" spans="1:23" x14ac:dyDescent="0.35">
      <c r="H8" s="82" t="s">
        <v>499</v>
      </c>
      <c r="I8" s="82"/>
      <c r="J8" s="82"/>
      <c r="K8" s="3">
        <v>0.1</v>
      </c>
      <c r="L8" t="s">
        <v>19</v>
      </c>
      <c r="M8" s="12" t="str">
        <f>IF(ISBLANK(K8), IncompleteText, OKText)</f>
        <v>OK</v>
      </c>
    </row>
    <row r="10" spans="1:23" x14ac:dyDescent="0.35">
      <c r="A10" s="89" t="s">
        <v>500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M10" s="89" t="s">
        <v>501</v>
      </c>
      <c r="N10" s="89"/>
      <c r="O10" s="89"/>
      <c r="P10" s="89"/>
      <c r="Q10" s="89"/>
      <c r="R10" s="89"/>
      <c r="S10" s="89"/>
      <c r="T10" s="89"/>
      <c r="U10" s="89"/>
      <c r="V10" s="89"/>
      <c r="W10" s="89"/>
    </row>
    <row r="11" spans="1:23" x14ac:dyDescent="0.3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</row>
    <row r="12" spans="1:23" x14ac:dyDescent="0.3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</row>
    <row r="13" spans="1:23" x14ac:dyDescent="0.35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</row>
    <row r="14" spans="1:23" x14ac:dyDescent="0.3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</row>
    <row r="15" spans="1:23" x14ac:dyDescent="0.3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</row>
    <row r="16" spans="1:23" x14ac:dyDescent="0.35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</row>
    <row r="17" spans="1:23" x14ac:dyDescent="0.3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</row>
    <row r="18" spans="1:23" x14ac:dyDescent="0.3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</row>
    <row r="19" spans="1:23" x14ac:dyDescent="0.3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</row>
    <row r="20" spans="1:23" x14ac:dyDescent="0.3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</row>
    <row r="21" spans="1:23" x14ac:dyDescent="0.3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</row>
    <row r="22" spans="1:23" x14ac:dyDescent="0.35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</row>
    <row r="23" spans="1:23" x14ac:dyDescent="0.3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</row>
    <row r="24" spans="1:23" x14ac:dyDescent="0.35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</row>
    <row r="25" spans="1:23" x14ac:dyDescent="0.3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</row>
    <row r="26" spans="1:23" x14ac:dyDescent="0.3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</row>
    <row r="27" spans="1:23" x14ac:dyDescent="0.35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</row>
    <row r="28" spans="1:23" x14ac:dyDescent="0.3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</row>
    <row r="29" spans="1:23" x14ac:dyDescent="0.3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</row>
    <row r="30" spans="1:23" x14ac:dyDescent="0.3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</row>
    <row r="31" spans="1:23" x14ac:dyDescent="0.3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</row>
    <row r="32" spans="1:23" x14ac:dyDescent="0.3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</row>
    <row r="33" spans="1:23" x14ac:dyDescent="0.3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</row>
    <row r="34" spans="1:23" x14ac:dyDescent="0.3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</row>
    <row r="35" spans="1:23" x14ac:dyDescent="0.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</row>
    <row r="36" spans="1:23" x14ac:dyDescent="0.35">
      <c r="A36" s="53" t="s">
        <v>502</v>
      </c>
      <c r="B36" s="53"/>
      <c r="C36" s="53"/>
      <c r="D36" s="53"/>
      <c r="E36" s="53"/>
      <c r="F36" s="53"/>
      <c r="G36" s="53"/>
      <c r="H36" s="53"/>
      <c r="I36" s="53"/>
      <c r="J36" s="53"/>
      <c r="K36" s="90" t="str">
        <f>IF(COUNTIF(K38:K62, "="&amp;IncompleteText), IncompleteText, IF(COUNTIF(K38:K62, "="&amp;ErrorText), ErrorText, OKText))</f>
        <v>OK</v>
      </c>
      <c r="M36" s="53" t="s">
        <v>503</v>
      </c>
      <c r="N36" s="53"/>
      <c r="O36" s="53"/>
      <c r="P36" s="53"/>
      <c r="Q36" s="53"/>
      <c r="R36" s="53"/>
      <c r="S36" s="53"/>
      <c r="T36" s="53"/>
      <c r="U36" s="53"/>
      <c r="V36" s="53"/>
      <c r="W36" s="90" t="str">
        <f>IF(COUNTIF(W38:W40, "="&amp;IncompleteText), IncompleteText, IF(COUNTIF(W38:W40, "="&amp;ErrorText), ErrorText, OKText))</f>
        <v>OK</v>
      </c>
    </row>
    <row r="37" spans="1:23" x14ac:dyDescent="0.35">
      <c r="A37" s="86" t="s">
        <v>66</v>
      </c>
      <c r="B37" s="126"/>
      <c r="C37" s="22"/>
      <c r="D37" s="22"/>
      <c r="E37" s="22"/>
      <c r="F37" s="22"/>
      <c r="G37" s="22"/>
      <c r="H37" s="22"/>
      <c r="I37" s="22"/>
      <c r="J37" s="22"/>
      <c r="K37" s="91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91"/>
    </row>
    <row r="38" spans="1:23" x14ac:dyDescent="0.35">
      <c r="A38" s="85" t="s">
        <v>504</v>
      </c>
      <c r="B38" s="85"/>
      <c r="C38" s="82" t="s">
        <v>505</v>
      </c>
      <c r="D38" s="82"/>
      <c r="E38" s="82"/>
      <c r="F38" s="82"/>
      <c r="G38" s="82"/>
      <c r="H38" s="82"/>
      <c r="I38" s="83"/>
      <c r="J38" s="3" t="b">
        <v>1</v>
      </c>
      <c r="K38" s="12" t="str">
        <f t="shared" ref="K38:K62" si="0">IF(ISBLANK(J38),IncompleteText, IF(J38, OKText, ErrorText))</f>
        <v>OK</v>
      </c>
      <c r="M38" s="82" t="s">
        <v>506</v>
      </c>
      <c r="N38" s="82"/>
      <c r="O38" s="82"/>
      <c r="P38" s="82"/>
      <c r="Q38" s="82"/>
      <c r="R38" s="82"/>
      <c r="S38" s="82"/>
      <c r="T38" s="82"/>
      <c r="U38" s="83"/>
      <c r="V38" s="3" t="b">
        <v>1</v>
      </c>
      <c r="W38" s="12" t="str">
        <f>IF(ISBLANK(V38),IncompleteText, IF(V38, OKText, ErrorText))</f>
        <v>OK</v>
      </c>
    </row>
    <row r="39" spans="1:23" x14ac:dyDescent="0.35">
      <c r="A39" s="85" t="s">
        <v>507</v>
      </c>
      <c r="B39" s="85"/>
      <c r="C39" s="82" t="s">
        <v>508</v>
      </c>
      <c r="D39" s="82"/>
      <c r="E39" s="82"/>
      <c r="F39" s="82"/>
      <c r="G39" s="82"/>
      <c r="H39" s="82"/>
      <c r="I39" s="83"/>
      <c r="J39" s="3" t="b">
        <v>1</v>
      </c>
      <c r="K39" s="12" t="str">
        <f t="shared" si="0"/>
        <v>OK</v>
      </c>
      <c r="M39" s="82" t="s">
        <v>509</v>
      </c>
      <c r="N39" s="82"/>
      <c r="O39" s="82"/>
      <c r="P39" s="82"/>
      <c r="Q39" s="82"/>
      <c r="R39" s="82"/>
      <c r="S39" s="82"/>
      <c r="T39" s="82"/>
      <c r="U39" s="83"/>
      <c r="V39" s="3" t="b">
        <v>1</v>
      </c>
      <c r="W39" s="12" t="str">
        <f>IF(ISBLANK(V39),IncompleteText, IF(V39, OKText, ErrorText))</f>
        <v>OK</v>
      </c>
    </row>
    <row r="40" spans="1:23" x14ac:dyDescent="0.35">
      <c r="A40" s="85" t="s">
        <v>510</v>
      </c>
      <c r="B40" s="85"/>
      <c r="C40" s="82" t="s">
        <v>511</v>
      </c>
      <c r="D40" s="82"/>
      <c r="E40" s="82"/>
      <c r="F40" s="82"/>
      <c r="G40" s="82"/>
      <c r="H40" s="82"/>
      <c r="I40" s="83"/>
      <c r="J40" s="3" t="b">
        <v>1</v>
      </c>
      <c r="K40" s="12" t="str">
        <f t="shared" si="0"/>
        <v>OK</v>
      </c>
      <c r="M40" s="82" t="s">
        <v>512</v>
      </c>
      <c r="N40" s="82"/>
      <c r="O40" s="82"/>
      <c r="P40" s="82"/>
      <c r="Q40" s="82"/>
      <c r="R40" s="82"/>
      <c r="S40" s="82"/>
      <c r="T40" s="82"/>
      <c r="U40" s="83"/>
      <c r="V40" s="3" t="b">
        <v>1</v>
      </c>
      <c r="W40" s="12" t="str">
        <f>IF(ISBLANK(V40),IncompleteText, IF(V40, OKText, ErrorText))</f>
        <v>OK</v>
      </c>
    </row>
    <row r="41" spans="1:23" x14ac:dyDescent="0.35">
      <c r="A41" s="85" t="s">
        <v>513</v>
      </c>
      <c r="B41" s="85"/>
      <c r="C41" s="82" t="s">
        <v>514</v>
      </c>
      <c r="D41" s="82"/>
      <c r="E41" s="82"/>
      <c r="F41" s="82"/>
      <c r="G41" s="82"/>
      <c r="H41" s="82"/>
      <c r="I41" s="83"/>
      <c r="J41" s="3" t="b">
        <v>1</v>
      </c>
      <c r="K41" s="12" t="str">
        <f t="shared" si="0"/>
        <v>OK</v>
      </c>
      <c r="M41" s="53" t="s">
        <v>20</v>
      </c>
      <c r="N41" s="53"/>
      <c r="O41" s="53"/>
      <c r="P41" s="53"/>
      <c r="Q41" s="53"/>
      <c r="R41" s="53"/>
      <c r="S41" s="53"/>
      <c r="T41" s="53"/>
      <c r="U41" s="53"/>
      <c r="V41" s="118" t="s">
        <v>66</v>
      </c>
      <c r="W41" s="119"/>
    </row>
    <row r="42" spans="1:23" x14ac:dyDescent="0.35">
      <c r="A42" s="85" t="s">
        <v>515</v>
      </c>
      <c r="B42" s="85"/>
      <c r="C42" s="82" t="s">
        <v>516</v>
      </c>
      <c r="D42" s="82"/>
      <c r="E42" s="82"/>
      <c r="F42" s="82"/>
      <c r="G42" s="82"/>
      <c r="H42" s="82"/>
      <c r="I42" s="83"/>
      <c r="J42" s="3" t="b">
        <v>1</v>
      </c>
      <c r="K42" s="12" t="str">
        <f t="shared" si="0"/>
        <v>OK</v>
      </c>
      <c r="M42" s="44"/>
      <c r="N42" s="45"/>
      <c r="O42" s="45"/>
      <c r="P42" s="45"/>
      <c r="Q42" s="45"/>
      <c r="R42" s="45"/>
      <c r="S42" s="45"/>
      <c r="T42" s="45"/>
      <c r="U42" s="45"/>
      <c r="V42" s="63" t="s">
        <v>489</v>
      </c>
      <c r="W42" s="120"/>
    </row>
    <row r="43" spans="1:23" x14ac:dyDescent="0.35">
      <c r="A43" s="85" t="s">
        <v>517</v>
      </c>
      <c r="B43" s="85"/>
      <c r="C43" s="82" t="s">
        <v>518</v>
      </c>
      <c r="D43" s="82"/>
      <c r="E43" s="82"/>
      <c r="F43" s="82"/>
      <c r="G43" s="82"/>
      <c r="H43" s="82"/>
      <c r="I43" s="83"/>
      <c r="J43" s="3" t="b">
        <v>1</v>
      </c>
      <c r="K43" s="12" t="str">
        <f t="shared" si="0"/>
        <v>OK</v>
      </c>
      <c r="M43" s="44"/>
      <c r="N43" s="45"/>
      <c r="O43" s="45"/>
      <c r="P43" s="45"/>
      <c r="Q43" s="45"/>
      <c r="R43" s="45"/>
      <c r="S43" s="45"/>
      <c r="T43" s="45"/>
      <c r="U43" s="45"/>
      <c r="V43" s="121"/>
      <c r="W43" s="122"/>
    </row>
    <row r="44" spans="1:23" x14ac:dyDescent="0.35">
      <c r="A44" s="85" t="s">
        <v>519</v>
      </c>
      <c r="B44" s="85"/>
      <c r="C44" s="82" t="s">
        <v>115</v>
      </c>
      <c r="D44" s="82"/>
      <c r="E44" s="82"/>
      <c r="F44" s="82"/>
      <c r="G44" s="82"/>
      <c r="H44" s="82"/>
      <c r="I44" s="83"/>
      <c r="J44" s="3" t="b">
        <v>1</v>
      </c>
      <c r="K44" s="12" t="str">
        <f t="shared" si="0"/>
        <v>OK</v>
      </c>
      <c r="M44" s="44"/>
      <c r="N44" s="45"/>
      <c r="O44" s="45"/>
      <c r="P44" s="45"/>
      <c r="Q44" s="45"/>
      <c r="R44" s="45"/>
      <c r="S44" s="45"/>
      <c r="T44" s="45"/>
      <c r="U44" s="45"/>
      <c r="V44" s="121"/>
      <c r="W44" s="122"/>
    </row>
    <row r="45" spans="1:23" x14ac:dyDescent="0.35">
      <c r="A45" s="85" t="s">
        <v>275</v>
      </c>
      <c r="B45" s="85"/>
      <c r="C45" s="82" t="s">
        <v>276</v>
      </c>
      <c r="D45" s="82"/>
      <c r="E45" s="82"/>
      <c r="F45" s="82"/>
      <c r="G45" s="82"/>
      <c r="H45" s="82"/>
      <c r="I45" s="83"/>
      <c r="J45" s="3" t="b">
        <v>1</v>
      </c>
      <c r="K45" s="12" t="str">
        <f t="shared" si="0"/>
        <v>OK</v>
      </c>
      <c r="M45" s="44"/>
      <c r="N45" s="45"/>
      <c r="O45" s="45"/>
      <c r="P45" s="45"/>
      <c r="Q45" s="45"/>
      <c r="R45" s="45"/>
      <c r="S45" s="45"/>
      <c r="T45" s="45"/>
      <c r="U45" s="45"/>
      <c r="V45" s="123"/>
      <c r="W45" s="124"/>
    </row>
    <row r="46" spans="1:23" x14ac:dyDescent="0.35">
      <c r="A46" s="85" t="s">
        <v>489</v>
      </c>
      <c r="B46" s="85"/>
      <c r="C46" s="82" t="s">
        <v>487</v>
      </c>
      <c r="D46" s="82"/>
      <c r="E46" s="82"/>
      <c r="F46" s="82"/>
      <c r="G46" s="82"/>
      <c r="H46" s="82"/>
      <c r="I46" s="83"/>
      <c r="J46" s="3" t="b">
        <v>1</v>
      </c>
      <c r="K46" s="12" t="str">
        <f t="shared" si="0"/>
        <v>OK</v>
      </c>
    </row>
    <row r="47" spans="1:23" x14ac:dyDescent="0.35">
      <c r="A47" s="85" t="s">
        <v>520</v>
      </c>
      <c r="B47" s="85"/>
      <c r="C47" s="82" t="s">
        <v>521</v>
      </c>
      <c r="D47" s="82"/>
      <c r="E47" s="82"/>
      <c r="F47" s="82"/>
      <c r="G47" s="82"/>
      <c r="H47" s="82"/>
      <c r="I47" s="83"/>
      <c r="J47" s="3" t="b">
        <v>1</v>
      </c>
      <c r="K47" s="12" t="str">
        <f t="shared" si="0"/>
        <v>OK</v>
      </c>
      <c r="M47" s="89" t="s">
        <v>522</v>
      </c>
      <c r="N47" s="89"/>
      <c r="O47" s="89"/>
      <c r="P47" s="89"/>
      <c r="Q47" s="89"/>
      <c r="R47" s="89"/>
      <c r="S47" s="89"/>
      <c r="T47" s="89"/>
      <c r="U47" s="89"/>
      <c r="V47" s="89"/>
      <c r="W47" s="89"/>
    </row>
    <row r="48" spans="1:23" x14ac:dyDescent="0.35">
      <c r="A48" s="85" t="s">
        <v>523</v>
      </c>
      <c r="B48" s="85"/>
      <c r="C48" s="82" t="s">
        <v>524</v>
      </c>
      <c r="D48" s="82"/>
      <c r="E48" s="82"/>
      <c r="F48" s="82"/>
      <c r="G48" s="82"/>
      <c r="H48" s="82"/>
      <c r="I48" s="83"/>
      <c r="J48" s="3" t="b">
        <v>1</v>
      </c>
      <c r="K48" s="12" t="str">
        <f t="shared" si="0"/>
        <v>OK</v>
      </c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</row>
    <row r="49" spans="1:23" x14ac:dyDescent="0.35">
      <c r="A49" s="85" t="s">
        <v>525</v>
      </c>
      <c r="B49" s="85"/>
      <c r="C49" s="82" t="s">
        <v>526</v>
      </c>
      <c r="D49" s="82"/>
      <c r="E49" s="82"/>
      <c r="F49" s="82"/>
      <c r="G49" s="82"/>
      <c r="H49" s="82"/>
      <c r="I49" s="83"/>
      <c r="J49" s="3" t="b">
        <v>1</v>
      </c>
      <c r="K49" s="12" t="str">
        <f t="shared" si="0"/>
        <v>OK</v>
      </c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</row>
    <row r="50" spans="1:23" x14ac:dyDescent="0.35">
      <c r="A50" s="85"/>
      <c r="B50" s="85"/>
      <c r="C50" s="82" t="s">
        <v>527</v>
      </c>
      <c r="D50" s="82"/>
      <c r="E50" s="82"/>
      <c r="F50" s="82"/>
      <c r="G50" s="82"/>
      <c r="H50" s="82"/>
      <c r="I50" s="83"/>
      <c r="J50" s="3" t="b">
        <v>1</v>
      </c>
      <c r="K50" s="12" t="str">
        <f t="shared" si="0"/>
        <v>OK</v>
      </c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</row>
    <row r="51" spans="1:23" x14ac:dyDescent="0.35">
      <c r="A51" s="85"/>
      <c r="B51" s="85"/>
      <c r="C51" s="82" t="s">
        <v>528</v>
      </c>
      <c r="D51" s="82"/>
      <c r="E51" s="82"/>
      <c r="F51" s="82"/>
      <c r="G51" s="82"/>
      <c r="H51" s="82"/>
      <c r="I51" s="83"/>
      <c r="J51" s="3" t="b">
        <v>1</v>
      </c>
      <c r="K51" s="12" t="str">
        <f t="shared" si="0"/>
        <v>OK</v>
      </c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</row>
    <row r="52" spans="1:23" x14ac:dyDescent="0.35">
      <c r="A52" s="85" t="s">
        <v>529</v>
      </c>
      <c r="B52" s="85"/>
      <c r="C52" s="82" t="s">
        <v>530</v>
      </c>
      <c r="D52" s="82"/>
      <c r="E52" s="82"/>
      <c r="F52" s="82"/>
      <c r="G52" s="82"/>
      <c r="H52" s="82"/>
      <c r="I52" s="83"/>
      <c r="J52" s="3" t="b">
        <v>1</v>
      </c>
      <c r="K52" s="12" t="str">
        <f t="shared" si="0"/>
        <v>OK</v>
      </c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</row>
    <row r="53" spans="1:23" x14ac:dyDescent="0.35">
      <c r="A53" s="85"/>
      <c r="B53" s="85"/>
      <c r="C53" s="82" t="s">
        <v>477</v>
      </c>
      <c r="D53" s="82"/>
      <c r="E53" s="82"/>
      <c r="F53" s="82"/>
      <c r="G53" s="82"/>
      <c r="H53" s="82"/>
      <c r="I53" s="83"/>
      <c r="J53" s="3" t="b">
        <v>1</v>
      </c>
      <c r="K53" s="12" t="str">
        <f t="shared" si="0"/>
        <v>OK</v>
      </c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</row>
    <row r="54" spans="1:23" x14ac:dyDescent="0.35">
      <c r="A54" s="85" t="s">
        <v>531</v>
      </c>
      <c r="B54" s="85"/>
      <c r="C54" s="82" t="s">
        <v>532</v>
      </c>
      <c r="D54" s="82"/>
      <c r="E54" s="82"/>
      <c r="F54" s="82"/>
      <c r="G54" s="82"/>
      <c r="H54" s="82"/>
      <c r="I54" s="83"/>
      <c r="J54" s="3" t="b">
        <v>1</v>
      </c>
      <c r="K54" s="12" t="str">
        <f t="shared" si="0"/>
        <v>OK</v>
      </c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</row>
    <row r="55" spans="1:23" x14ac:dyDescent="0.35">
      <c r="A55" s="85" t="s">
        <v>531</v>
      </c>
      <c r="B55" s="85"/>
      <c r="C55" s="82" t="s">
        <v>533</v>
      </c>
      <c r="D55" s="82"/>
      <c r="E55" s="82"/>
      <c r="F55" s="82"/>
      <c r="G55" s="82"/>
      <c r="H55" s="82"/>
      <c r="I55" s="83"/>
      <c r="J55" s="3" t="b">
        <v>1</v>
      </c>
      <c r="K55" s="12" t="str">
        <f t="shared" si="0"/>
        <v>OK</v>
      </c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</row>
    <row r="56" spans="1:23" x14ac:dyDescent="0.35">
      <c r="A56" s="85" t="s">
        <v>531</v>
      </c>
      <c r="B56" s="85"/>
      <c r="C56" s="82" t="s">
        <v>534</v>
      </c>
      <c r="D56" s="82"/>
      <c r="E56" s="82"/>
      <c r="F56" s="82"/>
      <c r="G56" s="82"/>
      <c r="H56" s="82"/>
      <c r="I56" s="83"/>
      <c r="J56" s="3" t="b">
        <v>1</v>
      </c>
      <c r="K56" s="12" t="str">
        <f t="shared" si="0"/>
        <v>OK</v>
      </c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</row>
    <row r="57" spans="1:23" x14ac:dyDescent="0.35">
      <c r="A57" s="85" t="s">
        <v>535</v>
      </c>
      <c r="B57" s="85"/>
      <c r="C57" s="82" t="s">
        <v>536</v>
      </c>
      <c r="D57" s="82"/>
      <c r="E57" s="82"/>
      <c r="F57" s="82"/>
      <c r="G57" s="82"/>
      <c r="H57" s="82"/>
      <c r="I57" s="83"/>
      <c r="J57" s="3" t="b">
        <v>1</v>
      </c>
      <c r="K57" s="12" t="str">
        <f t="shared" si="0"/>
        <v>OK</v>
      </c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</row>
    <row r="58" spans="1:23" x14ac:dyDescent="0.35">
      <c r="A58" s="85" t="s">
        <v>537</v>
      </c>
      <c r="B58" s="85"/>
      <c r="C58" s="82" t="s">
        <v>538</v>
      </c>
      <c r="D58" s="82"/>
      <c r="E58" s="82"/>
      <c r="F58" s="82"/>
      <c r="G58" s="82"/>
      <c r="H58" s="82"/>
      <c r="I58" s="83"/>
      <c r="J58" s="3" t="b">
        <v>1</v>
      </c>
      <c r="K58" s="12" t="str">
        <f t="shared" si="0"/>
        <v>OK</v>
      </c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</row>
    <row r="59" spans="1:23" x14ac:dyDescent="0.35">
      <c r="A59" s="85" t="s">
        <v>539</v>
      </c>
      <c r="B59" s="85"/>
      <c r="C59" s="82" t="s">
        <v>540</v>
      </c>
      <c r="D59" s="82"/>
      <c r="E59" s="82"/>
      <c r="F59" s="82"/>
      <c r="G59" s="82"/>
      <c r="H59" s="82"/>
      <c r="I59" s="83"/>
      <c r="J59" s="3" t="b">
        <v>1</v>
      </c>
      <c r="K59" s="12" t="str">
        <f t="shared" si="0"/>
        <v>OK</v>
      </c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</row>
    <row r="60" spans="1:23" x14ac:dyDescent="0.35">
      <c r="A60" s="85"/>
      <c r="B60" s="85"/>
      <c r="C60" s="82" t="s">
        <v>541</v>
      </c>
      <c r="D60" s="82"/>
      <c r="E60" s="82"/>
      <c r="F60" s="82"/>
      <c r="G60" s="82"/>
      <c r="H60" s="82"/>
      <c r="I60" s="83"/>
      <c r="J60" s="3" t="b">
        <v>1</v>
      </c>
      <c r="K60" s="12" t="str">
        <f t="shared" si="0"/>
        <v>OK</v>
      </c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</row>
    <row r="61" spans="1:23" x14ac:dyDescent="0.35">
      <c r="A61" s="85"/>
      <c r="B61" s="85"/>
      <c r="C61" s="82" t="s">
        <v>542</v>
      </c>
      <c r="D61" s="82"/>
      <c r="E61" s="82"/>
      <c r="F61" s="82"/>
      <c r="G61" s="82"/>
      <c r="H61" s="82"/>
      <c r="I61" s="83"/>
      <c r="J61" s="3" t="b">
        <v>1</v>
      </c>
      <c r="K61" s="12" t="str">
        <f t="shared" si="0"/>
        <v>OK</v>
      </c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</row>
    <row r="62" spans="1:23" x14ac:dyDescent="0.35">
      <c r="A62" s="85" t="s">
        <v>482</v>
      </c>
      <c r="B62" s="85"/>
      <c r="C62" s="82" t="s">
        <v>543</v>
      </c>
      <c r="D62" s="82"/>
      <c r="E62" s="82"/>
      <c r="F62" s="82"/>
      <c r="G62" s="82"/>
      <c r="H62" s="82"/>
      <c r="I62" s="83"/>
      <c r="J62" s="3" t="b">
        <v>1</v>
      </c>
      <c r="K62" s="12" t="str">
        <f t="shared" si="0"/>
        <v>OK</v>
      </c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</row>
    <row r="63" spans="1:23" x14ac:dyDescent="0.35">
      <c r="A63" s="53" t="s">
        <v>20</v>
      </c>
      <c r="B63" s="53"/>
      <c r="C63" s="53"/>
      <c r="D63" s="53"/>
      <c r="E63" s="53"/>
      <c r="F63" s="53"/>
      <c r="G63" s="53"/>
      <c r="H63" s="53"/>
      <c r="I63" s="53"/>
      <c r="J63" s="118" t="s">
        <v>66</v>
      </c>
      <c r="K63" s="11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</row>
    <row r="64" spans="1:23" x14ac:dyDescent="0.35">
      <c r="A64" s="44"/>
      <c r="B64" s="45"/>
      <c r="C64" s="45"/>
      <c r="D64" s="45"/>
      <c r="E64" s="45"/>
      <c r="F64" s="45"/>
      <c r="G64" s="45"/>
      <c r="H64" s="45"/>
      <c r="I64" s="45"/>
      <c r="J64" s="63" t="s">
        <v>544</v>
      </c>
      <c r="K64" s="120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</row>
    <row r="65" spans="1:23" x14ac:dyDescent="0.35">
      <c r="A65" s="44"/>
      <c r="B65" s="45"/>
      <c r="C65" s="45"/>
      <c r="D65" s="45"/>
      <c r="E65" s="45"/>
      <c r="F65" s="45"/>
      <c r="G65" s="45"/>
      <c r="H65" s="45"/>
      <c r="I65" s="45"/>
      <c r="J65" s="121"/>
      <c r="K65" s="122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</row>
    <row r="66" spans="1:23" x14ac:dyDescent="0.35">
      <c r="A66" s="44"/>
      <c r="B66" s="45"/>
      <c r="C66" s="45"/>
      <c r="D66" s="45"/>
      <c r="E66" s="45"/>
      <c r="F66" s="45"/>
      <c r="G66" s="45"/>
      <c r="H66" s="45"/>
      <c r="I66" s="45"/>
      <c r="J66" s="121"/>
      <c r="K66" s="122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</row>
    <row r="67" spans="1:23" x14ac:dyDescent="0.35">
      <c r="A67" s="44"/>
      <c r="B67" s="45"/>
      <c r="C67" s="45"/>
      <c r="D67" s="45"/>
      <c r="E67" s="45"/>
      <c r="F67" s="45"/>
      <c r="G67" s="45"/>
      <c r="H67" s="45"/>
      <c r="I67" s="45"/>
      <c r="J67" s="123"/>
      <c r="K67" s="124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</row>
    <row r="68" spans="1:23" x14ac:dyDescent="0.35"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</row>
    <row r="69" spans="1:23" x14ac:dyDescent="0.35"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</row>
    <row r="70" spans="1:23" x14ac:dyDescent="0.35"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</row>
    <row r="71" spans="1:23" x14ac:dyDescent="0.35"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</row>
    <row r="72" spans="1:23" x14ac:dyDescent="0.35"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</row>
    <row r="73" spans="1:23" x14ac:dyDescent="0.35"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</row>
    <row r="74" spans="1:23" x14ac:dyDescent="0.35"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</row>
    <row r="75" spans="1:23" x14ac:dyDescent="0.35">
      <c r="M75" s="53" t="s">
        <v>545</v>
      </c>
      <c r="N75" s="53"/>
      <c r="O75" s="53"/>
      <c r="P75" s="53"/>
      <c r="Q75" s="53"/>
      <c r="R75" s="53"/>
      <c r="S75" s="53"/>
      <c r="T75" s="53"/>
      <c r="U75" s="53"/>
      <c r="V75" s="53"/>
      <c r="W75" s="28" t="str">
        <f>IF(COUNTIF(W76:W82, "="&amp;IncompleteText), IncompleteText, IF(COUNTIF(W76:W82, "="&amp;ErrorText), ErrorText, OKText))</f>
        <v>BLANK</v>
      </c>
    </row>
    <row r="76" spans="1:23" x14ac:dyDescent="0.35">
      <c r="M76" s="82" t="s">
        <v>546</v>
      </c>
      <c r="N76" s="82"/>
      <c r="O76" s="82"/>
      <c r="P76" s="82"/>
      <c r="Q76" s="82"/>
      <c r="R76" s="82"/>
      <c r="S76" s="82"/>
      <c r="T76" s="82"/>
      <c r="U76" s="83"/>
      <c r="V76" s="3" t="b">
        <v>1</v>
      </c>
      <c r="W76" s="12" t="str">
        <f>IF(ISBLANK(V76),IncompleteText, IF(V76, OKText, ErrorText))</f>
        <v>OK</v>
      </c>
    </row>
    <row r="77" spans="1:23" x14ac:dyDescent="0.35">
      <c r="M77" s="82" t="s">
        <v>547</v>
      </c>
      <c r="N77" s="82"/>
      <c r="O77" s="82"/>
      <c r="P77" s="82"/>
      <c r="Q77" s="82"/>
      <c r="R77" s="82"/>
      <c r="S77" s="82"/>
      <c r="T77" s="82"/>
      <c r="U77" s="83"/>
      <c r="V77" s="3" t="b">
        <v>1</v>
      </c>
      <c r="W77" s="12" t="str">
        <f>IF(ISBLANK(V77),IncompleteText, IF(V77, OKText, ErrorText))</f>
        <v>OK</v>
      </c>
    </row>
    <row r="78" spans="1:23" x14ac:dyDescent="0.35">
      <c r="M78" s="82" t="s">
        <v>548</v>
      </c>
      <c r="N78" s="82"/>
      <c r="O78" s="82"/>
      <c r="P78" s="82"/>
      <c r="Q78" s="82"/>
      <c r="R78" s="82"/>
      <c r="S78" s="82"/>
      <c r="T78" s="82"/>
      <c r="U78" s="83"/>
      <c r="V78" s="3" t="b">
        <v>1</v>
      </c>
      <c r="W78" s="12" t="str">
        <f>IF(ISBLANK(V78),IncompleteText, IF(V78, OKText, ErrorText))</f>
        <v>OK</v>
      </c>
    </row>
    <row r="79" spans="1:23" x14ac:dyDescent="0.35">
      <c r="M79" s="82" t="s">
        <v>549</v>
      </c>
      <c r="N79" s="82"/>
      <c r="O79" s="82"/>
      <c r="P79" s="82"/>
      <c r="Q79" s="82"/>
      <c r="R79" s="82"/>
      <c r="S79" s="82"/>
      <c r="T79" s="83"/>
      <c r="U79" s="52" t="s">
        <v>550</v>
      </c>
      <c r="V79" s="52"/>
      <c r="W79" s="12" t="str">
        <f>IF(ISBLANK(U79), IncompleteText, OKText)</f>
        <v>OK</v>
      </c>
    </row>
    <row r="80" spans="1:23" x14ac:dyDescent="0.35">
      <c r="M80" s="82" t="s">
        <v>34</v>
      </c>
      <c r="N80" s="82"/>
      <c r="O80" s="82"/>
      <c r="P80" s="82"/>
      <c r="Q80" s="82"/>
      <c r="R80" s="82"/>
      <c r="S80" s="82"/>
      <c r="T80" s="83"/>
      <c r="U80" s="52"/>
      <c r="V80" s="52"/>
      <c r="W80" s="12" t="str">
        <f>IF(U79="Purchased", IF(ISBLANK(U80), IncompleteText, OKText), "")</f>
        <v/>
      </c>
    </row>
    <row r="81" spans="13:23" x14ac:dyDescent="0.35">
      <c r="M81" s="82" t="s">
        <v>54</v>
      </c>
      <c r="N81" s="82"/>
      <c r="O81" s="82"/>
      <c r="P81" s="82"/>
      <c r="Q81" s="82"/>
      <c r="R81" s="82"/>
      <c r="S81" s="82"/>
      <c r="T81" s="83"/>
      <c r="U81" s="79"/>
      <c r="V81" s="81"/>
      <c r="W81" s="12" t="str">
        <f>IF(U79="Purchased", IF(ISBLANK(U81), IncompleteText, OKText), "")</f>
        <v/>
      </c>
    </row>
    <row r="82" spans="13:23" x14ac:dyDescent="0.35">
      <c r="M82" s="82" t="s">
        <v>551</v>
      </c>
      <c r="N82" s="82"/>
      <c r="O82" s="82"/>
      <c r="P82" s="82"/>
      <c r="Q82" s="82"/>
      <c r="R82" s="82"/>
      <c r="S82" s="82"/>
      <c r="T82" s="78"/>
      <c r="U82" s="132"/>
      <c r="V82" s="132"/>
      <c r="W82" s="12" t="str">
        <f>IF(ISBLANK(T82),IncompleteText, IF(OR(T82="Manufacturer approved",T82="Team tested"), OKText, ErrorText))</f>
        <v>BLANK</v>
      </c>
    </row>
    <row r="83" spans="13:23" x14ac:dyDescent="0.35">
      <c r="M83" s="53" t="s">
        <v>20</v>
      </c>
      <c r="N83" s="53"/>
      <c r="O83" s="53"/>
      <c r="P83" s="53"/>
      <c r="Q83" s="53"/>
      <c r="R83" s="53"/>
      <c r="S83" s="53"/>
      <c r="T83" s="53"/>
      <c r="U83" s="53"/>
      <c r="V83" s="118" t="s">
        <v>66</v>
      </c>
      <c r="W83" s="119"/>
    </row>
    <row r="84" spans="13:23" x14ac:dyDescent="0.35">
      <c r="M84" s="44"/>
      <c r="N84" s="45"/>
      <c r="O84" s="45"/>
      <c r="P84" s="45"/>
      <c r="Q84" s="45"/>
      <c r="R84" s="45"/>
      <c r="S84" s="45"/>
      <c r="T84" s="45"/>
      <c r="U84" s="46"/>
      <c r="V84" s="63" t="s">
        <v>552</v>
      </c>
      <c r="W84" s="64"/>
    </row>
    <row r="85" spans="13:23" x14ac:dyDescent="0.35">
      <c r="M85" s="44"/>
      <c r="N85" s="45"/>
      <c r="O85" s="45"/>
      <c r="P85" s="45"/>
      <c r="Q85" s="45"/>
      <c r="R85" s="45"/>
      <c r="S85" s="45"/>
      <c r="T85" s="45"/>
      <c r="U85" s="46"/>
      <c r="V85" s="65"/>
      <c r="W85" s="66"/>
    </row>
    <row r="86" spans="13:23" x14ac:dyDescent="0.35">
      <c r="M86" s="44"/>
      <c r="N86" s="45"/>
      <c r="O86" s="45"/>
      <c r="P86" s="45"/>
      <c r="Q86" s="45"/>
      <c r="R86" s="45"/>
      <c r="S86" s="45"/>
      <c r="T86" s="45"/>
      <c r="U86" s="46"/>
      <c r="V86" s="65"/>
      <c r="W86" s="66"/>
    </row>
    <row r="87" spans="13:23" x14ac:dyDescent="0.35">
      <c r="M87" s="44"/>
      <c r="N87" s="45"/>
      <c r="O87" s="45"/>
      <c r="P87" s="45"/>
      <c r="Q87" s="45"/>
      <c r="R87" s="45"/>
      <c r="S87" s="45"/>
      <c r="T87" s="45"/>
      <c r="U87" s="46"/>
      <c r="V87" s="67"/>
      <c r="W87" s="68"/>
    </row>
  </sheetData>
  <sheetProtection algorithmName="SHA-512" hashValue="3dj1mnfgg6DAftxq6nnMTD4jAVNqOSeMitDOXl6NLhsCSTNrP1cheXpv7OOCjEGfuR1tOSn2SdkJwXzpXDa1tg==" saltValue="x0p3CuokFSABA10l7Bg78w==" spinCount="100000" sheet="1" scenarios="1" insertHyperlinks="0"/>
  <mergeCells count="103">
    <mergeCell ref="M82:S82"/>
    <mergeCell ref="C54:I54"/>
    <mergeCell ref="A63:I63"/>
    <mergeCell ref="A64:I67"/>
    <mergeCell ref="J63:K63"/>
    <mergeCell ref="J64:K67"/>
    <mergeCell ref="A55:B55"/>
    <mergeCell ref="A53:B53"/>
    <mergeCell ref="A54:B54"/>
    <mergeCell ref="A61:B61"/>
    <mergeCell ref="A62:B62"/>
    <mergeCell ref="A56:B56"/>
    <mergeCell ref="A57:B57"/>
    <mergeCell ref="A58:B58"/>
    <mergeCell ref="A59:B59"/>
    <mergeCell ref="A60:B60"/>
    <mergeCell ref="A41:B41"/>
    <mergeCell ref="A42:B42"/>
    <mergeCell ref="A43:B43"/>
    <mergeCell ref="A44:B44"/>
    <mergeCell ref="A45:B45"/>
    <mergeCell ref="C46:I46"/>
    <mergeCell ref="C47:I47"/>
    <mergeCell ref="C48:I48"/>
    <mergeCell ref="C50:I50"/>
    <mergeCell ref="C49:I49"/>
    <mergeCell ref="M10:W35"/>
    <mergeCell ref="A4:C4"/>
    <mergeCell ref="A5:C5"/>
    <mergeCell ref="D4:E4"/>
    <mergeCell ref="H4:J4"/>
    <mergeCell ref="H5:J5"/>
    <mergeCell ref="F2:F3"/>
    <mergeCell ref="M2:M3"/>
    <mergeCell ref="A3:C3"/>
    <mergeCell ref="H3:J3"/>
    <mergeCell ref="D3:E3"/>
    <mergeCell ref="K3:L3"/>
    <mergeCell ref="A2:E2"/>
    <mergeCell ref="A10:K35"/>
    <mergeCell ref="K4:L4"/>
    <mergeCell ref="K5:L5"/>
    <mergeCell ref="H7:J7"/>
    <mergeCell ref="H8:J8"/>
    <mergeCell ref="A37:B37"/>
    <mergeCell ref="C38:I38"/>
    <mergeCell ref="C39:I39"/>
    <mergeCell ref="C40:I40"/>
    <mergeCell ref="A38:B38"/>
    <mergeCell ref="A39:B39"/>
    <mergeCell ref="A40:B40"/>
    <mergeCell ref="H2:L2"/>
    <mergeCell ref="H6:J6"/>
    <mergeCell ref="K36:K37"/>
    <mergeCell ref="A36:J36"/>
    <mergeCell ref="W36:W37"/>
    <mergeCell ref="M47:W74"/>
    <mergeCell ref="C55:I55"/>
    <mergeCell ref="C56:I56"/>
    <mergeCell ref="C57:I57"/>
    <mergeCell ref="C58:I58"/>
    <mergeCell ref="C59:I59"/>
    <mergeCell ref="C60:I60"/>
    <mergeCell ref="C61:I61"/>
    <mergeCell ref="C62:I62"/>
    <mergeCell ref="M41:U41"/>
    <mergeCell ref="M42:U45"/>
    <mergeCell ref="C41:I41"/>
    <mergeCell ref="C42:I42"/>
    <mergeCell ref="V41:W41"/>
    <mergeCell ref="V42:W45"/>
    <mergeCell ref="M36:V36"/>
    <mergeCell ref="M38:U38"/>
    <mergeCell ref="M40:U40"/>
    <mergeCell ref="M39:U39"/>
    <mergeCell ref="C43:I43"/>
    <mergeCell ref="C44:I44"/>
    <mergeCell ref="C45:I45"/>
    <mergeCell ref="C52:I52"/>
    <mergeCell ref="V84:W87"/>
    <mergeCell ref="M84:U87"/>
    <mergeCell ref="U79:V79"/>
    <mergeCell ref="U80:V80"/>
    <mergeCell ref="M79:T79"/>
    <mergeCell ref="A46:B46"/>
    <mergeCell ref="A47:B47"/>
    <mergeCell ref="A48:B48"/>
    <mergeCell ref="A50:B50"/>
    <mergeCell ref="A52:B52"/>
    <mergeCell ref="A49:B49"/>
    <mergeCell ref="A51:B51"/>
    <mergeCell ref="C51:I51"/>
    <mergeCell ref="M83:U83"/>
    <mergeCell ref="V83:W83"/>
    <mergeCell ref="M75:V75"/>
    <mergeCell ref="M76:U76"/>
    <mergeCell ref="M77:U77"/>
    <mergeCell ref="M78:U78"/>
    <mergeCell ref="M80:T80"/>
    <mergeCell ref="U81:V81"/>
    <mergeCell ref="M81:T81"/>
    <mergeCell ref="C53:I53"/>
    <mergeCell ref="T82:V82"/>
  </mergeCells>
  <conditionalFormatting sqref="M80:U81">
    <cfRule type="expression" dxfId="0" priority="2">
      <formula>$U$79="Team Built"</formula>
    </cfRule>
  </conditionalFormatting>
  <dataValidations count="4">
    <dataValidation type="list" allowBlank="1" showInputMessage="1" showErrorMessage="1" sqref="V38:V40 J38:J62 V76:V78" xr:uid="{00000000-0002-0000-0600-000000000000}">
      <formula1>"TRUE,FALSE"</formula1>
    </dataValidation>
    <dataValidation type="list" allowBlank="1" showInputMessage="1" showErrorMessage="1" sqref="D4:E4" xr:uid="{00000000-0002-0000-0600-000001000000}">
      <formula1>"Bender IR155-3203,Bender IR155-3204,Bender iso165C-1,Bender iso175"</formula1>
    </dataValidation>
    <dataValidation type="list" allowBlank="1" showInputMessage="1" showErrorMessage="1" sqref="U79" xr:uid="{AEB9EAC2-E35D-4C25-B8A6-7B05D368D691}">
      <formula1>"Purchased, Team Built"</formula1>
    </dataValidation>
    <dataValidation type="list" allowBlank="1" showInputMessage="1" showErrorMessage="1" sqref="T82" xr:uid="{DB0D1E09-18B9-4F7A-B8CE-C8AAF2CFE82C}">
      <formula1>"Manufacturer approved,Team tested,No"</formula1>
    </dataValidation>
  </dataValidations>
  <hyperlinks>
    <hyperlink ref="K5" r:id="rId1" xr:uid="{4FD40590-8FC6-416F-A202-28EB9C8F5BD6}"/>
  </hyperlinks>
  <pageMargins left="0.25" right="0.25" top="0.75" bottom="0.75" header="0.3" footer="0.3"/>
  <pageSetup paperSize="8" scale="55" orientation="landscape" cellComments="atEnd" r:id="rId2"/>
  <headerFooter>
    <oddFooter>&amp;R&amp;1#&amp;"Calibri"&amp;10&amp;KFF0000Public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35"/>
  <sheetViews>
    <sheetView zoomScale="55" zoomScaleNormal="55" workbookViewId="0">
      <selection activeCell="N43" sqref="N43:N44"/>
    </sheetView>
  </sheetViews>
  <sheetFormatPr defaultColWidth="8.71875" defaultRowHeight="13.5" x14ac:dyDescent="0.35"/>
  <cols>
    <col min="1" max="11" width="8.71875" style="2"/>
    <col min="12" max="12" width="12.609375" style="2" customWidth="1"/>
    <col min="13" max="16384" width="8.71875" style="2"/>
  </cols>
  <sheetData>
    <row r="1" spans="1:24" x14ac:dyDescent="0.35">
      <c r="A1" s="26" t="s">
        <v>1</v>
      </c>
      <c r="B1" s="12" t="str">
        <f ca="1">IF(SUM(COUNTIF(INDIRECT({"'Torque Security'!$F$2","'Torque Security'!$S$2"}), "="&amp;IncompleteText)), IncompleteText, IF(SUM(COUNTIF(INDIRECT({"'Torque Security'!$F$2","'Torque Security'!$S$2"}), "="&amp;ErrorText)), ErrorText, OKText))</f>
        <v>OK</v>
      </c>
    </row>
    <row r="2" spans="1:24" x14ac:dyDescent="0.35">
      <c r="A2" s="53" t="s">
        <v>553</v>
      </c>
      <c r="B2" s="53"/>
      <c r="C2" s="53"/>
      <c r="D2" s="53"/>
      <c r="E2" s="53"/>
      <c r="F2" s="91" t="str">
        <f>IF(COUNTIF(F5:F10, "="&amp;IncompleteText), IncompleteText, IF(COUNTIF(F5:F10, "="&amp;ErrorText), ErrorText, OKText))</f>
        <v>OK</v>
      </c>
      <c r="H2" s="53" t="s">
        <v>554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91" t="str">
        <f>IF(COUNTIF(S6:S11, "="&amp;IncompleteText), IncompleteText, IF(COUNTIF(S6:S11, "="&amp;ErrorText), ErrorText, OKText))</f>
        <v>OK</v>
      </c>
    </row>
    <row r="3" spans="1:24" x14ac:dyDescent="0.35">
      <c r="A3" s="86" t="s">
        <v>488</v>
      </c>
      <c r="B3" s="87"/>
      <c r="C3" s="137" t="s">
        <v>555</v>
      </c>
      <c r="D3" s="141"/>
      <c r="E3" s="138"/>
      <c r="F3" s="9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91"/>
    </row>
    <row r="4" spans="1:24" x14ac:dyDescent="0.35">
      <c r="A4" t="s">
        <v>556</v>
      </c>
      <c r="B4" s="71" t="s">
        <v>557</v>
      </c>
      <c r="C4" s="71"/>
      <c r="D4" s="71" t="s">
        <v>558</v>
      </c>
      <c r="E4" s="71"/>
      <c r="H4" s="77" t="s">
        <v>559</v>
      </c>
      <c r="I4" s="77"/>
      <c r="J4" s="77" t="s">
        <v>560</v>
      </c>
      <c r="K4" s="77"/>
      <c r="L4" s="125" t="s">
        <v>561</v>
      </c>
      <c r="M4" s="125" t="s">
        <v>562</v>
      </c>
      <c r="N4" s="77" t="s">
        <v>563</v>
      </c>
      <c r="O4" s="144" t="s">
        <v>564</v>
      </c>
      <c r="P4" s="146" t="s">
        <v>565</v>
      </c>
      <c r="Q4" s="77" t="s">
        <v>566</v>
      </c>
      <c r="R4" s="77" t="s">
        <v>10</v>
      </c>
      <c r="T4" s="71" t="s">
        <v>20</v>
      </c>
      <c r="U4" s="71"/>
      <c r="V4" s="71"/>
      <c r="W4" s="71"/>
      <c r="X4" s="71"/>
    </row>
    <row r="5" spans="1:24" x14ac:dyDescent="0.35">
      <c r="A5" s="7">
        <v>0</v>
      </c>
      <c r="B5" s="73">
        <v>0.372</v>
      </c>
      <c r="C5" s="73"/>
      <c r="D5" s="73">
        <v>0.74</v>
      </c>
      <c r="E5" s="73"/>
      <c r="F5" s="12" t="str">
        <f>IF(OR(ISBLANK(B5),ISBLANK(D5)), IncompleteText, OKText)</f>
        <v>OK</v>
      </c>
      <c r="H5" s="77"/>
      <c r="I5" s="77"/>
      <c r="J5" s="76"/>
      <c r="K5" s="76"/>
      <c r="L5" s="143"/>
      <c r="M5" s="143"/>
      <c r="N5" s="76"/>
      <c r="O5" s="145"/>
      <c r="P5" s="147"/>
      <c r="Q5" s="76"/>
      <c r="R5" s="76"/>
      <c r="T5" s="142"/>
      <c r="U5" s="142"/>
      <c r="V5" s="142"/>
      <c r="W5" s="142"/>
      <c r="X5" s="142"/>
    </row>
    <row r="6" spans="1:24" x14ac:dyDescent="0.35">
      <c r="A6" s="7">
        <v>0.2</v>
      </c>
      <c r="B6" s="73">
        <v>0.71099999999999997</v>
      </c>
      <c r="C6" s="73"/>
      <c r="D6" s="73">
        <v>1.4</v>
      </c>
      <c r="E6" s="73"/>
      <c r="F6" s="12" t="str">
        <f>IF(OR(ISBLANK(B6),ISBLANK(D6)),IncompleteText,IF(OR(AND(_xlfn.XOR(B6&lt;D6,B5&lt;D5),B5&lt;&gt;D5),B6=D6),ErrorText,OKText))</f>
        <v>OK</v>
      </c>
      <c r="H6" s="85" t="s">
        <v>567</v>
      </c>
      <c r="I6" s="85"/>
      <c r="J6" s="52" t="s">
        <v>568</v>
      </c>
      <c r="K6" s="52"/>
      <c r="L6" s="29" t="s">
        <v>569</v>
      </c>
      <c r="M6" s="29" t="s">
        <v>570</v>
      </c>
      <c r="N6" s="29" t="s">
        <v>441</v>
      </c>
      <c r="O6" s="29" t="s">
        <v>571</v>
      </c>
      <c r="P6" s="29" t="s">
        <v>571</v>
      </c>
      <c r="Q6" s="29" t="s">
        <v>571</v>
      </c>
      <c r="R6" s="25"/>
      <c r="S6" s="12" t="str">
        <f>IF(COUNTBLANK(J6:L6)&gt;1, IncompleteText, OKText)</f>
        <v>OK</v>
      </c>
      <c r="T6" s="52"/>
      <c r="U6" s="52"/>
      <c r="V6" s="52"/>
      <c r="W6" s="52"/>
      <c r="X6" s="52"/>
    </row>
    <row r="7" spans="1:24" x14ac:dyDescent="0.35">
      <c r="A7" s="7">
        <v>0.4</v>
      </c>
      <c r="B7" s="73">
        <v>1.03</v>
      </c>
      <c r="C7" s="73"/>
      <c r="D7" s="73">
        <v>2.06</v>
      </c>
      <c r="E7" s="73"/>
      <c r="F7" s="12" t="str">
        <f>IF(OR(ISBLANK(B7),ISBLANK(D7)), IncompleteText, IF(OR(_xlfn.XOR(B7&lt;D7,B6&lt;D6),B7=D7), ErrorText, OKText))</f>
        <v>OK</v>
      </c>
      <c r="H7" s="52" t="str">
        <f>IF(ISBLANK(J6),"",J6)</f>
        <v>Pedal Box ECU</v>
      </c>
      <c r="I7" s="52"/>
      <c r="J7" s="52" t="s">
        <v>572</v>
      </c>
      <c r="K7" s="52"/>
      <c r="L7" s="29" t="s">
        <v>573</v>
      </c>
      <c r="M7" s="29" t="s">
        <v>571</v>
      </c>
      <c r="N7" s="29" t="s">
        <v>571</v>
      </c>
      <c r="O7" s="29" t="s">
        <v>571</v>
      </c>
      <c r="P7" s="29" t="s">
        <v>574</v>
      </c>
      <c r="Q7" s="29" t="s">
        <v>441</v>
      </c>
      <c r="R7" s="25"/>
      <c r="S7" s="12" t="str">
        <f>IF(ISBLANK(J7), "", IF(ISBLANK(L7), IncompleteText, OKText))</f>
        <v>OK</v>
      </c>
      <c r="T7" s="52"/>
      <c r="U7" s="52"/>
      <c r="V7" s="52"/>
      <c r="W7" s="52"/>
      <c r="X7" s="52"/>
    </row>
    <row r="8" spans="1:24" x14ac:dyDescent="0.35">
      <c r="A8" s="7">
        <v>0.6</v>
      </c>
      <c r="B8" s="73">
        <v>1.36</v>
      </c>
      <c r="C8" s="73"/>
      <c r="D8" s="73">
        <v>2.71</v>
      </c>
      <c r="E8" s="73"/>
      <c r="F8" s="12" t="str">
        <f>IF(OR(ISBLANK(B8),ISBLANK(D8)), IncompleteText, IF(OR(_xlfn.XOR(B8&lt;D8,B7&lt;D7),B8=D8), ErrorText, OKText))</f>
        <v>OK</v>
      </c>
      <c r="H8" s="52" t="str">
        <f>IF(ISBLANK(J7),"",J7)</f>
        <v>DEN</v>
      </c>
      <c r="I8" s="52"/>
      <c r="J8" s="52" t="s">
        <v>575</v>
      </c>
      <c r="K8" s="52"/>
      <c r="L8" s="29" t="s">
        <v>573</v>
      </c>
      <c r="M8" s="29" t="s">
        <v>571</v>
      </c>
      <c r="N8" s="29" t="s">
        <v>571</v>
      </c>
      <c r="O8" s="29" t="s">
        <v>571</v>
      </c>
      <c r="P8" s="29" t="s">
        <v>574</v>
      </c>
      <c r="Q8" s="29" t="s">
        <v>441</v>
      </c>
      <c r="R8" s="25"/>
      <c r="S8" s="12" t="str">
        <f>IF(ISBLANK(J8), "", IF(ISBLANK(L8), IncompleteText, OKText))</f>
        <v>OK</v>
      </c>
      <c r="T8" s="52"/>
      <c r="U8" s="52"/>
      <c r="V8" s="52"/>
      <c r="W8" s="52"/>
      <c r="X8" s="52"/>
    </row>
    <row r="9" spans="1:24" x14ac:dyDescent="0.35">
      <c r="A9" s="7">
        <v>0.8</v>
      </c>
      <c r="B9" s="73">
        <v>1.69</v>
      </c>
      <c r="C9" s="73"/>
      <c r="D9" s="73">
        <v>3.36</v>
      </c>
      <c r="E9" s="73"/>
      <c r="F9" s="12" t="str">
        <f>IF(OR(ISBLANK(B9),ISBLANK(D9)), IncompleteText, IF(OR(_xlfn.XOR(B9&lt;D9,B8&lt;D8),B9=D9), ErrorText, OKText))</f>
        <v>OK</v>
      </c>
      <c r="H9" s="52" t="str">
        <f>IF(ISBLANK(J8),"",J8)</f>
        <v>CEN</v>
      </c>
      <c r="I9" s="52"/>
      <c r="J9" s="52" t="s">
        <v>268</v>
      </c>
      <c r="K9" s="52"/>
      <c r="L9" s="29" t="s">
        <v>573</v>
      </c>
      <c r="M9" s="29" t="s">
        <v>571</v>
      </c>
      <c r="N9" s="29" t="s">
        <v>571</v>
      </c>
      <c r="O9" s="29" t="s">
        <v>571</v>
      </c>
      <c r="P9" s="29" t="s">
        <v>574</v>
      </c>
      <c r="Q9" s="29" t="s">
        <v>441</v>
      </c>
      <c r="R9" s="25"/>
      <c r="S9" s="12" t="str">
        <f>IF(ISBLANK(J9), "", IF(ISBLANK(L9), IncompleteText, OKText))</f>
        <v>OK</v>
      </c>
      <c r="T9" s="52"/>
      <c r="U9" s="52"/>
      <c r="V9" s="52"/>
      <c r="W9" s="52"/>
      <c r="X9" s="52"/>
    </row>
    <row r="10" spans="1:24" x14ac:dyDescent="0.35">
      <c r="A10" s="7">
        <v>1</v>
      </c>
      <c r="B10" s="73">
        <v>2.0499999999999998</v>
      </c>
      <c r="C10" s="73"/>
      <c r="D10" s="73">
        <v>4.09</v>
      </c>
      <c r="E10" s="73"/>
      <c r="F10" s="12" t="str">
        <f>IF(OR(ISBLANK(B10),ISBLANK(D10)), IncompleteText, IF(OR(_xlfn.XOR(B10&lt;D10,B9&lt;D9),B10=D10), ErrorText, OKText))</f>
        <v>OK</v>
      </c>
      <c r="H10" s="52" t="str">
        <f>IF(ISBLANK(J9),"",J9)</f>
        <v>Motor Controller</v>
      </c>
      <c r="I10" s="52"/>
      <c r="J10" s="52"/>
      <c r="K10" s="52"/>
      <c r="L10" s="29"/>
      <c r="M10" s="29"/>
      <c r="N10" s="29"/>
      <c r="O10" s="29"/>
      <c r="P10" s="29"/>
      <c r="Q10" s="29"/>
      <c r="R10" s="25"/>
      <c r="S10" s="12" t="str">
        <f>IF(ISBLANK(J10), "", IF(ISBLANK(L10), IncompleteText, OKText))</f>
        <v/>
      </c>
      <c r="T10" s="52"/>
      <c r="U10" s="52"/>
      <c r="V10" s="52"/>
      <c r="W10" s="52"/>
      <c r="X10" s="52"/>
    </row>
    <row r="11" spans="1:24" x14ac:dyDescent="0.35">
      <c r="H11" s="52" t="str">
        <f>IF(ISBLANK(J10),"",J10)</f>
        <v/>
      </c>
      <c r="I11" s="52"/>
      <c r="J11" s="52"/>
      <c r="K11" s="52"/>
      <c r="L11" s="29"/>
      <c r="M11" s="29"/>
      <c r="N11" s="29"/>
      <c r="O11" s="29"/>
      <c r="P11" s="29"/>
      <c r="Q11" s="29"/>
      <c r="R11" s="25"/>
      <c r="S11" s="12" t="str">
        <f>IF(ISBLANK(J11), "", IF(ISBLANK(L11), IncompleteText, OKText))</f>
        <v/>
      </c>
      <c r="T11" s="52"/>
      <c r="U11" s="52"/>
      <c r="V11" s="52"/>
      <c r="W11" s="52"/>
      <c r="X11" s="52"/>
    </row>
    <row r="26" ht="15" customHeight="1" x14ac:dyDescent="0.35"/>
    <row r="34" spans="1:1" x14ac:dyDescent="0.35">
      <c r="A34" s="36"/>
    </row>
    <row r="35" spans="1:1" x14ac:dyDescent="0.35">
      <c r="A35" s="36"/>
    </row>
  </sheetData>
  <sheetProtection algorithmName="SHA-512" hashValue="uufGlQWiHMVIQStAT6BfBb1Slx6xUn3cM0iVaRkyzyq78RtT2riE3o5dmQh6/1IA2+82kLQLlp3h1TjJOK6ipw==" saltValue="uuLCtp6Lh2YbtUfjGO+h9w==" spinCount="100000" sheet="1" scenarios="1" insertHyperlinks="0"/>
  <mergeCells count="48">
    <mergeCell ref="J10:K10"/>
    <mergeCell ref="J11:K11"/>
    <mergeCell ref="R4:R5"/>
    <mergeCell ref="M4:M5"/>
    <mergeCell ref="L4:L5"/>
    <mergeCell ref="J4:K5"/>
    <mergeCell ref="N4:N5"/>
    <mergeCell ref="O4:O5"/>
    <mergeCell ref="P4:P5"/>
    <mergeCell ref="Q4:Q5"/>
    <mergeCell ref="J6:K6"/>
    <mergeCell ref="J7:K7"/>
    <mergeCell ref="J8:K8"/>
    <mergeCell ref="J9:K9"/>
    <mergeCell ref="T10:X10"/>
    <mergeCell ref="T11:X11"/>
    <mergeCell ref="T6:X6"/>
    <mergeCell ref="T4:X5"/>
    <mergeCell ref="T7:X7"/>
    <mergeCell ref="T8:X8"/>
    <mergeCell ref="T9:X9"/>
    <mergeCell ref="H7:I7"/>
    <mergeCell ref="H8:I8"/>
    <mergeCell ref="H9:I9"/>
    <mergeCell ref="B6:C6"/>
    <mergeCell ref="B7:C7"/>
    <mergeCell ref="B8:C8"/>
    <mergeCell ref="B9:C9"/>
    <mergeCell ref="D6:E6"/>
    <mergeCell ref="D7:E7"/>
    <mergeCell ref="D8:E8"/>
    <mergeCell ref="D9:E9"/>
    <mergeCell ref="A3:B3"/>
    <mergeCell ref="F2:F3"/>
    <mergeCell ref="S2:S3"/>
    <mergeCell ref="C3:E3"/>
    <mergeCell ref="H11:I11"/>
    <mergeCell ref="A2:E2"/>
    <mergeCell ref="D4:E4"/>
    <mergeCell ref="B4:C4"/>
    <mergeCell ref="B5:C5"/>
    <mergeCell ref="H2:R2"/>
    <mergeCell ref="D5:E5"/>
    <mergeCell ref="H4:I5"/>
    <mergeCell ref="B10:C10"/>
    <mergeCell ref="D10:E10"/>
    <mergeCell ref="H10:I10"/>
    <mergeCell ref="H6:I6"/>
  </mergeCells>
  <dataValidations count="1">
    <dataValidation type="list" allowBlank="1" showInputMessage="1" showErrorMessage="1" sqref="L6:L11" xr:uid="{00000000-0002-0000-0700-000000000000}">
      <formula1>"Analog,Digital"</formula1>
    </dataValidation>
  </dataValidations>
  <pageMargins left="0.25" right="0.25" top="0.75" bottom="0.75" header="0.3" footer="0.3"/>
  <pageSetup paperSize="8" scale="75" orientation="landscape" cellComments="atEnd" r:id="rId1"/>
  <headerFooter>
    <oddFooter>&amp;R&amp;1#&amp;"Calibri"&amp;10&amp;KFF0000Public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34"/>
  <sheetViews>
    <sheetView topLeftCell="A4" zoomScale="55" zoomScaleNormal="55" workbookViewId="0">
      <selection activeCell="I43" sqref="I43"/>
    </sheetView>
  </sheetViews>
  <sheetFormatPr defaultColWidth="8.71875" defaultRowHeight="13.5" x14ac:dyDescent="0.35"/>
  <cols>
    <col min="1" max="16384" width="8.71875" style="2"/>
  </cols>
  <sheetData>
    <row r="1" spans="1:17" x14ac:dyDescent="0.35">
      <c r="A1" s="26" t="s">
        <v>1</v>
      </c>
      <c r="B1" s="12" t="str" cm="1">
        <f t="array" aca="1" ref="B1" ca="1">IF(SUM(COUNTIF(INDIRECT({"Other!$F$2","Other!$L$2","Other!$H$28","Other!$Q$28"}), "="&amp;IncompleteText)), IncompleteText, IF(SUM(COUNTIF(INDIRECT({"Other!$F$2","Other!$L$2","Other!$H$28","Other!$Q$28"}), "="&amp;ErrorText)), ErrorText, OKText))</f>
        <v>BLANK</v>
      </c>
    </row>
    <row r="2" spans="1:17" x14ac:dyDescent="0.35">
      <c r="A2" s="53" t="s">
        <v>268</v>
      </c>
      <c r="B2" s="53"/>
      <c r="C2" s="53"/>
      <c r="D2" s="53"/>
      <c r="E2" s="53"/>
      <c r="F2" s="12" t="str">
        <f>IF(COUNTIF(F3:F7, "="&amp;IncompleteText), IncompleteText, IF(COUNTIF(F3:F7, "="&amp;ErrorText), ErrorText, OKText))</f>
        <v>OK</v>
      </c>
      <c r="G2" s="53" t="s">
        <v>271</v>
      </c>
      <c r="H2" s="53"/>
      <c r="I2" s="53"/>
      <c r="J2" s="53"/>
      <c r="K2" s="53"/>
      <c r="L2" s="12" t="str">
        <f>IF(COUNTIF(L3:L5, "="&amp;IncompleteText), IncompleteText, IF(COUNTIF(L3:L5, "="&amp;ErrorText), ErrorText, OKText))</f>
        <v>OK</v>
      </c>
    </row>
    <row r="3" spans="1:17" x14ac:dyDescent="0.35">
      <c r="A3" s="82" t="s">
        <v>32</v>
      </c>
      <c r="B3" s="82"/>
      <c r="C3" s="83"/>
      <c r="D3" s="78" t="s">
        <v>576</v>
      </c>
      <c r="E3" s="75"/>
      <c r="F3" s="12" t="str">
        <f>IF(ISBLANK(D3), IncompleteText, OKText)</f>
        <v>OK</v>
      </c>
      <c r="G3" s="82" t="s">
        <v>32</v>
      </c>
      <c r="H3" s="82"/>
      <c r="I3" s="83"/>
      <c r="J3" s="78" t="s">
        <v>577</v>
      </c>
      <c r="K3" s="75"/>
      <c r="L3" s="12" t="str">
        <f>IF(ISBLANK(J3), IncompleteText, OKText)</f>
        <v>OK</v>
      </c>
    </row>
    <row r="4" spans="1:17" x14ac:dyDescent="0.35">
      <c r="A4" s="82" t="s">
        <v>34</v>
      </c>
      <c r="B4" s="82"/>
      <c r="C4" s="82"/>
      <c r="D4" s="52" t="s">
        <v>578</v>
      </c>
      <c r="E4" s="52"/>
      <c r="F4" s="12" t="str">
        <f>IF(ISBLANK(D4), IncompleteText, OKText)</f>
        <v>OK</v>
      </c>
      <c r="G4" s="82" t="s">
        <v>34</v>
      </c>
      <c r="H4" s="82"/>
      <c r="I4" s="82"/>
      <c r="J4" s="52" t="s">
        <v>579</v>
      </c>
      <c r="K4" s="52"/>
      <c r="L4" s="12" t="str">
        <f>IF(ISBLANK(J4), IncompleteText, OKText)</f>
        <v>OK</v>
      </c>
    </row>
    <row r="5" spans="1:17" x14ac:dyDescent="0.35">
      <c r="A5" s="82" t="s">
        <v>54</v>
      </c>
      <c r="B5" s="82"/>
      <c r="C5" s="83"/>
      <c r="D5" s="72" t="s">
        <v>580</v>
      </c>
      <c r="E5" s="52"/>
      <c r="F5" s="12" t="str">
        <f>IF(ISBLANK(D5), IncompleteText, OKText)</f>
        <v>OK</v>
      </c>
      <c r="G5" s="82" t="s">
        <v>54</v>
      </c>
      <c r="H5" s="82"/>
      <c r="I5" s="83"/>
      <c r="J5" s="72" t="s">
        <v>581</v>
      </c>
      <c r="K5" s="52"/>
      <c r="L5" s="12" t="str">
        <f>IF(ISBLANK(J5), IncompleteText, OKText)</f>
        <v>OK</v>
      </c>
    </row>
    <row r="6" spans="1:17" x14ac:dyDescent="0.35">
      <c r="A6" s="148" t="s">
        <v>582</v>
      </c>
      <c r="B6" s="148"/>
      <c r="C6" s="148"/>
      <c r="D6" s="98">
        <v>1500</v>
      </c>
      <c r="E6" s="149" t="s">
        <v>17</v>
      </c>
      <c r="F6" s="150" t="str">
        <f>IF(ISBLANK(D6),IncompleteText,IF(D6&lt;MaxTSVoltage,ErrorText,OKText))</f>
        <v>OK</v>
      </c>
    </row>
    <row r="7" spans="1:17" x14ac:dyDescent="0.35">
      <c r="A7" s="148"/>
      <c r="B7" s="148"/>
      <c r="C7" s="148"/>
      <c r="D7" s="133"/>
      <c r="E7" s="85"/>
      <c r="F7" s="150"/>
    </row>
    <row r="9" spans="1:17" x14ac:dyDescent="0.35">
      <c r="A9" s="105" t="s">
        <v>583</v>
      </c>
      <c r="B9" s="105"/>
      <c r="C9" s="105"/>
      <c r="D9" s="105"/>
      <c r="E9" s="105"/>
      <c r="F9" s="105"/>
      <c r="G9" s="105"/>
      <c r="H9" s="105"/>
      <c r="J9" s="105" t="s">
        <v>584</v>
      </c>
      <c r="K9" s="105"/>
      <c r="L9" s="105"/>
      <c r="M9" s="105"/>
      <c r="N9" s="105"/>
      <c r="O9" s="105"/>
      <c r="P9" s="105"/>
      <c r="Q9" s="105"/>
    </row>
    <row r="10" spans="1:17" x14ac:dyDescent="0.35">
      <c r="A10" s="105"/>
      <c r="B10" s="105"/>
      <c r="C10" s="105"/>
      <c r="D10" s="105"/>
      <c r="E10" s="105"/>
      <c r="F10" s="105"/>
      <c r="G10" s="105"/>
      <c r="H10" s="105"/>
      <c r="J10" s="105"/>
      <c r="K10" s="105"/>
      <c r="L10" s="105"/>
      <c r="M10" s="105"/>
      <c r="N10" s="105"/>
      <c r="O10" s="105"/>
      <c r="P10" s="105"/>
      <c r="Q10" s="105"/>
    </row>
    <row r="11" spans="1:17" x14ac:dyDescent="0.35">
      <c r="A11" s="105"/>
      <c r="B11" s="105"/>
      <c r="C11" s="105"/>
      <c r="D11" s="105"/>
      <c r="E11" s="105"/>
      <c r="F11" s="105"/>
      <c r="G11" s="105"/>
      <c r="H11" s="105"/>
      <c r="J11" s="105"/>
      <c r="K11" s="105"/>
      <c r="L11" s="105"/>
      <c r="M11" s="105"/>
      <c r="N11" s="105"/>
      <c r="O11" s="105"/>
      <c r="P11" s="105"/>
      <c r="Q11" s="105"/>
    </row>
    <row r="12" spans="1:17" x14ac:dyDescent="0.35">
      <c r="A12" s="105"/>
      <c r="B12" s="105"/>
      <c r="C12" s="105"/>
      <c r="D12" s="105"/>
      <c r="E12" s="105"/>
      <c r="F12" s="105"/>
      <c r="G12" s="105"/>
      <c r="H12" s="105"/>
      <c r="J12" s="105"/>
      <c r="K12" s="105"/>
      <c r="L12" s="105"/>
      <c r="M12" s="105"/>
      <c r="N12" s="105"/>
      <c r="O12" s="105"/>
      <c r="P12" s="105"/>
      <c r="Q12" s="105"/>
    </row>
    <row r="13" spans="1:17" x14ac:dyDescent="0.35">
      <c r="A13" s="105"/>
      <c r="B13" s="105"/>
      <c r="C13" s="105"/>
      <c r="D13" s="105"/>
      <c r="E13" s="105"/>
      <c r="F13" s="105"/>
      <c r="G13" s="105"/>
      <c r="H13" s="105"/>
      <c r="J13" s="105"/>
      <c r="K13" s="105"/>
      <c r="L13" s="105"/>
      <c r="M13" s="105"/>
      <c r="N13" s="105"/>
      <c r="O13" s="105"/>
      <c r="P13" s="105"/>
      <c r="Q13" s="105"/>
    </row>
    <row r="14" spans="1:17" x14ac:dyDescent="0.35">
      <c r="A14" s="105"/>
      <c r="B14" s="105"/>
      <c r="C14" s="105"/>
      <c r="D14" s="105"/>
      <c r="E14" s="105"/>
      <c r="F14" s="105"/>
      <c r="G14" s="105"/>
      <c r="H14" s="105"/>
      <c r="J14" s="105"/>
      <c r="K14" s="105"/>
      <c r="L14" s="105"/>
      <c r="M14" s="105"/>
      <c r="N14" s="105"/>
      <c r="O14" s="105"/>
      <c r="P14" s="105"/>
      <c r="Q14" s="105"/>
    </row>
    <row r="15" spans="1:17" x14ac:dyDescent="0.35">
      <c r="A15" s="105"/>
      <c r="B15" s="105"/>
      <c r="C15" s="105"/>
      <c r="D15" s="105"/>
      <c r="E15" s="105"/>
      <c r="F15" s="105"/>
      <c r="G15" s="105"/>
      <c r="H15" s="105"/>
      <c r="J15" s="105"/>
      <c r="K15" s="105"/>
      <c r="L15" s="105"/>
      <c r="M15" s="105"/>
      <c r="N15" s="105"/>
      <c r="O15" s="105"/>
      <c r="P15" s="105"/>
      <c r="Q15" s="105"/>
    </row>
    <row r="16" spans="1:17" x14ac:dyDescent="0.35">
      <c r="A16" s="105"/>
      <c r="B16" s="105"/>
      <c r="C16" s="105"/>
      <c r="D16" s="105"/>
      <c r="E16" s="105"/>
      <c r="F16" s="105"/>
      <c r="G16" s="105"/>
      <c r="H16" s="105"/>
      <c r="J16" s="105"/>
      <c r="K16" s="105"/>
      <c r="L16" s="105"/>
      <c r="M16" s="105"/>
      <c r="N16" s="105"/>
      <c r="O16" s="105"/>
      <c r="P16" s="105"/>
      <c r="Q16" s="105"/>
    </row>
    <row r="17" spans="1:17" x14ac:dyDescent="0.35">
      <c r="A17" s="105"/>
      <c r="B17" s="105"/>
      <c r="C17" s="105"/>
      <c r="D17" s="105"/>
      <c r="E17" s="105"/>
      <c r="F17" s="105"/>
      <c r="G17" s="105"/>
      <c r="H17" s="105"/>
      <c r="J17" s="105"/>
      <c r="K17" s="105"/>
      <c r="L17" s="105"/>
      <c r="M17" s="105"/>
      <c r="N17" s="105"/>
      <c r="O17" s="105"/>
      <c r="P17" s="105"/>
      <c r="Q17" s="105"/>
    </row>
    <row r="18" spans="1:17" x14ac:dyDescent="0.35">
      <c r="A18" s="105"/>
      <c r="B18" s="105"/>
      <c r="C18" s="105"/>
      <c r="D18" s="105"/>
      <c r="E18" s="105"/>
      <c r="F18" s="105"/>
      <c r="G18" s="105"/>
      <c r="H18" s="105"/>
      <c r="J18" s="105"/>
      <c r="K18" s="105"/>
      <c r="L18" s="105"/>
      <c r="M18" s="105"/>
      <c r="N18" s="105"/>
      <c r="O18" s="105"/>
      <c r="P18" s="105"/>
      <c r="Q18" s="105"/>
    </row>
    <row r="19" spans="1:17" x14ac:dyDescent="0.35">
      <c r="A19" s="105"/>
      <c r="B19" s="105"/>
      <c r="C19" s="105"/>
      <c r="D19" s="105"/>
      <c r="E19" s="105"/>
      <c r="F19" s="105"/>
      <c r="G19" s="105"/>
      <c r="H19" s="105"/>
      <c r="J19" s="105"/>
      <c r="K19" s="105"/>
      <c r="L19" s="105"/>
      <c r="M19" s="105"/>
      <c r="N19" s="105"/>
      <c r="O19" s="105"/>
      <c r="P19" s="105"/>
      <c r="Q19" s="105"/>
    </row>
    <row r="20" spans="1:17" x14ac:dyDescent="0.35">
      <c r="A20" s="105"/>
      <c r="B20" s="105"/>
      <c r="C20" s="105"/>
      <c r="D20" s="105"/>
      <c r="E20" s="105"/>
      <c r="F20" s="105"/>
      <c r="G20" s="105"/>
      <c r="H20" s="105"/>
      <c r="J20" s="105"/>
      <c r="K20" s="105"/>
      <c r="L20" s="105"/>
      <c r="M20" s="105"/>
      <c r="N20" s="105"/>
      <c r="O20" s="105"/>
      <c r="P20" s="105"/>
      <c r="Q20" s="105"/>
    </row>
    <row r="21" spans="1:17" x14ac:dyDescent="0.35">
      <c r="A21" s="105"/>
      <c r="B21" s="105"/>
      <c r="C21" s="105"/>
      <c r="D21" s="105"/>
      <c r="E21" s="105"/>
      <c r="F21" s="105"/>
      <c r="G21" s="105"/>
      <c r="H21" s="105"/>
      <c r="J21" s="105"/>
      <c r="K21" s="105"/>
      <c r="L21" s="105"/>
      <c r="M21" s="105"/>
      <c r="N21" s="105"/>
      <c r="O21" s="105"/>
      <c r="P21" s="105"/>
      <c r="Q21" s="105"/>
    </row>
    <row r="22" spans="1:17" x14ac:dyDescent="0.35">
      <c r="A22" s="105"/>
      <c r="B22" s="105"/>
      <c r="C22" s="105"/>
      <c r="D22" s="105"/>
      <c r="E22" s="105"/>
      <c r="F22" s="105"/>
      <c r="G22" s="105"/>
      <c r="H22" s="105"/>
      <c r="J22" s="105"/>
      <c r="K22" s="105"/>
      <c r="L22" s="105"/>
      <c r="M22" s="105"/>
      <c r="N22" s="105"/>
      <c r="O22" s="105"/>
      <c r="P22" s="105"/>
      <c r="Q22" s="105"/>
    </row>
    <row r="23" spans="1:17" x14ac:dyDescent="0.35">
      <c r="A23" s="105"/>
      <c r="B23" s="105"/>
      <c r="C23" s="105"/>
      <c r="D23" s="105"/>
      <c r="E23" s="105"/>
      <c r="F23" s="105"/>
      <c r="G23" s="105"/>
      <c r="H23" s="105"/>
      <c r="J23" s="105"/>
      <c r="K23" s="105"/>
      <c r="L23" s="105"/>
      <c r="M23" s="105"/>
      <c r="N23" s="105"/>
      <c r="O23" s="105"/>
      <c r="P23" s="105"/>
      <c r="Q23" s="105"/>
    </row>
    <row r="24" spans="1:17" x14ac:dyDescent="0.35">
      <c r="A24" s="105"/>
      <c r="B24" s="105"/>
      <c r="C24" s="105"/>
      <c r="D24" s="105"/>
      <c r="E24" s="105"/>
      <c r="F24" s="105"/>
      <c r="G24" s="105"/>
      <c r="H24" s="105"/>
      <c r="J24" s="105"/>
      <c r="K24" s="105"/>
      <c r="L24" s="105"/>
      <c r="M24" s="105"/>
      <c r="N24" s="105"/>
      <c r="O24" s="105"/>
      <c r="P24" s="105"/>
      <c r="Q24" s="105"/>
    </row>
    <row r="25" spans="1:17" x14ac:dyDescent="0.35">
      <c r="A25" s="105"/>
      <c r="B25" s="105"/>
      <c r="C25" s="105"/>
      <c r="D25" s="105"/>
      <c r="E25" s="105"/>
      <c r="F25" s="105"/>
      <c r="G25" s="105"/>
      <c r="H25" s="105"/>
      <c r="J25" s="105"/>
      <c r="K25" s="105"/>
      <c r="L25" s="105"/>
      <c r="M25" s="105"/>
      <c r="N25" s="105"/>
      <c r="O25" s="105"/>
      <c r="P25" s="105"/>
      <c r="Q25" s="105"/>
    </row>
    <row r="26" spans="1:17" x14ac:dyDescent="0.35">
      <c r="A26" s="105"/>
      <c r="B26" s="105"/>
      <c r="C26" s="105"/>
      <c r="D26" s="105"/>
      <c r="E26" s="105"/>
      <c r="F26" s="105"/>
      <c r="G26" s="105"/>
      <c r="H26" s="105"/>
      <c r="J26" s="105"/>
      <c r="K26" s="105"/>
      <c r="L26" s="105"/>
      <c r="M26" s="105"/>
      <c r="N26" s="105"/>
      <c r="O26" s="105"/>
      <c r="P26" s="105"/>
      <c r="Q26" s="105"/>
    </row>
    <row r="27" spans="1:17" x14ac:dyDescent="0.35">
      <c r="A27" s="105"/>
      <c r="B27" s="105"/>
      <c r="C27" s="105"/>
      <c r="D27" s="105"/>
      <c r="E27" s="105"/>
      <c r="F27" s="105"/>
      <c r="G27" s="105"/>
      <c r="H27" s="105"/>
      <c r="J27" s="105"/>
      <c r="K27" s="105"/>
      <c r="L27" s="105"/>
      <c r="M27" s="105"/>
      <c r="N27" s="105"/>
      <c r="O27" s="105"/>
      <c r="P27" s="105"/>
      <c r="Q27" s="105"/>
    </row>
    <row r="28" spans="1:17" x14ac:dyDescent="0.35">
      <c r="A28" s="53" t="s">
        <v>585</v>
      </c>
      <c r="B28" s="53"/>
      <c r="C28" s="53"/>
      <c r="D28" s="53"/>
      <c r="E28" s="53"/>
      <c r="F28" s="53"/>
      <c r="G28" s="53"/>
      <c r="H28" s="12" t="str">
        <f>IF(COUNTIF(H29, "="&amp;IncompleteText), IncompleteText, IF(COUNTIF(H29, "="&amp;ErrorText), ErrorText, OKText))</f>
        <v>OK</v>
      </c>
      <c r="J28" s="53" t="s">
        <v>586</v>
      </c>
      <c r="K28" s="53"/>
      <c r="L28" s="53"/>
      <c r="M28" s="53"/>
      <c r="N28" s="53"/>
      <c r="O28" s="53"/>
      <c r="P28" s="53"/>
      <c r="Q28" s="12" t="str">
        <f>IF(COUNTIF(Q29, "="&amp;IncompleteText), IncompleteText, IF(COUNTIF(Q29, "="&amp;ErrorText), ErrorText, OKText))</f>
        <v>BLANK</v>
      </c>
    </row>
    <row r="29" spans="1:17" x14ac:dyDescent="0.35">
      <c r="A29" s="82" t="s">
        <v>587</v>
      </c>
      <c r="B29" s="82"/>
      <c r="C29" s="82"/>
      <c r="D29" s="82"/>
      <c r="E29" s="82"/>
      <c r="F29" s="83"/>
      <c r="G29" s="3" t="b">
        <v>1</v>
      </c>
      <c r="H29" s="12" t="str">
        <f>IF(ISBLANK(G29),IncompleteText, IF(G29, OKText, ErrorText))</f>
        <v>OK</v>
      </c>
      <c r="J29" s="82" t="s">
        <v>588</v>
      </c>
      <c r="K29" s="82"/>
      <c r="L29" s="82"/>
      <c r="M29" s="82"/>
      <c r="N29" s="82"/>
      <c r="O29" s="83"/>
      <c r="P29" s="3"/>
      <c r="Q29" s="12" t="str">
        <f>IF(ISBLANK(P29),IncompleteText, IF(P29, OKText, ErrorText))</f>
        <v>BLANK</v>
      </c>
    </row>
    <row r="30" spans="1:17" x14ac:dyDescent="0.35">
      <c r="A30" s="53" t="s">
        <v>20</v>
      </c>
      <c r="B30" s="53"/>
      <c r="C30" s="53"/>
      <c r="D30" s="53"/>
      <c r="E30" s="53"/>
      <c r="F30" s="53"/>
      <c r="G30" s="53"/>
      <c r="J30" s="53" t="s">
        <v>20</v>
      </c>
      <c r="K30" s="53"/>
      <c r="L30" s="53"/>
      <c r="M30" s="53"/>
      <c r="N30" s="53"/>
      <c r="O30" s="53"/>
      <c r="P30" s="53"/>
    </row>
    <row r="31" spans="1:17" x14ac:dyDescent="0.35">
      <c r="A31" s="44"/>
      <c r="B31" s="45"/>
      <c r="C31" s="45"/>
      <c r="D31" s="45"/>
      <c r="E31" s="45"/>
      <c r="F31" s="45"/>
      <c r="G31" s="45"/>
      <c r="J31" s="45"/>
      <c r="K31" s="45"/>
      <c r="L31" s="45"/>
      <c r="M31" s="45"/>
      <c r="N31" s="45"/>
      <c r="O31" s="45"/>
      <c r="P31" s="45"/>
    </row>
    <row r="32" spans="1:17" x14ac:dyDescent="0.35">
      <c r="A32" s="44"/>
      <c r="B32" s="45"/>
      <c r="C32" s="45"/>
      <c r="D32" s="45"/>
      <c r="E32" s="45"/>
      <c r="F32" s="45"/>
      <c r="G32" s="45"/>
      <c r="J32" s="45"/>
      <c r="K32" s="45"/>
      <c r="L32" s="45"/>
      <c r="M32" s="45"/>
      <c r="N32" s="45"/>
      <c r="O32" s="45"/>
      <c r="P32" s="45"/>
    </row>
    <row r="33" spans="1:16" x14ac:dyDescent="0.35">
      <c r="A33" s="44"/>
      <c r="B33" s="45"/>
      <c r="C33" s="45"/>
      <c r="D33" s="45"/>
      <c r="E33" s="45"/>
      <c r="F33" s="45"/>
      <c r="G33" s="45"/>
      <c r="J33" s="45"/>
      <c r="K33" s="45"/>
      <c r="L33" s="45"/>
      <c r="M33" s="45"/>
      <c r="N33" s="45"/>
      <c r="O33" s="45"/>
      <c r="P33" s="45"/>
    </row>
    <row r="34" spans="1:16" x14ac:dyDescent="0.35">
      <c r="A34" s="44"/>
      <c r="B34" s="45"/>
      <c r="C34" s="45"/>
      <c r="D34" s="45"/>
      <c r="E34" s="45"/>
      <c r="F34" s="45"/>
      <c r="G34" s="45"/>
      <c r="J34" s="45"/>
      <c r="K34" s="45"/>
      <c r="L34" s="45"/>
      <c r="M34" s="45"/>
      <c r="N34" s="45"/>
      <c r="O34" s="45"/>
      <c r="P34" s="45"/>
    </row>
  </sheetData>
  <sheetProtection algorithmName="SHA-512" hashValue="BbCk4i9qUPjTNOkeqwBxhBJMyu0gIBY2jhbF1+jE+VMQ1MsFCKLtkBiAtKeGejsHlHaAldSy/qVZo22MooqGoQ==" saltValue="ouO8hVKzzrAhhSX+2koZnQ==" spinCount="100000" sheet="1" scenarios="1" insertHyperlinks="0"/>
  <mergeCells count="28">
    <mergeCell ref="G2:K2"/>
    <mergeCell ref="A28:G28"/>
    <mergeCell ref="A29:F29"/>
    <mergeCell ref="A2:E2"/>
    <mergeCell ref="A3:C3"/>
    <mergeCell ref="D3:E3"/>
    <mergeCell ref="A4:C4"/>
    <mergeCell ref="D4:E4"/>
    <mergeCell ref="A5:C5"/>
    <mergeCell ref="D5:E5"/>
    <mergeCell ref="A9:H27"/>
    <mergeCell ref="G3:I3"/>
    <mergeCell ref="J3:K3"/>
    <mergeCell ref="G4:I4"/>
    <mergeCell ref="J4:K4"/>
    <mergeCell ref="G5:I5"/>
    <mergeCell ref="A30:G30"/>
    <mergeCell ref="A31:G34"/>
    <mergeCell ref="J5:K5"/>
    <mergeCell ref="A6:C7"/>
    <mergeCell ref="D6:D7"/>
    <mergeCell ref="E6:E7"/>
    <mergeCell ref="F6:F7"/>
    <mergeCell ref="J9:Q27"/>
    <mergeCell ref="J28:P28"/>
    <mergeCell ref="J29:O29"/>
    <mergeCell ref="J30:P30"/>
    <mergeCell ref="J31:P34"/>
  </mergeCells>
  <dataValidations count="1">
    <dataValidation type="list" allowBlank="1" showInputMessage="1" showErrorMessage="1" sqref="G29 P29" xr:uid="{00000000-0002-0000-0800-000000000000}">
      <formula1>"TRUE,FALSE"</formula1>
    </dataValidation>
  </dataValidations>
  <hyperlinks>
    <hyperlink ref="D5" r:id="rId1" xr:uid="{E6E8DAD0-2DD0-4C1F-9D16-8342A5711248}"/>
    <hyperlink ref="J5" r:id="rId2" xr:uid="{5DAC68C3-5453-4C87-9788-7A8250315A1F}"/>
  </hyperlinks>
  <pageMargins left="0.25" right="0.25" top="0.75" bottom="0.75" header="0.3" footer="0.3"/>
  <pageSetup paperSize="8" orientation="landscape" cellComments="atEnd" r:id="rId3"/>
  <headerFooter>
    <oddFooter>&amp;R&amp;1#&amp;"Calibri"&amp;10&amp;KFF0000Public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4" ma:contentTypeDescription="Create a new document." ma:contentTypeScope="" ma:versionID="a44d9a11cba0002fe3e34d439941c566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188a6fafd603f9fb726bda80870f2447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ar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artNumber" ma:index="21" nillable="true" ma:displayName="Part Number" ma:format="Dropdown" ma:internalName="Part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31679c-bfd8-4445-9cda-c9f05602c282" xsi:nil="true"/>
    <lcf76f155ced4ddcb4097134ff3c332f xmlns="0ad71be4-300e-4da4-9890-e32ad5c0a962">
      <Terms xmlns="http://schemas.microsoft.com/office/infopath/2007/PartnerControls"/>
    </lcf76f155ced4ddcb4097134ff3c332f>
    <PartNumber xmlns="0ad71be4-300e-4da4-9890-e32ad5c0a962" xsi:nil="true"/>
  </documentManagement>
</p:properties>
</file>

<file path=customXml/itemProps1.xml><?xml version="1.0" encoding="utf-8"?>
<ds:datastoreItem xmlns:ds="http://schemas.openxmlformats.org/officeDocument/2006/customXml" ds:itemID="{E22740AA-FC19-4380-852E-B1B7E0D26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71be4-300e-4da4-9890-e32ad5c0a962"/>
    <ds:schemaRef ds:uri="c631679c-bfd8-4445-9cda-c9f0560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EB953-25D2-46ED-95F6-35F503070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72F6E2-934F-4493-9EA5-4016C3E95A0B}">
  <ds:schemaRefs>
    <ds:schemaRef ds:uri="http://schemas.microsoft.com/office/2006/metadata/properties"/>
    <ds:schemaRef ds:uri="0ad71be4-300e-4da4-9890-e32ad5c0a96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c631679c-bfd8-4445-9cda-c9f05602c28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Overview</vt:lpstr>
      <vt:lpstr>Datasheets</vt:lpstr>
      <vt:lpstr>TS Schematics</vt:lpstr>
      <vt:lpstr>Accumulator</vt:lpstr>
      <vt:lpstr>PrechargeDischarge</vt:lpstr>
      <vt:lpstr>Charging</vt:lpstr>
      <vt:lpstr>Shutdown Circuit</vt:lpstr>
      <vt:lpstr>Torque Security</vt:lpstr>
      <vt:lpstr>Other</vt:lpstr>
      <vt:lpstr>BattCellCapacity</vt:lpstr>
      <vt:lpstr>BattCellMaxV</vt:lpstr>
      <vt:lpstr>BattCellNomV</vt:lpstr>
      <vt:lpstr>BusCap</vt:lpstr>
      <vt:lpstr>CellsPerTempSensor</vt:lpstr>
      <vt:lpstr>ConductorNames</vt:lpstr>
      <vt:lpstr>ConductorsTable</vt:lpstr>
      <vt:lpstr>ConnectorNames</vt:lpstr>
      <vt:lpstr>ConnectorsTable</vt:lpstr>
      <vt:lpstr>ContactorNames</vt:lpstr>
      <vt:lpstr>ContactorsTable</vt:lpstr>
      <vt:lpstr>DischargeRes</vt:lpstr>
      <vt:lpstr>FuseNames</vt:lpstr>
      <vt:lpstr>FusesTable</vt:lpstr>
      <vt:lpstr>InsulationNames</vt:lpstr>
      <vt:lpstr>InsulationsTable</vt:lpstr>
      <vt:lpstr>MaxTSVoltage</vt:lpstr>
      <vt:lpstr>NominalTSVoltage</vt:lpstr>
      <vt:lpstr>NumAccum</vt:lpstr>
      <vt:lpstr>PrechargeRes</vt:lpstr>
      <vt:lpstr>ResistorsNames</vt:lpstr>
      <vt:lpstr>ResistorsTable</vt:lpstr>
      <vt:lpstr>TotalCells</vt:lpstr>
    </vt:vector>
  </TitlesOfParts>
  <Manager/>
  <Company>Deere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Bocci Daniel J</dc:creator>
  <cp:keywords/>
  <dc:description/>
  <cp:lastModifiedBy>Jacob Lukes</cp:lastModifiedBy>
  <cp:revision/>
  <cp:lastPrinted>2025-11-05T03:50:41Z</cp:lastPrinted>
  <dcterms:created xsi:type="dcterms:W3CDTF">2016-02-19T16:36:42Z</dcterms:created>
  <dcterms:modified xsi:type="dcterms:W3CDTF">2025-11-05T03:51:06Z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9374dd-2437-4816-8d63-bf9cc1b578e5_Enabled">
    <vt:lpwstr>true</vt:lpwstr>
  </property>
  <property fmtid="{D5CDD505-2E9C-101B-9397-08002B2CF9AE}" pid="3" name="MSIP_Label_029374dd-2437-4816-8d63-bf9cc1b578e5_SetDate">
    <vt:lpwstr>2022-11-03T22:15:39Z</vt:lpwstr>
  </property>
  <property fmtid="{D5CDD505-2E9C-101B-9397-08002B2CF9AE}" pid="4" name="MSIP_Label_029374dd-2437-4816-8d63-bf9cc1b578e5_Method">
    <vt:lpwstr>Privileged</vt:lpwstr>
  </property>
  <property fmtid="{D5CDD505-2E9C-101B-9397-08002B2CF9AE}" pid="5" name="MSIP_Label_029374dd-2437-4816-8d63-bf9cc1b578e5_Name">
    <vt:lpwstr>Public</vt:lpwstr>
  </property>
  <property fmtid="{D5CDD505-2E9C-101B-9397-08002B2CF9AE}" pid="6" name="MSIP_Label_029374dd-2437-4816-8d63-bf9cc1b578e5_SiteId">
    <vt:lpwstr>39b03722-b836-496a-85ec-850f0957ca6b</vt:lpwstr>
  </property>
  <property fmtid="{D5CDD505-2E9C-101B-9397-08002B2CF9AE}" pid="7" name="MSIP_Label_029374dd-2437-4816-8d63-bf9cc1b578e5_ActionId">
    <vt:lpwstr>c1479c77-2325-4b16-959d-9cda815c05a9</vt:lpwstr>
  </property>
  <property fmtid="{D5CDD505-2E9C-101B-9397-08002B2CF9AE}" pid="8" name="MSIP_Label_029374dd-2437-4816-8d63-bf9cc1b578e5_ContentBits">
    <vt:lpwstr>2</vt:lpwstr>
  </property>
  <property fmtid="{D5CDD505-2E9C-101B-9397-08002B2CF9AE}" pid="9" name="ContentTypeId">
    <vt:lpwstr>0x0101000AC20C0D73B1E34F9B2B46F6AD2F766E</vt:lpwstr>
  </property>
  <property fmtid="{D5CDD505-2E9C-101B-9397-08002B2CF9AE}" pid="10" name="MediaServiceImageTags">
    <vt:lpwstr/>
  </property>
</Properties>
</file>