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pull Finviz" sheetId="1" r:id="rId4"/>
    <sheet state="visible" name="WMT_DCFs" sheetId="2" r:id="rId5"/>
  </sheets>
  <definedNames/>
  <calcPr/>
  <extLst>
    <ext uri="GoogleSheetsCustomDataVersion1">
      <go:sheetsCustomData xmlns:go="http://customooxmlschemas.google.com/" r:id="rId6" roundtripDataSignature="AMtx7miqxgK9fVBwhr2XQKWroGmw/Ihl+g=="/>
    </ext>
  </extLst>
</workbook>
</file>

<file path=xl/sharedStrings.xml><?xml version="1.0" encoding="utf-8"?>
<sst xmlns="http://schemas.openxmlformats.org/spreadsheetml/2006/main" count="231" uniqueCount="188">
  <si>
    <t>Ticker</t>
  </si>
  <si>
    <t>Exchange</t>
  </si>
  <si>
    <t>WMT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</si>
  <si>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</si>
  <si>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</si>
  <si>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</si>
  <si>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</si>
  <si>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</si>
  <si>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</si>
  <si>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</si>
  <si>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</si>
  <si>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</si>
  <si>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</si>
  <si>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</si>
  <si>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</si>
  <si>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</si>
  <si>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</si>
  <si>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</si>
  <si>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</si>
  <si>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</si>
  <si>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</si>
  <si>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</si>
  <si>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</si>
  <si>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</si>
  <si>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</si>
  <si>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</si>
  <si>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</si>
  <si>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</si>
  <si>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</si>
  <si>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</si>
  <si>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</si>
  <si>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</si>
  <si>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</si>
  <si>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</si>
  <si>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</si>
  <si>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</si>
  <si>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</si>
  <si>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</si>
  <si>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</si>
  <si>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</si>
  <si>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</si>
  <si>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</si>
  <si>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</si>
  <si>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</si>
  <si>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</si>
  <si>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</si>
  <si>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</si>
  <si>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</si>
  <si>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</si>
  <si>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</si>
  <si>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</si>
  <si>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</si>
  <si>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</si>
  <si>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</si>
  <si>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</si>
  <si>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</si>
  <si>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</si>
  <si>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</si>
  <si>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</si>
  <si>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</si>
  <si>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</si>
  <si>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</si>
  <si>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</si>
  <si>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</si>
  <si>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</si>
  <si>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</si>
  <si>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</si>
  <si>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</si>
  <si>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</si>
  <si>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</si>
  <si>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</si>
  <si>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</si>
  <si>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</si>
  <si>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</si>
  <si>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Last updated (y-m-d)</t>
  </si>
  <si>
    <t>2022.03.13</t>
  </si>
  <si>
    <t>Yellow = entered by me</t>
  </si>
  <si>
    <t>Company</t>
  </si>
  <si>
    <t>Option 1</t>
  </si>
  <si>
    <t>mn in thousands</t>
  </si>
  <si>
    <t>Option 2</t>
  </si>
  <si>
    <t>Green = Formulas</t>
  </si>
  <si>
    <t>bn in thousands</t>
  </si>
  <si>
    <t>All numbers in thousands</t>
  </si>
  <si>
    <t>Source</t>
  </si>
  <si>
    <t>Discounted Free Cash Flow</t>
  </si>
  <si>
    <t>Actuals</t>
  </si>
  <si>
    <t>TTM</t>
  </si>
  <si>
    <t>Estimate</t>
  </si>
  <si>
    <t>Terminal Value</t>
  </si>
  <si>
    <t>Assumption/Yahoo: Yahoo - Analysis - Growth Estimate - next 5 yrs</t>
  </si>
  <si>
    <t>Growth Rate of FCF</t>
  </si>
  <si>
    <t>x</t>
  </si>
  <si>
    <t>Estimates Yahoo for years available + then % Assumption of Growth rate</t>
  </si>
  <si>
    <t>Revenue</t>
  </si>
  <si>
    <t>Assumption: E.g. Rate at which the whole economy is growing.</t>
  </si>
  <si>
    <t>Perpetual Growth Rate</t>
  </si>
  <si>
    <t>US inflation rate: 7.5% | GDP growth: -3.5%. Assumption: =(-3.5+7.5)/2</t>
  </si>
  <si>
    <t>Revenue Growth Rate</t>
  </si>
  <si>
    <t>Yahoo growth assumption, own assumption, or other source?</t>
  </si>
  <si>
    <t>Calculation (below)</t>
  </si>
  <si>
    <t>Discount Rate (WACC)</t>
  </si>
  <si>
    <t>Net income</t>
  </si>
  <si>
    <t>Net Income Margins</t>
  </si>
  <si>
    <t>Actual</t>
  </si>
  <si>
    <t>Forecast</t>
  </si>
  <si>
    <t>Total Cash Flow from Operating Activities</t>
  </si>
  <si>
    <t>Year</t>
  </si>
  <si>
    <t>Cash flow statement -&gt; Capital Expenditure</t>
  </si>
  <si>
    <t>(-) Capex</t>
  </si>
  <si>
    <t>FCF</t>
  </si>
  <si>
    <t>Free Cash Flow</t>
  </si>
  <si>
    <t>Terminal Value (continuing Value of the firm)</t>
  </si>
  <si>
    <t>FCFE / Net Income</t>
  </si>
  <si>
    <t>Best, based on history?</t>
  </si>
  <si>
    <t>Total</t>
  </si>
  <si>
    <t>Discount Factor (TV gets discounted with the last estimate rate)</t>
  </si>
  <si>
    <t>PV of Future Cash Flow</t>
  </si>
  <si>
    <t>DCF Valuation</t>
  </si>
  <si>
    <t>Required Return (WACC)</t>
  </si>
  <si>
    <t>https://corporatefinanceinstitute.com/resources/excel/functions/npv-function/</t>
  </si>
  <si>
    <t>Enterprise Value</t>
  </si>
  <si>
    <t>Finviz</t>
  </si>
  <si>
    <t>Balance Sheet (Cash, Cash Equivalents &amp; Securities)</t>
  </si>
  <si>
    <t>(+) Cash &amp; Marketable Securities</t>
  </si>
  <si>
    <t xml:space="preserve">Today's Value </t>
  </si>
  <si>
    <t>Balance Sheet (or WACC calculation)</t>
  </si>
  <si>
    <t>(-) Debt</t>
  </si>
  <si>
    <t>Yahoo, or 10-K first few pages</t>
  </si>
  <si>
    <t>Shares Outst.</t>
  </si>
  <si>
    <t>Equity Value</t>
  </si>
  <si>
    <r>
      <rPr>
        <rFont val="Calibri"/>
        <b/>
        <color theme="1"/>
      </rPr>
      <t xml:space="preserve">Fair Value of Equity </t>
    </r>
    <r>
      <rPr>
        <rFont val="Calibri"/>
        <b val="0"/>
        <color theme="1"/>
      </rPr>
      <t>(Free cash flow available to stock investors)</t>
    </r>
  </si>
  <si>
    <t>Shares Outstanding</t>
  </si>
  <si>
    <t>Todays stock price</t>
  </si>
  <si>
    <t>Per Share</t>
  </si>
  <si>
    <t>Up-/Downside</t>
  </si>
  <si>
    <t>Formula Finviz</t>
  </si>
  <si>
    <t>Current Price</t>
  </si>
  <si>
    <t>WACC Calculation</t>
  </si>
  <si>
    <t>Income Statement</t>
  </si>
  <si>
    <t>Interest Expense</t>
  </si>
  <si>
    <t>Balance Sheet</t>
  </si>
  <si>
    <t>Debt (short + long)</t>
  </si>
  <si>
    <t>Total Debt, is this "Total Debt" of BS Yahoo finance? Or only the explicit "Current/Long Term Debt"?</t>
  </si>
  <si>
    <t>Wd Rd</t>
  </si>
  <si>
    <t>Cost of Debt Calculation</t>
  </si>
  <si>
    <t>Income Statement (Yahoo: Pretax Income)</t>
  </si>
  <si>
    <t>Income before tax</t>
  </si>
  <si>
    <t>Income Statement (Yahoo: Tax Provisions)</t>
  </si>
  <si>
    <t>Income Tax expense</t>
  </si>
  <si>
    <t>Balance Sheet (Yahoo: "Current Debt")</t>
  </si>
  <si>
    <t>Short Term Debt</t>
  </si>
  <si>
    <t>Total Debt, is this "Total Debt" of BS Yahoo finance? Or only the explicit "Short/Long Term Debt"?</t>
  </si>
  <si>
    <t>Calulated effective tax rate</t>
  </si>
  <si>
    <t>Should actual rate be added to get best possible result?</t>
  </si>
  <si>
    <t>Balance Sheet (Yahoo: "Long Term Debt")</t>
  </si>
  <si>
    <t>Long Term Debt</t>
  </si>
  <si>
    <t>Wd Rd* (1-t) =</t>
  </si>
  <si>
    <t>Cost of Debt</t>
  </si>
  <si>
    <t>Yahoo finance - markets-us treasury bond yields - 10yr Bond</t>
  </si>
  <si>
    <t>Rf -&gt; Riskfree Rate</t>
  </si>
  <si>
    <t>Income Tax Expense</t>
  </si>
  <si>
    <t>Yahoo finance - statistics - Beta</t>
  </si>
  <si>
    <t>B -&gt; Beta</t>
  </si>
  <si>
    <t>Income Before Tax</t>
  </si>
  <si>
    <t>Rm= No place to get a clear number. He did look at the av. return of the S&amp;P 500 going back as long as there is data (check video min 18)</t>
  </si>
  <si>
    <t>Rm -&gt; Return of the market</t>
  </si>
  <si>
    <t>Market return rate of what? S&amp;P500? yes: Rm= No place to get a clear number. Av. return of the S&amp;P 500 going back as long as there is data?</t>
  </si>
  <si>
    <t>Effective Tax Rate</t>
  </si>
  <si>
    <t>Re =</t>
  </si>
  <si>
    <t>Cost of Debt *(1-T)</t>
  </si>
  <si>
    <t>Total Market Cap</t>
  </si>
  <si>
    <t>Total Debt</t>
  </si>
  <si>
    <t>Cost of Equity Calculation</t>
  </si>
  <si>
    <t>Total amount of capital in the company</t>
  </si>
  <si>
    <t>Yahoo-Markets-US Treasury Bonds - 10 years last price</t>
  </si>
  <si>
    <t>Risk-Free Rate</t>
  </si>
  <si>
    <t>Market Cap in % of Total Capital</t>
  </si>
  <si>
    <t>Yahoo-Statistics-Beta (5Y)</t>
  </si>
  <si>
    <t>Debt in % of Total Capital</t>
  </si>
  <si>
    <t>https://www.investopedia.com/ask/answers/042415/what-average-annual-return-sp-500.asp</t>
  </si>
  <si>
    <t>Market Return</t>
  </si>
  <si>
    <t>WACC =</t>
  </si>
  <si>
    <t>Cost of Equity</t>
  </si>
  <si>
    <t>Weighted of Debt and Equity Calculation</t>
  </si>
  <si>
    <t>Yahoo-Statistics-Market Cap intraday Current</t>
  </si>
  <si>
    <t>WACC Calculator</t>
  </si>
  <si>
    <t>WACC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</si>
</sst>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0.000"/>
  </numFmts>
  <fonts count="25">
    <font>
      <sz val="11.0"/>
      <color theme="1"/>
      <name val="Calibri"/>
    </font>
    <font>
      <sz val="18.0"/>
      <color theme="0"/>
      <name val="Calibri"/>
    </font>
    <font>
      <color theme="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theme="0"/>
      <name val="Calibri"/>
    </font>
    <font>
      <sz val="8.0"/>
      <color rgb="FF000000"/>
      <name val="Verdana"/>
    </font>
    <font>
      <b/>
      <sz val="8.0"/>
      <color rgb="FF000000"/>
      <name val="Verdana"/>
    </font>
    <font>
      <color theme="1"/>
      <name val="Calibri"/>
    </font>
    <font>
      <sz val="9.0"/>
      <color theme="1"/>
      <name val="Calibri"/>
    </font>
    <font>
      <sz val="11.0"/>
      <color rgb="FFBDC1C6"/>
      <name val="Arial"/>
    </font>
    <font>
      <b/>
      <color theme="1"/>
      <name val="Calibri"/>
    </font>
    <font>
      <b/>
      <sz val="18.0"/>
      <color theme="1"/>
      <name val="Calibri"/>
    </font>
    <font>
      <sz val="8.0"/>
      <color rgb="FFBDC1C6"/>
      <name val="Arial"/>
    </font>
    <font>
      <sz val="8.0"/>
      <color theme="1"/>
      <name val="Arial"/>
    </font>
    <font>
      <sz val="10.0"/>
      <color theme="1"/>
      <name val="Calibri"/>
    </font>
    <font>
      <i/>
      <sz val="10.0"/>
      <color rgb="FF1C4587"/>
      <name val="Calibri"/>
    </font>
    <font>
      <i/>
      <color rgb="FF1C4587"/>
      <name val="Calibri"/>
    </font>
    <font>
      <color rgb="FFE06666"/>
      <name val="Calibri"/>
    </font>
    <font>
      <color rgb="FFFFFFFF"/>
      <name val="Calibri"/>
    </font>
    <font>
      <color rgb="FFFF0000"/>
      <name val="Calibri"/>
    </font>
    <font/>
    <font>
      <i/>
      <u/>
      <color rgb="FF1C4587"/>
      <name val="Calibri"/>
    </font>
    <font>
      <u/>
      <color rgb="FF1155CC"/>
      <name val="Calibri"/>
    </font>
    <font>
      <i/>
      <u/>
      <color rgb="FF1C4587"/>
    </font>
  </fonts>
  <fills count="11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CC2E5"/>
        <bgColor rgb="FF9CC2E5"/>
      </patternFill>
    </fill>
    <fill>
      <patternFill patternType="solid">
        <fgColor rgb="FFF4F4F4"/>
        <bgColor rgb="FFF4F4F4"/>
      </patternFill>
    </fill>
    <fill>
      <patternFill patternType="solid">
        <fgColor rgb="FF434343"/>
        <bgColor rgb="FF43434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202124"/>
        <bgColor rgb="FF202124"/>
      </patternFill>
    </fill>
    <fill>
      <patternFill patternType="solid">
        <fgColor rgb="FFA4C2F4"/>
        <bgColor rgb="FFA4C2F4"/>
      </patternFill>
    </fill>
  </fills>
  <borders count="34">
    <border/>
    <border>
      <left style="thin">
        <color rgb="FFD3D3D3"/>
      </left>
      <right style="thin">
        <color rgb="FFD3D3D3"/>
      </right>
    </border>
    <border>
      <right style="thin">
        <color rgb="FFD3D3D3"/>
      </right>
      <bottom style="thin">
        <color rgb="FFD3D3D3"/>
      </bottom>
    </border>
    <border>
      <right style="thin">
        <color rgb="FFD3D3D3"/>
      </right>
    </border>
    <border>
      <left style="thin">
        <color rgb="FFD3D3D3"/>
      </left>
      <right style="thin">
        <color rgb="FFD3D3D3"/>
      </right>
      <top style="thin">
        <color rgb="FFD3D3D3"/>
      </top>
    </border>
    <border>
      <right style="thin">
        <color rgb="FFD3D3D3"/>
      </right>
      <top style="thin">
        <color rgb="FFD3D3D3"/>
      </top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left style="medium">
        <color rgb="FF5B9BD5"/>
      </left>
      <right style="thin">
        <color rgb="FF5B9BD5"/>
      </right>
      <top style="medium">
        <color rgb="FF5B9BD5"/>
      </top>
      <bottom style="medium">
        <color rgb="FF5B9BD5"/>
      </bottom>
    </border>
    <border>
      <left style="thin">
        <color rgb="FF5B9BD5"/>
      </left>
      <right style="medium">
        <color rgb="FF5B9BD5"/>
      </right>
      <top style="medium">
        <color rgb="FF5B9BD5"/>
      </top>
      <bottom style="medium">
        <color rgb="FF5B9BD5"/>
      </bottom>
    </border>
    <border>
      <left style="thin">
        <color rgb="FF5B9BD5"/>
      </left>
      <right style="thin">
        <color rgb="FF5B9BD5"/>
      </right>
      <top style="thin">
        <color rgb="FF5B9BD5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5B9BD5"/>
      </left>
      <top style="thin">
        <color rgb="FF5B9BD5"/>
      </top>
    </border>
    <border>
      <right style="thin">
        <color rgb="FF5B9BD5"/>
      </right>
      <top style="thin">
        <color rgb="FF5B9BD5"/>
      </top>
    </border>
    <border>
      <left style="medium">
        <color rgb="FF5B9BD5"/>
      </left>
      <top style="medium">
        <color rgb="FF5B9BD5"/>
      </top>
      <bottom style="medium">
        <color rgb="FF5B9BD5"/>
      </bottom>
    </border>
    <border>
      <right style="medium">
        <color rgb="FF5B9BD5"/>
      </right>
      <top style="medium">
        <color rgb="FF5B9BD5"/>
      </top>
      <bottom style="medium">
        <color rgb="FF5B9BD5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3" fontId="3" numFmtId="0" xfId="0" applyAlignment="1" applyFill="1" applyFont="1">
      <alignment readingOrder="0" vertical="center"/>
    </xf>
    <xf borderId="1" fillId="4" fontId="6" numFmtId="0" xfId="0" applyAlignment="1" applyBorder="1" applyFill="1" applyFont="1">
      <alignment horizontal="left" shrinkToFit="0" wrapText="0"/>
    </xf>
    <xf borderId="2" fillId="4" fontId="7" numFmtId="0" xfId="0" applyAlignment="1" applyBorder="1" applyFont="1">
      <alignment horizontal="left" shrinkToFit="0" wrapText="0"/>
    </xf>
    <xf borderId="3" fillId="4" fontId="6" numFmtId="0" xfId="0" applyAlignment="1" applyBorder="1" applyFont="1">
      <alignment horizontal="left" shrinkToFit="0" wrapText="0"/>
    </xf>
    <xf borderId="4" fillId="4" fontId="6" numFmtId="0" xfId="0" applyAlignment="1" applyBorder="1" applyFont="1">
      <alignment horizontal="left" shrinkToFit="0" wrapText="0"/>
    </xf>
    <xf borderId="5" fillId="4" fontId="6" numFmtId="0" xfId="0" applyAlignment="1" applyBorder="1" applyFont="1">
      <alignment horizontal="left" shrinkToFit="0" wrapText="0"/>
    </xf>
    <xf borderId="6" fillId="4" fontId="6" numFmtId="0" xfId="0" applyAlignment="1" applyBorder="1" applyFont="1">
      <alignment horizontal="left" shrinkToFit="0" wrapText="0"/>
    </xf>
    <xf borderId="7" fillId="4" fontId="6" numFmtId="0" xfId="0" applyAlignment="1" applyBorder="1" applyFont="1">
      <alignment horizontal="left" shrinkToFit="0" wrapText="0"/>
    </xf>
    <xf borderId="0" fillId="0" fontId="8" numFmtId="0" xfId="0" applyFont="1"/>
    <xf borderId="0" fillId="0" fontId="9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10" numFmtId="3" xfId="0" applyAlignment="1" applyFont="1" applyNumberFormat="1">
      <alignment horizontal="left" vertical="top"/>
    </xf>
    <xf borderId="0" fillId="5" fontId="8" numFmtId="0" xfId="0" applyAlignment="1" applyFill="1" applyFont="1">
      <alignment vertical="top"/>
    </xf>
    <xf borderId="0" fillId="0" fontId="9" numFmtId="0" xfId="0" applyAlignment="1" applyFont="1">
      <alignment horizontal="left" vertical="top"/>
    </xf>
    <xf borderId="0" fillId="0" fontId="9" numFmtId="0" xfId="0" applyFont="1"/>
    <xf borderId="0" fillId="0" fontId="8" numFmtId="0" xfId="0" applyAlignment="1" applyFont="1">
      <alignment horizontal="right"/>
    </xf>
    <xf borderId="0" fillId="0" fontId="10" numFmtId="3" xfId="0" applyAlignment="1" applyFont="1" applyNumberFormat="1">
      <alignment horizontal="left"/>
    </xf>
    <xf borderId="0" fillId="5" fontId="8" numFmtId="0" xfId="0" applyFont="1"/>
    <xf borderId="0" fillId="6" fontId="9" numFmtId="0" xfId="0" applyFill="1" applyFont="1"/>
    <xf borderId="0" fillId="0" fontId="11" numFmtId="0" xfId="0" applyAlignment="1" applyFont="1">
      <alignment horizontal="right"/>
    </xf>
    <xf borderId="8" fillId="0" fontId="11" numFmtId="0" xfId="0" applyBorder="1" applyFont="1"/>
    <xf borderId="0" fillId="7" fontId="11" numFmtId="0" xfId="0" applyFill="1" applyFont="1"/>
    <xf borderId="0" fillId="8" fontId="12" numFmtId="0" xfId="0" applyAlignment="1" applyFill="1" applyFont="1">
      <alignment horizontal="center" shrinkToFit="0" wrapText="1"/>
    </xf>
    <xf borderId="0" fillId="9" fontId="13" numFmtId="3" xfId="0" applyAlignment="1" applyFill="1" applyFont="1" applyNumberFormat="1">
      <alignment horizontal="left"/>
    </xf>
    <xf borderId="0" fillId="0" fontId="14" numFmtId="0" xfId="0" applyFont="1"/>
    <xf borderId="0" fillId="7" fontId="9" numFmtId="0" xfId="0" applyFont="1"/>
    <xf borderId="0" fillId="6" fontId="11" numFmtId="0" xfId="0" applyFont="1"/>
    <xf borderId="0" fillId="0" fontId="15" numFmtId="0" xfId="0" applyFont="1"/>
    <xf borderId="0" fillId="0" fontId="11" numFmtId="0" xfId="0" applyFont="1"/>
    <xf borderId="0" fillId="0" fontId="16" numFmtId="0" xfId="0" applyAlignment="1" applyFont="1">
      <alignment horizontal="right"/>
    </xf>
    <xf borderId="0" fillId="10" fontId="8" numFmtId="0" xfId="0" applyFill="1" applyFont="1"/>
    <xf borderId="0" fillId="10" fontId="11" numFmtId="0" xfId="0" applyFont="1"/>
    <xf borderId="8" fillId="6" fontId="11" numFmtId="0" xfId="0" applyBorder="1" applyFont="1"/>
    <xf borderId="0" fillId="0" fontId="17" numFmtId="0" xfId="0" applyAlignment="1" applyFont="1">
      <alignment horizontal="right"/>
    </xf>
    <xf borderId="0" fillId="3" fontId="8" numFmtId="0" xfId="0" applyFont="1"/>
    <xf borderId="8" fillId="0" fontId="8" numFmtId="0" xfId="0" applyBorder="1" applyFont="1"/>
    <xf borderId="8" fillId="6" fontId="8" numFmtId="10" xfId="0" applyAlignment="1" applyBorder="1" applyFont="1" applyNumberFormat="1">
      <alignment readingOrder="0"/>
    </xf>
    <xf borderId="0" fillId="0" fontId="18" numFmtId="0" xfId="0" applyFont="1"/>
    <xf borderId="0" fillId="0" fontId="19" numFmtId="0" xfId="0" applyFont="1"/>
    <xf borderId="9" fillId="0" fontId="8" numFmtId="0" xfId="0" applyBorder="1" applyFont="1"/>
    <xf borderId="10" fillId="6" fontId="8" numFmtId="3" xfId="0" applyBorder="1" applyFont="1" applyNumberFormat="1"/>
    <xf borderId="10" fillId="7" fontId="8" numFmtId="3" xfId="0" applyBorder="1" applyFont="1" applyNumberFormat="1"/>
    <xf borderId="11" fillId="7" fontId="8" numFmtId="3" xfId="0" applyBorder="1" applyFont="1" applyNumberFormat="1"/>
    <xf borderId="8" fillId="6" fontId="8" numFmtId="10" xfId="0" applyBorder="1" applyFont="1" applyNumberFormat="1"/>
    <xf borderId="12" fillId="0" fontId="8" numFmtId="0" xfId="0" applyBorder="1" applyFont="1"/>
    <xf borderId="0" fillId="7" fontId="8" numFmtId="3" xfId="0" applyFont="1" applyNumberFormat="1"/>
    <xf borderId="0" fillId="7" fontId="8" numFmtId="164" xfId="0" applyFont="1" applyNumberFormat="1"/>
    <xf borderId="0" fillId="6" fontId="8" numFmtId="164" xfId="0" applyFont="1" applyNumberFormat="1"/>
    <xf borderId="13" fillId="6" fontId="8" numFmtId="164" xfId="0" applyBorder="1" applyFont="1" applyNumberFormat="1"/>
    <xf borderId="8" fillId="7" fontId="8" numFmtId="10" xfId="0" applyBorder="1" applyFont="1" applyNumberFormat="1"/>
    <xf borderId="14" fillId="0" fontId="8" numFmtId="0" xfId="0" applyBorder="1" applyFont="1"/>
    <xf borderId="15" fillId="7" fontId="8" numFmtId="164" xfId="0" applyBorder="1" applyFont="1" applyNumberFormat="1"/>
    <xf borderId="15" fillId="6" fontId="8" numFmtId="164" xfId="0" applyBorder="1" applyFont="1" applyNumberFormat="1"/>
    <xf borderId="16" fillId="6" fontId="8" numFmtId="164" xfId="0" applyBorder="1" applyFont="1" applyNumberFormat="1"/>
    <xf borderId="0" fillId="6" fontId="8" numFmtId="3" xfId="0" applyFont="1" applyNumberFormat="1"/>
    <xf borderId="0" fillId="0" fontId="8" numFmtId="3" xfId="0" applyFont="1" applyNumberFormat="1"/>
    <xf borderId="8" fillId="6" fontId="11" numFmtId="0" xfId="0" applyAlignment="1" applyBorder="1" applyFont="1">
      <alignment horizontal="center"/>
    </xf>
    <xf borderId="8" fillId="7" fontId="11" numFmtId="0" xfId="0" applyAlignment="1" applyBorder="1" applyFont="1">
      <alignment horizontal="center"/>
    </xf>
    <xf borderId="8" fillId="6" fontId="8" numFmtId="3" xfId="0" applyBorder="1" applyFont="1" applyNumberFormat="1"/>
    <xf borderId="8" fillId="7" fontId="20" numFmtId="3" xfId="0" applyBorder="1" applyFont="1" applyNumberFormat="1"/>
    <xf borderId="8" fillId="7" fontId="8" numFmtId="3" xfId="0" applyBorder="1" applyFont="1" applyNumberFormat="1"/>
    <xf borderId="17" fillId="0" fontId="11" numFmtId="0" xfId="0" applyBorder="1" applyFont="1"/>
    <xf borderId="17" fillId="7" fontId="11" numFmtId="3" xfId="0" applyBorder="1" applyFont="1" applyNumberFormat="1"/>
    <xf borderId="18" fillId="7" fontId="11" numFmtId="3" xfId="0" applyBorder="1" applyFont="1" applyNumberFormat="1"/>
    <xf borderId="0" fillId="7" fontId="11" numFmtId="3" xfId="0" applyFont="1" applyNumberFormat="1"/>
    <xf borderId="8" fillId="7" fontId="8" numFmtId="9" xfId="0" applyBorder="1" applyFont="1" applyNumberFormat="1"/>
    <xf borderId="0" fillId="7" fontId="8" numFmtId="9" xfId="0" applyFont="1" applyNumberFormat="1"/>
    <xf borderId="0" fillId="6" fontId="8" numFmtId="9" xfId="0" applyFont="1" applyNumberFormat="1"/>
    <xf borderId="8" fillId="7" fontId="11" numFmtId="3" xfId="0" applyBorder="1" applyFont="1" applyNumberFormat="1"/>
    <xf borderId="0" fillId="7" fontId="8" numFmtId="165" xfId="0" applyFont="1" applyNumberFormat="1"/>
    <xf borderId="19" fillId="7" fontId="8" numFmtId="165" xfId="0" applyBorder="1" applyFont="1" applyNumberFormat="1"/>
    <xf borderId="20" fillId="0" fontId="11" numFmtId="0" xfId="0" applyBorder="1" applyFont="1"/>
    <xf borderId="21" fillId="0" fontId="21" numFmtId="0" xfId="0" applyBorder="1" applyFont="1"/>
    <xf borderId="0" fillId="0" fontId="22" numFmtId="0" xfId="0" applyAlignment="1" applyFont="1">
      <alignment horizontal="right"/>
    </xf>
    <xf borderId="22" fillId="6" fontId="8" numFmtId="0" xfId="0" applyBorder="1" applyFont="1"/>
    <xf borderId="22" fillId="6" fontId="8" numFmtId="164" xfId="0" applyBorder="1" applyFont="1" applyNumberFormat="1"/>
    <xf borderId="0" fillId="0" fontId="23" numFmtId="0" xfId="0" applyFont="1"/>
    <xf borderId="0" fillId="0" fontId="24" numFmtId="0" xfId="0" applyAlignment="1" applyFont="1">
      <alignment horizontal="right"/>
    </xf>
    <xf borderId="8" fillId="7" fontId="11" numFmtId="0" xfId="0" applyBorder="1" applyFont="1"/>
    <xf borderId="20" fillId="7" fontId="8" numFmtId="3" xfId="0" applyBorder="1" applyFont="1" applyNumberFormat="1"/>
    <xf borderId="21" fillId="7" fontId="8" numFmtId="3" xfId="0" applyBorder="1" applyFont="1" applyNumberFormat="1"/>
    <xf borderId="22" fillId="6" fontId="8" numFmtId="10" xfId="0" applyBorder="1" applyFont="1" applyNumberFormat="1"/>
    <xf borderId="8" fillId="6" fontId="8" numFmtId="0" xfId="0" applyBorder="1" applyFont="1"/>
    <xf borderId="22" fillId="7" fontId="11" numFmtId="0" xfId="0" applyBorder="1" applyFont="1"/>
    <xf borderId="23" fillId="7" fontId="8" numFmtId="3" xfId="0" applyBorder="1" applyFont="1" applyNumberFormat="1"/>
    <xf borderId="22" fillId="7" fontId="8" numFmtId="4" xfId="0" applyBorder="1" applyFont="1" applyNumberFormat="1"/>
    <xf borderId="22" fillId="7" fontId="8" numFmtId="0" xfId="0" applyBorder="1" applyFont="1"/>
    <xf borderId="22" fillId="7" fontId="8" numFmtId="4" xfId="0" applyAlignment="1" applyBorder="1" applyFont="1" applyNumberFormat="1">
      <alignment horizontal="right"/>
    </xf>
    <xf borderId="8" fillId="7" fontId="8" numFmtId="4" xfId="0" applyBorder="1" applyFont="1" applyNumberFormat="1"/>
    <xf borderId="24" fillId="7" fontId="11" numFmtId="0" xfId="0" applyBorder="1" applyFont="1"/>
    <xf borderId="25" fillId="7" fontId="11" numFmtId="10" xfId="0" applyBorder="1" applyFont="1" applyNumberFormat="1"/>
    <xf borderId="26" fillId="7" fontId="8" numFmtId="0" xfId="0" applyBorder="1" applyFont="1"/>
    <xf borderId="26" fillId="7" fontId="8" numFmtId="4" xfId="0" applyAlignment="1" applyBorder="1" applyFont="1" applyNumberFormat="1">
      <alignment horizontal="right"/>
    </xf>
    <xf borderId="0" fillId="3" fontId="11" numFmtId="0" xfId="0" applyFont="1"/>
    <xf borderId="22" fillId="6" fontId="8" numFmtId="3" xfId="0" applyBorder="1" applyFont="1" applyNumberFormat="1"/>
    <xf borderId="0" fillId="0" fontId="11" numFmtId="0" xfId="0" applyAlignment="1" applyFont="1">
      <alignment horizontal="left"/>
    </xf>
    <xf borderId="22" fillId="7" fontId="11" numFmtId="10" xfId="0" applyBorder="1" applyFont="1" applyNumberFormat="1"/>
    <xf borderId="0" fillId="7" fontId="11" numFmtId="10" xfId="0" applyFont="1" applyNumberFormat="1"/>
    <xf borderId="27" fillId="0" fontId="11" numFmtId="0" xfId="0" applyAlignment="1" applyBorder="1" applyFont="1">
      <alignment horizontal="right"/>
    </xf>
    <xf borderId="28" fillId="7" fontId="11" numFmtId="10" xfId="0" applyBorder="1" applyFont="1" applyNumberFormat="1"/>
    <xf borderId="8" fillId="6" fontId="8" numFmtId="4" xfId="0" applyBorder="1" applyFont="1" applyNumberFormat="1"/>
    <xf borderId="8" fillId="6" fontId="8" numFmtId="9" xfId="0" applyBorder="1" applyFont="1" applyNumberFormat="1"/>
    <xf borderId="9" fillId="0" fontId="11" numFmtId="0" xfId="0" applyAlignment="1" applyBorder="1" applyFont="1">
      <alignment horizontal="right"/>
    </xf>
    <xf borderId="11" fillId="7" fontId="11" numFmtId="10" xfId="0" applyBorder="1" applyFont="1" applyNumberFormat="1"/>
    <xf borderId="29" fillId="0" fontId="11" numFmtId="0" xfId="0" applyAlignment="1" applyBorder="1" applyFont="1">
      <alignment horizontal="right"/>
    </xf>
    <xf borderId="18" fillId="7" fontId="11" numFmtId="10" xfId="0" applyBorder="1" applyFont="1" applyNumberFormat="1"/>
    <xf borderId="0" fillId="0" fontId="8" numFmtId="9" xfId="0" applyFont="1" applyNumberFormat="1"/>
    <xf borderId="30" fillId="0" fontId="11" numFmtId="0" xfId="0" applyBorder="1" applyFont="1"/>
    <xf borderId="31" fillId="0" fontId="21" numFmtId="0" xfId="0" applyBorder="1" applyFont="1"/>
    <xf borderId="32" fillId="0" fontId="8" numFmtId="0" xfId="0" applyBorder="1" applyFont="1"/>
    <xf borderId="33" fillId="7" fontId="8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poratefinanceinstitute.com/resources/excel/functions/npv-function/" TargetMode="External"/><Relationship Id="rId2" Type="http://schemas.openxmlformats.org/officeDocument/2006/relationships/hyperlink" Target="https://www.investopedia.com/ask/answers/042415/what-average-annual-return-sp-500.asp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10.71"/>
    <col customWidth="1" min="4" max="9" width="8.71"/>
    <col customWidth="1" min="10" max="10" width="11.0"/>
    <col customWidth="1" min="11" max="12" width="8.71"/>
    <col customWidth="1" min="13" max="13" width="13.43"/>
    <col customWidth="1" min="14" max="25" width="8.71"/>
  </cols>
  <sheetData>
    <row r="1" ht="6.75" customHeight="1"/>
    <row r="2">
      <c r="B2" s="1" t="str">
        <f>IFERROR(__xludf.DUMMYFUNCTION("if(isblank($B$5),"""",SUBSTITUTE(index(IMPORTHTML(""https://finviz.com/quote.ashx?t=""&amp;$B$5,""table"",5),2,1),""*"",""""))"),"Walmart Inc.")</f>
        <v>Walmart Inc.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tr">
        <f>IFERROR(__xludf.DUMMYFUNCTION("IMPORTHTML(""https://finviz.com/quote.ashx?t=""&amp;$B$5,""table"",5)"),"WMT[NYSE]")</f>
        <v>WMT[NYSE]</v>
      </c>
    </row>
    <row r="3">
      <c r="N3" s="3" t="str">
        <f>IFERROR(__xludf.DUMMYFUNCTION("""COMPUTED_VALUE"""),"*Walmart Inc.*")</f>
        <v>*Walmart Inc.*</v>
      </c>
    </row>
    <row r="4" ht="21.75" customHeight="1">
      <c r="A4" s="4"/>
      <c r="B4" s="5" t="s">
        <v>0</v>
      </c>
      <c r="C4" s="5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6" t="str">
        <f>IFERROR(__xludf.DUMMYFUNCTION("""COMPUTED_VALUE"""),"Consumer Defensive | Discount Stores | USA")</f>
        <v>Consumer Defensive | Discount Stores | USA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1.75" customHeight="1">
      <c r="A5" s="4"/>
      <c r="B5" s="7" t="s">
        <v>2</v>
      </c>
      <c r="C5" s="4" t="str">
        <f>IFERROR(__xludf.DUMMYFUNCTION("REGEXEXTRACT(N2,""\[([A-Za-z]+)\]"")"),"NYSE")</f>
        <v>NYSE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B6" s="8" t="s">
        <v>3</v>
      </c>
      <c r="C6" s="9" t="str">
        <f>IFERROR(__xludf.DUMMYFUNCTION("if(isblank($B$5),"""",SUBSTITUTE(index(IMPORTHTML(""https://finviz.com/quote.ashx?t=""&amp;$B$5,""table"",7),1,2),""*"",""""))"),"DJIA S&amp;P500")</f>
        <v>DJIA S&amp;P500</v>
      </c>
      <c r="D6" s="10" t="s">
        <v>4</v>
      </c>
      <c r="E6" s="9" t="str">
        <f>IFERROR(__xludf.DUMMYFUNCTION("if(isblank($B$5),"""",SUBSTITUTE(index(IMPORTHTML(""https://finviz.com/quote.ashx?t=""&amp;$B$5,""table"",7),1,4),""*"",""""))"),"29.14")</f>
        <v>29.14</v>
      </c>
      <c r="F6" s="10" t="s">
        <v>5</v>
      </c>
      <c r="G6" s="9" t="str">
        <f>IFERROR(__xludf.DUMMYFUNCTION("if(isblank($B$5),"""",SUBSTITUTE(index(IMPORTHTML(""https://finviz.com/quote.ashx?t=""&amp;$B$5,""table"",7),1,6),""*"",""""))"),"4.88")</f>
        <v>4.88</v>
      </c>
      <c r="H6" s="10" t="s">
        <v>6</v>
      </c>
      <c r="I6" s="9" t="str">
        <f>IFERROR(__xludf.DUMMYFUNCTION("if(isblank($B$5),"""",SUBSTITUTE(index(IMPORTHTML(""https://finviz.com/quote.ashx?t=""&amp;$B$5,""table"",7),1,8),""*"",""""))"),"1.20%")</f>
        <v>1.20%</v>
      </c>
      <c r="J6" s="10" t="s">
        <v>7</v>
      </c>
      <c r="K6" s="9" t="str">
        <f>IFERROR(__xludf.DUMMYFUNCTION("if(isblank($B$5),"""",SUBSTITUTE(index(IMPORTHTML(""https://finviz.com/quote.ashx?t=""&amp;$B$5,""table"",7),1,10),""*"",""""))"),"2.79B")</f>
        <v>2.79B</v>
      </c>
      <c r="L6" s="10" t="s">
        <v>8</v>
      </c>
      <c r="M6" s="9" t="str">
        <f>IFERROR(__xludf.DUMMYFUNCTION("if(isblank($B$5),"""",SUBSTITUTE(index(IMPORTHTML(""https://finviz.com/quote.ashx?t=""&amp;$B$5,""table"",7),1,12),""*"",""""))"),"-0.53%")</f>
        <v>-0.53%</v>
      </c>
    </row>
    <row r="7">
      <c r="B7" s="11" t="s">
        <v>9</v>
      </c>
      <c r="C7" s="9" t="str">
        <f>IFERROR(__xludf.DUMMYFUNCTION("if(isblank($B$5),"""",SUBSTITUTE(index(IMPORTHTML(""https://finviz.com/quote.ashx?t=""&amp;$B$5,""table"",7),2,2),""*"",""""))"),"384.34B")</f>
        <v>384.34B</v>
      </c>
      <c r="D7" s="12" t="s">
        <v>10</v>
      </c>
      <c r="E7" s="9" t="str">
        <f>IFERROR(__xludf.DUMMYFUNCTION("if(isblank($B$5),"""",SUBSTITUTE(index(IMPORTHTML(""https://finviz.com/quote.ashx?t=""&amp;$B$5,""table"",7),2,4),""*"",""""))"),"19.50")</f>
        <v>19.50</v>
      </c>
      <c r="F7" s="12" t="s">
        <v>11</v>
      </c>
      <c r="G7" s="9" t="str">
        <f>IFERROR(__xludf.DUMMYFUNCTION("if(isblank($B$5),"""",SUBSTITUTE(index(IMPORTHTML(""https://finviz.com/quote.ashx?t=""&amp;$B$5,""table"",7),2,6),""*"",""""))"),"7.29")</f>
        <v>7.29</v>
      </c>
      <c r="H7" s="12" t="s">
        <v>12</v>
      </c>
      <c r="I7" s="9" t="str">
        <f>IFERROR(__xludf.DUMMYFUNCTION("if(isblank($B$5),"""",SUBSTITUTE(index(IMPORTHTML(""https://finviz.com/quote.ashx?t=""&amp;$B$5,""table"",7),2,8),""*"",""""))"),"-50.02%")</f>
        <v>-50.02%</v>
      </c>
      <c r="J7" s="12" t="s">
        <v>13</v>
      </c>
      <c r="K7" s="9" t="str">
        <f>IFERROR(__xludf.DUMMYFUNCTION("if(isblank($B$5),"""",SUBSTITUTE(index(IMPORTHTML(""https://finviz.com/quote.ashx?t=""&amp;$B$5,""table"",7),2,10),""*"",""""))"),"1.46B")</f>
        <v>1.46B</v>
      </c>
      <c r="L7" s="12" t="s">
        <v>14</v>
      </c>
      <c r="M7" s="9" t="str">
        <f>IFERROR(__xludf.DUMMYFUNCTION("if(isblank($B$5),"""",SUBSTITUTE(index(IMPORTHTML(""https://finviz.com/quote.ashx?t=""&amp;$B$5,""table"",7),2,12),""*"",""""))"),"3.18%")</f>
        <v>3.18%</v>
      </c>
    </row>
    <row r="8">
      <c r="B8" s="11" t="s">
        <v>15</v>
      </c>
      <c r="C8" s="9" t="str">
        <f>IFERROR(__xludf.DUMMYFUNCTION("if(isblank($B$5),"""",SUBSTITUTE(index(IMPORTHTML(""https://finviz.com/quote.ashx?t=""&amp;$B$5,""table"",7),3,2),""*"",""""))"),"13.67B")</f>
        <v>13.67B</v>
      </c>
      <c r="D8" s="12" t="s">
        <v>16</v>
      </c>
      <c r="E8" s="9" t="str">
        <f>IFERROR(__xludf.DUMMYFUNCTION("if(isblank($B$5),"""",SUBSTITUTE(index(IMPORTHTML(""https://finviz.com/quote.ashx?t=""&amp;$B$5,""table"",7),3,4),""*"",""""))"),"3.49")</f>
        <v>3.49</v>
      </c>
      <c r="F8" s="12" t="s">
        <v>17</v>
      </c>
      <c r="G8" s="9" t="str">
        <f>IFERROR(__xludf.DUMMYFUNCTION("if(isblank($B$5),"""",SUBSTITUTE(index(IMPORTHTML(""https://finviz.com/quote.ashx?t=""&amp;$B$5,""table"",7),3,6),""*"",""""))"),"1.47")</f>
        <v>1.47</v>
      </c>
      <c r="H8" s="12" t="s">
        <v>18</v>
      </c>
      <c r="I8" s="9" t="str">
        <f>IFERROR(__xludf.DUMMYFUNCTION("if(isblank($B$5),"""",SUBSTITUTE(index(IMPORTHTML(""https://finviz.com/quote.ashx?t=""&amp;$B$5,""table"",7),3,8),""*"",""""))"),"32.10%")</f>
        <v>32.10%</v>
      </c>
      <c r="J8" s="12" t="s">
        <v>19</v>
      </c>
      <c r="K8" s="9" t="str">
        <f>IFERROR(__xludf.DUMMYFUNCTION("if(isblank($B$5),"""",SUBSTITUTE(index(IMPORTHTML(""https://finviz.com/quote.ashx?t=""&amp;$B$5,""table"",7),3,10),""*"",""""))"),"0.85%")</f>
        <v>0.85%</v>
      </c>
      <c r="L8" s="12" t="s">
        <v>20</v>
      </c>
      <c r="M8" s="9" t="str">
        <f>IFERROR(__xludf.DUMMYFUNCTION("if(isblank($B$5),"""",SUBSTITUTE(index(IMPORTHTML(""https://finviz.com/quote.ashx?t=""&amp;$B$5,""table"",7),3,12),""*"",""""))"),"2.58%")</f>
        <v>2.58%</v>
      </c>
    </row>
    <row r="9">
      <c r="B9" s="11" t="s">
        <v>21</v>
      </c>
      <c r="C9" s="9" t="str">
        <f>IFERROR(__xludf.DUMMYFUNCTION("if(isblank($B$5),"""",SUBSTITUTE(index(IMPORTHTML(""https://finviz.com/quote.ashx?t=""&amp;$B$5,""table"",7),4,2),""*"",""""))"),"572.75B")</f>
        <v>572.75B</v>
      </c>
      <c r="D9" s="12" t="s">
        <v>22</v>
      </c>
      <c r="E9" s="9" t="str">
        <f>IFERROR(__xludf.DUMMYFUNCTION("if(isblank($B$5),"""",SUBSTITUTE(index(IMPORTHTML(""https://finviz.com/quote.ashx?t=""&amp;$B$5,""table"",7),4,4),""*"",""""))"),"0.67")</f>
        <v>0.67</v>
      </c>
      <c r="F9" s="12" t="s">
        <v>23</v>
      </c>
      <c r="G9" s="9" t="str">
        <f>IFERROR(__xludf.DUMMYFUNCTION("if(isblank($B$5),"""",SUBSTITUTE(index(IMPORTHTML(""https://finviz.com/quote.ashx?t=""&amp;$B$5,""table"",7),4,6),""*"",""""))"),"-8.50%")</f>
        <v>-8.50%</v>
      </c>
      <c r="H9" s="12" t="s">
        <v>24</v>
      </c>
      <c r="I9" s="9" t="str">
        <f>IFERROR(__xludf.DUMMYFUNCTION("if(isblank($B$5),"""",SUBSTITUTE(index(IMPORTHTML(""https://finviz.com/quote.ashx?t=""&amp;$B$5,""table"",7),4,8),""*"",""""))"),"0.28%")</f>
        <v>0.28%</v>
      </c>
      <c r="J9" s="12" t="s">
        <v>25</v>
      </c>
      <c r="K9" s="9" t="str">
        <f>IFERROR(__xludf.DUMMYFUNCTION("if(isblank($B$5),"""",SUBSTITUTE(index(IMPORTHTML(""https://finviz.com/quote.ashx?t=""&amp;$B$5,""table"",7),4,10),""*"",""""))"),"1.38")</f>
        <v>1.38</v>
      </c>
      <c r="L9" s="12" t="s">
        <v>26</v>
      </c>
      <c r="M9" s="9" t="str">
        <f>IFERROR(__xludf.DUMMYFUNCTION("if(isblank($B$5),"""",SUBSTITUTE(index(IMPORTHTML(""https://finviz.com/quote.ashx?t=""&amp;$B$5,""table"",7),4,12),""*"",""""))"),"-2.62%")</f>
        <v>-2.62%</v>
      </c>
    </row>
    <row r="10">
      <c r="B10" s="11" t="s">
        <v>27</v>
      </c>
      <c r="C10" s="9" t="str">
        <f>IFERROR(__xludf.DUMMYFUNCTION("if(isblank($B$5),"""",SUBSTITUTE(index(IMPORTHTML(""https://finviz.com/quote.ashx?t=""&amp;$B$5,""table"",7),5,2),""*"",""""))"),"29.54")</f>
        <v>29.54</v>
      </c>
      <c r="D10" s="12" t="s">
        <v>28</v>
      </c>
      <c r="E10" s="9" t="str">
        <f>IFERROR(__xludf.DUMMYFUNCTION("if(isblank($B$5),"""",SUBSTITUTE(index(IMPORTHTML(""https://finviz.com/quote.ashx?t=""&amp;$B$5,""table"",7),5,4),""*"",""""))"),"4.81")</f>
        <v>4.81</v>
      </c>
      <c r="F10" s="12" t="s">
        <v>11</v>
      </c>
      <c r="G10" s="9" t="str">
        <f>IFERROR(__xludf.DUMMYFUNCTION("if(isblank($B$5),"""",SUBSTITUTE(index(IMPORTHTML(""https://finviz.com/quote.ashx?t=""&amp;$B$5,""table"",7),5,6),""*"",""""))"),"7.75%")</f>
        <v>7.75%</v>
      </c>
      <c r="H10" s="12" t="s">
        <v>29</v>
      </c>
      <c r="I10" s="9" t="str">
        <f>IFERROR(__xludf.DUMMYFUNCTION("if(isblank($B$5),"""",SUBSTITUTE(index(IMPORTHTML(""https://finviz.com/quote.ashx?t=""&amp;$B$5,""table"",7),5,8),""*"",""""))"),"4.10%")</f>
        <v>4.10%</v>
      </c>
      <c r="J10" s="12" t="s">
        <v>30</v>
      </c>
      <c r="K10" s="9" t="str">
        <f>IFERROR(__xludf.DUMMYFUNCTION("if(isblank($B$5),"""",SUBSTITUTE(index(IMPORTHTML(""https://finviz.com/quote.ashx?t=""&amp;$B$5,""table"",7),5,10),""*"",""""))"),"165.29")</f>
        <v>165.29</v>
      </c>
      <c r="L10" s="12" t="s">
        <v>31</v>
      </c>
      <c r="M10" s="9" t="str">
        <f>IFERROR(__xludf.DUMMYFUNCTION("if(isblank($B$5),"""",SUBSTITUTE(index(IMPORTHTML(""https://finviz.com/quote.ashx?t=""&amp;$B$5,""table"",7),5,12),""*"",""""))"),"5.93%")</f>
        <v>5.93%</v>
      </c>
    </row>
    <row r="11">
      <c r="B11" s="11" t="s">
        <v>32</v>
      </c>
      <c r="C11" s="9" t="str">
        <f>IFERROR(__xludf.DUMMYFUNCTION("if(isblank($B$5),"""",SUBSTITUTE(index(IMPORTHTML(""https://finviz.com/quote.ashx?t=""&amp;$B$5,""table"",7),6,2),""*"",""""))"),"5.96")</f>
        <v>5.96</v>
      </c>
      <c r="D11" s="12" t="s">
        <v>33</v>
      </c>
      <c r="E11" s="9" t="str">
        <f>IFERROR(__xludf.DUMMYFUNCTION("if(isblank($B$5),"""",SUBSTITUTE(index(IMPORTHTML(""https://finviz.com/quote.ashx?t=""&amp;$B$5,""table"",7),6,4),""*"",""""))"),"23.86")</f>
        <v>23.86</v>
      </c>
      <c r="F11" s="12" t="s">
        <v>34</v>
      </c>
      <c r="G11" s="9" t="str">
        <f>IFERROR(__xludf.DUMMYFUNCTION("if(isblank($B$5),"""",SUBSTITUTE(index(IMPORTHTML(""https://finviz.com/quote.ashx?t=""&amp;$B$5,""table"",7),6,6),""*"",""""))"),"8.35%")</f>
        <v>8.35%</v>
      </c>
      <c r="H11" s="12" t="s">
        <v>35</v>
      </c>
      <c r="I11" s="9" t="str">
        <f>IFERROR(__xludf.DUMMYFUNCTION("if(isblank($B$5),"""",SUBSTITUTE(index(IMPORTHTML(""https://finviz.com/quote.ashx?t=""&amp;$B$5,""table"",7),6,8),""*"",""""))"),"12.50%")</f>
        <v>12.50%</v>
      </c>
      <c r="J11" s="12" t="s">
        <v>36</v>
      </c>
      <c r="K11" s="9" t="str">
        <f>IFERROR(__xludf.DUMMYFUNCTION("if(isblank($B$5),"""",SUBSTITUTE(index(IMPORTHTML(""https://finviz.com/quote.ashx?t=""&amp;$B$5,""table"",7),6,10),""*"",""""))"),"129.90 - 152.57")</f>
        <v>129.90 - 152.57</v>
      </c>
      <c r="L11" s="12" t="s">
        <v>37</v>
      </c>
      <c r="M11" s="9" t="str">
        <f>IFERROR(__xludf.DUMMYFUNCTION("if(isblank($B$5),"""",SUBSTITUTE(index(IMPORTHTML(""https://finviz.com/quote.ashx?t=""&amp;$B$5,""table"",7),6,12),""*"",""""))"),"-1.81%")</f>
        <v>-1.81%</v>
      </c>
    </row>
    <row r="12">
      <c r="B12" s="11" t="s">
        <v>38</v>
      </c>
      <c r="C12" s="9" t="str">
        <f>IFERROR(__xludf.DUMMYFUNCTION("if(isblank($B$5),"""",SUBSTITUTE(index(IMPORTHTML(""https://finviz.com/quote.ashx?t=""&amp;$B$5,""table"",7),7,2),""*"",""""))"),"2.24")</f>
        <v>2.24</v>
      </c>
      <c r="D12" s="12" t="s">
        <v>39</v>
      </c>
      <c r="E12" s="9" t="str">
        <f>IFERROR(__xludf.DUMMYFUNCTION("if(isblank($B$5),"""",SUBSTITUTE(index(IMPORTHTML(""https://finviz.com/quote.ashx?t=""&amp;$B$5,""table"",7),7,4),""*"",""""))"),"28.42")</f>
        <v>28.42</v>
      </c>
      <c r="F12" s="12" t="s">
        <v>40</v>
      </c>
      <c r="G12" s="9" t="str">
        <f>IFERROR(__xludf.DUMMYFUNCTION("if(isblank($B$5),"""",SUBSTITUTE(index(IMPORTHTML(""https://finviz.com/quote.ashx?t=""&amp;$B$5,""table"",7),7,6),""*"",""""))"),"0.80%")</f>
        <v>0.80%</v>
      </c>
      <c r="H12" s="12" t="s">
        <v>41</v>
      </c>
      <c r="I12" s="9" t="str">
        <f>IFERROR(__xludf.DUMMYFUNCTION("if(isblank($B$5),"""",SUBSTITUTE(index(IMPORTHTML(""https://finviz.com/quote.ashx?t=""&amp;$B$5,""table"",7),7,8),""*"",""""))"),"5.80%")</f>
        <v>5.80%</v>
      </c>
      <c r="J12" s="12" t="s">
        <v>42</v>
      </c>
      <c r="K12" s="9" t="str">
        <f>IFERROR(__xludf.DUMMYFUNCTION("if(isblank($B$5),"""",SUBSTITUTE(index(IMPORTHTML(""https://finviz.com/quote.ashx?t=""&amp;$B$5,""table"",7),7,10),""*"",""""))"),"-6.88%")</f>
        <v>-6.88%</v>
      </c>
      <c r="L12" s="12" t="s">
        <v>43</v>
      </c>
      <c r="M12" s="9" t="str">
        <f>IFERROR(__xludf.DUMMYFUNCTION("if(isblank($B$5),"""",SUBSTITUTE(index(IMPORTHTML(""https://finviz.com/quote.ashx?t=""&amp;$B$5,""table"",7),7,12),""*"",""""))"),"0.53")</f>
        <v>0.53</v>
      </c>
    </row>
    <row r="13">
      <c r="B13" s="11" t="s">
        <v>44</v>
      </c>
      <c r="C13" s="9" t="str">
        <f>IFERROR(__xludf.DUMMYFUNCTION("if(isblank($B$5),"""",SUBSTITUTE(index(IMPORTHTML(""https://finviz.com/quote.ashx?t=""&amp;$B$5,""table"",7),8,2),""*"",""""))"),"1.58%")</f>
        <v>1.58%</v>
      </c>
      <c r="D13" s="12" t="s">
        <v>45</v>
      </c>
      <c r="E13" s="9" t="str">
        <f>IFERROR(__xludf.DUMMYFUNCTION("if(isblank($B$5),"""",SUBSTITUTE(index(IMPORTHTML(""https://finviz.com/quote.ashx?t=""&amp;$B$5,""table"",7),8,4),""*"",""""))"),"0.30")</f>
        <v>0.30</v>
      </c>
      <c r="F13" s="12" t="s">
        <v>46</v>
      </c>
      <c r="G13" s="9" t="str">
        <f>IFERROR(__xludf.DUMMYFUNCTION("if(isblank($B$5),"""",SUBSTITUTE(index(IMPORTHTML(""https://finviz.com/quote.ashx?t=""&amp;$B$5,""table"",7),8,6),""*"",""""))"),"3.00%")</f>
        <v>3.00%</v>
      </c>
      <c r="H13" s="12" t="s">
        <v>47</v>
      </c>
      <c r="I13" s="9" t="str">
        <f>IFERROR(__xludf.DUMMYFUNCTION("if(isblank($B$5),"""",SUBSTITUTE(index(IMPORTHTML(""https://finviz.com/quote.ashx?t=""&amp;$B$5,""table"",7),8,8),""*"",""""))"),"25.10%")</f>
        <v>25.10%</v>
      </c>
      <c r="J13" s="12" t="s">
        <v>48</v>
      </c>
      <c r="K13" s="9" t="str">
        <f>IFERROR(__xludf.DUMMYFUNCTION("if(isblank($B$5),"""",SUBSTITUTE(index(IMPORTHTML(""https://finviz.com/quote.ashx?t=""&amp;$B$5,""table"",7),8,10),""*"",""""))"),"9.37%")</f>
        <v>9.37%</v>
      </c>
      <c r="L13" s="12" t="s">
        <v>49</v>
      </c>
      <c r="M13" s="9" t="str">
        <f>IFERROR(__xludf.DUMMYFUNCTION("if(isblank($B$5),"""",SUBSTITUTE(index(IMPORTHTML(""https://finviz.com/quote.ashx?t=""&amp;$B$5,""table"",7),8,12),""*"",""""))"),"2.88")</f>
        <v>2.88</v>
      </c>
    </row>
    <row r="14">
      <c r="B14" s="11" t="s">
        <v>50</v>
      </c>
      <c r="C14" s="9" t="str">
        <f>IFERROR(__xludf.DUMMYFUNCTION("if(isblank($B$5),"""",SUBSTITUTE(index(IMPORTHTML(""https://finviz.com/quote.ashx?t=""&amp;$B$5,""table"",7),9,2),""*"",""""))"),"2300000")</f>
        <v>2300000</v>
      </c>
      <c r="D14" s="12" t="s">
        <v>51</v>
      </c>
      <c r="E14" s="9" t="str">
        <f>IFERROR(__xludf.DUMMYFUNCTION("if(isblank($B$5),"""",SUBSTITUTE(index(IMPORTHTML(""https://finviz.com/quote.ashx?t=""&amp;$B$5,""table"",7),9,4),""*"",""""))"),"0.90")</f>
        <v>0.90</v>
      </c>
      <c r="F14" s="12" t="s">
        <v>52</v>
      </c>
      <c r="G14" s="9" t="str">
        <f>IFERROR(__xludf.DUMMYFUNCTION("if(isblank($B$5),"""",SUBSTITUTE(index(IMPORTHTML(""https://finviz.com/quote.ashx?t=""&amp;$B$5,""table"",7),9,6),""*"",""""))"),"4.30%")</f>
        <v>4.30%</v>
      </c>
      <c r="H14" s="12" t="s">
        <v>53</v>
      </c>
      <c r="I14" s="9" t="str">
        <f>IFERROR(__xludf.DUMMYFUNCTION("if(isblank($B$5),"""",SUBSTITUTE(index(IMPORTHTML(""https://finviz.com/quote.ashx?t=""&amp;$B$5,""table"",7),9,8),""*"",""""))"),"3.00%")</f>
        <v>3.00%</v>
      </c>
      <c r="J14" s="12" t="s">
        <v>54</v>
      </c>
      <c r="K14" s="9" t="str">
        <f>IFERROR(__xludf.DUMMYFUNCTION("if(isblank($B$5),"""",SUBSTITUTE(index(IMPORTHTML(""https://finviz.com/quote.ashx?t=""&amp;$B$5,""table"",7),9,10),""*"",""""))"),"57.97")</f>
        <v>57.97</v>
      </c>
      <c r="L14" s="12" t="s">
        <v>55</v>
      </c>
      <c r="M14" s="9" t="str">
        <f>IFERROR(__xludf.DUMMYFUNCTION("if(isblank($B$5),"""",SUBSTITUTE(index(IMPORTHTML(""https://finviz.com/quote.ashx?t=""&amp;$B$5,""table"",7),9,12),""*"",""""))"),"2.20% 2.16%")</f>
        <v>2.20% 2.16%</v>
      </c>
    </row>
    <row r="15">
      <c r="B15" s="11" t="s">
        <v>56</v>
      </c>
      <c r="C15" s="9" t="str">
        <f>IFERROR(__xludf.DUMMYFUNCTION("if(isblank($B$5),"""",SUBSTITUTE(index(IMPORTHTML(""https://finviz.com/quote.ashx?t=""&amp;$B$5,""table"",7),10,2),""*"",""""))"),"Yes")</f>
        <v>Yes</v>
      </c>
      <c r="D15" s="12" t="s">
        <v>57</v>
      </c>
      <c r="E15" s="9" t="str">
        <f>IFERROR(__xludf.DUMMYFUNCTION("if(isblank($B$5),"""",SUBSTITUTE(index(IMPORTHTML(""https://finviz.com/quote.ashx?t=""&amp;$B$5,""table"",7),10,4),""*"",""""))"),"0.52")</f>
        <v>0.52</v>
      </c>
      <c r="F15" s="12" t="s">
        <v>58</v>
      </c>
      <c r="G15" s="9" t="str">
        <f>IFERROR(__xludf.DUMMYFUNCTION("if(isblank($B$5),"""",SUBSTITUTE(index(IMPORTHTML(""https://finviz.com/quote.ashx?t=""&amp;$B$5,""table"",7),10,6),""*"",""""))"),"-38.40%")</f>
        <v>-38.40%</v>
      </c>
      <c r="H15" s="12" t="s">
        <v>59</v>
      </c>
      <c r="I15" s="9" t="str">
        <f>IFERROR(__xludf.DUMMYFUNCTION("if(isblank($B$5),"""",SUBSTITUTE(index(IMPORTHTML(""https://finviz.com/quote.ashx?t=""&amp;$B$5,""table"",7),10,8),""*"",""""))"),"1.80%")</f>
        <v>1.80%</v>
      </c>
      <c r="J15" s="12" t="s">
        <v>60</v>
      </c>
      <c r="K15" s="9" t="str">
        <f>IFERROR(__xludf.DUMMYFUNCTION("if(isblank($B$5),"""",SUBSTITUTE(index(IMPORTHTML(""https://finviz.com/quote.ashx?t=""&amp;$B$5,""table"",7),10,10),""*"",""""))"),"0.71")</f>
        <v>0.71</v>
      </c>
      <c r="L15" s="12" t="s">
        <v>61</v>
      </c>
      <c r="M15" s="9" t="str">
        <f>IFERROR(__xludf.DUMMYFUNCTION("if(isblank($B$5),"""",SUBSTITUTE(index(IMPORTHTML(""https://finviz.com/quote.ashx?t=""&amp;$B$5,""table"",7),10,12),""*"",""""))"),"142.63")</f>
        <v>142.63</v>
      </c>
    </row>
    <row r="16">
      <c r="B16" s="11" t="s">
        <v>62</v>
      </c>
      <c r="C16" s="9" t="str">
        <f>IFERROR(__xludf.DUMMYFUNCTION("if(isblank($B$5),"""",SUBSTITUTE(index(IMPORTHTML(""https://finviz.com/quote.ashx?t=""&amp;$B$5,""table"",7),11,2),""*"",""""))"),"Yes")</f>
        <v>Yes</v>
      </c>
      <c r="D16" s="12" t="s">
        <v>63</v>
      </c>
      <c r="E16" s="9" t="str">
        <f>IFERROR(__xludf.DUMMYFUNCTION("if(isblank($B$5),"""",SUBSTITUTE(index(IMPORTHTML(""https://finviz.com/quote.ashx?t=""&amp;$B$5,""table"",7),11,4),""*"",""""))"),"0.49")</f>
        <v>0.49</v>
      </c>
      <c r="F16" s="12" t="s">
        <v>64</v>
      </c>
      <c r="G16" s="9" t="str">
        <f>IFERROR(__xludf.DUMMYFUNCTION("if(isblank($B$5),"""",SUBSTITUTE(index(IMPORTHTML(""https://finviz.com/quote.ashx?t=""&amp;$B$5,""table"",7),11,6),""*"",""""))"),"Feb 17 BMO")</f>
        <v>Feb 17 BMO</v>
      </c>
      <c r="H16" s="12" t="s">
        <v>65</v>
      </c>
      <c r="I16" s="9" t="str">
        <f>IFERROR(__xludf.DUMMYFUNCTION("if(isblank($B$5),"""",SUBSTITUTE(index(IMPORTHTML(""https://finviz.com/quote.ashx?t=""&amp;$B$5,""table"",7),11,8),""*"",""""))"),"61.10%")</f>
        <v>61.10%</v>
      </c>
      <c r="J16" s="12" t="s">
        <v>66</v>
      </c>
      <c r="K16" s="9" t="str">
        <f>IFERROR(__xludf.DUMMYFUNCTION("if(isblank($B$5),"""",SUBSTITUTE(index(IMPORTHTML(""https://finviz.com/quote.ashx?t=""&amp;$B$5,""table"",7),11,10),""*"",""""))"),"8.97M")</f>
        <v>8.97M</v>
      </c>
      <c r="L16" s="12" t="s">
        <v>67</v>
      </c>
      <c r="M16" s="9" t="str">
        <f>IFERROR(__xludf.DUMMYFUNCTION("if(isblank($B$5),"""",SUBSTITUTE(index(IMPORTHTML(""https://finviz.com/quote.ashx?t=""&amp;$B$5,""table"",7),11,12),""*"",""""))"),"142.07")</f>
        <v>142.07</v>
      </c>
    </row>
    <row r="17">
      <c r="B17" s="13" t="s">
        <v>68</v>
      </c>
      <c r="C17" s="9" t="str">
        <f>IFERROR(__xludf.DUMMYFUNCTION("if(isblank($B$5),"""",SUBSTITUTE(index(IMPORTHTML(""https://finviz.com/quote.ashx?t=""&amp;$B$5,""table"",7),12,2),""*"",""""))"),"1.90")</f>
        <v>1.90</v>
      </c>
      <c r="D17" s="14" t="s">
        <v>69</v>
      </c>
      <c r="E17" s="9" t="str">
        <f>IFERROR(__xludf.DUMMYFUNCTION("if(isblank($B$5),"""",SUBSTITUTE(index(IMPORTHTML(""https://finviz.com/quote.ashx?t=""&amp;$B$5,""table"",7),12,4),""*"",""""))"),"3.53%")</f>
        <v>3.53%</v>
      </c>
      <c r="F17" s="14" t="s">
        <v>70</v>
      </c>
      <c r="G17" s="9" t="str">
        <f>IFERROR(__xludf.DUMMYFUNCTION("if(isblank($B$5),"""",SUBSTITUTE(index(IMPORTHTML(""https://finviz.com/quote.ashx?t=""&amp;$B$5,""table"",7),12,6),""*"",""""))"),"1.67%")</f>
        <v>1.67%</v>
      </c>
      <c r="H17" s="14" t="s">
        <v>71</v>
      </c>
      <c r="I17" s="9" t="str">
        <f>IFERROR(__xludf.DUMMYFUNCTION("if(isblank($B$5),"""",SUBSTITUTE(index(IMPORTHTML(""https://finviz.com/quote.ashx?t=""&amp;$B$5,""table"",7),12,8),""*"",""""))"),"-0.15%")</f>
        <v>-0.15%</v>
      </c>
      <c r="J17" s="14" t="s">
        <v>72</v>
      </c>
      <c r="K17" s="9" t="str">
        <f>IFERROR(__xludf.DUMMYFUNCTION("if(isblank($B$5),"""",SUBSTITUTE(index(IMPORTHTML(""https://finviz.com/quote.ashx?t=""&amp;$B$5,""table"",7),12,10),""*"",""""))"),"6,383,857")</f>
        <v>6,383,857</v>
      </c>
      <c r="L17" s="14" t="s">
        <v>73</v>
      </c>
      <c r="M17" s="9" t="str">
        <f>IFERROR(__xludf.DUMMYFUNCTION("if(isblank($B$5),"""",SUBSTITUTE(index(IMPORTHTML(""https://finviz.com/quote.ashx?t=""&amp;$B$5,""table"",7),12,12),""*"",""""))"),"-0.39%")</f>
        <v>-0.39%</v>
      </c>
    </row>
    <row r="19">
      <c r="B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4.43" defaultRowHeight="15.0" outlineLevelCol="1"/>
  <cols>
    <col customWidth="1" min="1" max="1" width="1.86"/>
    <col customWidth="1" min="2" max="2" width="20.57" outlineLevel="1"/>
    <col customWidth="1" min="3" max="3" width="17.0" outlineLevel="1"/>
    <col customWidth="1" min="4" max="4" width="29.43" outlineLevel="1"/>
    <col customWidth="1" min="5" max="5" width="12.57" outlineLevel="1"/>
    <col customWidth="1" min="6" max="6" width="14.14" outlineLevel="1"/>
    <col customWidth="1" min="7" max="7" width="11.71" outlineLevel="1"/>
    <col customWidth="1" min="8" max="8" width="15.86" outlineLevel="1"/>
    <col customWidth="1" min="9" max="10" width="11.71" outlineLevel="1"/>
    <col min="11" max="11" width="14.43" outlineLevel="1"/>
    <col customWidth="1" min="12" max="12" width="12.14" outlineLevel="1"/>
    <col customWidth="1" min="13" max="13" width="7.43" outlineLevel="1"/>
    <col customWidth="1" min="14" max="14" width="2.43"/>
    <col customWidth="1" min="15" max="15" width="8.0" outlineLevel="1"/>
    <col customWidth="1" min="16" max="16" width="16.57" outlineLevel="1"/>
    <col customWidth="1" min="17" max="17" width="22.86" outlineLevel="1"/>
    <col customWidth="1" min="18" max="18" width="46.57" outlineLevel="1"/>
    <col customWidth="1" min="19" max="19" width="13.14" outlineLevel="1"/>
    <col customWidth="1" min="20" max="26" width="11.57" outlineLevel="1"/>
  </cols>
  <sheetData>
    <row r="1" ht="12.0" customHeight="1">
      <c r="A1" s="16"/>
      <c r="B1" s="16" t="s">
        <v>74</v>
      </c>
      <c r="C1" s="16" t="s">
        <v>75</v>
      </c>
      <c r="E1" s="17"/>
      <c r="F1" s="17"/>
      <c r="G1" s="18"/>
      <c r="H1" s="17"/>
      <c r="I1" s="17"/>
      <c r="J1" s="17"/>
      <c r="K1" s="17"/>
      <c r="L1" s="17"/>
      <c r="M1" s="17"/>
      <c r="N1" s="19"/>
      <c r="O1" s="17"/>
      <c r="P1" s="16" t="s">
        <v>74</v>
      </c>
      <c r="Q1" s="20" t="s">
        <v>75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ht="6.0" customHeight="1">
      <c r="A2" s="21"/>
      <c r="B2" s="21"/>
      <c r="C2" s="22"/>
      <c r="D2" s="15"/>
      <c r="E2" s="15"/>
      <c r="G2" s="23"/>
      <c r="H2" s="15"/>
      <c r="N2" s="24"/>
      <c r="P2" s="21"/>
      <c r="Q2" s="22"/>
      <c r="R2" s="15"/>
      <c r="S2" s="15"/>
    </row>
    <row r="3">
      <c r="A3" s="21"/>
      <c r="B3" s="25" t="s">
        <v>76</v>
      </c>
      <c r="C3" s="26"/>
      <c r="D3" s="27" t="s">
        <v>77</v>
      </c>
      <c r="E3" s="28" t="str">
        <f>IFERROR(__xludf.DUMMYFUNCTION("if(isblank($E$4),"""",SUBSTITUTE(index(IMPORTHTML(""https://finviz.com/quote.ashx?t=""&amp;$E$4,""table"",5),2,1),""*"",""""))"),"Walmart Inc.")</f>
        <v>Walmart Inc.</v>
      </c>
      <c r="G3" s="29" t="s">
        <v>78</v>
      </c>
      <c r="J3" s="30">
        <v>1000.0</v>
      </c>
      <c r="K3" s="31" t="s">
        <v>79</v>
      </c>
      <c r="N3" s="24"/>
      <c r="P3" s="25" t="s">
        <v>76</v>
      </c>
      <c r="Q3" s="22"/>
      <c r="R3" s="27" t="s">
        <v>77</v>
      </c>
      <c r="S3" s="28" t="str">
        <f>IFERROR(__xludf.DUMMYFUNCTION("if(isblank($E$4),"""",SUBSTITUTE(index(IMPORTHTML(""https://finviz.com/quote.ashx?t=""&amp;$E$4,""table"",5),2,1),""*"",""""))"),"Walmart Inc.")</f>
        <v>Walmart Inc.</v>
      </c>
      <c r="U3" s="29" t="s">
        <v>80</v>
      </c>
    </row>
    <row r="4">
      <c r="A4" s="21"/>
      <c r="B4" s="32" t="s">
        <v>81</v>
      </c>
      <c r="C4" s="22"/>
      <c r="E4" s="33" t="s">
        <v>2</v>
      </c>
      <c r="J4" s="30">
        <v>1000000.0</v>
      </c>
      <c r="K4" s="31" t="s">
        <v>82</v>
      </c>
      <c r="N4" s="24"/>
      <c r="P4" s="32" t="s">
        <v>81</v>
      </c>
      <c r="Q4" s="22"/>
      <c r="S4" s="33" t="s">
        <v>2</v>
      </c>
    </row>
    <row r="5">
      <c r="A5" s="34"/>
      <c r="B5" s="34" t="s">
        <v>83</v>
      </c>
      <c r="C5" s="22"/>
      <c r="E5" s="15"/>
      <c r="N5" s="24"/>
      <c r="P5" s="34" t="s">
        <v>83</v>
      </c>
      <c r="Q5" s="22"/>
    </row>
    <row r="6">
      <c r="C6" s="26"/>
      <c r="D6" s="35"/>
      <c r="G6" s="15"/>
      <c r="N6" s="24"/>
      <c r="Q6" s="22"/>
      <c r="R6" s="15"/>
      <c r="S6" s="15"/>
      <c r="T6" s="15"/>
      <c r="U6" s="15"/>
      <c r="V6" s="15"/>
      <c r="W6" s="15"/>
      <c r="X6" s="15"/>
      <c r="Y6" s="15"/>
      <c r="Z6" s="15"/>
    </row>
    <row r="7">
      <c r="C7" s="26"/>
      <c r="D7" s="35"/>
      <c r="G7" s="15"/>
      <c r="N7" s="24"/>
      <c r="Q7" s="36" t="s">
        <v>84</v>
      </c>
      <c r="R7" s="37" t="s">
        <v>85</v>
      </c>
      <c r="S7" s="37" t="s">
        <v>86</v>
      </c>
      <c r="T7" s="37" t="s">
        <v>86</v>
      </c>
      <c r="U7" s="37" t="s">
        <v>87</v>
      </c>
      <c r="V7" s="37" t="s">
        <v>88</v>
      </c>
      <c r="W7" s="37" t="s">
        <v>88</v>
      </c>
      <c r="X7" s="37" t="s">
        <v>88</v>
      </c>
      <c r="Y7" s="37" t="s">
        <v>88</v>
      </c>
      <c r="Z7" s="38" t="s">
        <v>89</v>
      </c>
    </row>
    <row r="8">
      <c r="C8" s="36" t="s">
        <v>84</v>
      </c>
      <c r="D8" s="27" t="s">
        <v>77</v>
      </c>
      <c r="E8" s="39" t="str">
        <f>E4</f>
        <v>WMT</v>
      </c>
      <c r="N8" s="24"/>
      <c r="Q8" s="40"/>
      <c r="S8" s="41">
        <v>2020.0</v>
      </c>
      <c r="T8" s="41">
        <v>2021.0</v>
      </c>
      <c r="U8" s="41">
        <v>2022.0</v>
      </c>
      <c r="V8" s="41">
        <v>2023.0</v>
      </c>
      <c r="W8" s="41">
        <v>2024.0</v>
      </c>
      <c r="X8" s="41">
        <v>2025.0</v>
      </c>
      <c r="Y8" s="41">
        <v>2026.0</v>
      </c>
    </row>
    <row r="9">
      <c r="A9" s="15"/>
      <c r="C9" s="40" t="s">
        <v>90</v>
      </c>
      <c r="D9" s="42" t="s">
        <v>91</v>
      </c>
      <c r="E9" s="43">
        <v>0.0835</v>
      </c>
      <c r="F9" s="44"/>
      <c r="L9" s="45"/>
      <c r="M9" s="45" t="s">
        <v>92</v>
      </c>
      <c r="N9" s="24"/>
      <c r="Q9" s="40" t="s">
        <v>93</v>
      </c>
      <c r="R9" s="46" t="s">
        <v>94</v>
      </c>
      <c r="S9" s="47">
        <v>5.23964E8</v>
      </c>
      <c r="T9" s="47">
        <v>5.59151E8</v>
      </c>
      <c r="U9" s="47">
        <v>5.72754E8</v>
      </c>
      <c r="V9" s="47">
        <v>5.9089E8</v>
      </c>
      <c r="W9" s="47">
        <v>6.1089E8</v>
      </c>
      <c r="X9" s="48">
        <f t="shared" ref="X9:Y9" si="1">W9+(W9*X10)</f>
        <v>632271150</v>
      </c>
      <c r="Y9" s="49">
        <f t="shared" si="1"/>
        <v>654400640.3</v>
      </c>
    </row>
    <row r="10">
      <c r="A10" s="15"/>
      <c r="C10" s="40" t="s">
        <v>95</v>
      </c>
      <c r="D10" s="42" t="s">
        <v>96</v>
      </c>
      <c r="E10" s="50">
        <v>0.02</v>
      </c>
      <c r="F10" s="15" t="s">
        <v>97</v>
      </c>
      <c r="N10" s="24"/>
      <c r="Q10" s="40"/>
      <c r="R10" s="51" t="s">
        <v>98</v>
      </c>
      <c r="S10" s="52"/>
      <c r="T10" s="53">
        <f t="shared" ref="T10:W10" si="2">(T9-S9)/S9</f>
        <v>0.06715537709</v>
      </c>
      <c r="U10" s="53">
        <f t="shared" si="2"/>
        <v>0.02432795435</v>
      </c>
      <c r="V10" s="53">
        <f t="shared" si="2"/>
        <v>0.03166455407</v>
      </c>
      <c r="W10" s="53">
        <f t="shared" si="2"/>
        <v>0.03384724737</v>
      </c>
      <c r="X10" s="54">
        <v>0.035</v>
      </c>
      <c r="Y10" s="55">
        <v>0.035</v>
      </c>
      <c r="Z10" s="44" t="s">
        <v>99</v>
      </c>
    </row>
    <row r="11">
      <c r="A11" s="15"/>
      <c r="C11" s="40" t="s">
        <v>100</v>
      </c>
      <c r="D11" s="42" t="s">
        <v>101</v>
      </c>
      <c r="E11" s="56">
        <f>E57</f>
        <v>0.05475211282</v>
      </c>
      <c r="N11" s="24"/>
      <c r="Q11" s="40"/>
      <c r="R11" s="46" t="s">
        <v>102</v>
      </c>
      <c r="S11" s="47">
        <v>1.4881E7</v>
      </c>
      <c r="T11" s="47">
        <v>1.351E7</v>
      </c>
      <c r="U11" s="48">
        <f t="shared" ref="U11:Y11" si="3">U9*U12</f>
        <v>13173342</v>
      </c>
      <c r="V11" s="48">
        <f t="shared" si="3"/>
        <v>13590470</v>
      </c>
      <c r="W11" s="48">
        <f t="shared" si="3"/>
        <v>14050470</v>
      </c>
      <c r="X11" s="48">
        <f t="shared" si="3"/>
        <v>14542236.45</v>
      </c>
      <c r="Y11" s="49">
        <f t="shared" si="3"/>
        <v>15051214.73</v>
      </c>
    </row>
    <row r="12">
      <c r="C12" s="40"/>
      <c r="N12" s="24"/>
      <c r="Q12" s="40"/>
      <c r="R12" s="57" t="s">
        <v>103</v>
      </c>
      <c r="S12" s="58">
        <f t="shared" ref="S12:T12" si="4">S11/S9</f>
        <v>0.02840080616</v>
      </c>
      <c r="T12" s="58">
        <f t="shared" si="4"/>
        <v>0.02416163076</v>
      </c>
      <c r="U12" s="59">
        <v>0.023</v>
      </c>
      <c r="V12" s="59">
        <v>0.023</v>
      </c>
      <c r="W12" s="59">
        <v>0.023</v>
      </c>
      <c r="X12" s="59">
        <v>0.023</v>
      </c>
      <c r="Y12" s="60">
        <v>0.023</v>
      </c>
      <c r="Z12" s="44"/>
    </row>
    <row r="13">
      <c r="C13" s="40"/>
      <c r="E13" s="15" t="s">
        <v>104</v>
      </c>
      <c r="F13" s="15" t="s">
        <v>104</v>
      </c>
      <c r="G13" s="15" t="s">
        <v>104</v>
      </c>
      <c r="H13" s="15" t="s">
        <v>105</v>
      </c>
      <c r="I13" s="15" t="s">
        <v>105</v>
      </c>
      <c r="J13" s="15" t="s">
        <v>105</v>
      </c>
      <c r="K13" s="15" t="s">
        <v>105</v>
      </c>
      <c r="L13" s="15" t="s">
        <v>105</v>
      </c>
      <c r="N13" s="24"/>
      <c r="Q13" s="40"/>
      <c r="R13" s="15" t="s">
        <v>106</v>
      </c>
      <c r="S13" s="61">
        <v>2.5255E7</v>
      </c>
      <c r="T13" s="61">
        <v>3.6074E7</v>
      </c>
      <c r="U13" s="62"/>
      <c r="V13" s="62"/>
      <c r="W13" s="62"/>
      <c r="X13" s="62"/>
      <c r="Y13" s="62"/>
      <c r="Z13" s="44"/>
    </row>
    <row r="14">
      <c r="C14" s="40"/>
      <c r="D14" s="27" t="s">
        <v>107</v>
      </c>
      <c r="E14" s="63">
        <v>2019.0</v>
      </c>
      <c r="F14" s="63">
        <v>2020.0</v>
      </c>
      <c r="G14" s="63">
        <v>2021.0</v>
      </c>
      <c r="H14" s="64">
        <v>2022.0</v>
      </c>
      <c r="I14" s="64">
        <v>2023.0</v>
      </c>
      <c r="J14" s="64">
        <v>2024.0</v>
      </c>
      <c r="K14" s="64">
        <v>2025.0</v>
      </c>
      <c r="L14" s="64">
        <v>2026.0</v>
      </c>
      <c r="M14" s="45" t="s">
        <v>92</v>
      </c>
      <c r="N14" s="24"/>
      <c r="Q14" s="40" t="s">
        <v>108</v>
      </c>
      <c r="R14" s="15" t="s">
        <v>109</v>
      </c>
      <c r="S14" s="61">
        <v>1.0705E7</v>
      </c>
      <c r="T14" s="61">
        <v>1.0264E7</v>
      </c>
      <c r="U14" s="62"/>
      <c r="V14" s="62"/>
      <c r="W14" s="62"/>
      <c r="X14" s="62"/>
      <c r="Y14" s="62"/>
    </row>
    <row r="15">
      <c r="C15" s="40"/>
      <c r="D15" s="42" t="s">
        <v>110</v>
      </c>
      <c r="E15" s="65">
        <v>1.7409E7</v>
      </c>
      <c r="F15" s="65">
        <v>1.455E7</v>
      </c>
      <c r="G15" s="65">
        <v>2.581E7</v>
      </c>
      <c r="H15" s="66">
        <f>F15*(1+$E$9)</f>
        <v>15764925</v>
      </c>
      <c r="I15" s="67">
        <f t="shared" ref="I15:L15" si="5">H15*(1+$E$9)</f>
        <v>17081296.24</v>
      </c>
      <c r="J15" s="67">
        <f t="shared" si="5"/>
        <v>18507584.47</v>
      </c>
      <c r="K15" s="67">
        <f t="shared" si="5"/>
        <v>20052967.78</v>
      </c>
      <c r="L15" s="67">
        <f t="shared" si="5"/>
        <v>21727390.59</v>
      </c>
      <c r="N15" s="24"/>
      <c r="Q15" s="40"/>
      <c r="R15" s="68" t="s">
        <v>111</v>
      </c>
      <c r="S15" s="69">
        <f t="shared" ref="S15:T15" si="6">S13-S14</f>
        <v>14550000</v>
      </c>
      <c r="T15" s="69">
        <f t="shared" si="6"/>
        <v>25810000</v>
      </c>
      <c r="U15" s="69">
        <f t="shared" ref="U15:Y15" si="7">U11*U17</f>
        <v>12514674.9</v>
      </c>
      <c r="V15" s="69">
        <f t="shared" si="7"/>
        <v>12910946.5</v>
      </c>
      <c r="W15" s="69">
        <f t="shared" si="7"/>
        <v>13347946.5</v>
      </c>
      <c r="X15" s="69">
        <f t="shared" si="7"/>
        <v>13815124.63</v>
      </c>
      <c r="Y15" s="70">
        <f t="shared" si="7"/>
        <v>14298653.99</v>
      </c>
      <c r="Z15" s="71">
        <f>(Y15*(1+S21))/(S20-S21)</f>
        <v>419675981.8</v>
      </c>
    </row>
    <row r="16">
      <c r="C16" s="40"/>
      <c r="D16" s="42"/>
      <c r="E16" s="67"/>
      <c r="F16" s="72">
        <f t="shared" ref="F16:G16" si="8">(F15-E15)/E15</f>
        <v>-0.1642254007</v>
      </c>
      <c r="G16" s="72">
        <f t="shared" si="8"/>
        <v>0.7738831615</v>
      </c>
      <c r="H16" s="67"/>
      <c r="I16" s="67"/>
      <c r="J16" s="67"/>
      <c r="K16" s="67"/>
      <c r="L16" s="67"/>
      <c r="N16" s="24"/>
      <c r="Q16" s="40"/>
      <c r="R16" s="15"/>
      <c r="S16" s="73"/>
      <c r="T16" s="73"/>
      <c r="U16" s="74"/>
      <c r="V16" s="74"/>
      <c r="W16" s="74"/>
      <c r="X16" s="74"/>
      <c r="Y16" s="74"/>
      <c r="Z16" s="44"/>
    </row>
    <row r="17">
      <c r="C17" s="40"/>
      <c r="D17" s="42" t="s">
        <v>112</v>
      </c>
      <c r="E17" s="67"/>
      <c r="F17" s="67"/>
      <c r="G17" s="67"/>
      <c r="H17" s="67"/>
      <c r="I17" s="67"/>
      <c r="J17" s="67"/>
      <c r="K17" s="67"/>
      <c r="L17" s="67">
        <f>L15*(1+E10)/(E11-E10)</f>
        <v>637714849.4</v>
      </c>
      <c r="N17" s="24"/>
      <c r="Q17" s="40"/>
      <c r="R17" s="15" t="s">
        <v>113</v>
      </c>
      <c r="S17" s="73">
        <f t="shared" ref="S17:T17" si="9">S15/S11</f>
        <v>0.9777568712</v>
      </c>
      <c r="T17" s="73">
        <f t="shared" si="9"/>
        <v>1.910436714</v>
      </c>
      <c r="U17" s="74">
        <v>0.95</v>
      </c>
      <c r="V17" s="74">
        <v>0.95</v>
      </c>
      <c r="W17" s="74">
        <v>0.95</v>
      </c>
      <c r="X17" s="74">
        <v>0.95</v>
      </c>
      <c r="Y17" s="74">
        <v>0.95</v>
      </c>
      <c r="Z17" s="44" t="s">
        <v>114</v>
      </c>
    </row>
    <row r="18">
      <c r="C18" s="40"/>
      <c r="D18" s="27" t="s">
        <v>115</v>
      </c>
      <c r="E18" s="75"/>
      <c r="F18" s="75"/>
      <c r="G18" s="75"/>
      <c r="H18" s="75">
        <f t="shared" ref="H18:K18" si="10">H15</f>
        <v>15764925</v>
      </c>
      <c r="I18" s="75">
        <f t="shared" si="10"/>
        <v>17081296.24</v>
      </c>
      <c r="J18" s="75">
        <f t="shared" si="10"/>
        <v>18507584.47</v>
      </c>
      <c r="K18" s="75">
        <f t="shared" si="10"/>
        <v>20052967.78</v>
      </c>
      <c r="L18" s="75">
        <f>L15+L17</f>
        <v>659442240</v>
      </c>
      <c r="N18" s="24"/>
      <c r="Q18" s="40"/>
      <c r="R18" s="15" t="s">
        <v>116</v>
      </c>
      <c r="S18" s="62"/>
      <c r="T18" s="62"/>
      <c r="U18" s="76">
        <f>1+S20</f>
        <v>1.054752113</v>
      </c>
      <c r="V18" s="76">
        <f>(1+$S$20)^2</f>
        <v>1.11250202</v>
      </c>
      <c r="W18" s="76">
        <f>(1+$S$20)^3</f>
        <v>1.173413856</v>
      </c>
      <c r="X18" s="76">
        <f>(1+$S$20)^4</f>
        <v>1.237660743</v>
      </c>
      <c r="Y18" s="76">
        <f>(1+$S$20)^5</f>
        <v>1.305425284</v>
      </c>
      <c r="Z18" s="77">
        <f>Y18</f>
        <v>1.305425284</v>
      </c>
    </row>
    <row r="19">
      <c r="C19" s="40"/>
      <c r="N19" s="24"/>
      <c r="Q19" s="40"/>
      <c r="R19" s="15" t="s">
        <v>117</v>
      </c>
      <c r="S19" s="62"/>
      <c r="T19" s="62"/>
      <c r="U19" s="52">
        <f t="shared" ref="U19:Z19" si="11">U15/U18</f>
        <v>11865038.95</v>
      </c>
      <c r="V19" s="52">
        <f t="shared" si="11"/>
        <v>11605324.1</v>
      </c>
      <c r="W19" s="52">
        <f t="shared" si="11"/>
        <v>11375310.11</v>
      </c>
      <c r="X19" s="52">
        <f t="shared" si="11"/>
        <v>11162287.16</v>
      </c>
      <c r="Y19" s="52">
        <f t="shared" si="11"/>
        <v>10953253.44</v>
      </c>
      <c r="Z19" s="52">
        <f t="shared" si="11"/>
        <v>321486022.2</v>
      </c>
    </row>
    <row r="20">
      <c r="C20" s="40"/>
      <c r="D20" s="78" t="s">
        <v>118</v>
      </c>
      <c r="E20" s="79"/>
      <c r="N20" s="24"/>
      <c r="Q20" s="80"/>
      <c r="R20" s="81" t="s">
        <v>119</v>
      </c>
      <c r="S20" s="82">
        <f>S48</f>
        <v>0.05475211282</v>
      </c>
      <c r="T20" s="62"/>
      <c r="U20" s="62"/>
      <c r="V20" s="62"/>
      <c r="W20" s="62"/>
      <c r="X20" s="62"/>
      <c r="Y20" s="62"/>
    </row>
    <row r="21">
      <c r="A21" s="83"/>
      <c r="C21" s="84" t="s">
        <v>120</v>
      </c>
      <c r="D21" s="85" t="s">
        <v>121</v>
      </c>
      <c r="E21" s="75">
        <f t="array" ref="E21">npv(E11,H18:L18)</f>
        <v>567430356</v>
      </c>
      <c r="F21" s="86" t="str">
        <f>IFERROR(__xludf.DUMMYFUNCTION("if(isblank($E$4),"""",SUBSTITUTE(index(IMPORTHTML(""https://finviz.com/quote.ashx?t=""&amp;$E$4,""table"",7),2,2),""*"",""""))"),"384.34B")</f>
        <v>384.34B</v>
      </c>
      <c r="G21" s="87" t="s">
        <v>122</v>
      </c>
      <c r="L21" s="45"/>
      <c r="M21" s="45" t="s">
        <v>92</v>
      </c>
      <c r="N21" s="24"/>
      <c r="Q21" s="40" t="s">
        <v>97</v>
      </c>
      <c r="R21" s="81" t="s">
        <v>96</v>
      </c>
      <c r="S21" s="88">
        <v>0.02</v>
      </c>
      <c r="T21" s="62"/>
      <c r="U21" s="62"/>
      <c r="V21" s="62"/>
      <c r="W21" s="62"/>
      <c r="X21" s="62"/>
      <c r="Y21" s="62"/>
    </row>
    <row r="22">
      <c r="A22" s="15"/>
      <c r="C22" s="40" t="s">
        <v>123</v>
      </c>
      <c r="D22" s="89" t="s">
        <v>124</v>
      </c>
      <c r="E22" s="65">
        <v>1.7741E7</v>
      </c>
      <c r="N22" s="24"/>
      <c r="Q22" s="40"/>
      <c r="R22" s="90" t="s">
        <v>125</v>
      </c>
      <c r="S22" s="91">
        <f>sum(U19:Z19)</f>
        <v>378447235.9</v>
      </c>
      <c r="T22" s="86" t="str">
        <f>IFERROR(__xludf.DUMMYFUNCTION("if(isblank($S$4),"""",SUBSTITUTE(index(IMPORTHTML(""https://finviz.com/quote.ashx?t=""&amp;$S$4,""table"",7),2,2),""*"",""""))"),"384.34B")</f>
        <v>384.34B</v>
      </c>
      <c r="U22" s="87" t="s">
        <v>122</v>
      </c>
      <c r="V22" s="62"/>
      <c r="W22" s="62"/>
      <c r="X22" s="62"/>
      <c r="Y22" s="62"/>
    </row>
    <row r="23">
      <c r="A23" s="15"/>
      <c r="C23" s="40" t="s">
        <v>126</v>
      </c>
      <c r="D23" s="89" t="s">
        <v>127</v>
      </c>
      <c r="E23" s="65">
        <f>E38+E37</f>
        <v>44533000</v>
      </c>
      <c r="N23" s="24"/>
      <c r="Q23" s="40" t="s">
        <v>128</v>
      </c>
      <c r="R23" s="81" t="s">
        <v>129</v>
      </c>
      <c r="S23" s="65">
        <v>2770000.0</v>
      </c>
      <c r="T23" s="62"/>
      <c r="U23" s="62"/>
      <c r="V23" s="62"/>
      <c r="W23" s="62"/>
      <c r="X23" s="62"/>
      <c r="Y23" s="62"/>
    </row>
    <row r="24">
      <c r="C24" s="40"/>
      <c r="D24" s="85" t="s">
        <v>130</v>
      </c>
      <c r="E24" s="75">
        <f>E21+E22-E23</f>
        <v>540638356</v>
      </c>
      <c r="N24" s="24"/>
      <c r="Q24" s="40"/>
      <c r="R24" s="90" t="s">
        <v>131</v>
      </c>
      <c r="S24" s="92">
        <f>S22/S23</f>
        <v>136.6235509</v>
      </c>
      <c r="T24" s="62"/>
      <c r="U24" s="62"/>
      <c r="W24" s="62"/>
      <c r="X24" s="62"/>
      <c r="Y24" s="62"/>
    </row>
    <row r="25">
      <c r="A25" s="15"/>
      <c r="C25" s="40" t="s">
        <v>128</v>
      </c>
      <c r="D25" s="89" t="s">
        <v>132</v>
      </c>
      <c r="E25" s="65">
        <v>2770000.0</v>
      </c>
      <c r="N25" s="24"/>
      <c r="Q25" s="40"/>
      <c r="R25" s="93" t="s">
        <v>133</v>
      </c>
      <c r="S25" s="94" t="str">
        <f>IFERROR(__xludf.DUMMYFUNCTION("if(isblank($S$4),"""",SUBSTITUTE(index(IMPORTHTML(""https://finviz.com/quote.ashx?t=""&amp;$S$4,""table"",7),11,12),""*"",""""))"),"142.07")</f>
        <v>142.07</v>
      </c>
    </row>
    <row r="26">
      <c r="C26" s="40"/>
      <c r="D26" s="85" t="s">
        <v>134</v>
      </c>
      <c r="E26" s="95">
        <f>E24/E25</f>
        <v>195.1763018</v>
      </c>
      <c r="N26" s="24"/>
      <c r="Q26" s="40"/>
      <c r="R26" s="96" t="s">
        <v>135</v>
      </c>
      <c r="S26" s="97">
        <f>S24/S25-1</f>
        <v>-0.03833637731</v>
      </c>
    </row>
    <row r="27">
      <c r="A27" s="15"/>
      <c r="C27" s="40" t="s">
        <v>136</v>
      </c>
      <c r="D27" s="98" t="s">
        <v>137</v>
      </c>
      <c r="E27" s="99" t="str">
        <f>IFERROR(__xludf.DUMMYFUNCTION("if(isblank($E$8),"""",SUBSTITUTE(index(IMPORTHTML(""https://finviz.com/quote.ashx?t=""&amp;$E$8,""table"",7),11,12),""*"",""""))"),"142.07")</f>
        <v>142.07</v>
      </c>
      <c r="N27" s="24"/>
      <c r="Q27" s="40"/>
      <c r="R27" s="40"/>
      <c r="S27" s="40"/>
    </row>
    <row r="28">
      <c r="C28" s="40"/>
      <c r="D28" s="96" t="s">
        <v>135</v>
      </c>
      <c r="E28" s="97">
        <f>E26/E27-1</f>
        <v>0.3738037715</v>
      </c>
      <c r="N28" s="24"/>
      <c r="Q28" s="40"/>
    </row>
    <row r="29">
      <c r="C29" s="40"/>
      <c r="D29" s="40"/>
      <c r="E29" s="40"/>
      <c r="N29" s="24"/>
      <c r="Q29" s="40"/>
    </row>
    <row r="30">
      <c r="C30" s="40"/>
      <c r="N30" s="24"/>
      <c r="Q30" s="40"/>
    </row>
    <row r="31">
      <c r="C31" s="40"/>
      <c r="N31" s="24"/>
      <c r="Q31" s="40"/>
      <c r="R31" s="100" t="s">
        <v>138</v>
      </c>
    </row>
    <row r="32">
      <c r="C32" s="40"/>
      <c r="N32" s="24"/>
      <c r="Q32" s="40" t="s">
        <v>139</v>
      </c>
      <c r="R32" s="15" t="s">
        <v>140</v>
      </c>
      <c r="S32" s="65">
        <v>2315000.0</v>
      </c>
    </row>
    <row r="33">
      <c r="C33" s="40"/>
      <c r="D33" s="100" t="s">
        <v>138</v>
      </c>
      <c r="N33" s="24"/>
      <c r="Q33" s="40" t="s">
        <v>141</v>
      </c>
      <c r="R33" s="15" t="s">
        <v>142</v>
      </c>
      <c r="S33" s="101">
        <f>3339000+41194000</f>
        <v>44533000</v>
      </c>
      <c r="T33" s="44" t="s">
        <v>143</v>
      </c>
    </row>
    <row r="34">
      <c r="C34" s="40"/>
      <c r="N34" s="24"/>
      <c r="Q34" s="40"/>
      <c r="R34" s="102" t="s">
        <v>144</v>
      </c>
      <c r="S34" s="103">
        <f>S32/S33</f>
        <v>0.05198392204</v>
      </c>
    </row>
    <row r="35">
      <c r="C35" s="40"/>
      <c r="D35" s="78" t="s">
        <v>145</v>
      </c>
      <c r="E35" s="79"/>
      <c r="N35" s="24"/>
      <c r="Q35" s="40" t="s">
        <v>146</v>
      </c>
      <c r="R35" s="15" t="s">
        <v>147</v>
      </c>
      <c r="S35" s="101">
        <v>2.0564E7</v>
      </c>
    </row>
    <row r="36">
      <c r="A36" s="15"/>
      <c r="C36" s="40" t="s">
        <v>139</v>
      </c>
      <c r="D36" s="42" t="s">
        <v>140</v>
      </c>
      <c r="E36" s="65">
        <v>2315000.0</v>
      </c>
      <c r="N36" s="24"/>
      <c r="Q36" s="40" t="s">
        <v>148</v>
      </c>
      <c r="R36" s="15" t="s">
        <v>149</v>
      </c>
      <c r="S36" s="101">
        <v>6858000.0</v>
      </c>
    </row>
    <row r="37">
      <c r="A37" s="15"/>
      <c r="C37" s="40" t="s">
        <v>150</v>
      </c>
      <c r="D37" s="42" t="s">
        <v>151</v>
      </c>
      <c r="E37" s="65">
        <v>3339000.0</v>
      </c>
      <c r="F37" s="44" t="s">
        <v>152</v>
      </c>
      <c r="N37" s="24"/>
      <c r="Q37" s="40"/>
      <c r="R37" s="102" t="s">
        <v>153</v>
      </c>
      <c r="S37" s="104">
        <f>S36/S35</f>
        <v>0.3334954289</v>
      </c>
      <c r="T37" s="44" t="s">
        <v>154</v>
      </c>
    </row>
    <row r="38">
      <c r="A38" s="15"/>
      <c r="C38" s="40" t="s">
        <v>155</v>
      </c>
      <c r="D38" s="42" t="s">
        <v>156</v>
      </c>
      <c r="E38" s="65">
        <v>4.1194E7</v>
      </c>
      <c r="F38" s="44"/>
      <c r="N38" s="24"/>
      <c r="Q38" s="40"/>
      <c r="R38" s="105" t="s">
        <v>157</v>
      </c>
      <c r="S38" s="106">
        <f>S34*(1-S37)</f>
        <v>0.03464752166</v>
      </c>
    </row>
    <row r="39">
      <c r="C39" s="40"/>
      <c r="D39" s="42" t="s">
        <v>158</v>
      </c>
      <c r="E39" s="56">
        <f>E36/(E37+E38)</f>
        <v>0.05198392204</v>
      </c>
      <c r="L39" s="45"/>
      <c r="M39" s="45" t="s">
        <v>92</v>
      </c>
      <c r="N39" s="24"/>
      <c r="Q39" s="40" t="s">
        <v>159</v>
      </c>
      <c r="R39" s="15" t="s">
        <v>160</v>
      </c>
      <c r="S39" s="50">
        <v>0.02004</v>
      </c>
    </row>
    <row r="40">
      <c r="A40" s="15"/>
      <c r="C40" s="40" t="s">
        <v>148</v>
      </c>
      <c r="D40" s="42" t="s">
        <v>161</v>
      </c>
      <c r="E40" s="101">
        <v>6858000.0</v>
      </c>
      <c r="N40" s="24"/>
      <c r="Q40" s="40" t="s">
        <v>162</v>
      </c>
      <c r="R40" s="15" t="s">
        <v>163</v>
      </c>
      <c r="S40" s="107">
        <v>0.53</v>
      </c>
    </row>
    <row r="41">
      <c r="A41" s="15"/>
      <c r="C41" s="40" t="s">
        <v>146</v>
      </c>
      <c r="D41" s="42" t="s">
        <v>164</v>
      </c>
      <c r="E41" s="101">
        <v>2.0564E7</v>
      </c>
      <c r="L41" s="45"/>
      <c r="M41" s="45" t="s">
        <v>92</v>
      </c>
      <c r="N41" s="24"/>
      <c r="Q41" s="40" t="s">
        <v>165</v>
      </c>
      <c r="R41" s="15" t="s">
        <v>166</v>
      </c>
      <c r="S41" s="108">
        <v>0.09</v>
      </c>
      <c r="T41" s="44" t="s">
        <v>167</v>
      </c>
    </row>
    <row r="42">
      <c r="C42" s="40"/>
      <c r="D42" s="42" t="s">
        <v>168</v>
      </c>
      <c r="E42" s="56">
        <f>E40/E41</f>
        <v>0.3334954289</v>
      </c>
      <c r="F42" s="44" t="s">
        <v>154</v>
      </c>
      <c r="N42" s="24"/>
      <c r="Q42" s="40"/>
      <c r="R42" s="105" t="s">
        <v>169</v>
      </c>
      <c r="S42" s="106">
        <f>S39+S40*(S41-S39)</f>
        <v>0.0571188</v>
      </c>
    </row>
    <row r="43">
      <c r="C43" s="40"/>
      <c r="D43" s="42" t="s">
        <v>170</v>
      </c>
      <c r="E43" s="56">
        <f>E39*(1-E42)</f>
        <v>0.03464752166</v>
      </c>
      <c r="N43" s="24"/>
      <c r="Q43" s="40"/>
      <c r="R43" s="15" t="s">
        <v>171</v>
      </c>
      <c r="S43" s="65">
        <v>3.783E8</v>
      </c>
    </row>
    <row r="44">
      <c r="C44" s="40"/>
      <c r="N44" s="24"/>
      <c r="Q44" s="40"/>
      <c r="R44" s="15" t="s">
        <v>172</v>
      </c>
      <c r="S44" s="52">
        <f>S33</f>
        <v>44533000</v>
      </c>
    </row>
    <row r="45">
      <c r="C45" s="40"/>
      <c r="D45" s="78" t="s">
        <v>173</v>
      </c>
      <c r="E45" s="79"/>
      <c r="N45" s="24"/>
      <c r="Q45" s="40"/>
      <c r="R45" s="15" t="s">
        <v>174</v>
      </c>
      <c r="S45" s="52">
        <f>S43+S44</f>
        <v>422833000</v>
      </c>
    </row>
    <row r="46">
      <c r="A46" s="15"/>
      <c r="C46" s="40" t="s">
        <v>175</v>
      </c>
      <c r="D46" s="42" t="s">
        <v>176</v>
      </c>
      <c r="E46" s="50">
        <v>0.02004</v>
      </c>
      <c r="N46" s="24"/>
      <c r="Q46" s="40"/>
      <c r="R46" s="105" t="s">
        <v>177</v>
      </c>
      <c r="S46" s="106">
        <f>S43/S45</f>
        <v>0.8946794597</v>
      </c>
    </row>
    <row r="47">
      <c r="A47" s="15"/>
      <c r="C47" s="40" t="s">
        <v>178</v>
      </c>
      <c r="D47" s="42" t="s">
        <v>43</v>
      </c>
      <c r="E47" s="107">
        <v>0.53</v>
      </c>
      <c r="F47" s="44"/>
      <c r="N47" s="24"/>
      <c r="O47" s="45" t="s">
        <v>92</v>
      </c>
      <c r="Q47" s="40"/>
      <c r="R47" s="109" t="s">
        <v>179</v>
      </c>
      <c r="S47" s="110">
        <f>S44/S45</f>
        <v>0.1053205403</v>
      </c>
    </row>
    <row r="48">
      <c r="A48" s="15"/>
      <c r="C48" s="84" t="s">
        <v>180</v>
      </c>
      <c r="D48" s="42" t="s">
        <v>181</v>
      </c>
      <c r="E48" s="108">
        <v>0.09</v>
      </c>
      <c r="F48" s="44" t="s">
        <v>167</v>
      </c>
      <c r="N48" s="24"/>
      <c r="O48" s="45" t="s">
        <v>92</v>
      </c>
      <c r="Q48" s="40"/>
      <c r="R48" s="111" t="s">
        <v>182</v>
      </c>
      <c r="S48" s="112">
        <f>S47*(S38)+S46*S42</f>
        <v>0.05475211282</v>
      </c>
    </row>
    <row r="49">
      <c r="C49" s="40"/>
      <c r="D49" s="42" t="s">
        <v>183</v>
      </c>
      <c r="E49" s="56">
        <f>(E46)+((E47)*(E48-E46))</f>
        <v>0.0571188</v>
      </c>
      <c r="N49" s="24"/>
      <c r="Q49" s="40"/>
    </row>
    <row r="50">
      <c r="C50" s="40"/>
      <c r="N50" s="24"/>
      <c r="Q50" s="40"/>
    </row>
    <row r="51">
      <c r="C51" s="40"/>
      <c r="D51" s="78" t="s">
        <v>184</v>
      </c>
      <c r="E51" s="79"/>
      <c r="N51" s="24"/>
      <c r="Q51" s="40"/>
    </row>
    <row r="52">
      <c r="C52" s="40"/>
      <c r="D52" s="42" t="s">
        <v>172</v>
      </c>
      <c r="E52" s="67">
        <f>E37+E38</f>
        <v>44533000</v>
      </c>
      <c r="F52" s="72">
        <f>E52/E54</f>
        <v>0.1053205403</v>
      </c>
      <c r="H52" s="62"/>
      <c r="N52" s="24"/>
      <c r="Q52" s="40"/>
    </row>
    <row r="53">
      <c r="A53" s="15"/>
      <c r="C53" s="40" t="s">
        <v>185</v>
      </c>
      <c r="D53" s="42" t="s">
        <v>9</v>
      </c>
      <c r="E53" s="65">
        <v>3.783E8</v>
      </c>
      <c r="F53" s="72">
        <f>E53/E54</f>
        <v>0.8946794597</v>
      </c>
      <c r="N53" s="24"/>
      <c r="Q53" s="40"/>
    </row>
    <row r="54">
      <c r="C54" s="40"/>
      <c r="D54" s="42" t="s">
        <v>172</v>
      </c>
      <c r="E54" s="67">
        <f>E53+E52</f>
        <v>422833000</v>
      </c>
      <c r="F54" s="113">
        <f>sum(F52:F53)</f>
        <v>1</v>
      </c>
      <c r="N54" s="24"/>
      <c r="Q54" s="40"/>
    </row>
    <row r="55">
      <c r="C55" s="40"/>
      <c r="N55" s="24"/>
      <c r="Q55" s="40"/>
    </row>
    <row r="56">
      <c r="C56" s="40"/>
      <c r="D56" s="114" t="s">
        <v>186</v>
      </c>
      <c r="E56" s="115"/>
      <c r="N56" s="24"/>
      <c r="Q56" s="40"/>
    </row>
    <row r="57">
      <c r="C57" s="40"/>
      <c r="D57" s="116" t="s">
        <v>187</v>
      </c>
      <c r="E57" s="117">
        <f>(E43*F52)+(E49*F53)</f>
        <v>0.05475211282</v>
      </c>
      <c r="N57" s="24"/>
      <c r="Q57" s="40"/>
    </row>
    <row r="58">
      <c r="C58" s="40"/>
      <c r="N58" s="24"/>
      <c r="Q58" s="40"/>
    </row>
    <row r="59">
      <c r="C59" s="40"/>
      <c r="N59" s="24"/>
      <c r="Q59" s="40"/>
    </row>
    <row r="60">
      <c r="C60" s="40"/>
      <c r="N60" s="24"/>
      <c r="Q60" s="40"/>
    </row>
    <row r="61">
      <c r="C61" s="40"/>
      <c r="N61" s="24"/>
      <c r="Q61" s="40"/>
    </row>
    <row r="62">
      <c r="C62" s="40"/>
      <c r="N62" s="24"/>
      <c r="Q62" s="40"/>
    </row>
    <row r="63">
      <c r="C63" s="40"/>
      <c r="N63" s="24"/>
      <c r="Q63" s="40"/>
    </row>
    <row r="64">
      <c r="C64" s="40"/>
      <c r="N64" s="24"/>
      <c r="Q64" s="40"/>
    </row>
    <row r="65">
      <c r="C65" s="40"/>
      <c r="N65" s="24"/>
      <c r="Q65" s="40"/>
    </row>
    <row r="66">
      <c r="C66" s="40"/>
      <c r="N66" s="24"/>
      <c r="Q66" s="40"/>
    </row>
    <row r="67">
      <c r="C67" s="40"/>
      <c r="N67" s="24"/>
      <c r="Q67" s="40"/>
    </row>
    <row r="68">
      <c r="C68" s="40"/>
      <c r="N68" s="24"/>
      <c r="Q68" s="40"/>
    </row>
    <row r="69">
      <c r="C69" s="40"/>
      <c r="N69" s="24"/>
      <c r="Q69" s="40"/>
    </row>
    <row r="70">
      <c r="C70" s="40"/>
      <c r="N70" s="24"/>
      <c r="Q70" s="40"/>
    </row>
    <row r="71">
      <c r="C71" s="40"/>
      <c r="N71" s="24"/>
      <c r="Q71" s="40"/>
    </row>
    <row r="72">
      <c r="C72" s="40"/>
      <c r="N72" s="24"/>
      <c r="Q72" s="40"/>
    </row>
    <row r="73">
      <c r="C73" s="40"/>
      <c r="N73" s="24"/>
      <c r="Q73" s="22"/>
    </row>
    <row r="74">
      <c r="C74" s="22"/>
      <c r="N74" s="24"/>
      <c r="Q74" s="22"/>
    </row>
    <row r="75">
      <c r="C75" s="22"/>
      <c r="N75" s="24"/>
      <c r="Q75" s="22"/>
    </row>
    <row r="76">
      <c r="C76" s="22"/>
      <c r="Q76" s="22"/>
    </row>
    <row r="77">
      <c r="C77" s="22"/>
      <c r="Q77" s="22"/>
    </row>
    <row r="78">
      <c r="C78" s="22"/>
      <c r="Q78" s="22"/>
    </row>
    <row r="79">
      <c r="C79" s="22"/>
      <c r="Q79" s="22"/>
    </row>
    <row r="80">
      <c r="C80" s="22"/>
      <c r="Q80" s="22"/>
    </row>
    <row r="81">
      <c r="C81" s="22"/>
      <c r="Q81" s="22"/>
    </row>
    <row r="82">
      <c r="C82" s="22"/>
      <c r="Q82" s="22"/>
    </row>
    <row r="83">
      <c r="C83" s="22"/>
      <c r="Q83" s="22"/>
    </row>
    <row r="84">
      <c r="C84" s="22"/>
      <c r="Q84" s="22"/>
    </row>
    <row r="85">
      <c r="C85" s="22"/>
      <c r="Q85" s="22"/>
    </row>
    <row r="86">
      <c r="C86" s="22"/>
      <c r="Q86" s="22"/>
    </row>
    <row r="87">
      <c r="C87" s="22"/>
      <c r="Q87" s="22"/>
    </row>
    <row r="88">
      <c r="C88" s="22"/>
      <c r="Q88" s="22"/>
    </row>
    <row r="89">
      <c r="C89" s="22"/>
      <c r="Q89" s="22"/>
    </row>
    <row r="90">
      <c r="C90" s="22"/>
      <c r="Q90" s="22"/>
    </row>
    <row r="91">
      <c r="C91" s="22"/>
      <c r="Q91" s="22"/>
    </row>
    <row r="92">
      <c r="C92" s="22"/>
      <c r="Q92" s="22"/>
    </row>
    <row r="93">
      <c r="C93" s="22"/>
      <c r="Q93" s="22"/>
    </row>
    <row r="94">
      <c r="C94" s="22"/>
      <c r="Q94" s="22"/>
    </row>
    <row r="95">
      <c r="C95" s="22"/>
      <c r="Q95" s="22"/>
    </row>
    <row r="96">
      <c r="C96" s="22"/>
      <c r="Q96" s="22"/>
    </row>
    <row r="97">
      <c r="C97" s="22"/>
      <c r="Q97" s="22"/>
    </row>
    <row r="98">
      <c r="C98" s="22"/>
      <c r="Q98" s="22"/>
    </row>
    <row r="99">
      <c r="C99" s="22"/>
      <c r="Q99" s="22"/>
    </row>
    <row r="100">
      <c r="C100" s="22"/>
      <c r="Q100" s="22"/>
    </row>
    <row r="101">
      <c r="C101" s="22"/>
      <c r="Q101" s="22"/>
    </row>
    <row r="102">
      <c r="C102" s="22"/>
      <c r="Q102" s="22"/>
    </row>
    <row r="103">
      <c r="C103" s="22"/>
      <c r="Q103" s="22"/>
    </row>
    <row r="104">
      <c r="C104" s="22"/>
      <c r="Q104" s="22"/>
    </row>
    <row r="105">
      <c r="C105" s="22"/>
      <c r="Q105" s="22"/>
    </row>
    <row r="106">
      <c r="C106" s="22"/>
      <c r="Q106" s="22"/>
    </row>
    <row r="107">
      <c r="C107" s="22"/>
      <c r="Q107" s="22"/>
    </row>
    <row r="108">
      <c r="C108" s="22"/>
      <c r="Q108" s="22"/>
    </row>
    <row r="109">
      <c r="C109" s="22"/>
      <c r="Q109" s="22"/>
    </row>
    <row r="110">
      <c r="C110" s="22"/>
      <c r="Q110" s="22"/>
    </row>
    <row r="111">
      <c r="C111" s="22"/>
      <c r="Q111" s="22"/>
    </row>
    <row r="112">
      <c r="C112" s="22"/>
      <c r="Q112" s="22"/>
    </row>
    <row r="113">
      <c r="C113" s="22"/>
      <c r="Q113" s="22"/>
    </row>
    <row r="114">
      <c r="C114" s="22"/>
      <c r="Q114" s="22"/>
    </row>
    <row r="115">
      <c r="C115" s="22"/>
      <c r="Q115" s="22"/>
    </row>
    <row r="116">
      <c r="C116" s="22"/>
      <c r="Q116" s="22"/>
    </row>
    <row r="117">
      <c r="C117" s="22"/>
      <c r="Q117" s="22"/>
    </row>
    <row r="118">
      <c r="C118" s="22"/>
      <c r="Q118" s="22"/>
    </row>
    <row r="119">
      <c r="C119" s="22"/>
      <c r="Q119" s="22"/>
    </row>
    <row r="120">
      <c r="C120" s="22"/>
      <c r="Q120" s="22"/>
    </row>
    <row r="121">
      <c r="C121" s="22"/>
      <c r="Q121" s="22"/>
    </row>
    <row r="122">
      <c r="C122" s="22"/>
      <c r="Q122" s="22"/>
    </row>
    <row r="123">
      <c r="C123" s="22"/>
      <c r="Q123" s="22"/>
    </row>
    <row r="124">
      <c r="C124" s="22"/>
      <c r="Q124" s="22"/>
    </row>
    <row r="125">
      <c r="C125" s="22"/>
      <c r="Q125" s="22"/>
    </row>
    <row r="126">
      <c r="C126" s="22"/>
      <c r="Q126" s="22"/>
    </row>
    <row r="127">
      <c r="C127" s="22"/>
      <c r="Q127" s="22"/>
    </row>
    <row r="128">
      <c r="C128" s="22"/>
      <c r="Q128" s="22"/>
    </row>
    <row r="129">
      <c r="C129" s="22"/>
      <c r="Q129" s="22"/>
    </row>
    <row r="130">
      <c r="C130" s="22"/>
      <c r="Q130" s="22"/>
    </row>
    <row r="131">
      <c r="C131" s="22"/>
      <c r="Q131" s="22"/>
    </row>
    <row r="132">
      <c r="C132" s="22"/>
      <c r="Q132" s="22"/>
    </row>
    <row r="133">
      <c r="C133" s="22"/>
      <c r="Q133" s="22"/>
    </row>
    <row r="134">
      <c r="C134" s="22"/>
      <c r="Q134" s="22"/>
    </row>
    <row r="135">
      <c r="C135" s="22"/>
      <c r="Q135" s="22"/>
    </row>
    <row r="136">
      <c r="C136" s="22"/>
      <c r="Q136" s="22"/>
    </row>
    <row r="137">
      <c r="C137" s="22"/>
      <c r="Q137" s="22"/>
    </row>
    <row r="138">
      <c r="C138" s="22"/>
      <c r="Q138" s="22"/>
    </row>
    <row r="139">
      <c r="C139" s="22"/>
      <c r="Q139" s="22"/>
    </row>
    <row r="140">
      <c r="C140" s="22"/>
      <c r="Q140" s="22"/>
    </row>
    <row r="141">
      <c r="C141" s="22"/>
      <c r="Q141" s="22"/>
    </row>
    <row r="142">
      <c r="C142" s="22"/>
      <c r="Q142" s="22"/>
    </row>
    <row r="143">
      <c r="C143" s="22"/>
      <c r="Q143" s="22"/>
    </row>
    <row r="144">
      <c r="C144" s="22"/>
      <c r="Q144" s="22"/>
    </row>
    <row r="145">
      <c r="C145" s="22"/>
      <c r="Q145" s="22"/>
    </row>
    <row r="146">
      <c r="C146" s="22"/>
      <c r="Q146" s="22"/>
    </row>
    <row r="147">
      <c r="C147" s="22"/>
      <c r="Q147" s="22"/>
    </row>
    <row r="148">
      <c r="C148" s="22"/>
      <c r="Q148" s="22"/>
    </row>
    <row r="149">
      <c r="C149" s="22"/>
      <c r="Q149" s="22"/>
    </row>
    <row r="150">
      <c r="C150" s="22"/>
      <c r="Q150" s="22"/>
    </row>
    <row r="151">
      <c r="C151" s="22"/>
      <c r="Q151" s="22"/>
    </row>
    <row r="152">
      <c r="C152" s="22"/>
      <c r="Q152" s="22"/>
    </row>
    <row r="153">
      <c r="C153" s="22"/>
      <c r="Q153" s="22"/>
    </row>
    <row r="154">
      <c r="C154" s="22"/>
      <c r="Q154" s="22"/>
    </row>
    <row r="155">
      <c r="C155" s="22"/>
      <c r="Q155" s="22"/>
    </row>
    <row r="156">
      <c r="C156" s="22"/>
      <c r="Q156" s="22"/>
    </row>
    <row r="157">
      <c r="C157" s="22"/>
      <c r="Q157" s="22"/>
    </row>
    <row r="158">
      <c r="C158" s="22"/>
      <c r="Q158" s="22"/>
    </row>
    <row r="159">
      <c r="C159" s="22"/>
      <c r="Q159" s="22"/>
    </row>
    <row r="160">
      <c r="C160" s="22"/>
      <c r="Q160" s="22"/>
    </row>
    <row r="161">
      <c r="C161" s="22"/>
      <c r="Q161" s="22"/>
    </row>
    <row r="162">
      <c r="C162" s="22"/>
      <c r="Q162" s="22"/>
    </row>
    <row r="163">
      <c r="C163" s="22"/>
      <c r="Q163" s="22"/>
    </row>
    <row r="164">
      <c r="C164" s="22"/>
      <c r="Q164" s="22"/>
    </row>
    <row r="165">
      <c r="C165" s="22"/>
      <c r="Q165" s="22"/>
    </row>
    <row r="166">
      <c r="C166" s="22"/>
      <c r="Q166" s="22"/>
    </row>
    <row r="167">
      <c r="C167" s="22"/>
      <c r="Q167" s="22"/>
    </row>
    <row r="168">
      <c r="C168" s="22"/>
      <c r="Q168" s="22"/>
    </row>
    <row r="169">
      <c r="C169" s="22"/>
      <c r="Q169" s="22"/>
    </row>
    <row r="170">
      <c r="C170" s="22"/>
      <c r="Q170" s="22"/>
    </row>
    <row r="171">
      <c r="C171" s="22"/>
      <c r="Q171" s="22"/>
    </row>
    <row r="172">
      <c r="C172" s="22"/>
      <c r="Q172" s="22"/>
    </row>
    <row r="173">
      <c r="C173" s="22"/>
      <c r="Q173" s="22"/>
    </row>
    <row r="174">
      <c r="C174" s="22"/>
      <c r="Q174" s="22"/>
    </row>
    <row r="175">
      <c r="C175" s="22"/>
      <c r="Q175" s="22"/>
    </row>
    <row r="176">
      <c r="C176" s="22"/>
      <c r="Q176" s="22"/>
    </row>
    <row r="177">
      <c r="C177" s="22"/>
      <c r="Q177" s="22"/>
    </row>
    <row r="178">
      <c r="C178" s="22"/>
      <c r="Q178" s="22"/>
    </row>
    <row r="179">
      <c r="C179" s="22"/>
      <c r="Q179" s="22"/>
    </row>
    <row r="180">
      <c r="C180" s="22"/>
      <c r="Q180" s="22"/>
    </row>
    <row r="181">
      <c r="C181" s="22"/>
      <c r="Q181" s="22"/>
    </row>
    <row r="182">
      <c r="C182" s="22"/>
      <c r="Q182" s="22"/>
    </row>
    <row r="183">
      <c r="C183" s="22"/>
      <c r="Q183" s="22"/>
    </row>
    <row r="184">
      <c r="C184" s="22"/>
      <c r="Q184" s="22"/>
    </row>
    <row r="185">
      <c r="C185" s="22"/>
      <c r="Q185" s="22"/>
    </row>
    <row r="186">
      <c r="C186" s="22"/>
      <c r="Q186" s="22"/>
    </row>
    <row r="187">
      <c r="C187" s="22"/>
      <c r="Q187" s="22"/>
    </row>
    <row r="188">
      <c r="C188" s="22"/>
      <c r="Q188" s="22"/>
    </row>
    <row r="189">
      <c r="C189" s="22"/>
      <c r="Q189" s="22"/>
    </row>
    <row r="190">
      <c r="C190" s="22"/>
      <c r="Q190" s="22"/>
    </row>
    <row r="191">
      <c r="C191" s="22"/>
      <c r="Q191" s="22"/>
    </row>
    <row r="192">
      <c r="C192" s="22"/>
      <c r="Q192" s="22"/>
    </row>
    <row r="193">
      <c r="C193" s="22"/>
      <c r="Q193" s="22"/>
    </row>
    <row r="194">
      <c r="C194" s="22"/>
      <c r="Q194" s="22"/>
    </row>
    <row r="195">
      <c r="C195" s="22"/>
      <c r="Q195" s="22"/>
    </row>
    <row r="196">
      <c r="C196" s="22"/>
      <c r="Q196" s="22"/>
    </row>
    <row r="197">
      <c r="C197" s="22"/>
      <c r="Q197" s="22"/>
    </row>
    <row r="198">
      <c r="C198" s="22"/>
      <c r="Q198" s="22"/>
    </row>
    <row r="199">
      <c r="C199" s="22"/>
      <c r="Q199" s="22"/>
    </row>
    <row r="200">
      <c r="C200" s="22"/>
      <c r="Q200" s="22"/>
    </row>
    <row r="201">
      <c r="C201" s="22"/>
      <c r="Q201" s="22"/>
    </row>
    <row r="202">
      <c r="C202" s="22"/>
      <c r="Q202" s="22"/>
    </row>
    <row r="203">
      <c r="C203" s="22"/>
      <c r="Q203" s="22"/>
    </row>
    <row r="204">
      <c r="C204" s="22"/>
      <c r="Q204" s="22"/>
    </row>
    <row r="205">
      <c r="C205" s="22"/>
      <c r="Q205" s="22"/>
    </row>
    <row r="206">
      <c r="C206" s="22"/>
      <c r="Q206" s="22"/>
    </row>
    <row r="207">
      <c r="C207" s="22"/>
      <c r="Q207" s="22"/>
    </row>
    <row r="208">
      <c r="C208" s="22"/>
      <c r="Q208" s="22"/>
    </row>
    <row r="209">
      <c r="C209" s="22"/>
      <c r="Q209" s="22"/>
    </row>
    <row r="210">
      <c r="C210" s="22"/>
      <c r="Q210" s="22"/>
    </row>
    <row r="211">
      <c r="C211" s="22"/>
      <c r="Q211" s="22"/>
    </row>
    <row r="212">
      <c r="C212" s="22"/>
      <c r="Q212" s="22"/>
    </row>
    <row r="213">
      <c r="C213" s="22"/>
      <c r="Q213" s="22"/>
    </row>
    <row r="214">
      <c r="C214" s="22"/>
      <c r="Q214" s="22"/>
    </row>
    <row r="215">
      <c r="C215" s="22"/>
      <c r="Q215" s="22"/>
    </row>
    <row r="216">
      <c r="C216" s="22"/>
      <c r="Q216" s="22"/>
    </row>
    <row r="217">
      <c r="C217" s="22"/>
      <c r="Q217" s="22"/>
    </row>
    <row r="218">
      <c r="C218" s="22"/>
      <c r="Q218" s="22"/>
    </row>
    <row r="219">
      <c r="C219" s="22"/>
      <c r="Q219" s="22"/>
    </row>
    <row r="220">
      <c r="C220" s="22"/>
      <c r="Q220" s="22"/>
    </row>
    <row r="221">
      <c r="C221" s="22"/>
      <c r="Q221" s="22"/>
    </row>
    <row r="222">
      <c r="C222" s="22"/>
      <c r="Q222" s="22"/>
    </row>
    <row r="223">
      <c r="C223" s="22"/>
      <c r="Q223" s="22"/>
    </row>
    <row r="224">
      <c r="C224" s="22"/>
      <c r="Q224" s="22"/>
    </row>
    <row r="225">
      <c r="C225" s="22"/>
      <c r="Q225" s="22"/>
    </row>
    <row r="226">
      <c r="C226" s="22"/>
      <c r="Q226" s="22"/>
    </row>
    <row r="227">
      <c r="C227" s="22"/>
      <c r="Q227" s="22"/>
    </row>
    <row r="228">
      <c r="C228" s="22"/>
      <c r="Q228" s="22"/>
    </row>
    <row r="229">
      <c r="C229" s="22"/>
      <c r="Q229" s="22"/>
    </row>
    <row r="230">
      <c r="C230" s="22"/>
      <c r="Q230" s="22"/>
    </row>
    <row r="231">
      <c r="C231" s="22"/>
      <c r="Q231" s="22"/>
    </row>
    <row r="232">
      <c r="C232" s="22"/>
      <c r="Q232" s="22"/>
    </row>
    <row r="233">
      <c r="C233" s="22"/>
      <c r="Q233" s="22"/>
    </row>
    <row r="234">
      <c r="C234" s="22"/>
      <c r="Q234" s="22"/>
    </row>
    <row r="235">
      <c r="C235" s="22"/>
      <c r="Q235" s="22"/>
    </row>
    <row r="236">
      <c r="C236" s="22"/>
      <c r="Q236" s="22"/>
    </row>
    <row r="237">
      <c r="C237" s="22"/>
      <c r="Q237" s="22"/>
    </row>
    <row r="238">
      <c r="C238" s="22"/>
      <c r="Q238" s="22"/>
    </row>
    <row r="239">
      <c r="C239" s="22"/>
      <c r="Q239" s="22"/>
    </row>
    <row r="240">
      <c r="C240" s="22"/>
      <c r="Q240" s="22"/>
    </row>
    <row r="241">
      <c r="C241" s="22"/>
      <c r="Q241" s="22"/>
    </row>
    <row r="242">
      <c r="C242" s="22"/>
      <c r="Q242" s="22"/>
    </row>
    <row r="243">
      <c r="C243" s="22"/>
      <c r="Q243" s="22"/>
    </row>
    <row r="244">
      <c r="C244" s="22"/>
      <c r="Q244" s="22"/>
    </row>
    <row r="245">
      <c r="C245" s="22"/>
      <c r="Q245" s="22"/>
    </row>
    <row r="246">
      <c r="C246" s="22"/>
      <c r="Q246" s="22"/>
    </row>
    <row r="247">
      <c r="C247" s="22"/>
      <c r="Q247" s="22"/>
    </row>
    <row r="248">
      <c r="C248" s="22"/>
      <c r="Q248" s="22"/>
    </row>
    <row r="249">
      <c r="C249" s="22"/>
      <c r="Q249" s="22"/>
    </row>
    <row r="250">
      <c r="C250" s="22"/>
      <c r="Q250" s="22"/>
    </row>
    <row r="251">
      <c r="C251" s="22"/>
      <c r="Q251" s="22"/>
    </row>
    <row r="252">
      <c r="C252" s="22"/>
      <c r="Q252" s="22"/>
    </row>
    <row r="253">
      <c r="C253" s="22"/>
      <c r="Q253" s="22"/>
    </row>
    <row r="254">
      <c r="C254" s="22"/>
      <c r="Q254" s="22"/>
    </row>
    <row r="255">
      <c r="C255" s="22"/>
      <c r="Q255" s="22"/>
    </row>
    <row r="256">
      <c r="C256" s="22"/>
      <c r="Q256" s="22"/>
    </row>
    <row r="257">
      <c r="C257" s="22"/>
      <c r="Q257" s="22"/>
    </row>
    <row r="258">
      <c r="C258" s="22"/>
      <c r="Q258" s="22"/>
    </row>
    <row r="259">
      <c r="C259" s="22"/>
      <c r="Q259" s="22"/>
    </row>
    <row r="260">
      <c r="C260" s="22"/>
      <c r="Q260" s="22"/>
    </row>
    <row r="261">
      <c r="C261" s="22"/>
      <c r="Q261" s="22"/>
    </row>
    <row r="262">
      <c r="C262" s="22"/>
      <c r="Q262" s="22"/>
    </row>
    <row r="263">
      <c r="C263" s="22"/>
      <c r="Q263" s="22"/>
    </row>
    <row r="264">
      <c r="C264" s="22"/>
      <c r="Q264" s="22"/>
    </row>
    <row r="265">
      <c r="C265" s="22"/>
      <c r="Q265" s="22"/>
    </row>
    <row r="266">
      <c r="C266" s="22"/>
      <c r="Q266" s="22"/>
    </row>
    <row r="267">
      <c r="C267" s="22"/>
      <c r="Q267" s="22"/>
    </row>
    <row r="268">
      <c r="C268" s="22"/>
      <c r="Q268" s="22"/>
    </row>
    <row r="269">
      <c r="C269" s="22"/>
      <c r="Q269" s="22"/>
    </row>
    <row r="270">
      <c r="C270" s="22"/>
      <c r="Q270" s="22"/>
    </row>
    <row r="271">
      <c r="C271" s="22"/>
      <c r="Q271" s="22"/>
    </row>
    <row r="272">
      <c r="C272" s="22"/>
      <c r="Q272" s="22"/>
    </row>
    <row r="273">
      <c r="C273" s="22"/>
      <c r="Q273" s="22"/>
    </row>
    <row r="274">
      <c r="C274" s="22"/>
      <c r="Q274" s="22"/>
    </row>
    <row r="275">
      <c r="C275" s="22"/>
      <c r="Q275" s="22"/>
    </row>
    <row r="276">
      <c r="C276" s="22"/>
      <c r="Q276" s="22"/>
    </row>
    <row r="277">
      <c r="C277" s="22"/>
      <c r="Q277" s="22"/>
    </row>
    <row r="278">
      <c r="C278" s="22"/>
      <c r="Q278" s="22"/>
    </row>
    <row r="279">
      <c r="C279" s="22"/>
      <c r="Q279" s="22"/>
    </row>
    <row r="280">
      <c r="C280" s="22"/>
      <c r="Q280" s="22"/>
    </row>
    <row r="281">
      <c r="C281" s="22"/>
      <c r="Q281" s="22"/>
    </row>
    <row r="282">
      <c r="C282" s="22"/>
      <c r="Q282" s="22"/>
    </row>
    <row r="283">
      <c r="C283" s="22"/>
      <c r="Q283" s="22"/>
    </row>
    <row r="284">
      <c r="C284" s="22"/>
      <c r="Q284" s="22"/>
    </row>
    <row r="285">
      <c r="C285" s="22"/>
      <c r="Q285" s="22"/>
    </row>
    <row r="286">
      <c r="C286" s="22"/>
      <c r="Q286" s="22"/>
    </row>
    <row r="287">
      <c r="C287" s="22"/>
      <c r="Q287" s="22"/>
    </row>
    <row r="288">
      <c r="C288" s="22"/>
      <c r="Q288" s="22"/>
    </row>
    <row r="289">
      <c r="C289" s="22"/>
      <c r="Q289" s="22"/>
    </row>
    <row r="290">
      <c r="C290" s="22"/>
      <c r="Q290" s="22"/>
    </row>
    <row r="291">
      <c r="C291" s="22"/>
      <c r="Q291" s="22"/>
    </row>
    <row r="292">
      <c r="C292" s="22"/>
      <c r="Q292" s="22"/>
    </row>
    <row r="293">
      <c r="C293" s="22"/>
      <c r="Q293" s="22"/>
    </row>
    <row r="294">
      <c r="C294" s="22"/>
      <c r="Q294" s="22"/>
    </row>
    <row r="295">
      <c r="C295" s="22"/>
      <c r="Q295" s="22"/>
    </row>
    <row r="296">
      <c r="C296" s="22"/>
      <c r="Q296" s="22"/>
    </row>
    <row r="297">
      <c r="C297" s="22"/>
      <c r="Q297" s="22"/>
    </row>
    <row r="298">
      <c r="C298" s="22"/>
      <c r="Q298" s="22"/>
    </row>
    <row r="299">
      <c r="C299" s="22"/>
      <c r="Q299" s="22"/>
    </row>
    <row r="300">
      <c r="C300" s="22"/>
      <c r="Q300" s="22"/>
    </row>
    <row r="301">
      <c r="C301" s="22"/>
      <c r="Q301" s="22"/>
    </row>
    <row r="302">
      <c r="C302" s="22"/>
      <c r="Q302" s="22"/>
    </row>
    <row r="303">
      <c r="C303" s="22"/>
      <c r="Q303" s="22"/>
    </row>
    <row r="304">
      <c r="C304" s="22"/>
      <c r="Q304" s="22"/>
    </row>
    <row r="305">
      <c r="C305" s="22"/>
      <c r="Q305" s="22"/>
    </row>
    <row r="306">
      <c r="C306" s="22"/>
      <c r="Q306" s="22"/>
    </row>
    <row r="307">
      <c r="C307" s="22"/>
      <c r="Q307" s="22"/>
    </row>
    <row r="308">
      <c r="C308" s="22"/>
      <c r="Q308" s="22"/>
    </row>
    <row r="309">
      <c r="C309" s="22"/>
      <c r="Q309" s="22"/>
    </row>
    <row r="310">
      <c r="C310" s="22"/>
      <c r="Q310" s="22"/>
    </row>
    <row r="311">
      <c r="C311" s="22"/>
      <c r="Q311" s="22"/>
    </row>
    <row r="312">
      <c r="C312" s="22"/>
      <c r="Q312" s="22"/>
    </row>
    <row r="313">
      <c r="C313" s="22"/>
      <c r="Q313" s="22"/>
    </row>
    <row r="314">
      <c r="C314" s="22"/>
      <c r="Q314" s="22"/>
    </row>
    <row r="315">
      <c r="C315" s="22"/>
      <c r="Q315" s="22"/>
    </row>
    <row r="316">
      <c r="C316" s="22"/>
      <c r="Q316" s="22"/>
    </row>
    <row r="317">
      <c r="C317" s="22"/>
      <c r="Q317" s="22"/>
    </row>
    <row r="318">
      <c r="C318" s="22"/>
      <c r="Q318" s="22"/>
    </row>
    <row r="319">
      <c r="C319" s="22"/>
      <c r="Q319" s="22"/>
    </row>
    <row r="320">
      <c r="C320" s="22"/>
      <c r="Q320" s="22"/>
    </row>
    <row r="321">
      <c r="C321" s="22"/>
      <c r="Q321" s="22"/>
    </row>
    <row r="322">
      <c r="C322" s="22"/>
      <c r="Q322" s="22"/>
    </row>
    <row r="323">
      <c r="C323" s="22"/>
      <c r="Q323" s="22"/>
    </row>
    <row r="324">
      <c r="C324" s="22"/>
      <c r="Q324" s="22"/>
    </row>
    <row r="325">
      <c r="C325" s="22"/>
      <c r="Q325" s="22"/>
    </row>
    <row r="326">
      <c r="C326" s="22"/>
      <c r="Q326" s="22"/>
    </row>
    <row r="327">
      <c r="C327" s="22"/>
      <c r="Q327" s="22"/>
    </row>
    <row r="328">
      <c r="C328" s="22"/>
      <c r="Q328" s="22"/>
    </row>
    <row r="329">
      <c r="C329" s="22"/>
      <c r="Q329" s="22"/>
    </row>
    <row r="330">
      <c r="C330" s="22"/>
      <c r="Q330" s="22"/>
    </row>
    <row r="331">
      <c r="C331" s="22"/>
      <c r="Q331" s="22"/>
    </row>
    <row r="332">
      <c r="C332" s="22"/>
      <c r="Q332" s="22"/>
    </row>
    <row r="333">
      <c r="C333" s="22"/>
      <c r="Q333" s="22"/>
    </row>
    <row r="334">
      <c r="C334" s="22"/>
      <c r="Q334" s="22"/>
    </row>
    <row r="335">
      <c r="C335" s="22"/>
      <c r="Q335" s="22"/>
    </row>
    <row r="336">
      <c r="C336" s="22"/>
      <c r="Q336" s="22"/>
    </row>
    <row r="337">
      <c r="C337" s="22"/>
      <c r="Q337" s="22"/>
    </row>
    <row r="338">
      <c r="C338" s="22"/>
      <c r="Q338" s="22"/>
    </row>
    <row r="339">
      <c r="C339" s="22"/>
      <c r="Q339" s="22"/>
    </row>
    <row r="340">
      <c r="C340" s="22"/>
      <c r="Q340" s="22"/>
    </row>
    <row r="341">
      <c r="C341" s="22"/>
      <c r="Q341" s="22"/>
    </row>
    <row r="342">
      <c r="C342" s="22"/>
      <c r="Q342" s="22"/>
    </row>
    <row r="343">
      <c r="C343" s="22"/>
      <c r="Q343" s="22"/>
    </row>
    <row r="344">
      <c r="C344" s="22"/>
      <c r="Q344" s="22"/>
    </row>
    <row r="345">
      <c r="C345" s="22"/>
      <c r="Q345" s="22"/>
    </row>
    <row r="346">
      <c r="C346" s="22"/>
      <c r="Q346" s="22"/>
    </row>
    <row r="347">
      <c r="C347" s="22"/>
      <c r="Q347" s="22"/>
    </row>
    <row r="348">
      <c r="C348" s="22"/>
      <c r="Q348" s="22"/>
    </row>
    <row r="349">
      <c r="C349" s="22"/>
      <c r="Q349" s="22"/>
    </row>
    <row r="350">
      <c r="C350" s="22"/>
      <c r="Q350" s="22"/>
    </row>
    <row r="351">
      <c r="C351" s="22"/>
      <c r="Q351" s="22"/>
    </row>
    <row r="352">
      <c r="C352" s="22"/>
      <c r="Q352" s="22"/>
    </row>
    <row r="353">
      <c r="C353" s="22"/>
      <c r="Q353" s="22"/>
    </row>
    <row r="354">
      <c r="C354" s="22"/>
      <c r="Q354" s="22"/>
    </row>
    <row r="355">
      <c r="C355" s="22"/>
      <c r="Q355" s="22"/>
    </row>
    <row r="356">
      <c r="C356" s="22"/>
      <c r="Q356" s="22"/>
    </row>
    <row r="357">
      <c r="C357" s="22"/>
      <c r="Q357" s="22"/>
    </row>
    <row r="358">
      <c r="C358" s="22"/>
      <c r="Q358" s="22"/>
    </row>
    <row r="359">
      <c r="C359" s="22"/>
      <c r="Q359" s="22"/>
    </row>
    <row r="360">
      <c r="C360" s="22"/>
      <c r="Q360" s="22"/>
    </row>
    <row r="361">
      <c r="C361" s="22"/>
      <c r="Q361" s="22"/>
    </row>
    <row r="362">
      <c r="C362" s="22"/>
      <c r="Q362" s="22"/>
    </row>
    <row r="363">
      <c r="C363" s="22"/>
      <c r="Q363" s="22"/>
    </row>
    <row r="364">
      <c r="C364" s="22"/>
      <c r="Q364" s="22"/>
    </row>
    <row r="365">
      <c r="C365" s="22"/>
      <c r="Q365" s="22"/>
    </row>
    <row r="366">
      <c r="C366" s="22"/>
      <c r="Q366" s="22"/>
    </row>
    <row r="367">
      <c r="C367" s="22"/>
      <c r="Q367" s="22"/>
    </row>
    <row r="368">
      <c r="C368" s="22"/>
      <c r="Q368" s="22"/>
    </row>
    <row r="369">
      <c r="C369" s="22"/>
      <c r="Q369" s="22"/>
    </row>
    <row r="370">
      <c r="C370" s="22"/>
      <c r="Q370" s="22"/>
    </row>
    <row r="371">
      <c r="C371" s="22"/>
      <c r="Q371" s="22"/>
    </row>
    <row r="372">
      <c r="C372" s="22"/>
      <c r="Q372" s="22"/>
    </row>
    <row r="373">
      <c r="C373" s="22"/>
      <c r="Q373" s="22"/>
    </row>
    <row r="374">
      <c r="C374" s="22"/>
      <c r="Q374" s="22"/>
    </row>
    <row r="375">
      <c r="C375" s="22"/>
      <c r="Q375" s="22"/>
    </row>
    <row r="376">
      <c r="C376" s="22"/>
      <c r="Q376" s="22"/>
    </row>
    <row r="377">
      <c r="C377" s="22"/>
      <c r="Q377" s="22"/>
    </row>
    <row r="378">
      <c r="C378" s="22"/>
      <c r="Q378" s="22"/>
    </row>
    <row r="379">
      <c r="C379" s="22"/>
      <c r="Q379" s="22"/>
    </row>
    <row r="380">
      <c r="C380" s="22"/>
      <c r="Q380" s="22"/>
    </row>
    <row r="381">
      <c r="C381" s="22"/>
      <c r="Q381" s="22"/>
    </row>
    <row r="382">
      <c r="C382" s="22"/>
      <c r="Q382" s="22"/>
    </row>
    <row r="383">
      <c r="C383" s="22"/>
      <c r="Q383" s="22"/>
    </row>
    <row r="384">
      <c r="C384" s="22"/>
      <c r="Q384" s="22"/>
    </row>
    <row r="385">
      <c r="C385" s="22"/>
      <c r="Q385" s="22"/>
    </row>
    <row r="386">
      <c r="C386" s="22"/>
      <c r="Q386" s="22"/>
    </row>
    <row r="387">
      <c r="C387" s="22"/>
      <c r="Q387" s="22"/>
    </row>
    <row r="388">
      <c r="C388" s="22"/>
      <c r="Q388" s="22"/>
    </row>
    <row r="389">
      <c r="C389" s="22"/>
      <c r="Q389" s="22"/>
    </row>
    <row r="390">
      <c r="C390" s="22"/>
      <c r="Q390" s="22"/>
    </row>
    <row r="391">
      <c r="C391" s="22"/>
      <c r="Q391" s="22"/>
    </row>
    <row r="392">
      <c r="C392" s="22"/>
      <c r="Q392" s="22"/>
    </row>
    <row r="393">
      <c r="C393" s="22"/>
      <c r="Q393" s="22"/>
    </row>
    <row r="394">
      <c r="C394" s="22"/>
      <c r="Q394" s="22"/>
    </row>
    <row r="395">
      <c r="C395" s="22"/>
      <c r="Q395" s="22"/>
    </row>
    <row r="396">
      <c r="C396" s="22"/>
      <c r="Q396" s="22"/>
    </row>
    <row r="397">
      <c r="C397" s="22"/>
      <c r="Q397" s="22"/>
    </row>
    <row r="398">
      <c r="C398" s="22"/>
      <c r="Q398" s="22"/>
    </row>
    <row r="399">
      <c r="C399" s="22"/>
      <c r="Q399" s="22"/>
    </row>
    <row r="400">
      <c r="C400" s="22"/>
      <c r="Q400" s="22"/>
    </row>
    <row r="401">
      <c r="C401" s="22"/>
      <c r="Q401" s="22"/>
    </row>
    <row r="402">
      <c r="C402" s="22"/>
      <c r="Q402" s="22"/>
    </row>
    <row r="403">
      <c r="C403" s="22"/>
      <c r="Q403" s="22"/>
    </row>
    <row r="404">
      <c r="C404" s="22"/>
      <c r="Q404" s="22"/>
    </row>
    <row r="405">
      <c r="C405" s="22"/>
      <c r="Q405" s="22"/>
    </row>
    <row r="406">
      <c r="C406" s="22"/>
      <c r="Q406" s="22"/>
    </row>
    <row r="407">
      <c r="C407" s="22"/>
      <c r="Q407" s="22"/>
    </row>
    <row r="408">
      <c r="C408" s="22"/>
      <c r="Q408" s="22"/>
    </row>
    <row r="409">
      <c r="C409" s="22"/>
      <c r="Q409" s="22"/>
    </row>
    <row r="410">
      <c r="C410" s="22"/>
      <c r="Q410" s="22"/>
    </row>
    <row r="411">
      <c r="C411" s="22"/>
      <c r="Q411" s="22"/>
    </row>
    <row r="412">
      <c r="C412" s="22"/>
      <c r="Q412" s="22"/>
    </row>
    <row r="413">
      <c r="C413" s="22"/>
      <c r="Q413" s="22"/>
    </row>
    <row r="414">
      <c r="C414" s="22"/>
      <c r="Q414" s="22"/>
    </row>
    <row r="415">
      <c r="C415" s="22"/>
      <c r="Q415" s="22"/>
    </row>
    <row r="416">
      <c r="C416" s="22"/>
      <c r="Q416" s="22"/>
    </row>
    <row r="417">
      <c r="C417" s="22"/>
      <c r="Q417" s="22"/>
    </row>
    <row r="418">
      <c r="C418" s="22"/>
      <c r="Q418" s="22"/>
    </row>
    <row r="419">
      <c r="C419" s="22"/>
      <c r="Q419" s="22"/>
    </row>
    <row r="420">
      <c r="C420" s="22"/>
      <c r="Q420" s="22"/>
    </row>
    <row r="421">
      <c r="C421" s="22"/>
      <c r="Q421" s="22"/>
    </row>
    <row r="422">
      <c r="C422" s="22"/>
      <c r="Q422" s="22"/>
    </row>
    <row r="423">
      <c r="C423" s="22"/>
      <c r="Q423" s="22"/>
    </row>
    <row r="424">
      <c r="C424" s="22"/>
      <c r="Q424" s="22"/>
    </row>
    <row r="425">
      <c r="C425" s="22"/>
      <c r="Q425" s="22"/>
    </row>
    <row r="426">
      <c r="C426" s="22"/>
      <c r="Q426" s="22"/>
    </row>
    <row r="427">
      <c r="C427" s="22"/>
      <c r="Q427" s="22"/>
    </row>
    <row r="428">
      <c r="C428" s="22"/>
      <c r="Q428" s="22"/>
    </row>
    <row r="429">
      <c r="C429" s="22"/>
      <c r="Q429" s="22"/>
    </row>
    <row r="430">
      <c r="C430" s="22"/>
      <c r="Q430" s="22"/>
    </row>
    <row r="431">
      <c r="C431" s="22"/>
      <c r="Q431" s="22"/>
    </row>
    <row r="432">
      <c r="C432" s="22"/>
      <c r="Q432" s="22"/>
    </row>
    <row r="433">
      <c r="C433" s="22"/>
      <c r="Q433" s="22"/>
    </row>
    <row r="434">
      <c r="C434" s="22"/>
      <c r="Q434" s="22"/>
    </row>
    <row r="435">
      <c r="C435" s="22"/>
      <c r="Q435" s="22"/>
    </row>
    <row r="436">
      <c r="C436" s="22"/>
      <c r="Q436" s="22"/>
    </row>
    <row r="437">
      <c r="C437" s="22"/>
      <c r="Q437" s="22"/>
    </row>
    <row r="438">
      <c r="C438" s="22"/>
      <c r="Q438" s="22"/>
    </row>
    <row r="439">
      <c r="C439" s="22"/>
      <c r="Q439" s="22"/>
    </row>
    <row r="440">
      <c r="C440" s="22"/>
      <c r="Q440" s="22"/>
    </row>
    <row r="441">
      <c r="C441" s="22"/>
      <c r="Q441" s="22"/>
    </row>
    <row r="442">
      <c r="C442" s="22"/>
      <c r="Q442" s="22"/>
    </row>
    <row r="443">
      <c r="C443" s="22"/>
      <c r="Q443" s="22"/>
    </row>
    <row r="444">
      <c r="C444" s="22"/>
      <c r="Q444" s="22"/>
    </row>
    <row r="445">
      <c r="C445" s="22"/>
      <c r="Q445" s="22"/>
    </row>
    <row r="446">
      <c r="C446" s="22"/>
      <c r="Q446" s="22"/>
    </row>
    <row r="447">
      <c r="C447" s="22"/>
      <c r="Q447" s="22"/>
    </row>
    <row r="448">
      <c r="C448" s="22"/>
      <c r="Q448" s="22"/>
    </row>
    <row r="449">
      <c r="C449" s="22"/>
      <c r="Q449" s="22"/>
    </row>
    <row r="450">
      <c r="C450" s="22"/>
      <c r="Q450" s="22"/>
    </row>
    <row r="451">
      <c r="C451" s="22"/>
      <c r="Q451" s="22"/>
    </row>
    <row r="452">
      <c r="C452" s="22"/>
      <c r="Q452" s="22"/>
    </row>
    <row r="453">
      <c r="C453" s="22"/>
      <c r="Q453" s="22"/>
    </row>
    <row r="454">
      <c r="C454" s="22"/>
      <c r="Q454" s="22"/>
    </row>
    <row r="455">
      <c r="C455" s="22"/>
      <c r="Q455" s="22"/>
    </row>
    <row r="456">
      <c r="C456" s="22"/>
      <c r="Q456" s="22"/>
    </row>
    <row r="457">
      <c r="C457" s="22"/>
      <c r="Q457" s="22"/>
    </row>
    <row r="458">
      <c r="C458" s="22"/>
      <c r="Q458" s="22"/>
    </row>
    <row r="459">
      <c r="C459" s="22"/>
      <c r="Q459" s="22"/>
    </row>
    <row r="460">
      <c r="C460" s="22"/>
      <c r="Q460" s="22"/>
    </row>
    <row r="461">
      <c r="C461" s="22"/>
      <c r="Q461" s="22"/>
    </row>
    <row r="462">
      <c r="C462" s="22"/>
      <c r="Q462" s="22"/>
    </row>
    <row r="463">
      <c r="C463" s="22"/>
      <c r="Q463" s="22"/>
    </row>
    <row r="464">
      <c r="C464" s="22"/>
      <c r="Q464" s="22"/>
    </row>
    <row r="465">
      <c r="C465" s="22"/>
      <c r="Q465" s="22"/>
    </row>
    <row r="466">
      <c r="C466" s="22"/>
      <c r="Q466" s="22"/>
    </row>
    <row r="467">
      <c r="C467" s="22"/>
      <c r="Q467" s="22"/>
    </row>
    <row r="468">
      <c r="C468" s="22"/>
      <c r="Q468" s="22"/>
    </row>
    <row r="469">
      <c r="C469" s="22"/>
      <c r="Q469" s="22"/>
    </row>
    <row r="470">
      <c r="C470" s="22"/>
      <c r="Q470" s="22"/>
    </row>
    <row r="471">
      <c r="C471" s="22"/>
      <c r="Q471" s="22"/>
    </row>
    <row r="472">
      <c r="C472" s="22"/>
      <c r="Q472" s="22"/>
    </row>
    <row r="473">
      <c r="C473" s="22"/>
      <c r="Q473" s="22"/>
    </row>
    <row r="474">
      <c r="C474" s="22"/>
      <c r="Q474" s="22"/>
    </row>
    <row r="475">
      <c r="C475" s="22"/>
      <c r="Q475" s="22"/>
    </row>
    <row r="476">
      <c r="C476" s="22"/>
      <c r="Q476" s="22"/>
    </row>
    <row r="477">
      <c r="C477" s="22"/>
      <c r="Q477" s="22"/>
    </row>
    <row r="478">
      <c r="C478" s="22"/>
      <c r="Q478" s="22"/>
    </row>
    <row r="479">
      <c r="C479" s="22"/>
      <c r="Q479" s="22"/>
    </row>
    <row r="480">
      <c r="C480" s="22"/>
      <c r="Q480" s="22"/>
    </row>
    <row r="481">
      <c r="C481" s="22"/>
      <c r="Q481" s="22"/>
    </row>
    <row r="482">
      <c r="C482" s="22"/>
      <c r="Q482" s="22"/>
    </row>
    <row r="483">
      <c r="C483" s="22"/>
      <c r="Q483" s="22"/>
    </row>
    <row r="484">
      <c r="C484" s="22"/>
      <c r="Q484" s="22"/>
    </row>
    <row r="485">
      <c r="C485" s="22"/>
      <c r="Q485" s="22"/>
    </row>
    <row r="486">
      <c r="C486" s="22"/>
      <c r="Q486" s="22"/>
    </row>
    <row r="487">
      <c r="C487" s="22"/>
      <c r="Q487" s="22"/>
    </row>
    <row r="488">
      <c r="C488" s="22"/>
      <c r="Q488" s="22"/>
    </row>
    <row r="489">
      <c r="C489" s="22"/>
      <c r="Q489" s="22"/>
    </row>
    <row r="490">
      <c r="C490" s="22"/>
      <c r="Q490" s="22"/>
    </row>
    <row r="491">
      <c r="C491" s="22"/>
      <c r="Q491" s="22"/>
    </row>
    <row r="492">
      <c r="C492" s="22"/>
      <c r="Q492" s="22"/>
    </row>
    <row r="493">
      <c r="C493" s="22"/>
      <c r="Q493" s="22"/>
    </row>
    <row r="494">
      <c r="C494" s="22"/>
      <c r="Q494" s="22"/>
    </row>
    <row r="495">
      <c r="C495" s="22"/>
      <c r="Q495" s="22"/>
    </row>
    <row r="496">
      <c r="C496" s="22"/>
      <c r="Q496" s="22"/>
    </row>
    <row r="497">
      <c r="C497" s="22"/>
      <c r="Q497" s="22"/>
    </row>
    <row r="498">
      <c r="C498" s="22"/>
      <c r="Q498" s="22"/>
    </row>
    <row r="499">
      <c r="C499" s="22"/>
      <c r="Q499" s="22"/>
    </row>
    <row r="500">
      <c r="C500" s="22"/>
      <c r="Q500" s="22"/>
    </row>
    <row r="501">
      <c r="C501" s="22"/>
      <c r="Q501" s="22"/>
    </row>
    <row r="502">
      <c r="C502" s="22"/>
      <c r="Q502" s="22"/>
    </row>
    <row r="503">
      <c r="C503" s="22"/>
      <c r="Q503" s="22"/>
    </row>
    <row r="504">
      <c r="C504" s="22"/>
      <c r="Q504" s="22"/>
    </row>
    <row r="505">
      <c r="C505" s="22"/>
      <c r="Q505" s="22"/>
    </row>
    <row r="506">
      <c r="C506" s="22"/>
      <c r="Q506" s="22"/>
    </row>
    <row r="507">
      <c r="C507" s="22"/>
      <c r="Q507" s="22"/>
    </row>
    <row r="508">
      <c r="C508" s="22"/>
      <c r="Q508" s="22"/>
    </row>
    <row r="509">
      <c r="C509" s="22"/>
      <c r="Q509" s="22"/>
    </row>
    <row r="510">
      <c r="C510" s="22"/>
      <c r="Q510" s="22"/>
    </row>
    <row r="511">
      <c r="C511" s="22"/>
      <c r="Q511" s="22"/>
    </row>
    <row r="512">
      <c r="C512" s="22"/>
      <c r="Q512" s="22"/>
    </row>
    <row r="513">
      <c r="C513" s="22"/>
      <c r="Q513" s="22"/>
    </row>
    <row r="514">
      <c r="C514" s="22"/>
      <c r="Q514" s="22"/>
    </row>
    <row r="515">
      <c r="C515" s="22"/>
      <c r="Q515" s="22"/>
    </row>
    <row r="516">
      <c r="C516" s="22"/>
      <c r="Q516" s="22"/>
    </row>
    <row r="517">
      <c r="C517" s="22"/>
      <c r="Q517" s="22"/>
    </row>
    <row r="518">
      <c r="C518" s="22"/>
      <c r="Q518" s="22"/>
    </row>
    <row r="519">
      <c r="C519" s="22"/>
      <c r="Q519" s="22"/>
    </row>
    <row r="520">
      <c r="C520" s="22"/>
      <c r="Q520" s="22"/>
    </row>
    <row r="521">
      <c r="C521" s="22"/>
      <c r="Q521" s="22"/>
    </row>
    <row r="522">
      <c r="C522" s="22"/>
      <c r="Q522" s="22"/>
    </row>
    <row r="523">
      <c r="C523" s="22"/>
      <c r="Q523" s="22"/>
    </row>
    <row r="524">
      <c r="C524" s="22"/>
      <c r="Q524" s="22"/>
    </row>
    <row r="525">
      <c r="C525" s="22"/>
      <c r="Q525" s="22"/>
    </row>
    <row r="526">
      <c r="C526" s="22"/>
      <c r="Q526" s="22"/>
    </row>
    <row r="527">
      <c r="C527" s="22"/>
      <c r="Q527" s="22"/>
    </row>
    <row r="528">
      <c r="C528" s="22"/>
      <c r="Q528" s="22"/>
    </row>
    <row r="529">
      <c r="C529" s="22"/>
      <c r="Q529" s="22"/>
    </row>
    <row r="530">
      <c r="C530" s="22"/>
      <c r="Q530" s="22"/>
    </row>
    <row r="531">
      <c r="C531" s="22"/>
      <c r="Q531" s="22"/>
    </row>
    <row r="532">
      <c r="C532" s="22"/>
      <c r="Q532" s="22"/>
    </row>
    <row r="533">
      <c r="C533" s="22"/>
      <c r="Q533" s="22"/>
    </row>
    <row r="534">
      <c r="C534" s="22"/>
      <c r="Q534" s="22"/>
    </row>
    <row r="535">
      <c r="C535" s="22"/>
      <c r="Q535" s="22"/>
    </row>
    <row r="536">
      <c r="C536" s="22"/>
      <c r="Q536" s="22"/>
    </row>
    <row r="537">
      <c r="C537" s="22"/>
      <c r="Q537" s="22"/>
    </row>
    <row r="538">
      <c r="C538" s="22"/>
      <c r="Q538" s="22"/>
    </row>
    <row r="539">
      <c r="C539" s="22"/>
      <c r="Q539" s="22"/>
    </row>
    <row r="540">
      <c r="C540" s="22"/>
      <c r="Q540" s="22"/>
    </row>
    <row r="541">
      <c r="C541" s="22"/>
      <c r="Q541" s="22"/>
    </row>
    <row r="542">
      <c r="C542" s="22"/>
      <c r="Q542" s="22"/>
    </row>
    <row r="543">
      <c r="C543" s="22"/>
      <c r="Q543" s="22"/>
    </row>
    <row r="544">
      <c r="C544" s="22"/>
      <c r="Q544" s="22"/>
    </row>
    <row r="545">
      <c r="C545" s="22"/>
      <c r="Q545" s="22"/>
    </row>
    <row r="546">
      <c r="C546" s="22"/>
      <c r="Q546" s="22"/>
    </row>
    <row r="547">
      <c r="C547" s="22"/>
      <c r="Q547" s="22"/>
    </row>
    <row r="548">
      <c r="C548" s="22"/>
      <c r="Q548" s="22"/>
    </row>
    <row r="549">
      <c r="C549" s="22"/>
      <c r="Q549" s="22"/>
    </row>
    <row r="550">
      <c r="C550" s="22"/>
      <c r="Q550" s="22"/>
    </row>
    <row r="551">
      <c r="C551" s="22"/>
      <c r="Q551" s="22"/>
    </row>
    <row r="552">
      <c r="C552" s="22"/>
      <c r="Q552" s="22"/>
    </row>
    <row r="553">
      <c r="C553" s="22"/>
      <c r="Q553" s="22"/>
    </row>
    <row r="554">
      <c r="C554" s="22"/>
      <c r="Q554" s="22"/>
    </row>
    <row r="555">
      <c r="C555" s="22"/>
      <c r="Q555" s="22"/>
    </row>
    <row r="556">
      <c r="C556" s="22"/>
      <c r="Q556" s="22"/>
    </row>
    <row r="557">
      <c r="C557" s="22"/>
      <c r="Q557" s="22"/>
    </row>
    <row r="558">
      <c r="C558" s="22"/>
      <c r="Q558" s="22"/>
    </row>
    <row r="559">
      <c r="C559" s="22"/>
      <c r="Q559" s="22"/>
    </row>
    <row r="560">
      <c r="C560" s="22"/>
      <c r="Q560" s="22"/>
    </row>
    <row r="561">
      <c r="C561" s="22"/>
      <c r="Q561" s="22"/>
    </row>
    <row r="562">
      <c r="C562" s="22"/>
      <c r="Q562" s="22"/>
    </row>
    <row r="563">
      <c r="C563" s="22"/>
      <c r="Q563" s="22"/>
    </row>
    <row r="564">
      <c r="C564" s="22"/>
      <c r="Q564" s="22"/>
    </row>
    <row r="565">
      <c r="C565" s="22"/>
      <c r="Q565" s="22"/>
    </row>
    <row r="566">
      <c r="C566" s="22"/>
      <c r="Q566" s="22"/>
    </row>
    <row r="567">
      <c r="C567" s="22"/>
      <c r="Q567" s="22"/>
    </row>
    <row r="568">
      <c r="C568" s="22"/>
      <c r="Q568" s="22"/>
    </row>
    <row r="569">
      <c r="C569" s="22"/>
      <c r="Q569" s="22"/>
    </row>
    <row r="570">
      <c r="C570" s="22"/>
      <c r="Q570" s="22"/>
    </row>
    <row r="571">
      <c r="C571" s="22"/>
      <c r="Q571" s="22"/>
    </row>
    <row r="572">
      <c r="C572" s="22"/>
      <c r="Q572" s="22"/>
    </row>
    <row r="573">
      <c r="C573" s="22"/>
      <c r="Q573" s="22"/>
    </row>
    <row r="574">
      <c r="C574" s="22"/>
      <c r="Q574" s="22"/>
    </row>
    <row r="575">
      <c r="C575" s="22"/>
      <c r="Q575" s="22"/>
    </row>
    <row r="576">
      <c r="C576" s="22"/>
      <c r="Q576" s="22"/>
    </row>
    <row r="577">
      <c r="C577" s="22"/>
      <c r="Q577" s="22"/>
    </row>
    <row r="578">
      <c r="C578" s="22"/>
      <c r="Q578" s="22"/>
    </row>
    <row r="579">
      <c r="C579" s="22"/>
      <c r="Q579" s="22"/>
    </row>
    <row r="580">
      <c r="C580" s="22"/>
      <c r="Q580" s="22"/>
    </row>
    <row r="581">
      <c r="C581" s="22"/>
      <c r="Q581" s="22"/>
    </row>
    <row r="582">
      <c r="C582" s="22"/>
      <c r="Q582" s="22"/>
    </row>
    <row r="583">
      <c r="C583" s="22"/>
      <c r="Q583" s="22"/>
    </row>
    <row r="584">
      <c r="C584" s="22"/>
      <c r="Q584" s="22"/>
    </row>
    <row r="585">
      <c r="C585" s="22"/>
      <c r="Q585" s="22"/>
    </row>
    <row r="586">
      <c r="C586" s="22"/>
      <c r="Q586" s="22"/>
    </row>
    <row r="587">
      <c r="C587" s="22"/>
      <c r="Q587" s="22"/>
    </row>
    <row r="588">
      <c r="C588" s="22"/>
      <c r="Q588" s="22"/>
    </row>
    <row r="589">
      <c r="C589" s="22"/>
      <c r="Q589" s="22"/>
    </row>
    <row r="590">
      <c r="C590" s="22"/>
      <c r="Q590" s="22"/>
    </row>
    <row r="591">
      <c r="C591" s="22"/>
      <c r="Q591" s="22"/>
    </row>
    <row r="592">
      <c r="C592" s="22"/>
      <c r="Q592" s="22"/>
    </row>
    <row r="593">
      <c r="C593" s="22"/>
      <c r="Q593" s="22"/>
    </row>
    <row r="594">
      <c r="C594" s="22"/>
      <c r="Q594" s="22"/>
    </row>
    <row r="595">
      <c r="C595" s="22"/>
      <c r="Q595" s="22"/>
    </row>
    <row r="596">
      <c r="C596" s="22"/>
      <c r="Q596" s="22"/>
    </row>
    <row r="597">
      <c r="C597" s="22"/>
      <c r="Q597" s="22"/>
    </row>
    <row r="598">
      <c r="C598" s="22"/>
      <c r="Q598" s="22"/>
    </row>
    <row r="599">
      <c r="C599" s="22"/>
      <c r="Q599" s="22"/>
    </row>
    <row r="600">
      <c r="C600" s="22"/>
      <c r="Q600" s="22"/>
    </row>
    <row r="601">
      <c r="C601" s="22"/>
      <c r="Q601" s="22"/>
    </row>
    <row r="602">
      <c r="C602" s="22"/>
      <c r="Q602" s="22"/>
    </row>
    <row r="603">
      <c r="C603" s="22"/>
      <c r="Q603" s="22"/>
    </row>
    <row r="604">
      <c r="C604" s="22"/>
      <c r="Q604" s="22"/>
    </row>
    <row r="605">
      <c r="C605" s="22"/>
      <c r="Q605" s="22"/>
    </row>
    <row r="606">
      <c r="C606" s="22"/>
      <c r="Q606" s="22"/>
    </row>
    <row r="607">
      <c r="C607" s="22"/>
      <c r="Q607" s="22"/>
    </row>
    <row r="608">
      <c r="C608" s="22"/>
      <c r="Q608" s="22"/>
    </row>
    <row r="609">
      <c r="C609" s="22"/>
      <c r="Q609" s="22"/>
    </row>
    <row r="610">
      <c r="C610" s="22"/>
      <c r="Q610" s="22"/>
    </row>
    <row r="611">
      <c r="C611" s="22"/>
      <c r="Q611" s="22"/>
    </row>
    <row r="612">
      <c r="C612" s="22"/>
      <c r="Q612" s="22"/>
    </row>
    <row r="613">
      <c r="C613" s="22"/>
      <c r="Q613" s="22"/>
    </row>
    <row r="614">
      <c r="C614" s="22"/>
      <c r="Q614" s="22"/>
    </row>
    <row r="615">
      <c r="C615" s="22"/>
      <c r="Q615" s="22"/>
    </row>
    <row r="616">
      <c r="C616" s="22"/>
      <c r="Q616" s="22"/>
    </row>
    <row r="617">
      <c r="C617" s="22"/>
      <c r="Q617" s="22"/>
    </row>
    <row r="618">
      <c r="C618" s="22"/>
      <c r="Q618" s="22"/>
    </row>
    <row r="619">
      <c r="C619" s="22"/>
      <c r="Q619" s="22"/>
    </row>
    <row r="620">
      <c r="C620" s="22"/>
      <c r="Q620" s="22"/>
    </row>
    <row r="621">
      <c r="C621" s="22"/>
      <c r="Q621" s="22"/>
    </row>
    <row r="622">
      <c r="C622" s="22"/>
      <c r="Q622" s="22"/>
    </row>
    <row r="623">
      <c r="C623" s="22"/>
      <c r="Q623" s="22"/>
    </row>
    <row r="624">
      <c r="C624" s="22"/>
      <c r="Q624" s="22"/>
    </row>
    <row r="625">
      <c r="C625" s="22"/>
      <c r="Q625" s="22"/>
    </row>
    <row r="626">
      <c r="C626" s="22"/>
      <c r="Q626" s="22"/>
    </row>
    <row r="627">
      <c r="C627" s="22"/>
      <c r="Q627" s="22"/>
    </row>
    <row r="628">
      <c r="C628" s="22"/>
      <c r="Q628" s="22"/>
    </row>
    <row r="629">
      <c r="C629" s="22"/>
      <c r="Q629" s="22"/>
    </row>
    <row r="630">
      <c r="C630" s="22"/>
      <c r="Q630" s="22"/>
    </row>
    <row r="631">
      <c r="C631" s="22"/>
      <c r="Q631" s="22"/>
    </row>
    <row r="632">
      <c r="C632" s="22"/>
      <c r="Q632" s="22"/>
    </row>
    <row r="633">
      <c r="C633" s="22"/>
      <c r="Q633" s="22"/>
    </row>
    <row r="634">
      <c r="C634" s="22"/>
      <c r="Q634" s="22"/>
    </row>
    <row r="635">
      <c r="C635" s="22"/>
      <c r="Q635" s="22"/>
    </row>
    <row r="636">
      <c r="C636" s="22"/>
      <c r="Q636" s="22"/>
    </row>
    <row r="637">
      <c r="C637" s="22"/>
      <c r="Q637" s="22"/>
    </row>
    <row r="638">
      <c r="C638" s="22"/>
      <c r="Q638" s="22"/>
    </row>
    <row r="639">
      <c r="C639" s="22"/>
      <c r="Q639" s="22"/>
    </row>
    <row r="640">
      <c r="C640" s="22"/>
      <c r="Q640" s="22"/>
    </row>
    <row r="641">
      <c r="C641" s="22"/>
      <c r="Q641" s="22"/>
    </row>
    <row r="642">
      <c r="C642" s="22"/>
      <c r="Q642" s="22"/>
    </row>
    <row r="643">
      <c r="C643" s="22"/>
      <c r="Q643" s="22"/>
    </row>
    <row r="644">
      <c r="C644" s="22"/>
      <c r="Q644" s="22"/>
    </row>
    <row r="645">
      <c r="C645" s="22"/>
      <c r="Q645" s="22"/>
    </row>
    <row r="646">
      <c r="C646" s="22"/>
      <c r="Q646" s="22"/>
    </row>
    <row r="647">
      <c r="C647" s="22"/>
      <c r="Q647" s="22"/>
    </row>
    <row r="648">
      <c r="C648" s="22"/>
      <c r="Q648" s="22"/>
    </row>
    <row r="649">
      <c r="C649" s="22"/>
      <c r="Q649" s="22"/>
    </row>
    <row r="650">
      <c r="C650" s="22"/>
      <c r="Q650" s="22"/>
    </row>
    <row r="651">
      <c r="C651" s="22"/>
      <c r="Q651" s="22"/>
    </row>
    <row r="652">
      <c r="C652" s="22"/>
      <c r="Q652" s="22"/>
    </row>
    <row r="653">
      <c r="C653" s="22"/>
      <c r="Q653" s="22"/>
    </row>
    <row r="654">
      <c r="C654" s="22"/>
      <c r="Q654" s="22"/>
    </row>
    <row r="655">
      <c r="C655" s="22"/>
      <c r="Q655" s="22"/>
    </row>
    <row r="656">
      <c r="C656" s="22"/>
      <c r="Q656" s="22"/>
    </row>
    <row r="657">
      <c r="C657" s="22"/>
      <c r="Q657" s="22"/>
    </row>
    <row r="658">
      <c r="C658" s="22"/>
      <c r="Q658" s="22"/>
    </row>
    <row r="659">
      <c r="C659" s="22"/>
      <c r="Q659" s="22"/>
    </row>
    <row r="660">
      <c r="C660" s="22"/>
      <c r="Q660" s="22"/>
    </row>
    <row r="661">
      <c r="C661" s="22"/>
      <c r="Q661" s="22"/>
    </row>
    <row r="662">
      <c r="C662" s="22"/>
      <c r="Q662" s="22"/>
    </row>
    <row r="663">
      <c r="C663" s="22"/>
      <c r="Q663" s="22"/>
    </row>
    <row r="664">
      <c r="C664" s="22"/>
      <c r="Q664" s="22"/>
    </row>
    <row r="665">
      <c r="C665" s="22"/>
      <c r="Q665" s="22"/>
    </row>
    <row r="666">
      <c r="C666" s="22"/>
      <c r="Q666" s="22"/>
    </row>
    <row r="667">
      <c r="C667" s="22"/>
      <c r="Q667" s="22"/>
    </row>
    <row r="668">
      <c r="C668" s="22"/>
      <c r="Q668" s="22"/>
    </row>
    <row r="669">
      <c r="C669" s="22"/>
      <c r="Q669" s="22"/>
    </row>
    <row r="670">
      <c r="C670" s="22"/>
      <c r="Q670" s="22"/>
    </row>
    <row r="671">
      <c r="C671" s="22"/>
      <c r="Q671" s="22"/>
    </row>
    <row r="672">
      <c r="C672" s="22"/>
      <c r="Q672" s="22"/>
    </row>
    <row r="673">
      <c r="C673" s="22"/>
      <c r="Q673" s="22"/>
    </row>
    <row r="674">
      <c r="C674" s="22"/>
      <c r="Q674" s="22"/>
    </row>
    <row r="675">
      <c r="C675" s="22"/>
      <c r="Q675" s="22"/>
    </row>
    <row r="676">
      <c r="C676" s="22"/>
      <c r="Q676" s="22"/>
    </row>
    <row r="677">
      <c r="C677" s="22"/>
      <c r="Q677" s="22"/>
    </row>
    <row r="678">
      <c r="C678" s="22"/>
      <c r="Q678" s="22"/>
    </row>
    <row r="679">
      <c r="C679" s="22"/>
      <c r="Q679" s="22"/>
    </row>
    <row r="680">
      <c r="C680" s="22"/>
      <c r="Q680" s="22"/>
    </row>
    <row r="681">
      <c r="C681" s="22"/>
      <c r="Q681" s="22"/>
    </row>
    <row r="682">
      <c r="C682" s="22"/>
      <c r="Q682" s="22"/>
    </row>
    <row r="683">
      <c r="C683" s="22"/>
      <c r="Q683" s="22"/>
    </row>
    <row r="684">
      <c r="C684" s="22"/>
      <c r="Q684" s="22"/>
    </row>
    <row r="685">
      <c r="C685" s="22"/>
      <c r="Q685" s="22"/>
    </row>
    <row r="686">
      <c r="C686" s="22"/>
      <c r="Q686" s="22"/>
    </row>
    <row r="687">
      <c r="C687" s="22"/>
      <c r="Q687" s="22"/>
    </row>
    <row r="688">
      <c r="C688" s="22"/>
      <c r="Q688" s="22"/>
    </row>
    <row r="689">
      <c r="C689" s="22"/>
      <c r="Q689" s="22"/>
    </row>
    <row r="690">
      <c r="C690" s="22"/>
      <c r="Q690" s="22"/>
    </row>
    <row r="691">
      <c r="C691" s="22"/>
      <c r="Q691" s="22"/>
    </row>
    <row r="692">
      <c r="C692" s="22"/>
      <c r="Q692" s="22"/>
    </row>
    <row r="693">
      <c r="C693" s="22"/>
      <c r="Q693" s="22"/>
    </row>
    <row r="694">
      <c r="C694" s="22"/>
      <c r="Q694" s="22"/>
    </row>
    <row r="695">
      <c r="C695" s="22"/>
      <c r="Q695" s="22"/>
    </row>
    <row r="696">
      <c r="C696" s="22"/>
      <c r="Q696" s="22"/>
    </row>
    <row r="697">
      <c r="C697" s="22"/>
      <c r="Q697" s="22"/>
    </row>
    <row r="698">
      <c r="C698" s="22"/>
      <c r="Q698" s="22"/>
    </row>
    <row r="699">
      <c r="C699" s="22"/>
      <c r="Q699" s="22"/>
    </row>
    <row r="700">
      <c r="C700" s="22"/>
      <c r="Q700" s="22"/>
    </row>
    <row r="701">
      <c r="C701" s="22"/>
      <c r="Q701" s="22"/>
    </row>
    <row r="702">
      <c r="C702" s="22"/>
      <c r="Q702" s="22"/>
    </row>
    <row r="703">
      <c r="C703" s="22"/>
      <c r="Q703" s="22"/>
    </row>
    <row r="704">
      <c r="C704" s="22"/>
      <c r="Q704" s="22"/>
    </row>
    <row r="705">
      <c r="C705" s="22"/>
      <c r="Q705" s="22"/>
    </row>
    <row r="706">
      <c r="C706" s="22"/>
      <c r="Q706" s="22"/>
    </row>
    <row r="707">
      <c r="C707" s="22"/>
      <c r="Q707" s="22"/>
    </row>
    <row r="708">
      <c r="C708" s="22"/>
      <c r="Q708" s="22"/>
    </row>
    <row r="709">
      <c r="C709" s="22"/>
      <c r="Q709" s="22"/>
    </row>
    <row r="710">
      <c r="C710" s="22"/>
      <c r="Q710" s="22"/>
    </row>
    <row r="711">
      <c r="C711" s="22"/>
      <c r="Q711" s="22"/>
    </row>
    <row r="712">
      <c r="C712" s="22"/>
      <c r="Q712" s="22"/>
    </row>
    <row r="713">
      <c r="C713" s="22"/>
      <c r="Q713" s="22"/>
    </row>
    <row r="714">
      <c r="C714" s="22"/>
      <c r="Q714" s="22"/>
    </row>
    <row r="715">
      <c r="C715" s="22"/>
      <c r="Q715" s="22"/>
    </row>
    <row r="716">
      <c r="C716" s="22"/>
      <c r="Q716" s="22"/>
    </row>
    <row r="717">
      <c r="C717" s="22"/>
      <c r="Q717" s="22"/>
    </row>
    <row r="718">
      <c r="C718" s="22"/>
      <c r="Q718" s="22"/>
    </row>
    <row r="719">
      <c r="C719" s="22"/>
      <c r="Q719" s="22"/>
    </row>
    <row r="720">
      <c r="C720" s="22"/>
      <c r="Q720" s="22"/>
    </row>
    <row r="721">
      <c r="C721" s="22"/>
      <c r="Q721" s="22"/>
    </row>
    <row r="722">
      <c r="C722" s="22"/>
      <c r="Q722" s="22"/>
    </row>
    <row r="723">
      <c r="C723" s="22"/>
      <c r="Q723" s="22"/>
    </row>
    <row r="724">
      <c r="C724" s="22"/>
      <c r="Q724" s="22"/>
    </row>
    <row r="725">
      <c r="C725" s="22"/>
      <c r="Q725" s="22"/>
    </row>
    <row r="726">
      <c r="C726" s="22"/>
      <c r="Q726" s="22"/>
    </row>
    <row r="727">
      <c r="C727" s="22"/>
      <c r="Q727" s="22"/>
    </row>
    <row r="728">
      <c r="C728" s="22"/>
      <c r="Q728" s="22"/>
    </row>
    <row r="729">
      <c r="C729" s="22"/>
      <c r="Q729" s="22"/>
    </row>
    <row r="730">
      <c r="C730" s="22"/>
      <c r="Q730" s="22"/>
    </row>
    <row r="731">
      <c r="C731" s="22"/>
      <c r="Q731" s="22"/>
    </row>
    <row r="732">
      <c r="C732" s="22"/>
      <c r="Q732" s="22"/>
    </row>
    <row r="733">
      <c r="C733" s="22"/>
      <c r="Q733" s="22"/>
    </row>
    <row r="734">
      <c r="C734" s="22"/>
      <c r="Q734" s="22"/>
    </row>
    <row r="735">
      <c r="C735" s="22"/>
      <c r="Q735" s="22"/>
    </row>
    <row r="736">
      <c r="C736" s="22"/>
      <c r="Q736" s="22"/>
    </row>
    <row r="737">
      <c r="C737" s="22"/>
      <c r="Q737" s="22"/>
    </row>
    <row r="738">
      <c r="C738" s="22"/>
      <c r="Q738" s="22"/>
    </row>
    <row r="739">
      <c r="C739" s="22"/>
      <c r="Q739" s="22"/>
    </row>
    <row r="740">
      <c r="C740" s="22"/>
      <c r="Q740" s="22"/>
    </row>
    <row r="741">
      <c r="C741" s="22"/>
      <c r="Q741" s="22"/>
    </row>
    <row r="742">
      <c r="C742" s="22"/>
      <c r="Q742" s="22"/>
    </row>
    <row r="743">
      <c r="C743" s="22"/>
      <c r="Q743" s="22"/>
    </row>
    <row r="744">
      <c r="C744" s="22"/>
      <c r="Q744" s="22"/>
    </row>
    <row r="745">
      <c r="C745" s="22"/>
      <c r="Q745" s="22"/>
    </row>
    <row r="746">
      <c r="C746" s="22"/>
      <c r="Q746" s="22"/>
    </row>
    <row r="747">
      <c r="C747" s="22"/>
      <c r="Q747" s="22"/>
    </row>
    <row r="748">
      <c r="C748" s="22"/>
      <c r="Q748" s="22"/>
    </row>
    <row r="749">
      <c r="C749" s="22"/>
      <c r="Q749" s="22"/>
    </row>
    <row r="750">
      <c r="C750" s="22"/>
      <c r="Q750" s="22"/>
    </row>
    <row r="751">
      <c r="C751" s="22"/>
      <c r="Q751" s="22"/>
    </row>
    <row r="752">
      <c r="C752" s="22"/>
      <c r="Q752" s="22"/>
    </row>
    <row r="753">
      <c r="C753" s="22"/>
      <c r="Q753" s="22"/>
    </row>
    <row r="754">
      <c r="C754" s="22"/>
      <c r="Q754" s="22"/>
    </row>
    <row r="755">
      <c r="C755" s="22"/>
      <c r="Q755" s="22"/>
    </row>
    <row r="756">
      <c r="C756" s="22"/>
      <c r="Q756" s="22"/>
    </row>
    <row r="757">
      <c r="C757" s="22"/>
      <c r="Q757" s="22"/>
    </row>
    <row r="758">
      <c r="C758" s="22"/>
      <c r="Q758" s="22"/>
    </row>
    <row r="759">
      <c r="C759" s="22"/>
      <c r="Q759" s="22"/>
    </row>
    <row r="760">
      <c r="C760" s="22"/>
      <c r="Q760" s="22"/>
    </row>
    <row r="761">
      <c r="C761" s="22"/>
      <c r="Q761" s="22"/>
    </row>
    <row r="762">
      <c r="C762" s="22"/>
      <c r="Q762" s="22"/>
    </row>
    <row r="763">
      <c r="C763" s="22"/>
      <c r="Q763" s="22"/>
    </row>
    <row r="764">
      <c r="C764" s="22"/>
      <c r="Q764" s="22"/>
    </row>
    <row r="765">
      <c r="C765" s="22"/>
      <c r="Q765" s="22"/>
    </row>
    <row r="766">
      <c r="C766" s="22"/>
      <c r="Q766" s="22"/>
    </row>
    <row r="767">
      <c r="C767" s="22"/>
      <c r="Q767" s="22"/>
    </row>
    <row r="768">
      <c r="C768" s="22"/>
      <c r="Q768" s="22"/>
    </row>
    <row r="769">
      <c r="C769" s="22"/>
      <c r="Q769" s="22"/>
    </row>
    <row r="770">
      <c r="C770" s="22"/>
      <c r="Q770" s="22"/>
    </row>
    <row r="771">
      <c r="C771" s="22"/>
      <c r="Q771" s="22"/>
    </row>
    <row r="772">
      <c r="C772" s="22"/>
      <c r="Q772" s="22"/>
    </row>
    <row r="773">
      <c r="C773" s="22"/>
      <c r="Q773" s="22"/>
    </row>
    <row r="774">
      <c r="C774" s="22"/>
      <c r="Q774" s="22"/>
    </row>
    <row r="775">
      <c r="C775" s="22"/>
      <c r="Q775" s="22"/>
    </row>
    <row r="776">
      <c r="C776" s="22"/>
      <c r="Q776" s="22"/>
    </row>
    <row r="777">
      <c r="C777" s="22"/>
      <c r="Q777" s="22"/>
    </row>
    <row r="778">
      <c r="C778" s="22"/>
      <c r="Q778" s="22"/>
    </row>
    <row r="779">
      <c r="C779" s="22"/>
      <c r="Q779" s="22"/>
    </row>
    <row r="780">
      <c r="C780" s="22"/>
      <c r="Q780" s="22"/>
    </row>
    <row r="781">
      <c r="C781" s="22"/>
      <c r="Q781" s="22"/>
    </row>
    <row r="782">
      <c r="C782" s="22"/>
      <c r="Q782" s="22"/>
    </row>
    <row r="783">
      <c r="C783" s="22"/>
      <c r="Q783" s="22"/>
    </row>
    <row r="784">
      <c r="C784" s="22"/>
      <c r="Q784" s="22"/>
    </row>
    <row r="785">
      <c r="C785" s="22"/>
      <c r="Q785" s="22"/>
    </row>
    <row r="786">
      <c r="C786" s="22"/>
      <c r="Q786" s="22"/>
    </row>
    <row r="787">
      <c r="C787" s="22"/>
      <c r="Q787" s="22"/>
    </row>
    <row r="788">
      <c r="C788" s="22"/>
      <c r="Q788" s="22"/>
    </row>
    <row r="789">
      <c r="C789" s="22"/>
      <c r="Q789" s="22"/>
    </row>
    <row r="790">
      <c r="C790" s="22"/>
      <c r="Q790" s="22"/>
    </row>
    <row r="791">
      <c r="C791" s="22"/>
      <c r="Q791" s="22"/>
    </row>
    <row r="792">
      <c r="C792" s="22"/>
      <c r="Q792" s="22"/>
    </row>
    <row r="793">
      <c r="C793" s="22"/>
      <c r="Q793" s="22"/>
    </row>
    <row r="794">
      <c r="C794" s="22"/>
      <c r="Q794" s="22"/>
    </row>
    <row r="795">
      <c r="C795" s="22"/>
      <c r="Q795" s="22"/>
    </row>
    <row r="796">
      <c r="C796" s="22"/>
      <c r="Q796" s="22"/>
    </row>
    <row r="797">
      <c r="C797" s="22"/>
      <c r="Q797" s="22"/>
    </row>
    <row r="798">
      <c r="C798" s="22"/>
      <c r="Q798" s="22"/>
    </row>
    <row r="799">
      <c r="C799" s="22"/>
      <c r="Q799" s="22"/>
    </row>
    <row r="800">
      <c r="C800" s="22"/>
      <c r="Q800" s="22"/>
    </row>
    <row r="801">
      <c r="C801" s="22"/>
      <c r="Q801" s="22"/>
    </row>
    <row r="802">
      <c r="C802" s="22"/>
      <c r="Q802" s="22"/>
    </row>
    <row r="803">
      <c r="C803" s="22"/>
      <c r="Q803" s="22"/>
    </row>
    <row r="804">
      <c r="C804" s="22"/>
      <c r="Q804" s="22"/>
    </row>
    <row r="805">
      <c r="C805" s="22"/>
      <c r="Q805" s="22"/>
    </row>
    <row r="806">
      <c r="C806" s="22"/>
      <c r="Q806" s="22"/>
    </row>
    <row r="807">
      <c r="C807" s="22"/>
      <c r="Q807" s="22"/>
    </row>
    <row r="808">
      <c r="C808" s="22"/>
      <c r="Q808" s="22"/>
    </row>
    <row r="809">
      <c r="C809" s="22"/>
      <c r="Q809" s="22"/>
    </row>
    <row r="810">
      <c r="C810" s="22"/>
      <c r="Q810" s="22"/>
    </row>
    <row r="811">
      <c r="C811" s="22"/>
      <c r="Q811" s="22"/>
    </row>
    <row r="812">
      <c r="C812" s="22"/>
      <c r="Q812" s="22"/>
    </row>
    <row r="813">
      <c r="C813" s="22"/>
      <c r="Q813" s="22"/>
    </row>
    <row r="814">
      <c r="C814" s="22"/>
      <c r="Q814" s="22"/>
    </row>
    <row r="815">
      <c r="C815" s="22"/>
      <c r="Q815" s="22"/>
    </row>
    <row r="816">
      <c r="C816" s="22"/>
      <c r="Q816" s="22"/>
    </row>
    <row r="817">
      <c r="C817" s="22"/>
      <c r="Q817" s="22"/>
    </row>
    <row r="818">
      <c r="C818" s="22"/>
      <c r="Q818" s="22"/>
    </row>
    <row r="819">
      <c r="C819" s="22"/>
      <c r="Q819" s="22"/>
    </row>
    <row r="820">
      <c r="C820" s="22"/>
      <c r="Q820" s="22"/>
    </row>
    <row r="821">
      <c r="C821" s="22"/>
      <c r="Q821" s="22"/>
    </row>
    <row r="822">
      <c r="C822" s="22"/>
      <c r="Q822" s="22"/>
    </row>
    <row r="823">
      <c r="C823" s="22"/>
      <c r="Q823" s="22"/>
    </row>
    <row r="824">
      <c r="C824" s="22"/>
      <c r="Q824" s="22"/>
    </row>
    <row r="825">
      <c r="C825" s="22"/>
      <c r="Q825" s="22"/>
    </row>
    <row r="826">
      <c r="C826" s="22"/>
      <c r="Q826" s="22"/>
    </row>
    <row r="827">
      <c r="C827" s="22"/>
      <c r="Q827" s="22"/>
    </row>
    <row r="828">
      <c r="C828" s="22"/>
      <c r="Q828" s="22"/>
    </row>
    <row r="829">
      <c r="C829" s="22"/>
      <c r="Q829" s="22"/>
    </row>
    <row r="830">
      <c r="C830" s="22"/>
      <c r="Q830" s="22"/>
    </row>
    <row r="831">
      <c r="C831" s="22"/>
      <c r="Q831" s="22"/>
    </row>
    <row r="832">
      <c r="C832" s="22"/>
      <c r="Q832" s="22"/>
    </row>
    <row r="833">
      <c r="C833" s="22"/>
      <c r="Q833" s="22"/>
    </row>
    <row r="834">
      <c r="C834" s="22"/>
      <c r="Q834" s="22"/>
    </row>
    <row r="835">
      <c r="C835" s="22"/>
      <c r="Q835" s="22"/>
    </row>
    <row r="836">
      <c r="C836" s="22"/>
      <c r="Q836" s="22"/>
    </row>
    <row r="837">
      <c r="C837" s="22"/>
      <c r="Q837" s="22"/>
    </row>
    <row r="838">
      <c r="C838" s="22"/>
      <c r="Q838" s="22"/>
    </row>
    <row r="839">
      <c r="C839" s="22"/>
      <c r="Q839" s="22"/>
    </row>
    <row r="840">
      <c r="C840" s="22"/>
      <c r="Q840" s="22"/>
    </row>
    <row r="841">
      <c r="C841" s="22"/>
      <c r="Q841" s="22"/>
    </row>
    <row r="842">
      <c r="C842" s="22"/>
      <c r="Q842" s="22"/>
    </row>
    <row r="843">
      <c r="C843" s="22"/>
      <c r="Q843" s="22"/>
    </row>
    <row r="844">
      <c r="C844" s="22"/>
      <c r="Q844" s="22"/>
    </row>
    <row r="845">
      <c r="C845" s="22"/>
      <c r="Q845" s="22"/>
    </row>
    <row r="846">
      <c r="C846" s="22"/>
      <c r="Q846" s="22"/>
    </row>
    <row r="847">
      <c r="C847" s="22"/>
      <c r="Q847" s="22"/>
    </row>
    <row r="848">
      <c r="C848" s="22"/>
      <c r="Q848" s="22"/>
    </row>
    <row r="849">
      <c r="C849" s="22"/>
      <c r="Q849" s="22"/>
    </row>
    <row r="850">
      <c r="C850" s="22"/>
      <c r="Q850" s="22"/>
    </row>
    <row r="851">
      <c r="C851" s="22"/>
      <c r="Q851" s="22"/>
    </row>
    <row r="852">
      <c r="C852" s="22"/>
      <c r="Q852" s="22"/>
    </row>
    <row r="853">
      <c r="C853" s="22"/>
      <c r="Q853" s="22"/>
    </row>
    <row r="854">
      <c r="C854" s="22"/>
      <c r="Q854" s="22"/>
    </row>
    <row r="855">
      <c r="C855" s="22"/>
      <c r="Q855" s="22"/>
    </row>
    <row r="856">
      <c r="C856" s="22"/>
      <c r="Q856" s="22"/>
    </row>
    <row r="857">
      <c r="C857" s="22"/>
      <c r="Q857" s="22"/>
    </row>
    <row r="858">
      <c r="C858" s="22"/>
      <c r="Q858" s="22"/>
    </row>
    <row r="859">
      <c r="C859" s="22"/>
      <c r="Q859" s="22"/>
    </row>
    <row r="860">
      <c r="C860" s="22"/>
      <c r="Q860" s="22"/>
    </row>
    <row r="861">
      <c r="C861" s="22"/>
      <c r="Q861" s="22"/>
    </row>
    <row r="862">
      <c r="C862" s="22"/>
      <c r="Q862" s="22"/>
    </row>
    <row r="863">
      <c r="C863" s="22"/>
      <c r="Q863" s="22"/>
    </row>
    <row r="864">
      <c r="C864" s="22"/>
      <c r="Q864" s="22"/>
    </row>
    <row r="865">
      <c r="C865" s="22"/>
      <c r="Q865" s="22"/>
    </row>
    <row r="866">
      <c r="C866" s="22"/>
      <c r="Q866" s="22"/>
    </row>
    <row r="867">
      <c r="C867" s="22"/>
      <c r="Q867" s="22"/>
    </row>
    <row r="868">
      <c r="C868" s="22"/>
      <c r="Q868" s="22"/>
    </row>
    <row r="869">
      <c r="C869" s="22"/>
      <c r="Q869" s="22"/>
    </row>
    <row r="870">
      <c r="C870" s="22"/>
      <c r="Q870" s="22"/>
    </row>
    <row r="871">
      <c r="C871" s="22"/>
      <c r="Q871" s="22"/>
    </row>
    <row r="872">
      <c r="C872" s="22"/>
      <c r="Q872" s="22"/>
    </row>
    <row r="873">
      <c r="C873" s="22"/>
      <c r="Q873" s="22"/>
    </row>
    <row r="874">
      <c r="C874" s="22"/>
      <c r="Q874" s="22"/>
    </row>
    <row r="875">
      <c r="C875" s="22"/>
      <c r="Q875" s="22"/>
    </row>
    <row r="876">
      <c r="C876" s="22"/>
      <c r="Q876" s="22"/>
    </row>
    <row r="877">
      <c r="C877" s="22"/>
      <c r="Q877" s="22"/>
    </row>
    <row r="878">
      <c r="C878" s="22"/>
      <c r="Q878" s="22"/>
    </row>
    <row r="879">
      <c r="C879" s="22"/>
      <c r="Q879" s="22"/>
    </row>
    <row r="880">
      <c r="C880" s="22"/>
      <c r="Q880" s="22"/>
    </row>
    <row r="881">
      <c r="C881" s="22"/>
      <c r="Q881" s="22"/>
    </row>
    <row r="882">
      <c r="C882" s="22"/>
      <c r="Q882" s="22"/>
    </row>
    <row r="883">
      <c r="C883" s="22"/>
      <c r="Q883" s="22"/>
    </row>
    <row r="884">
      <c r="C884" s="22"/>
      <c r="Q884" s="22"/>
    </row>
    <row r="885">
      <c r="C885" s="22"/>
      <c r="Q885" s="22"/>
    </row>
    <row r="886">
      <c r="C886" s="22"/>
      <c r="Q886" s="22"/>
    </row>
    <row r="887">
      <c r="C887" s="22"/>
      <c r="Q887" s="22"/>
    </row>
    <row r="888">
      <c r="C888" s="22"/>
      <c r="Q888" s="22"/>
    </row>
    <row r="889">
      <c r="C889" s="22"/>
      <c r="Q889" s="22"/>
    </row>
    <row r="890">
      <c r="C890" s="22"/>
      <c r="Q890" s="22"/>
    </row>
    <row r="891">
      <c r="C891" s="22"/>
      <c r="Q891" s="22"/>
    </row>
    <row r="892">
      <c r="C892" s="22"/>
      <c r="Q892" s="22"/>
    </row>
    <row r="893">
      <c r="C893" s="22"/>
      <c r="Q893" s="22"/>
    </row>
    <row r="894">
      <c r="C894" s="22"/>
      <c r="Q894" s="22"/>
    </row>
    <row r="895">
      <c r="C895" s="22"/>
      <c r="Q895" s="22"/>
    </row>
    <row r="896">
      <c r="C896" s="22"/>
      <c r="Q896" s="22"/>
    </row>
    <row r="897">
      <c r="C897" s="22"/>
      <c r="Q897" s="22"/>
    </row>
    <row r="898">
      <c r="C898" s="22"/>
      <c r="Q898" s="22"/>
    </row>
    <row r="899">
      <c r="C899" s="22"/>
      <c r="Q899" s="22"/>
    </row>
    <row r="900">
      <c r="C900" s="22"/>
      <c r="Q900" s="22"/>
    </row>
    <row r="901">
      <c r="C901" s="22"/>
      <c r="Q901" s="22"/>
    </row>
    <row r="902">
      <c r="C902" s="22"/>
      <c r="Q902" s="22"/>
    </row>
    <row r="903">
      <c r="C903" s="22"/>
      <c r="Q903" s="22"/>
    </row>
    <row r="904">
      <c r="C904" s="22"/>
      <c r="Q904" s="22"/>
    </row>
    <row r="905">
      <c r="C905" s="22"/>
      <c r="Q905" s="22"/>
    </row>
    <row r="906">
      <c r="C906" s="22"/>
      <c r="Q906" s="22"/>
    </row>
    <row r="907">
      <c r="C907" s="22"/>
      <c r="Q907" s="22"/>
    </row>
    <row r="908">
      <c r="C908" s="22"/>
      <c r="Q908" s="22"/>
    </row>
    <row r="909">
      <c r="C909" s="22"/>
      <c r="Q909" s="22"/>
    </row>
    <row r="910">
      <c r="C910" s="22"/>
      <c r="Q910" s="22"/>
    </row>
    <row r="911">
      <c r="C911" s="22"/>
      <c r="Q911" s="22"/>
    </row>
    <row r="912">
      <c r="C912" s="22"/>
      <c r="Q912" s="22"/>
    </row>
    <row r="913">
      <c r="C913" s="22"/>
      <c r="Q913" s="22"/>
    </row>
    <row r="914">
      <c r="C914" s="22"/>
      <c r="Q914" s="22"/>
    </row>
    <row r="915">
      <c r="C915" s="22"/>
      <c r="Q915" s="22"/>
    </row>
    <row r="916">
      <c r="C916" s="22"/>
      <c r="Q916" s="22"/>
    </row>
    <row r="917">
      <c r="C917" s="22"/>
      <c r="Q917" s="22"/>
    </row>
    <row r="918">
      <c r="C918" s="22"/>
      <c r="Q918" s="22"/>
    </row>
    <row r="919">
      <c r="C919" s="22"/>
      <c r="Q919" s="22"/>
    </row>
    <row r="920">
      <c r="C920" s="22"/>
      <c r="Q920" s="22"/>
    </row>
    <row r="921">
      <c r="C921" s="22"/>
      <c r="Q921" s="22"/>
    </row>
    <row r="922">
      <c r="C922" s="22"/>
      <c r="Q922" s="22"/>
    </row>
    <row r="923">
      <c r="C923" s="22"/>
      <c r="Q923" s="22"/>
    </row>
    <row r="924">
      <c r="C924" s="22"/>
      <c r="Q924" s="22"/>
    </row>
    <row r="925">
      <c r="C925" s="22"/>
      <c r="Q925" s="22"/>
    </row>
    <row r="926">
      <c r="C926" s="22"/>
      <c r="Q926" s="22"/>
    </row>
    <row r="927">
      <c r="C927" s="22"/>
      <c r="Q927" s="22"/>
    </row>
    <row r="928">
      <c r="C928" s="22"/>
      <c r="Q928" s="22"/>
    </row>
    <row r="929">
      <c r="C929" s="22"/>
      <c r="Q929" s="22"/>
    </row>
    <row r="930">
      <c r="C930" s="22"/>
      <c r="Q930" s="22"/>
    </row>
    <row r="931">
      <c r="C931" s="22"/>
      <c r="Q931" s="22"/>
    </row>
    <row r="932">
      <c r="C932" s="22"/>
      <c r="Q932" s="22"/>
    </row>
    <row r="933">
      <c r="C933" s="22"/>
      <c r="Q933" s="22"/>
    </row>
    <row r="934">
      <c r="C934" s="22"/>
      <c r="Q934" s="22"/>
    </row>
    <row r="935">
      <c r="C935" s="22"/>
      <c r="Q935" s="22"/>
    </row>
    <row r="936">
      <c r="C936" s="22"/>
      <c r="Q936" s="22"/>
    </row>
    <row r="937">
      <c r="C937" s="22"/>
      <c r="Q937" s="22"/>
    </row>
    <row r="938">
      <c r="C938" s="22"/>
      <c r="Q938" s="22"/>
    </row>
    <row r="939">
      <c r="C939" s="22"/>
      <c r="Q939" s="22"/>
    </row>
    <row r="940">
      <c r="C940" s="22"/>
      <c r="Q940" s="22"/>
    </row>
    <row r="941">
      <c r="C941" s="22"/>
      <c r="Q941" s="22"/>
    </row>
    <row r="942">
      <c r="C942" s="22"/>
      <c r="Q942" s="22"/>
    </row>
    <row r="943">
      <c r="C943" s="22"/>
      <c r="Q943" s="22"/>
    </row>
    <row r="944">
      <c r="C944" s="22"/>
      <c r="Q944" s="22"/>
    </row>
    <row r="945">
      <c r="C945" s="22"/>
      <c r="Q945" s="22"/>
    </row>
    <row r="946">
      <c r="C946" s="22"/>
      <c r="Q946" s="22"/>
    </row>
    <row r="947">
      <c r="C947" s="22"/>
      <c r="Q947" s="22"/>
    </row>
    <row r="948">
      <c r="C948" s="22"/>
      <c r="Q948" s="22"/>
    </row>
    <row r="949">
      <c r="C949" s="22"/>
      <c r="Q949" s="22"/>
    </row>
    <row r="950">
      <c r="C950" s="22"/>
      <c r="Q950" s="22"/>
    </row>
    <row r="951">
      <c r="C951" s="22"/>
      <c r="Q951" s="22"/>
    </row>
    <row r="952">
      <c r="C952" s="22"/>
      <c r="Q952" s="22"/>
    </row>
    <row r="953">
      <c r="C953" s="22"/>
      <c r="Q953" s="22"/>
    </row>
    <row r="954">
      <c r="C954" s="22"/>
      <c r="Q954" s="22"/>
    </row>
    <row r="955">
      <c r="C955" s="22"/>
      <c r="Q955" s="22"/>
    </row>
    <row r="956">
      <c r="C956" s="22"/>
      <c r="Q956" s="22"/>
    </row>
    <row r="957">
      <c r="C957" s="22"/>
      <c r="Q957" s="22"/>
    </row>
    <row r="958">
      <c r="C958" s="22"/>
      <c r="Q958" s="22"/>
    </row>
    <row r="959">
      <c r="C959" s="22"/>
      <c r="Q959" s="22"/>
    </row>
    <row r="960">
      <c r="C960" s="22"/>
      <c r="Q960" s="22"/>
    </row>
    <row r="961">
      <c r="C961" s="22"/>
      <c r="Q961" s="22"/>
    </row>
    <row r="962">
      <c r="C962" s="22"/>
      <c r="Q962" s="22"/>
    </row>
    <row r="963">
      <c r="C963" s="22"/>
      <c r="Q963" s="22"/>
    </row>
    <row r="964">
      <c r="C964" s="22"/>
      <c r="Q964" s="22"/>
    </row>
    <row r="965">
      <c r="C965" s="22"/>
      <c r="Q965" s="22"/>
    </row>
    <row r="966">
      <c r="C966" s="22"/>
      <c r="Q966" s="22"/>
    </row>
    <row r="967">
      <c r="C967" s="22"/>
      <c r="Q967" s="22"/>
    </row>
    <row r="968">
      <c r="C968" s="22"/>
      <c r="Q968" s="22"/>
    </row>
    <row r="969">
      <c r="C969" s="22"/>
      <c r="Q969" s="22"/>
    </row>
    <row r="970">
      <c r="C970" s="22"/>
      <c r="Q970" s="22"/>
    </row>
    <row r="971">
      <c r="C971" s="22"/>
      <c r="Q971" s="22"/>
    </row>
    <row r="972">
      <c r="C972" s="22"/>
      <c r="Q972" s="22"/>
    </row>
    <row r="973">
      <c r="C973" s="22"/>
      <c r="Q973" s="22"/>
    </row>
    <row r="974">
      <c r="C974" s="22"/>
      <c r="Q974" s="22"/>
    </row>
    <row r="975">
      <c r="C975" s="22"/>
      <c r="Q975" s="22"/>
    </row>
    <row r="976">
      <c r="C976" s="22"/>
      <c r="Q976" s="22"/>
    </row>
    <row r="977">
      <c r="C977" s="22"/>
      <c r="Q977" s="22"/>
    </row>
    <row r="978">
      <c r="C978" s="22"/>
      <c r="Q978" s="22"/>
    </row>
    <row r="979">
      <c r="C979" s="22"/>
      <c r="Q979" s="22"/>
    </row>
    <row r="980">
      <c r="C980" s="22"/>
      <c r="Q980" s="22"/>
    </row>
    <row r="981">
      <c r="C981" s="22"/>
      <c r="Q981" s="22"/>
    </row>
    <row r="982">
      <c r="C982" s="22"/>
      <c r="Q982" s="22"/>
    </row>
    <row r="983">
      <c r="C983" s="22"/>
      <c r="Q983" s="22"/>
    </row>
    <row r="984">
      <c r="C984" s="22"/>
      <c r="Q984" s="22"/>
    </row>
    <row r="985">
      <c r="C985" s="22"/>
      <c r="Q985" s="22"/>
    </row>
    <row r="986">
      <c r="C986" s="22"/>
      <c r="Q986" s="22"/>
    </row>
    <row r="987">
      <c r="C987" s="22"/>
      <c r="Q987" s="22"/>
    </row>
    <row r="988">
      <c r="C988" s="22"/>
      <c r="Q988" s="22"/>
    </row>
    <row r="989">
      <c r="C989" s="22"/>
      <c r="Q989" s="22"/>
    </row>
    <row r="990">
      <c r="C990" s="22"/>
      <c r="Q990" s="22"/>
    </row>
    <row r="991">
      <c r="C991" s="22"/>
      <c r="Q991" s="22"/>
    </row>
    <row r="992">
      <c r="C992" s="22"/>
      <c r="Q992" s="22"/>
    </row>
    <row r="993">
      <c r="C993" s="22"/>
      <c r="Q993" s="22"/>
    </row>
    <row r="994">
      <c r="C994" s="22"/>
      <c r="Q994" s="22"/>
    </row>
    <row r="995">
      <c r="C995" s="22"/>
      <c r="Q995" s="22"/>
    </row>
    <row r="996">
      <c r="C996" s="22"/>
      <c r="Q996" s="22"/>
    </row>
    <row r="997">
      <c r="C997" s="22"/>
      <c r="Q997" s="22"/>
    </row>
    <row r="998">
      <c r="C998" s="22"/>
      <c r="Q998" s="22"/>
    </row>
    <row r="999">
      <c r="C999" s="22"/>
      <c r="Q999" s="22"/>
    </row>
    <row r="1000">
      <c r="C1000" s="22"/>
      <c r="Q1000" s="22"/>
    </row>
    <row r="1001">
      <c r="C1001" s="22"/>
      <c r="Q1001" s="22"/>
    </row>
    <row r="1002">
      <c r="C1002" s="22"/>
      <c r="Q1002" s="22"/>
    </row>
    <row r="1003">
      <c r="C1003" s="22"/>
      <c r="Q1003" s="22"/>
    </row>
    <row r="1004">
      <c r="C1004" s="22"/>
      <c r="Q1004" s="22"/>
    </row>
    <row r="1005">
      <c r="C1005" s="22"/>
      <c r="Q1005" s="22"/>
    </row>
    <row r="1006">
      <c r="C1006" s="22"/>
      <c r="Q1006" s="22"/>
    </row>
    <row r="1007">
      <c r="C1007" s="22"/>
      <c r="Q1007" s="22"/>
    </row>
    <row r="1008">
      <c r="C1008" s="22"/>
      <c r="Q1008" s="22"/>
    </row>
  </sheetData>
  <mergeCells count="7">
    <mergeCell ref="G3:G5"/>
    <mergeCell ref="U3:U5"/>
    <mergeCell ref="D20:E20"/>
    <mergeCell ref="D35:E35"/>
    <mergeCell ref="D45:E45"/>
    <mergeCell ref="D51:E51"/>
    <mergeCell ref="D56:E56"/>
  </mergeCells>
  <hyperlinks>
    <hyperlink r:id="rId1" ref="C21"/>
    <hyperlink r:id="rId2" ref="C48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2022-02-23T07:21:21Z</dcterms:created>
  <dc:creator>Juliette Berger</dc:creator>
</cp:coreProperties>
</file>