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ithub\KAUST\productionAmmoniaOptModel\dataInputs\"/>
    </mc:Choice>
  </mc:AlternateContent>
  <xr:revisionPtr revIDLastSave="0" documentId="13_ncr:1_{13461EEE-7806-4F8E-B9A8-1EC660ECDAD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ystemSettings" sheetId="1" r:id="rId1"/>
    <sheet name="eyUnitSettings" sheetId="2" r:id="rId2"/>
    <sheet name="eyUnitExplan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2" i="1"/>
  <c r="B4" i="2"/>
  <c r="B3" i="2"/>
  <c r="C3" i="2" s="1"/>
  <c r="C4" i="2"/>
  <c r="B2" i="2"/>
  <c r="B8" i="1"/>
  <c r="E3" i="2"/>
  <c r="E4" i="2"/>
  <c r="B15" i="1"/>
  <c r="B26" i="1"/>
  <c r="B22" i="1"/>
  <c r="E2" i="2" l="1"/>
  <c r="B14" i="1" l="1"/>
  <c r="B21" i="1" s="1"/>
  <c r="C2" i="2"/>
  <c r="B28" i="1"/>
  <c r="B27" i="1"/>
  <c r="B20" i="1"/>
  <c r="B19" i="1"/>
  <c r="B18" i="1"/>
  <c r="B17" i="1"/>
  <c r="B24" i="1" s="1"/>
  <c r="B16" i="1"/>
  <c r="B23" i="1" s="1"/>
  <c r="B10" i="1"/>
  <c r="B9" i="1"/>
</calcChain>
</file>

<file path=xl/sharedStrings.xml><?xml version="1.0" encoding="utf-8"?>
<sst xmlns="http://schemas.openxmlformats.org/spreadsheetml/2006/main" count="133" uniqueCount="77">
  <si>
    <t>Name</t>
  </si>
  <si>
    <t>capexEY</t>
  </si>
  <si>
    <t>fixedOpexEY</t>
  </si>
  <si>
    <t>variableOpexEY</t>
  </si>
  <si>
    <t>energyUseEY</t>
  </si>
  <si>
    <t>stackSize</t>
  </si>
  <si>
    <t>Just name of ey unit (does not impact model)</t>
  </si>
  <si>
    <t>$/MW</t>
  </si>
  <si>
    <t>MWh/kg H2</t>
  </si>
  <si>
    <t>MW-how big modules are</t>
  </si>
  <si>
    <t>ParamName</t>
  </si>
  <si>
    <t>Value</t>
  </si>
  <si>
    <t>Unit</t>
  </si>
  <si>
    <t>Source</t>
  </si>
  <si>
    <t>ammoniaDemand</t>
  </si>
  <si>
    <t>hsStoreEfficiency</t>
  </si>
  <si>
    <t xml:space="preserve"> percentage</t>
  </si>
  <si>
    <t>hsDeployEfficiency</t>
  </si>
  <si>
    <t>bsStoreEfficiency</t>
  </si>
  <si>
    <t>bsDeployEfficiency</t>
  </si>
  <si>
    <t>hbHydrogenEfficiency</t>
  </si>
  <si>
    <t xml:space="preserve"> percentage (ratio of hydrogen input to get out 1 unit of ammonia)</t>
  </si>
  <si>
    <t>Chemical Eqn (will need to change for efficiencies)</t>
  </si>
  <si>
    <t>hbNitrogenEfficiency</t>
  </si>
  <si>
    <t xml:space="preserve"> percentage (ratio of nitrogen input to get out 1 unit of ammonia)</t>
  </si>
  <si>
    <t>capexWind</t>
  </si>
  <si>
    <t>capexSolar</t>
  </si>
  <si>
    <t>capexHS</t>
  </si>
  <si>
    <t>capexBS</t>
  </si>
  <si>
    <t>Lazard’s Levelized Cost of Storage Analysis—Version 6.0</t>
  </si>
  <si>
    <t>capexASU</t>
  </si>
  <si>
    <t>capexHB</t>
  </si>
  <si>
    <t>fixedOpexWind</t>
  </si>
  <si>
    <t>Lazard source</t>
  </si>
  <si>
    <t>fixedOpexSolar</t>
  </si>
  <si>
    <t>fixedOpexHS</t>
  </si>
  <si>
    <t>2% of CAPEX</t>
  </si>
  <si>
    <t>fixedOpexBS</t>
  </si>
  <si>
    <t>fixedOpexASU</t>
  </si>
  <si>
    <t>fixedOpexHB</t>
  </si>
  <si>
    <t>energyUseHS</t>
  </si>
  <si>
    <t>PLACEHOLDER</t>
  </si>
  <si>
    <t>energyUseASU</t>
  </si>
  <si>
    <t>MWh/kg N2</t>
  </si>
  <si>
    <t>from https://www-rsc-org.proxy.lib.umich.edu/suppdata/d0/ee/d0ee01707h/d0ee01707h1.pdf</t>
  </si>
  <si>
    <t>energyUseHB</t>
  </si>
  <si>
    <t>MWh/kg NH3</t>
  </si>
  <si>
    <t>minCapacityASU</t>
  </si>
  <si>
    <t>percentage</t>
  </si>
  <si>
    <t xml:space="preserve">minCapacityHB </t>
  </si>
  <si>
    <t>years</t>
  </si>
  <si>
    <t>plantLifetime</t>
  </si>
  <si>
    <t>r</t>
  </si>
  <si>
    <t>$/kg</t>
  </si>
  <si>
    <t>U.S. Energy Information Administration - EIA - Independent Statistics and Analysis</t>
  </si>
  <si>
    <t>Low Boil off rate: https://www.utwente.nl/en/tnw/ems/research/ats/chmt/m13-hendrie-derking-cryoworld-chmt-2019.pdf</t>
  </si>
  <si>
    <t>$/MWh</t>
  </si>
  <si>
    <t>https://www-rsc-org.proxy.lib.umich.edu/suppdata/d0/ee/d0ee01707h/d0ee01707h1.pdf</t>
  </si>
  <si>
    <t>User Input</t>
  </si>
  <si>
    <t>rampingRateASU</t>
  </si>
  <si>
    <t>rampingRateHB</t>
  </si>
  <si>
    <t>kg/day</t>
  </si>
  <si>
    <t>Flexible production of green hydrogen and ammonia from variable solar and wind energy: Case study of Chile and Argentina - ScienceDirect (umich.edu)</t>
  </si>
  <si>
    <t>The rest are from the main paper:  from https://www-rsc-org.proxy.lib.umich.edu/suppdata/d0/ee/d0ee01707h/d0ee01707h1.pdf</t>
  </si>
  <si>
    <t>small</t>
  </si>
  <si>
    <t>fcDeployEfficiency</t>
  </si>
  <si>
    <t>capexFC</t>
  </si>
  <si>
    <t>fixedOpexFC</t>
  </si>
  <si>
    <t>energyDensityFC</t>
  </si>
  <si>
    <t>Equations</t>
  </si>
  <si>
    <t>fcLifetime</t>
  </si>
  <si>
    <t>medium</t>
  </si>
  <si>
    <t>large</t>
  </si>
  <si>
    <t>%/hour</t>
  </si>
  <si>
    <t>Large-scale production and transport of hydrogen from Norway to Europe and Japan: Value chain analysis and comparison of liquid hydrogen and ammonia as energy carriers - ScienceDirect (umich.edu)</t>
  </si>
  <si>
    <t>hsVaporizationRate</t>
  </si>
  <si>
    <t>utilizationRatio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</si>
</sst>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3" formatCode="_(* #,##0.00_);_(* \(#,##0.00\);_(* &quot;-&quot;??_);_(@_)"/>
    <numFmt numFmtId="164" formatCode="#,##0.000000"/>
    <numFmt numFmtId="165" formatCode="#,##0.000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7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7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7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0" fontId="5" fillId="0" borderId="0" xfId="2"/>
    <xf numFmtId="43" fontId="2" fillId="0" borderId="1" xfId="3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0" fillId="0" borderId="0" xfId="1" applyNumberFormat="1" applyFont="1" applyAlignment="1">
      <alignment horizontal="right"/>
    </xf>
    <xf numFmtId="0" fontId="0" fillId="0" borderId="0" xfId="0" applyFill="1" applyAlignment="1"/>
    <xf numFmtId="4" fontId="2" fillId="0" borderId="1" xfId="0" applyNumberFormat="1" applyFont="1" applyFill="1" applyBorder="1" applyAlignment="1">
      <alignment horizontal="right"/>
    </xf>
    <xf numFmtId="0" fontId="5" fillId="0" borderId="0" xfId="2" applyFill="1"/>
    <xf numFmtId="0" fontId="0" fillId="0" borderId="0" xfId="0" applyFill="1"/>
    <xf numFmtId="7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9" fontId="0" fillId="0" borderId="0" xfId="1" applyFont="1" applyAlignment="1">
      <alignment horizontal="right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-sciencedirect-com.proxy.lib.umich.edu/science/article/pii/S036031992033384X" TargetMode="External"/><Relationship Id="rId2" Type="http://schemas.openxmlformats.org/officeDocument/2006/relationships/hyperlink" Target="https://www.eia.gov/todayinenergy/detail.php?id=46756" TargetMode="External"/><Relationship Id="rId1" Type="http://schemas.openxmlformats.org/officeDocument/2006/relationships/hyperlink" Target="https://www.eia.gov/todayinenergy/detail.php?id=46756" TargetMode="External"/><Relationship Id="rId5" Type="http://schemas.openxmlformats.org/officeDocument/2006/relationships/hyperlink" Target="https://www-sciencedirect-com.proxy.lib.umich.edu/science/article/pii/S0360319919342089" TargetMode="External"/><Relationship Id="rId4" Type="http://schemas.openxmlformats.org/officeDocument/2006/relationships/hyperlink" Target="https://www-sciencedirect-com.proxy.lib.umich.edu/science/article/pii/S036031991934208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-sciencedirect-com.proxy.lib.umich.edu/science/article/pii/S03603199193420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0"/>
  <sheetViews>
    <sheetView topLeftCell="A28" zoomScale="145" zoomScaleNormal="145" workbookViewId="0">
      <selection activeCell="B20" sqref="B20"/>
    </sheetView>
  </sheetViews>
  <sheetFormatPr defaultRowHeight="14.4" x14ac:dyDescent="0.3"/>
  <cols>
    <col min="1" max="1" width="31.33203125" style="2" bestFit="1" customWidth="1"/>
    <col min="2" max="2" width="18" style="7" bestFit="1" customWidth="1"/>
    <col min="3" max="3" width="55.6640625" style="2" bestFit="1" customWidth="1"/>
    <col min="4" max="4" width="48.109375" style="2" bestFit="1" customWidth="1"/>
    <col min="5" max="5" width="21.6640625" style="2" bestFit="1" customWidth="1"/>
    <col min="6" max="6" width="16.33203125" style="2" bestFit="1" customWidth="1"/>
  </cols>
  <sheetData>
    <row r="1" spans="1:6" ht="18.75" customHeight="1" x14ac:dyDescent="0.3">
      <c r="A1" s="1" t="s">
        <v>10</v>
      </c>
      <c r="B1" s="3" t="s">
        <v>11</v>
      </c>
      <c r="C1" s="1" t="s">
        <v>12</v>
      </c>
      <c r="D1" s="1" t="s">
        <v>13</v>
      </c>
      <c r="E1" s="1"/>
      <c r="F1" s="1"/>
    </row>
    <row r="2" spans="1:6" ht="19.5" customHeight="1" x14ac:dyDescent="0.3">
      <c r="A2" s="1" t="s">
        <v>14</v>
      </c>
      <c r="B2" s="5">
        <f>3288*1000</f>
        <v>3288000</v>
      </c>
      <c r="C2" s="1" t="s">
        <v>61</v>
      </c>
      <c r="D2" s="1" t="s">
        <v>58</v>
      </c>
      <c r="E2" s="1"/>
      <c r="F2" s="1"/>
    </row>
    <row r="3" spans="1:6" ht="19.5" customHeight="1" x14ac:dyDescent="0.3">
      <c r="A3" s="1" t="s">
        <v>15</v>
      </c>
      <c r="B3" s="9">
        <v>0.98</v>
      </c>
      <c r="C3" s="1" t="s">
        <v>16</v>
      </c>
      <c r="D3" s="1" t="s">
        <v>55</v>
      </c>
      <c r="E3" s="1"/>
      <c r="F3" s="1"/>
    </row>
    <row r="4" spans="1:6" ht="19.5" customHeight="1" x14ac:dyDescent="0.3">
      <c r="A4" s="1" t="s">
        <v>17</v>
      </c>
      <c r="B4" s="9">
        <v>0.98</v>
      </c>
      <c r="C4" s="1" t="s">
        <v>16</v>
      </c>
      <c r="D4" s="2" t="s">
        <v>55</v>
      </c>
      <c r="E4" s="1"/>
      <c r="F4" s="1"/>
    </row>
    <row r="5" spans="1:6" ht="19.5" customHeight="1" x14ac:dyDescent="0.3">
      <c r="A5" s="1" t="s">
        <v>18</v>
      </c>
      <c r="B5" s="9">
        <v>0.9</v>
      </c>
      <c r="C5" s="1" t="s">
        <v>16</v>
      </c>
      <c r="D5" s="13" t="s">
        <v>54</v>
      </c>
      <c r="E5" s="1"/>
      <c r="F5" s="1"/>
    </row>
    <row r="6" spans="1:6" ht="19.5" customHeight="1" x14ac:dyDescent="0.3">
      <c r="A6" s="1" t="s">
        <v>19</v>
      </c>
      <c r="B6" s="9">
        <v>0.9</v>
      </c>
      <c r="C6" s="1" t="s">
        <v>16</v>
      </c>
      <c r="D6" s="13" t="s">
        <v>54</v>
      </c>
      <c r="E6" s="1"/>
      <c r="F6" s="1"/>
    </row>
    <row r="7" spans="1:6" s="20" customFormat="1" ht="19.5" customHeight="1" x14ac:dyDescent="0.3">
      <c r="A7" s="17" t="s">
        <v>65</v>
      </c>
      <c r="B7" s="18">
        <v>0.5</v>
      </c>
      <c r="C7" s="17" t="s">
        <v>48</v>
      </c>
      <c r="D7" s="19" t="s">
        <v>57</v>
      </c>
      <c r="E7" s="17"/>
      <c r="F7" s="17"/>
    </row>
    <row r="8" spans="1:6" s="20" customFormat="1" ht="19.5" customHeight="1" x14ac:dyDescent="0.3">
      <c r="A8" s="17" t="s">
        <v>75</v>
      </c>
      <c r="B8" s="24">
        <f>0.1/24</f>
        <v>4.1666666666666666E-3</v>
      </c>
      <c r="C8" s="17" t="s">
        <v>73</v>
      </c>
      <c r="D8" s="13" t="s">
        <v>74</v>
      </c>
      <c r="E8" s="17"/>
      <c r="F8" s="17"/>
    </row>
    <row r="9" spans="1:6" ht="19.5" customHeight="1" x14ac:dyDescent="0.3">
      <c r="A9" s="1" t="s">
        <v>20</v>
      </c>
      <c r="B9" s="9">
        <f>177/1000</f>
        <v>0.17699999999999999</v>
      </c>
      <c r="C9" s="1" t="s">
        <v>21</v>
      </c>
      <c r="D9" s="1" t="s">
        <v>22</v>
      </c>
      <c r="E9" s="1"/>
      <c r="F9" s="1"/>
    </row>
    <row r="10" spans="1:6" ht="19.5" customHeight="1" x14ac:dyDescent="0.3">
      <c r="A10" s="1" t="s">
        <v>23</v>
      </c>
      <c r="B10" s="9">
        <f>823/1000</f>
        <v>0.82299999999999995</v>
      </c>
      <c r="C10" s="1" t="s">
        <v>24</v>
      </c>
      <c r="D10" s="1" t="s">
        <v>22</v>
      </c>
      <c r="E10" s="1"/>
      <c r="F10" s="1"/>
    </row>
    <row r="11" spans="1:6" ht="19.5" customHeight="1" x14ac:dyDescent="0.3">
      <c r="A11" s="1" t="s">
        <v>25</v>
      </c>
      <c r="B11" s="6">
        <f>1200*1000</f>
        <v>1200000</v>
      </c>
      <c r="C11" s="10" t="s">
        <v>7</v>
      </c>
      <c r="D11" s="13" t="s">
        <v>62</v>
      </c>
      <c r="E11" s="1"/>
      <c r="F11" s="1"/>
    </row>
    <row r="12" spans="1:6" ht="19.5" customHeight="1" x14ac:dyDescent="0.3">
      <c r="A12" s="1" t="s">
        <v>26</v>
      </c>
      <c r="B12" s="6">
        <f>740*1000</f>
        <v>740000</v>
      </c>
      <c r="C12" s="10" t="s">
        <v>7</v>
      </c>
      <c r="D12" s="13" t="s">
        <v>62</v>
      </c>
      <c r="E12" s="1"/>
      <c r="F12" s="1"/>
    </row>
    <row r="13" spans="1:6" ht="19.5" customHeight="1" x14ac:dyDescent="0.3">
      <c r="A13" s="1" t="s">
        <v>27</v>
      </c>
      <c r="B13" s="5">
        <v>500</v>
      </c>
      <c r="C13" s="10" t="s">
        <v>53</v>
      </c>
      <c r="D13" s="11" t="s">
        <v>57</v>
      </c>
      <c r="E13" s="1"/>
      <c r="F13" s="1"/>
    </row>
    <row r="14" spans="1:6" ht="19.5" customHeight="1" x14ac:dyDescent="0.3">
      <c r="A14" s="1" t="s">
        <v>28</v>
      </c>
      <c r="B14" s="6">
        <f>400*1000</f>
        <v>400000</v>
      </c>
      <c r="C14" s="10" t="s">
        <v>56</v>
      </c>
      <c r="D14" s="11" t="s">
        <v>29</v>
      </c>
      <c r="E14" s="1"/>
      <c r="F14" s="1"/>
    </row>
    <row r="15" spans="1:6" s="20" customFormat="1" ht="19.5" customHeight="1" x14ac:dyDescent="0.3">
      <c r="A15" s="17" t="s">
        <v>66</v>
      </c>
      <c r="B15" s="21">
        <f>960*1000</f>
        <v>960000</v>
      </c>
      <c r="C15" s="22" t="s">
        <v>7</v>
      </c>
      <c r="D15" s="11" t="s">
        <v>57</v>
      </c>
      <c r="E15" s="17"/>
      <c r="F15" s="17"/>
    </row>
    <row r="16" spans="1:6" ht="19.5" customHeight="1" x14ac:dyDescent="0.3">
      <c r="A16" s="1" t="s">
        <v>30</v>
      </c>
      <c r="B16" s="6">
        <f>(13182*1000)</f>
        <v>13182000</v>
      </c>
      <c r="C16" s="10" t="s">
        <v>7</v>
      </c>
      <c r="D16" s="11" t="s">
        <v>57</v>
      </c>
      <c r="E16" s="6"/>
      <c r="F16" s="6"/>
    </row>
    <row r="17" spans="1:6" ht="19.5" customHeight="1" x14ac:dyDescent="0.3">
      <c r="A17" s="1" t="s">
        <v>31</v>
      </c>
      <c r="B17" s="6">
        <f>6467*1000</f>
        <v>6467000</v>
      </c>
      <c r="C17" s="10" t="s">
        <v>7</v>
      </c>
      <c r="D17" s="11" t="s">
        <v>57</v>
      </c>
      <c r="E17" s="1"/>
      <c r="F17" s="1"/>
    </row>
    <row r="18" spans="1:6" ht="19.5" customHeight="1" x14ac:dyDescent="0.3">
      <c r="A18" s="1" t="s">
        <v>32</v>
      </c>
      <c r="B18" s="6">
        <f>35*1000</f>
        <v>35000</v>
      </c>
      <c r="C18" s="10" t="s">
        <v>7</v>
      </c>
      <c r="D18" s="1" t="s">
        <v>33</v>
      </c>
      <c r="E18" s="1"/>
      <c r="F18" s="1"/>
    </row>
    <row r="19" spans="1:6" ht="19.5" customHeight="1" x14ac:dyDescent="0.3">
      <c r="A19" s="1" t="s">
        <v>34</v>
      </c>
      <c r="B19" s="6">
        <f>10*1000</f>
        <v>10000</v>
      </c>
      <c r="C19" s="10" t="s">
        <v>7</v>
      </c>
      <c r="D19" s="1" t="s">
        <v>33</v>
      </c>
      <c r="E19" s="1"/>
      <c r="F19" s="1"/>
    </row>
    <row r="20" spans="1:6" ht="18.75" customHeight="1" x14ac:dyDescent="0.3">
      <c r="A20" s="1" t="s">
        <v>35</v>
      </c>
      <c r="B20" s="5">
        <f>0.02*B13</f>
        <v>10</v>
      </c>
      <c r="C20" s="10" t="s">
        <v>7</v>
      </c>
      <c r="D20" s="1" t="s">
        <v>36</v>
      </c>
      <c r="E20" s="1"/>
      <c r="F20" s="1"/>
    </row>
    <row r="21" spans="1:6" ht="18.75" customHeight="1" x14ac:dyDescent="0.3">
      <c r="A21" s="1" t="s">
        <v>37</v>
      </c>
      <c r="B21" s="5">
        <f>0.02*B14</f>
        <v>8000</v>
      </c>
      <c r="C21" s="10" t="s">
        <v>56</v>
      </c>
      <c r="D21" s="1" t="s">
        <v>36</v>
      </c>
      <c r="E21" s="1"/>
      <c r="F21" s="1"/>
    </row>
    <row r="22" spans="1:6" s="20" customFormat="1" ht="18.75" customHeight="1" x14ac:dyDescent="0.3">
      <c r="A22" s="17" t="s">
        <v>67</v>
      </c>
      <c r="B22" s="23">
        <f>0.02*B15</f>
        <v>19200</v>
      </c>
      <c r="C22" s="22" t="s">
        <v>7</v>
      </c>
      <c r="D22" s="17" t="s">
        <v>36</v>
      </c>
      <c r="E22" s="17"/>
      <c r="F22" s="17"/>
    </row>
    <row r="23" spans="1:6" ht="18.75" customHeight="1" x14ac:dyDescent="0.3">
      <c r="A23" s="1" t="s">
        <v>38</v>
      </c>
      <c r="B23" s="5">
        <f>0.02*B16</f>
        <v>263640</v>
      </c>
      <c r="C23" s="10" t="s">
        <v>7</v>
      </c>
      <c r="D23" s="1" t="s">
        <v>36</v>
      </c>
      <c r="E23" s="1"/>
      <c r="F23" s="1"/>
    </row>
    <row r="24" spans="1:6" ht="18.75" customHeight="1" x14ac:dyDescent="0.3">
      <c r="A24" s="1" t="s">
        <v>39</v>
      </c>
      <c r="B24" s="5">
        <f>0.02*B17</f>
        <v>129340</v>
      </c>
      <c r="C24" s="10" t="s">
        <v>7</v>
      </c>
      <c r="D24" s="1" t="s">
        <v>36</v>
      </c>
      <c r="E24" s="1"/>
      <c r="F24" s="1"/>
    </row>
    <row r="25" spans="1:6" ht="18.75" customHeight="1" x14ac:dyDescent="0.3">
      <c r="A25" s="1" t="s">
        <v>40</v>
      </c>
      <c r="B25" s="12">
        <v>0</v>
      </c>
      <c r="C25" s="10" t="s">
        <v>8</v>
      </c>
      <c r="D25" s="2" t="s">
        <v>41</v>
      </c>
      <c r="E25" s="1"/>
      <c r="F25" s="1"/>
    </row>
    <row r="26" spans="1:6" ht="18.75" customHeight="1" x14ac:dyDescent="0.3">
      <c r="A26" s="2" t="s">
        <v>68</v>
      </c>
      <c r="B26" s="12">
        <f>33.6/1000</f>
        <v>3.3600000000000005E-2</v>
      </c>
      <c r="C26" s="10" t="s">
        <v>8</v>
      </c>
      <c r="D26" s="2" t="s">
        <v>69</v>
      </c>
    </row>
    <row r="27" spans="1:6" ht="18.75" customHeight="1" x14ac:dyDescent="0.3">
      <c r="A27" s="1" t="s">
        <v>42</v>
      </c>
      <c r="B27" s="12">
        <f>0.11/1000</f>
        <v>1.1E-4</v>
      </c>
      <c r="C27" s="1" t="s">
        <v>43</v>
      </c>
      <c r="D27" s="2" t="s">
        <v>44</v>
      </c>
      <c r="E27" s="1"/>
      <c r="F27" s="1"/>
    </row>
    <row r="28" spans="1:6" ht="18.75" customHeight="1" x14ac:dyDescent="0.3">
      <c r="A28" s="1" t="s">
        <v>45</v>
      </c>
      <c r="B28" s="12">
        <f>0.532/1000</f>
        <v>5.3200000000000003E-4</v>
      </c>
      <c r="C28" s="1" t="s">
        <v>46</v>
      </c>
      <c r="D28" s="2" t="s">
        <v>44</v>
      </c>
      <c r="E28" s="1"/>
      <c r="F28" s="1"/>
    </row>
    <row r="29" spans="1:6" ht="18.75" customHeight="1" x14ac:dyDescent="0.3">
      <c r="A29" s="1" t="s">
        <v>47</v>
      </c>
      <c r="B29" s="9">
        <v>0.2</v>
      </c>
      <c r="C29" s="1" t="s">
        <v>48</v>
      </c>
      <c r="D29" s="2" t="s">
        <v>44</v>
      </c>
      <c r="E29" s="1"/>
      <c r="F29" s="1"/>
    </row>
    <row r="30" spans="1:6" ht="18.75" customHeight="1" x14ac:dyDescent="0.3">
      <c r="A30" s="1" t="s">
        <v>49</v>
      </c>
      <c r="B30" s="9">
        <v>0.2</v>
      </c>
      <c r="C30" s="1" t="s">
        <v>48</v>
      </c>
      <c r="D30" s="2" t="s">
        <v>44</v>
      </c>
      <c r="E30" s="1"/>
      <c r="F30" s="1"/>
    </row>
    <row r="31" spans="1:6" ht="18.75" customHeight="1" x14ac:dyDescent="0.3">
      <c r="A31" s="1" t="s">
        <v>51</v>
      </c>
      <c r="B31" s="5">
        <v>30</v>
      </c>
      <c r="C31" s="1" t="s">
        <v>50</v>
      </c>
      <c r="D31" s="2" t="s">
        <v>44</v>
      </c>
      <c r="E31" s="1"/>
      <c r="F31" s="1"/>
    </row>
    <row r="32" spans="1:6" s="20" customFormat="1" ht="18.75" customHeight="1" x14ac:dyDescent="0.3">
      <c r="A32" s="17" t="s">
        <v>70</v>
      </c>
      <c r="B32" s="23">
        <v>5</v>
      </c>
      <c r="C32" s="17" t="s">
        <v>50</v>
      </c>
      <c r="D32" s="17" t="s">
        <v>44</v>
      </c>
      <c r="E32" s="17"/>
      <c r="F32" s="17"/>
    </row>
    <row r="33" spans="1:6" ht="18.75" customHeight="1" x14ac:dyDescent="0.3">
      <c r="A33" s="2" t="s">
        <v>59</v>
      </c>
      <c r="B33" s="9">
        <v>0.2</v>
      </c>
      <c r="C33" s="2" t="s">
        <v>48</v>
      </c>
      <c r="D33" s="2" t="s">
        <v>44</v>
      </c>
    </row>
    <row r="34" spans="1:6" ht="18.75" customHeight="1" x14ac:dyDescent="0.3">
      <c r="A34" s="2" t="s">
        <v>60</v>
      </c>
      <c r="B34" s="9">
        <v>0.2</v>
      </c>
      <c r="C34" s="2" t="s">
        <v>48</v>
      </c>
      <c r="D34" s="2" t="s">
        <v>44</v>
      </c>
    </row>
    <row r="35" spans="1:6" ht="18.75" customHeight="1" x14ac:dyDescent="0.3">
      <c r="A35" s="2" t="s">
        <v>52</v>
      </c>
      <c r="B35" s="16">
        <v>0.08</v>
      </c>
      <c r="C35" s="2" t="s">
        <v>48</v>
      </c>
      <c r="D35" s="2" t="s">
        <v>44</v>
      </c>
      <c r="E35" s="1"/>
      <c r="F35" s="1"/>
    </row>
    <row r="36" spans="1:6" ht="18.75" customHeight="1" x14ac:dyDescent="0.3">
      <c r="A36" s="2" t="s">
        <v>76</v>
      </c>
      <c r="B36" s="25">
        <v>0.95</v>
      </c>
      <c r="C36" s="2" t="s">
        <v>48</v>
      </c>
      <c r="D36" s="2" t="s">
        <v>44</v>
      </c>
      <c r="E36" s="1"/>
      <c r="F36" s="1"/>
    </row>
    <row r="37" spans="1:6" ht="18.75" customHeight="1" x14ac:dyDescent="0.3">
      <c r="E37" s="1"/>
      <c r="F37" s="1"/>
    </row>
    <row r="38" spans="1:6" ht="18.75" customHeight="1" x14ac:dyDescent="0.3">
      <c r="E38" s="1"/>
      <c r="F38" s="1"/>
    </row>
    <row r="39" spans="1:6" ht="18.75" customHeight="1" x14ac:dyDescent="0.3">
      <c r="E39" s="1"/>
      <c r="F39" s="1"/>
    </row>
    <row r="40" spans="1:6" ht="18.75" customHeight="1" x14ac:dyDescent="0.3">
      <c r="D40" s="1"/>
      <c r="E40" s="1"/>
      <c r="F40" s="1"/>
    </row>
  </sheetData>
  <hyperlinks>
    <hyperlink ref="D5" r:id="rId1" display="https://www.eia.gov/todayinenergy/detail.php?id=46756" xr:uid="{42A22C02-7EB7-413C-977A-B6FEDF598BB5}"/>
    <hyperlink ref="D6" r:id="rId2" display="https://www.eia.gov/todayinenergy/detail.php?id=46756" xr:uid="{6E0F255B-D62E-4ACA-B20D-3797B3854F10}"/>
    <hyperlink ref="D8" r:id="rId3" location="sec1" display="https://www-sciencedirect-com.proxy.lib.umich.edu/science/article/pii/S036031992033384X - sec1" xr:uid="{B3C7EFC7-C802-40EA-B68D-E316BAD7929E}"/>
    <hyperlink ref="D11" r:id="rId4" display="https://www-sciencedirect-com.proxy.lib.umich.edu/science/article/pii/S0360319919342089" xr:uid="{75C1FD56-A961-4581-B696-CB54657F8924}"/>
    <hyperlink ref="D12" r:id="rId5" display="https://www-sciencedirect-com.proxy.lib.umich.edu/science/article/pii/S0360319919342089" xr:uid="{5D82AAED-F983-4757-99D8-57822F68FB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"/>
  <sheetViews>
    <sheetView workbookViewId="0">
      <selection activeCell="C8" sqref="C8"/>
    </sheetView>
  </sheetViews>
  <sheetFormatPr defaultRowHeight="14.4" x14ac:dyDescent="0.3"/>
  <cols>
    <col min="1" max="1" width="13.5546875" style="7" bestFit="1" customWidth="1"/>
    <col min="2" max="2" width="13.109375" style="8" bestFit="1" customWidth="1"/>
    <col min="3" max="3" width="11.33203125" style="8" bestFit="1" customWidth="1"/>
    <col min="4" max="4" width="16.33203125" style="7" bestFit="1" customWidth="1"/>
    <col min="5" max="5" width="26.6640625" style="8" bestFit="1" customWidth="1"/>
    <col min="6" max="6" width="33.33203125" style="7" bestFit="1" customWidth="1"/>
  </cols>
  <sheetData>
    <row r="1" spans="1:6" ht="18.75" customHeight="1" x14ac:dyDescent="0.3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3" t="s">
        <v>5</v>
      </c>
    </row>
    <row r="2" spans="1:6" ht="18.75" customHeight="1" x14ac:dyDescent="0.3">
      <c r="A2" s="5" t="s">
        <v>64</v>
      </c>
      <c r="B2" s="6">
        <f>600*1000</f>
        <v>600000</v>
      </c>
      <c r="C2" s="6">
        <f>0.02*B2</f>
        <v>12000</v>
      </c>
      <c r="D2" s="15">
        <v>5.3999999999999999E-2</v>
      </c>
      <c r="E2" s="14">
        <f>(47.571/0.934)/1000</f>
        <v>5.0932548179871515E-2</v>
      </c>
      <c r="F2" s="5">
        <v>1</v>
      </c>
    </row>
    <row r="3" spans="1:6" x14ac:dyDescent="0.3">
      <c r="A3" s="7" t="s">
        <v>71</v>
      </c>
      <c r="B3" s="6">
        <f>550*1000</f>
        <v>550000</v>
      </c>
      <c r="C3" s="6">
        <f t="shared" ref="C3:C4" si="0">0.02*B3</f>
        <v>11000</v>
      </c>
      <c r="D3" s="15">
        <v>5.3999999999999999E-2</v>
      </c>
      <c r="E3" s="14">
        <f t="shared" ref="E3:E4" si="1">(47.571/0.934)/1000</f>
        <v>5.0932548179871515E-2</v>
      </c>
      <c r="F3" s="7">
        <v>10</v>
      </c>
    </row>
    <row r="4" spans="1:6" x14ac:dyDescent="0.3">
      <c r="A4" s="7" t="s">
        <v>72</v>
      </c>
      <c r="B4" s="6">
        <f>500*1000</f>
        <v>500000</v>
      </c>
      <c r="C4" s="6">
        <f t="shared" si="0"/>
        <v>10000</v>
      </c>
      <c r="D4" s="15">
        <v>5.3999999999999999E-2</v>
      </c>
      <c r="E4" s="14">
        <f t="shared" si="1"/>
        <v>5.0932548179871515E-2</v>
      </c>
      <c r="F4" s="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5"/>
  <sheetViews>
    <sheetView tabSelected="1" workbookViewId="0">
      <selection activeCell="D16" sqref="D16"/>
    </sheetView>
  </sheetViews>
  <sheetFormatPr defaultRowHeight="14.4" x14ac:dyDescent="0.3"/>
  <cols>
    <col min="1" max="1" width="38.33203125" style="2" bestFit="1" customWidth="1"/>
    <col min="2" max="4" width="13.5546875" style="2" bestFit="1" customWidth="1"/>
    <col min="5" max="5" width="11.5546875" style="2" bestFit="1" customWidth="1"/>
    <col min="6" max="6" width="13.5546875" style="2" bestFit="1" customWidth="1"/>
  </cols>
  <sheetData>
    <row r="1" spans="1:6" ht="18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8.75" customHeight="1" x14ac:dyDescent="0.3">
      <c r="A2" s="1" t="s">
        <v>6</v>
      </c>
      <c r="B2" s="1" t="s">
        <v>7</v>
      </c>
      <c r="C2" s="1" t="s">
        <v>7</v>
      </c>
      <c r="D2" s="1" t="s">
        <v>53</v>
      </c>
      <c r="E2" s="1" t="s">
        <v>8</v>
      </c>
      <c r="F2" s="1" t="s">
        <v>9</v>
      </c>
    </row>
    <row r="3" spans="1:6" x14ac:dyDescent="0.3">
      <c r="F3"/>
    </row>
    <row r="4" spans="1:6" x14ac:dyDescent="0.3">
      <c r="A4" s="2" t="s">
        <v>13</v>
      </c>
      <c r="D4" s="13" t="s">
        <v>62</v>
      </c>
    </row>
    <row r="5" spans="1:6" x14ac:dyDescent="0.3">
      <c r="B5" s="2" t="s">
        <v>63</v>
      </c>
    </row>
  </sheetData>
  <hyperlinks>
    <hyperlink ref="D4" r:id="rId1" display="https://www-sciencedirect-com.proxy.lib.umich.edu/science/article/pii/S0360319919342089" xr:uid="{CEC888E5-235A-4FAB-ACAF-0164CD000A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systemSettings</vt:lpstr>
      <vt:lpstr>eyUnitSettings</vt:lpstr>
      <vt:lpstr>eyUnitExplanation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Florez</cp:lastModifiedBy>
  <dcterms:created xsi:type="dcterms:W3CDTF">2022-05-25T10:38:51Z</dcterms:created>
  <dcterms:modified xsi:type="dcterms:W3CDTF">2022-07-26T13:14:19Z</dcterms:modified>
</cp:coreProperties>
</file>