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juliakourelakos/Documents/EDAL-data-storage/"/>
    </mc:Choice>
  </mc:AlternateContent>
  <xr:revisionPtr revIDLastSave="0" documentId="13_ncr:1_{83024C7B-3B43-DA4E-9899-854A90DB048F}" xr6:coauthVersionLast="47" xr6:coauthVersionMax="47" xr10:uidLastSave="{00000000-0000-0000-0000-000000000000}"/>
  <bookViews>
    <workbookView xWindow="0" yWindow="500" windowWidth="28800" windowHeight="15840" xr2:uid="{612F3FEF-B1AB-494B-9BB3-62CFC07BC7BA}"/>
  </bookViews>
  <sheets>
    <sheet name="CO2 Calculation" sheetId="1" r:id="rId1"/>
    <sheet name="Fuel Mix Assumptions" sheetId="7" r:id="rId2"/>
    <sheet name="Emissions Factors" sheetId="5" r:id="rId3"/>
    <sheet name="Unit Conversions" sheetId="2" r:id="rId4"/>
  </sheets>
  <definedNames>
    <definedName name="Geographic_Area">'CO2 Calculation'!$A$2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 i="7" l="1"/>
  <c r="J3" i="7"/>
  <c r="G3" i="7"/>
  <c r="L3" i="7" s="1"/>
  <c r="Q3" i="7" s="1"/>
  <c r="B7" i="1" s="1"/>
  <c r="C8" i="1"/>
  <c r="C4" i="2"/>
  <c r="C7" i="1"/>
  <c r="L5" i="7"/>
  <c r="Q5" i="7" s="1"/>
  <c r="L4" i="7"/>
  <c r="N4" i="7" s="1"/>
  <c r="L6" i="7" l="1"/>
  <c r="D7" i="1"/>
  <c r="N5" i="7"/>
  <c r="O5" i="7"/>
  <c r="O4" i="7"/>
  <c r="P5" i="7"/>
  <c r="P4" i="7"/>
  <c r="N3" i="7"/>
  <c r="B8" i="1" s="1"/>
  <c r="D8" i="1" s="1"/>
  <c r="Q4" i="7"/>
  <c r="O3" i="7"/>
  <c r="P3" i="7"/>
  <c r="B6" i="1" s="1"/>
  <c r="B5" i="1" l="1"/>
  <c r="O6" i="7"/>
  <c r="N6" i="7"/>
  <c r="P6" i="7"/>
  <c r="Q6" i="7"/>
  <c r="C3" i="2"/>
  <c r="B15" i="1"/>
  <c r="B16" i="1" s="1"/>
  <c r="C5" i="1" l="1"/>
  <c r="C6" i="1"/>
  <c r="D6" i="1" l="1"/>
  <c r="D5" i="1"/>
  <c r="A11" i="1" l="1"/>
  <c r="B11" i="1" s="1"/>
  <c r="B17" i="1" l="1"/>
  <c r="B18"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tc={59922821-81A4-46E9-BBB1-9CAFB930B9B1}</author>
    <author>tc={FB038BB0-BBAD-47A4-8155-C8850DF41E84}</author>
    <author>tc={BFE80667-FCD3-4135-94D1-00528AE02778}</author>
  </authors>
  <commentList>
    <comment ref="C4" authorId="0" shapeId="0" xr:uid="{59922821-81A4-46E9-BBB1-9CAFB930B9B1}">
      <text>
        <t>[Threaded comment]
Your version of Excel allows you to read this threaded comment; however, any edits to it will get removed if the file is opened in a newer version of Excel. Learn more: https://go.microsoft.com/fwlink/?linkid=870924
Comment:
    Source: https://www.eia.gov/environment/emissions/co2_vol_mass.php</t>
      </text>
    </comment>
    <comment ref="C7" authorId="1" shapeId="0" xr:uid="{FB038BB0-BBAD-47A4-8155-C8850DF41E84}">
      <text>
        <t>[Threaded comment]
Your version of Excel allows you to read this threaded comment; however, any edits to it will get removed if the file is opened in a newer version of Excel. Learn more: https://go.microsoft.com/fwlink/?linkid=870924
Comment:
    This assumes a 50-50 blend of Kerosine and Diesel and Home Heating Fuel</t>
      </text>
    </comment>
    <comment ref="C8" authorId="2" shapeId="0" xr:uid="{BFE80667-FCD3-4135-94D1-00528AE02778}">
      <text>
        <t>[Threaded comment]
Your version of Excel allows you to read this threaded comment; however, any edits to it will get removed if the file is opened in a newer version of Excel. Learn more: https://go.microsoft.com/fwlink/?linkid=870924
Comment:
    https://www.tandfonline.com/doi/full/10.1080/10934529.2018.1459076
83.6 kg of CO2 emissions equivalent per GJ estimate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tc={D2187008-6175-4E6A-9C1E-A68544B2FDD3}</author>
    <author>tc={3F67FEC6-EE3D-47B7-B826-93F9BCD5FAD9}</author>
    <author>tc={19043C43-DF0F-4752-BB48-83A98F8FC7C5}</author>
    <author>tc={3F3A6DB7-D640-4209-9D75-105F87A71D98}</author>
    <author>tc={5253B47C-04EE-4403-8740-8AB3BECADAA4}</author>
    <author>tc={3B9A4C9E-4746-4E63-BE71-EC46165EAC21}</author>
    <author>tc={80E103C7-510D-406D-87F4-B135A2E506FC}</author>
  </authors>
  <commentList>
    <comment ref="C1" authorId="0" shapeId="0" xr:uid="{D2187008-6175-4E6A-9C1E-A68544B2FDD3}">
      <text>
        <t>[Threaded comment]
Your version of Excel allows you to read this threaded comment; however, any edits to it will get removed if the file is opened in a newer version of Excel. Learn more: https://go.microsoft.com/fwlink/?linkid=870924
Comment:
    Currently ignoring biomass, wood, and electricity sources as they are assumed to be captured in other models. We are focused on non-biomass and non-electricity sources of energy generation.</t>
      </text>
    </comment>
    <comment ref="G2" authorId="1" shapeId="0" xr:uid="{3F67FEC6-EE3D-47B7-B826-93F9BCD5FAD9}">
      <text>
        <t>[Threaded comment]
Your version of Excel allows you to read this threaded comment; however, any edits to it will get removed if the file is opened in a newer version of Excel. Learn more: https://go.microsoft.com/fwlink/?linkid=870924
Comment:
    Includes Diesel and Home Heating Oil, plus  Kerosene</t>
      </text>
    </comment>
    <comment ref="Q2" authorId="2" shapeId="0" xr:uid="{19043C43-DF0F-4752-BB48-83A98F8FC7C5}">
      <text>
        <t>[Threaded comment]
Your version of Excel allows you to read this threaded comment; however, any edits to it will get removed if the file is opened in a newer version of Excel. Learn more: https://go.microsoft.com/fwlink/?linkid=870924
Comment:
    Includes Diesel and Home Heating Oil, plus  Kerosene</t>
      </text>
    </comment>
    <comment ref="A3" authorId="3" shapeId="0" xr:uid="{3F3A6DB7-D640-4209-9D75-105F87A71D98}">
      <text>
        <t>[Threaded comment]
Your version of Excel allows you to read this threaded comment; however, any edits to it will get removed if the file is opened in a newer version of Excel. Learn more: https://go.microsoft.com/fwlink/?linkid=870924
Comment:
    Original units in trillion BTU</t>
      </text>
    </comment>
    <comment ref="I3" authorId="4" shapeId="0" xr:uid="{5253B47C-04EE-4403-8740-8AB3BECADAA4}">
      <text>
        <t>[Threaded comment]
Your version of Excel allows you to read this threaded comment; however, any edits to it will get removed if the file is opened in a newer version of Excel. Learn more: https://go.microsoft.com/fwlink/?linkid=870924
Comment:
    Should look this up again. Good to note even if we discard for final analysis.</t>
      </text>
    </comment>
    <comment ref="A4" authorId="5" shapeId="0" xr:uid="{3B9A4C9E-4746-4E63-BE71-EC46165EAC21}">
      <text>
        <t>[Threaded comment]
Your version of Excel allows you to read this threaded comment; however, any edits to it will get removed if the file is opened in a newer version of Excel. Learn more: https://go.microsoft.com/fwlink/?linkid=870924
Comment:
    Original Units in BOE</t>
      </text>
    </comment>
    <comment ref="A5" authorId="6" shapeId="0" xr:uid="{80E103C7-510D-406D-87F4-B135A2E506FC}">
      <text>
        <t>[Threaded comment]
Your version of Excel allows you to read this threaded comment; however, any edits to it will get removed if the file is opened in a newer version of Excel. Learn more: https://go.microsoft.com/fwlink/?linkid=870924
Comment:
    Original Units in petajoules</t>
      </text>
    </comment>
  </commentList>
</comments>
</file>

<file path=xl/sharedStrings.xml><?xml version="1.0" encoding="utf-8"?>
<sst xmlns="http://schemas.openxmlformats.org/spreadsheetml/2006/main" count="106" uniqueCount="83">
  <si>
    <t>Geographic Area Selection:</t>
  </si>
  <si>
    <t>Massachusetts</t>
  </si>
  <si>
    <t>Residential Non-Electricity Heating Source</t>
  </si>
  <si>
    <t>Percentage Of New Total (less 'Other')</t>
  </si>
  <si>
    <t>Kg CO2 emissions/ MMBtu</t>
  </si>
  <si>
    <t>CO2 Emissions Weighted by Percentage of Fuel Mix</t>
  </si>
  <si>
    <t>Natural Gas</t>
  </si>
  <si>
    <t>Propane</t>
  </si>
  <si>
    <t>Kerosene / Petroleum</t>
  </si>
  <si>
    <t>Biogas</t>
  </si>
  <si>
    <t>Blended average of kg CO2 Emissions / MMbtu</t>
  </si>
  <si>
    <t>kg CO2 Emissions / MJ</t>
  </si>
  <si>
    <t>↓ Input Million MJ value below ↓</t>
  </si>
  <si>
    <t>Million MJ Value</t>
  </si>
  <si>
    <t>Conversion from Million MJ to MJ</t>
  </si>
  <si>
    <t>Conversion from MJ to MMBTU</t>
  </si>
  <si>
    <t>CO2 (kg)</t>
  </si>
  <si>
    <t>Methodology: The emissions factors values are presented by EIA in kg CO2 per MMBtu. We take that value and convert kg CO2 Emissions per MMBtu to kg CO2 Emissions per MJ through a unit conversion factor. The output of that is kg CO2 emissions / MJ. Multiplying the emissions factor of kg CO2 emissions / MJ times an MJ value will have the MJs cancel and leave us with just kg CO2 emissions. We can then convert kg CO2 emissions to metric tonnes, short tons, etc.</t>
  </si>
  <si>
    <t>CO2 (tons)</t>
  </si>
  <si>
    <t>Energy Source</t>
  </si>
  <si>
    <t>Percent of Fuel Mix</t>
  </si>
  <si>
    <t>Sources</t>
  </si>
  <si>
    <t>Year</t>
  </si>
  <si>
    <t>Geographic Area</t>
  </si>
  <si>
    <t>Energy Sector</t>
  </si>
  <si>
    <t>Biomass</t>
  </si>
  <si>
    <t>Kerosene/Home Heating Oil</t>
  </si>
  <si>
    <t>Solar</t>
  </si>
  <si>
    <t>Electricity</t>
  </si>
  <si>
    <t>Other</t>
  </si>
  <si>
    <t>Notes</t>
  </si>
  <si>
    <t>Total minus Other</t>
  </si>
  <si>
    <t>Original Energy Units</t>
  </si>
  <si>
    <t>Kerosene</t>
  </si>
  <si>
    <t>Residential</t>
  </si>
  <si>
    <t>Other = geothermal</t>
  </si>
  <si>
    <t>Trillion BTU</t>
  </si>
  <si>
    <t>https://www.eia.gov/state/seds/data.php?incfile=/state/seds/sep_use/res/use_res_MA.html&amp;sid=MA</t>
  </si>
  <si>
    <t>Indonesia</t>
  </si>
  <si>
    <t>BOE</t>
  </si>
  <si>
    <t>https://www.esdm.go.id/assets/media/content/content-handbook-of-energy-and-economic-statistics-of-indonesia-2021.pdf</t>
  </si>
  <si>
    <t>Mexico</t>
  </si>
  <si>
    <t>Petajoules</t>
  </si>
  <si>
    <t>https://sie.energia.gob.mx/bdiController.do?action=cuadro&amp;subAction=applyOptions</t>
  </si>
  <si>
    <t>Michigan</t>
  </si>
  <si>
    <t>https://www.eia.gov/state/seds/data.php?incfile=/state/seds/sep_use/res/use_res_MI.html&amp;sid=MI</t>
  </si>
  <si>
    <t>Carbon Dioxide Emissions Coefficients by Fuel</t>
  </si>
  <si>
    <r>
      <t>Pounds CO</t>
    </r>
    <r>
      <rPr>
        <b/>
        <vertAlign val="subscript"/>
        <sz val="7"/>
        <color rgb="FF333333"/>
        <rFont val="Inherit"/>
      </rPr>
      <t>2</t>
    </r>
  </si>
  <si>
    <r>
      <t>Kilograms CO</t>
    </r>
    <r>
      <rPr>
        <b/>
        <vertAlign val="subscript"/>
        <sz val="7"/>
        <color rgb="FF333333"/>
        <rFont val="Inherit"/>
      </rPr>
      <t>2</t>
    </r>
  </si>
  <si>
    <r>
      <t>Carbon Dioxide (CO</t>
    </r>
    <r>
      <rPr>
        <b/>
        <vertAlign val="subscript"/>
        <sz val="7"/>
        <color rgb="FF333333"/>
        <rFont val="Inherit"/>
      </rPr>
      <t>2</t>
    </r>
    <r>
      <rPr>
        <b/>
        <sz val="7"/>
        <color rgb="FF333333"/>
        <rFont val="Inherit"/>
      </rPr>
      <t>) Factors:</t>
    </r>
  </si>
  <si>
    <t>Per Unit of Volume or Mass</t>
  </si>
  <si>
    <t>Per Million Btu</t>
  </si>
  <si>
    <t>For homes and businesses</t>
  </si>
  <si>
    <t>12.68 gallon</t>
  </si>
  <si>
    <t>5.75 gallon</t>
  </si>
  <si>
    <t>Diesel and Home Heating Fuel (Distillate Fuel Oil)</t>
  </si>
  <si>
    <t>22.45 gallon</t>
  </si>
  <si>
    <t>10.19 gallon</t>
  </si>
  <si>
    <t>21.78 gallon</t>
  </si>
  <si>
    <t>9.88 gallon</t>
  </si>
  <si>
    <t>Coal (All types)</t>
  </si>
  <si>
    <t>3,876.61 short ton</t>
  </si>
  <si>
    <t>1,758.40 short ton</t>
  </si>
  <si>
    <t>120.96 thousand cubic feet</t>
  </si>
  <si>
    <t>54.87 thousand cubic feet</t>
  </si>
  <si>
    <r>
      <t>Finished Motor Gasoline</t>
    </r>
    <r>
      <rPr>
        <vertAlign val="superscript"/>
        <sz val="7"/>
        <color rgb="FF333333"/>
        <rFont val="Inherit"/>
      </rPr>
      <t>a</t>
    </r>
  </si>
  <si>
    <t>17.86 gallon</t>
  </si>
  <si>
    <t>8.10 gallon</t>
  </si>
  <si>
    <t>Motor Gasoline</t>
  </si>
  <si>
    <t>19.37 gallon</t>
  </si>
  <si>
    <t>8.78 gallon</t>
  </si>
  <si>
    <t>Residual Heating Fuel (Businesses only)</t>
  </si>
  <si>
    <t>24.78 gallon</t>
  </si>
  <si>
    <t>11.24 gallon</t>
  </si>
  <si>
    <t>Source</t>
  </si>
  <si>
    <t>https://www.eia.gov/environment/emissions/co2_vol_mass.php</t>
  </si>
  <si>
    <t>From</t>
  </si>
  <si>
    <t>To</t>
  </si>
  <si>
    <t>Multiply By</t>
  </si>
  <si>
    <t>MMBtu</t>
  </si>
  <si>
    <t>MJ</t>
  </si>
  <si>
    <t xml:space="preserve">https://www.nrel.gov/docs/gen/fy08/43061.pdf </t>
  </si>
  <si>
    <t>GJ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</si>
</sst>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000000_);_(* \(#,##0.000000\);_(* &quot;-&quot;??_);_(@_)"/>
    <numFmt numFmtId="165" formatCode="_(* #,##0.0000000_);_(* \(#,##0.0000000\);_(* &quot;-&quot;??_);_(@_)"/>
    <numFmt numFmtId="166" formatCode="_(* #,##0_);_(* \(#,##0\);_(* &quot;-&quot;??_);_(@_)"/>
    <numFmt numFmtId="167" formatCode="0.000000"/>
  </numFmts>
  <fonts count="16">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7"/>
      <color rgb="FF333333"/>
      <name val="Inherit"/>
    </font>
    <font>
      <b/>
      <vertAlign val="subscript"/>
      <sz val="7"/>
      <color rgb="FF333333"/>
      <name val="Inherit"/>
    </font>
    <font>
      <sz val="7"/>
      <color rgb="FF333333"/>
      <name val="Inherit"/>
    </font>
    <font>
      <u/>
      <sz val="11"/>
      <color theme="10"/>
      <name val="Calibri"/>
      <family val="2"/>
      <scheme val="minor"/>
    </font>
    <font>
      <sz val="8"/>
      <name val="Calibri"/>
      <family val="2"/>
      <scheme val="minor"/>
    </font>
    <font>
      <vertAlign val="superscript"/>
      <sz val="7"/>
      <color rgb="FF333333"/>
      <name val="Inherit"/>
    </font>
    <font>
      <b/>
      <u/>
      <sz val="11"/>
      <color theme="1"/>
      <name val="Calibri"/>
      <family val="2"/>
      <scheme val="minor"/>
    </font>
    <font>
      <sz val="11"/>
      <color theme="5"/>
      <name val="Calibri"/>
      <family val="2"/>
      <scheme val="minor"/>
    </font>
    <font>
      <b/>
      <sz val="12"/>
      <color theme="1"/>
      <name val="Calibri"/>
      <family val="2"/>
      <scheme val="minor"/>
    </font>
    <font>
      <sz val="12"/>
      <color theme="5"/>
      <name val="Calibri"/>
      <family val="2"/>
      <scheme val="minor"/>
    </font>
    <font>
      <b/>
      <sz val="12"/>
      <color theme="0"/>
      <name val="Calibri"/>
      <family val="2"/>
      <scheme val="minor"/>
    </font>
    <font>
      <strike/>
      <sz val="11"/>
      <color theme="1"/>
      <name val="Calibri"/>
      <family val="2"/>
      <scheme val="minor"/>
    </font>
  </fonts>
  <fills count="11">
    <fill>
      <patternFill patternType="none"/>
    </fill>
    <fill>
      <patternFill patternType="gray125"/>
    </fill>
    <fill>
      <patternFill patternType="solid">
        <fgColor rgb="FFFFFFFF"/>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0" tint="-0.14999847407452621"/>
        <bgColor indexed="64"/>
      </patternFill>
    </fill>
    <fill>
      <patternFill patternType="solid">
        <fgColor theme="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FFF00"/>
        <bgColor indexed="64"/>
      </patternFill>
    </fill>
  </fills>
  <borders count="9">
    <border>
      <left/>
      <right/>
      <top/>
      <bottom/>
      <diagonal/>
    </border>
    <border>
      <left/>
      <right/>
      <top/>
      <bottom style="medium">
        <color rgb="FF189BD7"/>
      </bottom>
      <diagonal/>
    </border>
    <border>
      <left/>
      <right/>
      <top style="medium">
        <color rgb="FF189BD7"/>
      </top>
      <bottom style="medium">
        <color rgb="FFCCCCCC"/>
      </bottom>
      <diagonal/>
    </border>
    <border>
      <left/>
      <right/>
      <top/>
      <bottom style="mediumDashed">
        <color rgb="FFCCCCCC"/>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7" fillId="0" borderId="0" applyNumberFormat="0" applyFill="0" applyBorder="0" applyAlignment="0" applyProtection="0"/>
  </cellStyleXfs>
  <cellXfs count="48">
    <xf numFmtId="0" fontId="0" fillId="0" borderId="0" xfId="0"/>
    <xf numFmtId="0" fontId="4" fillId="2" borderId="0" xfId="0" applyFont="1" applyFill="1" applyAlignment="1">
      <alignment horizontal="right" wrapText="1"/>
    </xf>
    <xf numFmtId="0" fontId="4" fillId="2" borderId="1" xfId="0" applyFont="1" applyFill="1" applyBorder="1" applyAlignment="1">
      <alignment horizontal="left" wrapText="1"/>
    </xf>
    <xf numFmtId="0" fontId="4" fillId="2" borderId="1" xfId="0" applyFont="1" applyFill="1" applyBorder="1" applyAlignment="1">
      <alignment horizontal="right" wrapText="1"/>
    </xf>
    <xf numFmtId="0" fontId="6" fillId="2" borderId="3" xfId="0" applyFont="1" applyFill="1" applyBorder="1" applyAlignment="1">
      <alignment horizontal="left" vertical="top" wrapText="1"/>
    </xf>
    <xf numFmtId="0" fontId="6" fillId="2" borderId="3" xfId="0" applyFont="1" applyFill="1" applyBorder="1" applyAlignment="1">
      <alignment horizontal="right" vertical="top" wrapText="1"/>
    </xf>
    <xf numFmtId="0" fontId="2" fillId="3" borderId="4" xfId="0" applyFont="1" applyFill="1" applyBorder="1"/>
    <xf numFmtId="0" fontId="2" fillId="3" borderId="5" xfId="0" applyFont="1" applyFill="1" applyBorder="1"/>
    <xf numFmtId="0" fontId="2" fillId="3" borderId="6" xfId="0" applyFont="1" applyFill="1" applyBorder="1"/>
    <xf numFmtId="0" fontId="0" fillId="4" borderId="4" xfId="0" applyFill="1" applyBorder="1"/>
    <xf numFmtId="0" fontId="0" fillId="4" borderId="5" xfId="0" applyFill="1" applyBorder="1"/>
    <xf numFmtId="0" fontId="0" fillId="0" borderId="4" xfId="0" applyBorder="1"/>
    <xf numFmtId="0" fontId="0" fillId="0" borderId="5" xfId="0" applyBorder="1"/>
    <xf numFmtId="4" fontId="0" fillId="0" borderId="0" xfId="0" applyNumberFormat="1"/>
    <xf numFmtId="0" fontId="7" fillId="0" borderId="0" xfId="3"/>
    <xf numFmtId="164" fontId="0" fillId="0" borderId="0" xfId="1" applyNumberFormat="1" applyFont="1"/>
    <xf numFmtId="165" fontId="0" fillId="0" borderId="0" xfId="0" applyNumberFormat="1"/>
    <xf numFmtId="0" fontId="3" fillId="0" borderId="0" xfId="0" applyFont="1"/>
    <xf numFmtId="0" fontId="4" fillId="2" borderId="0" xfId="0" applyFont="1" applyFill="1" applyAlignment="1">
      <alignment horizontal="left" wrapText="1"/>
    </xf>
    <xf numFmtId="0" fontId="6" fillId="2" borderId="0" xfId="0" applyFont="1" applyFill="1" applyAlignment="1">
      <alignment horizontal="left" vertical="top" wrapText="1"/>
    </xf>
    <xf numFmtId="43" fontId="0" fillId="4" borderId="5" xfId="1" applyFont="1" applyFill="1" applyBorder="1"/>
    <xf numFmtId="2" fontId="0" fillId="4" borderId="5" xfId="0" applyNumberFormat="1" applyFill="1" applyBorder="1"/>
    <xf numFmtId="2" fontId="0" fillId="0" borderId="5" xfId="0" applyNumberFormat="1" applyBorder="1"/>
    <xf numFmtId="166" fontId="1" fillId="0" borderId="0" xfId="1" applyNumberFormat="1" applyFont="1"/>
    <xf numFmtId="166" fontId="1" fillId="0" borderId="0" xfId="0" applyNumberFormat="1" applyFont="1"/>
    <xf numFmtId="0" fontId="11" fillId="0" borderId="0" xfId="0" applyFont="1"/>
    <xf numFmtId="0" fontId="12" fillId="5" borderId="0" xfId="0" applyFont="1" applyFill="1"/>
    <xf numFmtId="43" fontId="0" fillId="0" borderId="0" xfId="1" applyFont="1"/>
    <xf numFmtId="43" fontId="0" fillId="0" borderId="0" xfId="0" applyNumberFormat="1"/>
    <xf numFmtId="43" fontId="0" fillId="4" borderId="6" xfId="1" applyFont="1" applyFill="1" applyBorder="1"/>
    <xf numFmtId="0" fontId="14" fillId="6" borderId="0" xfId="0" applyFont="1" applyFill="1"/>
    <xf numFmtId="166" fontId="14" fillId="6" borderId="7" xfId="1" applyNumberFormat="1" applyFont="1" applyFill="1" applyBorder="1"/>
    <xf numFmtId="167" fontId="13" fillId="5" borderId="7" xfId="0" applyNumberFormat="1" applyFont="1" applyFill="1" applyBorder="1"/>
    <xf numFmtId="0" fontId="15" fillId="0" borderId="0" xfId="0" applyFont="1"/>
    <xf numFmtId="10" fontId="0" fillId="0" borderId="0" xfId="2" applyNumberFormat="1" applyFont="1"/>
    <xf numFmtId="3" fontId="0" fillId="0" borderId="0" xfId="0" applyNumberFormat="1"/>
    <xf numFmtId="2" fontId="0" fillId="0" borderId="0" xfId="2" applyNumberFormat="1" applyFont="1"/>
    <xf numFmtId="0" fontId="3" fillId="0" borderId="8" xfId="0" applyFont="1" applyBorder="1"/>
    <xf numFmtId="0" fontId="0" fillId="10" borderId="8" xfId="0" applyFill="1" applyBorder="1"/>
    <xf numFmtId="10" fontId="0" fillId="4" borderId="5" xfId="2" applyNumberFormat="1" applyFont="1" applyFill="1" applyBorder="1"/>
    <xf numFmtId="10" fontId="0" fillId="0" borderId="5" xfId="2" applyNumberFormat="1" applyFont="1" applyBorder="1"/>
    <xf numFmtId="0" fontId="3" fillId="9" borderId="0" xfId="0" applyFont="1" applyFill="1" applyAlignment="1">
      <alignment horizontal="center"/>
    </xf>
    <xf numFmtId="0" fontId="10" fillId="0" borderId="0" xfId="0" applyFont="1"/>
    <xf numFmtId="10" fontId="3" fillId="8" borderId="0" xfId="2" applyNumberFormat="1" applyFont="1" applyFill="1" applyAlignment="1">
      <alignment horizontal="center"/>
    </xf>
    <xf numFmtId="0" fontId="3" fillId="7" borderId="0" xfId="0" applyFont="1" applyFill="1" applyAlignment="1">
      <alignment horizontal="center"/>
    </xf>
    <xf numFmtId="0" fontId="10" fillId="2" borderId="0" xfId="0" applyFont="1" applyFill="1" applyAlignment="1">
      <alignment horizontal="left" vertical="center"/>
    </xf>
    <xf numFmtId="0" fontId="10" fillId="0" borderId="0" xfId="0" applyFont="1"/>
    <xf numFmtId="0" fontId="4" fillId="2" borderId="2" xfId="0" applyFont="1" applyFill="1" applyBorder="1" applyAlignment="1">
      <alignment horizontal="left" vertical="top" wrapText="1"/>
    </xf>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Nicholas Sorokin" id="{0621CC2C-F729-4CEB-AE52-CF960EBBD15D}" userId="651b3d7f0aeac4dc" providerId="Windows Live"/>
  <person displayName="Trey Gowdy" id="{AAE83746-BC32-45E1-8EA4-228F7ED13D8A}" userId="S::tg192@duke.edu::9b616659-ec06-41b8-8f20-61f38a9aa6d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4" dT="2023-02-08T00:09:51.64" personId="{0621CC2C-F729-4CEB-AE52-CF960EBBD15D}" id="{59922821-81A4-46E9-BBB1-9CAFB930B9B1}">
    <text>Source: https://www.eia.gov/environment/emissions/co2_vol_mass.php</text>
    <extLst>
      <x:ext xmlns:xltc2="http://schemas.microsoft.com/office/spreadsheetml/2020/threadedcomments2" uri="{F7C98A9C-CBB3-438F-8F68-D28B6AF4A901}">
        <xltc2:checksum>3627583605</xltc2:checksum>
        <xltc2:hyperlink startIndex="8" length="58" url="https://www.eia.gov/environment/emissions/co2_vol_mass.php"/>
      </x:ext>
    </extLst>
  </threadedComment>
  <threadedComment ref="C7" dT="2023-02-07T23:05:47.00" personId="{0621CC2C-F729-4CEB-AE52-CF960EBBD15D}" id="{FB038BB0-BBAD-47A4-8155-C8850DF41E84}">
    <text>This assumes a 50-50 blend of Kerosine and Diesel and Home Heating Fuel</text>
  </threadedComment>
  <threadedComment ref="C8" dT="2023-02-16T21:25:12.98" personId="{0621CC2C-F729-4CEB-AE52-CF960EBBD15D}" id="{BFE80667-FCD3-4135-94D1-00528AE02778}">
    <text>https://www.tandfonline.com/doi/full/10.1080/10934529.2018.1459076
83.6 kg of CO2 emissions equivalent per GJ estimate</text>
    <extLst>
      <x:ext xmlns:xltc2="http://schemas.microsoft.com/office/spreadsheetml/2020/threadedcomments2" uri="{F7C98A9C-CBB3-438F-8F68-D28B6AF4A901}">
        <xltc2:checksum>1113954074</xltc2:checksum>
        <xltc2:hyperlink startIndex="0" length="66" url="https://www.tandfonline.com/doi/full/10.1080/10934529.2018.1459076"/>
      </x:ext>
    </extLs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3-02-16T21:24:00.96" personId="{0621CC2C-F729-4CEB-AE52-CF960EBBD15D}" id="{D2187008-6175-4E6A-9C1E-A68544B2FDD3}">
    <text>Currently ignoring biomass, wood, and electricity sources as they are assumed to be captured in other models. We are focused on non-biomass and non-electricity sources of energy generation.</text>
  </threadedComment>
  <threadedComment ref="G2" dT="2023-02-16T20:27:23.20" personId="{0621CC2C-F729-4CEB-AE52-CF960EBBD15D}" id="{3F67FEC6-EE3D-47B7-B826-93F9BCD5FAD9}">
    <text>Includes Diesel and Home Heating Oil, plus  Kerosene</text>
  </threadedComment>
  <threadedComment ref="Q2" dT="2023-02-16T20:27:23.20" personId="{0621CC2C-F729-4CEB-AE52-CF960EBBD15D}" id="{19043C43-DF0F-4752-BB48-83A98F8FC7C5}">
    <text>Includes Diesel and Home Heating Oil, plus  Kerosene</text>
  </threadedComment>
  <threadedComment ref="A3" dT="2023-03-20T19:34:49.23" personId="{AAE83746-BC32-45E1-8EA4-228F7ED13D8A}" id="{3F3A6DB7-D640-4209-9D75-105F87A71D98}">
    <text>Original units in trillion BTU</text>
  </threadedComment>
  <threadedComment ref="I3" dT="2023-02-16T20:47:46.55" personId="{0621CC2C-F729-4CEB-AE52-CF960EBBD15D}" id="{5253B47C-04EE-4403-8740-8AB3BECADAA4}">
    <text>Should look this up again. Good to note even if we discard for final analysis.</text>
  </threadedComment>
  <threadedComment ref="A4" dT="2023-02-16T20:55:32.74" personId="{0621CC2C-F729-4CEB-AE52-CF960EBBD15D}" id="{3B9A4C9E-4746-4E63-BE71-EC46165EAC21}">
    <text>Original Units in BOE</text>
  </threadedComment>
  <threadedComment ref="A5" dT="2023-02-16T20:55:21.82" personId="{0621CC2C-F729-4CEB-AE52-CF960EBBD15D}" id="{80E103C7-510D-406D-87F4-B135A2E506FC}">
    <text>Original Units in petajoules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state/seds/data.php?incfile=/state/seds/sep_use/res/use_res_MI.html&amp;sid=MI" TargetMode="External"/><Relationship Id="rId7" Type="http://schemas.microsoft.com/office/2017/10/relationships/threadedComment" Target="../threadedComments/threadedComment2.xml"/><Relationship Id="rId2" Type="http://schemas.openxmlformats.org/officeDocument/2006/relationships/hyperlink" Target="https://sie.energia.gob.mx/bdiController.do?action=cuadro&amp;subAction=applyOptions" TargetMode="External"/><Relationship Id="rId1" Type="http://schemas.openxmlformats.org/officeDocument/2006/relationships/hyperlink" Target="https://www.esdm.go.id/assets/media/content/content-handbook-of-energy-and-economic-statistics-of-indonesia-2021.pdf"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https://www.eia.gov/environment/emissions/co2_vol_mass.php"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nrel.gov/docs/gen/fy08/43061.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2B348-ADCE-4F07-B39D-F3B651698C4D}">
  <dimension ref="A1:D22"/>
  <sheetViews>
    <sheetView tabSelected="1" zoomScale="115" zoomScaleNormal="115" workbookViewId="0">
      <selection activeCell="C15" sqref="C15"/>
    </sheetView>
  </sheetViews>
  <sheetFormatPr baseColWidth="10" defaultColWidth="8.83203125" defaultRowHeight="15"/>
  <cols>
    <col min="1" max="1" width="73.5" bestFit="1" customWidth="1"/>
    <col min="2" max="2" width="33.33203125" bestFit="1" customWidth="1"/>
    <col min="3" max="3" width="23.6640625" bestFit="1" customWidth="1"/>
    <col min="4" max="4" width="44.5" bestFit="1" customWidth="1"/>
    <col min="5" max="9" width="10.5" customWidth="1"/>
    <col min="12" max="12" width="10" bestFit="1" customWidth="1"/>
    <col min="13" max="13" width="29" bestFit="1" customWidth="1"/>
  </cols>
  <sheetData>
    <row r="1" spans="1:4">
      <c r="A1" s="37" t="s">
        <v>0</v>
      </c>
    </row>
    <row r="2" spans="1:4">
      <c r="A2" s="38" t="s">
        <v>41</v>
      </c>
    </row>
    <row r="4" spans="1:4">
      <c r="A4" s="6" t="s">
        <v>2</v>
      </c>
      <c r="B4" s="7" t="s">
        <v>3</v>
      </c>
      <c r="C4" s="7" t="s">
        <v>4</v>
      </c>
      <c r="D4" s="7" t="s">
        <v>5</v>
      </c>
    </row>
    <row r="5" spans="1:4">
      <c r="A5" s="9" t="s">
        <v>6</v>
      </c>
      <c r="B5" s="39">
        <f>VLOOKUP(Geographic_Area,'Fuel Mix Assumptions'!A2:Q6,15,FALSE)</f>
        <v>0.13052464284345058</v>
      </c>
      <c r="C5" s="10">
        <f>'Emissions Factors'!E9</f>
        <v>52.91</v>
      </c>
      <c r="D5" s="21">
        <f>B5*C5</f>
        <v>6.9060588528469697</v>
      </c>
    </row>
    <row r="6" spans="1:4">
      <c r="A6" s="11" t="s">
        <v>7</v>
      </c>
      <c r="B6" s="40">
        <f>VLOOKUP(Geographic_Area,'Fuel Mix Assumptions'!A2:Q6,16,FALSE)</f>
        <v>0.86276614654310091</v>
      </c>
      <c r="C6" s="12">
        <f>'Emissions Factors'!E5</f>
        <v>62.88</v>
      </c>
      <c r="D6" s="22">
        <f>B6*C6</f>
        <v>54.250735294630189</v>
      </c>
    </row>
    <row r="7" spans="1:4">
      <c r="A7" s="10" t="s">
        <v>8</v>
      </c>
      <c r="B7" s="39">
        <f>VLOOKUP(Geographic_Area,'Fuel Mix Assumptions'!A2:Q6,17,FALSE)</f>
        <v>6.7092106134483938E-3</v>
      </c>
      <c r="C7" s="10">
        <f>SUM('Emissions Factors'!E6:E7)/2</f>
        <v>73.664999999999992</v>
      </c>
      <c r="D7" s="21">
        <f>B7*C7</f>
        <v>0.49423399983967586</v>
      </c>
    </row>
    <row r="8" spans="1:4">
      <c r="A8" s="11" t="s">
        <v>9</v>
      </c>
      <c r="B8" s="40">
        <f>VLOOKUP(Geographic_Area,'Fuel Mix Assumptions'!A2:Q6,14,FALSE)</f>
        <v>0</v>
      </c>
      <c r="C8" s="22">
        <f>83.6*'Unit Conversions'!C4</f>
        <v>79.237511258193308</v>
      </c>
      <c r="D8" s="22">
        <f>B8*C8</f>
        <v>0</v>
      </c>
    </row>
    <row r="10" spans="1:4">
      <c r="A10" s="7" t="s">
        <v>10</v>
      </c>
      <c r="B10" s="8" t="s">
        <v>11</v>
      </c>
    </row>
    <row r="11" spans="1:4">
      <c r="A11" s="20">
        <f>SUM(D5:D8)</f>
        <v>61.651028147316836</v>
      </c>
      <c r="B11" s="29">
        <f>A11*'Unit Conversions'!C2</f>
        <v>65045.27806686698</v>
      </c>
    </row>
    <row r="13" spans="1:4" ht="17" thickBot="1">
      <c r="B13" s="26" t="s">
        <v>12</v>
      </c>
    </row>
    <row r="14" spans="1:4" ht="17" thickBot="1">
      <c r="A14" s="17" t="s">
        <v>13</v>
      </c>
      <c r="B14" s="32"/>
      <c r="C14" s="25"/>
    </row>
    <row r="15" spans="1:4">
      <c r="A15" t="s">
        <v>14</v>
      </c>
      <c r="B15" s="23">
        <f>B14*1000000</f>
        <v>0</v>
      </c>
    </row>
    <row r="16" spans="1:4">
      <c r="A16" t="s">
        <v>15</v>
      </c>
      <c r="B16" s="24">
        <f>B15/'Unit Conversions'!C2</f>
        <v>0</v>
      </c>
    </row>
    <row r="17" spans="1:3" ht="16" thickBot="1">
      <c r="A17" t="s">
        <v>16</v>
      </c>
      <c r="B17" s="24">
        <f>B16*A11</f>
        <v>0</v>
      </c>
      <c r="C17" t="s">
        <v>17</v>
      </c>
    </row>
    <row r="18" spans="1:3" ht="17" thickBot="1">
      <c r="A18" s="30" t="s">
        <v>18</v>
      </c>
      <c r="B18" s="31">
        <f>B17/1000</f>
        <v>0</v>
      </c>
    </row>
    <row r="19" spans="1:3">
      <c r="B19" s="28"/>
    </row>
    <row r="21" spans="1:3">
      <c r="B21" s="27"/>
    </row>
    <row r="22" spans="1:3">
      <c r="B22" s="28"/>
    </row>
  </sheetData>
  <phoneticPr fontId="8" type="noConversion"/>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C53FF07-ACCA-4524-8C6B-DE7D387D1950}">
          <x14:formula1>
            <xm:f>'Fuel Mix Assumptions'!$A$3:$A$6</xm:f>
          </x14:formula1>
          <xm:sqref>A2</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39327-7394-4F0A-9BA4-6394E48B446E}">
  <dimension ref="A1:S13"/>
  <sheetViews>
    <sheetView workbookViewId="0">
      <selection activeCell="A14" sqref="A14"/>
    </sheetView>
  </sheetViews>
  <sheetFormatPr baseColWidth="10" defaultColWidth="8.83203125" defaultRowHeight="15"/>
  <cols>
    <col min="1" max="1" width="15" bestFit="1" customWidth="1"/>
    <col min="2" max="2" width="15" customWidth="1"/>
    <col min="3" max="3" width="7.83203125" bestFit="1" customWidth="1"/>
    <col min="4" max="4" width="7.83203125" customWidth="1"/>
    <col min="5" max="5" width="10.6640625" bestFit="1" customWidth="1"/>
    <col min="6" max="6" width="8.1640625" bestFit="1" customWidth="1"/>
    <col min="12" max="12" width="16.1640625" bestFit="1" customWidth="1"/>
    <col min="13" max="13" width="16.1640625" customWidth="1"/>
  </cols>
  <sheetData>
    <row r="1" spans="1:19">
      <c r="C1" s="44" t="s">
        <v>19</v>
      </c>
      <c r="D1" s="44"/>
      <c r="E1" s="44"/>
      <c r="F1" s="44"/>
      <c r="G1" s="44"/>
      <c r="H1" s="44"/>
      <c r="I1" s="44"/>
      <c r="J1" s="44"/>
      <c r="K1" s="44"/>
      <c r="L1" s="44"/>
      <c r="M1" s="44"/>
      <c r="N1" s="43" t="s">
        <v>20</v>
      </c>
      <c r="O1" s="43"/>
      <c r="P1" s="43"/>
      <c r="Q1" s="43"/>
      <c r="R1" s="41" t="s">
        <v>21</v>
      </c>
      <c r="S1" t="s">
        <v>22</v>
      </c>
    </row>
    <row r="2" spans="1:19">
      <c r="A2" s="17" t="s">
        <v>23</v>
      </c>
      <c r="B2" s="17" t="s">
        <v>24</v>
      </c>
      <c r="C2" t="s">
        <v>25</v>
      </c>
      <c r="D2" t="s">
        <v>9</v>
      </c>
      <c r="E2" t="s">
        <v>6</v>
      </c>
      <c r="F2" t="s">
        <v>7</v>
      </c>
      <c r="G2" t="s">
        <v>26</v>
      </c>
      <c r="H2" t="s">
        <v>27</v>
      </c>
      <c r="I2" t="s">
        <v>28</v>
      </c>
      <c r="J2" t="s">
        <v>29</v>
      </c>
      <c r="K2" t="s">
        <v>30</v>
      </c>
      <c r="L2" t="s">
        <v>31</v>
      </c>
      <c r="M2" t="s">
        <v>32</v>
      </c>
      <c r="N2" t="s">
        <v>9</v>
      </c>
      <c r="O2" t="s">
        <v>6</v>
      </c>
      <c r="P2" t="s">
        <v>7</v>
      </c>
      <c r="Q2" t="s">
        <v>33</v>
      </c>
      <c r="S2">
        <v>2015</v>
      </c>
    </row>
    <row r="3" spans="1:19">
      <c r="A3" t="s">
        <v>1</v>
      </c>
      <c r="B3" t="s">
        <v>34</v>
      </c>
      <c r="C3" s="33">
        <v>10.5</v>
      </c>
      <c r="D3">
        <v>0</v>
      </c>
      <c r="E3">
        <v>130.4</v>
      </c>
      <c r="F3">
        <v>0</v>
      </c>
      <c r="G3">
        <f>83.3+7.6+0.3</f>
        <v>91.199999999999989</v>
      </c>
      <c r="H3" s="33">
        <v>2.2999999999999998</v>
      </c>
      <c r="I3" s="33">
        <v>68.8</v>
      </c>
      <c r="J3" s="33">
        <f>0.1</f>
        <v>0.1</v>
      </c>
      <c r="K3" s="33" t="s">
        <v>35</v>
      </c>
      <c r="L3" s="36">
        <f>SUM(E3:G3)</f>
        <v>221.6</v>
      </c>
      <c r="M3" s="36" t="s">
        <v>36</v>
      </c>
      <c r="N3" s="34">
        <f>D3/$L$3</f>
        <v>0</v>
      </c>
      <c r="O3" s="34">
        <f>E3/$L$3</f>
        <v>0.58844765342960292</v>
      </c>
      <c r="P3" s="34">
        <f>F3/$L$3</f>
        <v>0</v>
      </c>
      <c r="Q3" s="34">
        <f>G3/$L$3</f>
        <v>0.41155234657039708</v>
      </c>
      <c r="R3" s="14" t="s">
        <v>37</v>
      </c>
    </row>
    <row r="4" spans="1:19">
      <c r="A4" t="s">
        <v>38</v>
      </c>
      <c r="B4" t="s">
        <v>34</v>
      </c>
      <c r="C4" s="33">
        <v>5625</v>
      </c>
      <c r="D4">
        <v>180</v>
      </c>
      <c r="E4">
        <v>308</v>
      </c>
      <c r="F4" s="35">
        <v>69928</v>
      </c>
      <c r="G4" s="35">
        <v>2657</v>
      </c>
      <c r="H4">
        <v>0</v>
      </c>
      <c r="I4">
        <v>0</v>
      </c>
      <c r="J4">
        <v>0</v>
      </c>
      <c r="L4">
        <f>SUM(D4:G4)</f>
        <v>73073</v>
      </c>
      <c r="M4" t="s">
        <v>39</v>
      </c>
      <c r="N4" s="34">
        <f>D4/$L$4</f>
        <v>2.4632901345230111E-3</v>
      </c>
      <c r="O4" s="34">
        <f>E4/$L$4</f>
        <v>4.2149631190727078E-3</v>
      </c>
      <c r="P4" s="34">
        <f>F4/$L$4</f>
        <v>0.95696084737180631</v>
      </c>
      <c r="Q4" s="34">
        <f>G4/$L$4</f>
        <v>3.6360899374598007E-2</v>
      </c>
      <c r="R4" s="14" t="s">
        <v>40</v>
      </c>
    </row>
    <row r="5" spans="1:19">
      <c r="A5" t="s">
        <v>41</v>
      </c>
      <c r="B5" t="s">
        <v>34</v>
      </c>
      <c r="C5" s="33">
        <v>251.55799999999999</v>
      </c>
      <c r="D5">
        <v>0</v>
      </c>
      <c r="E5">
        <v>37.450000000000003</v>
      </c>
      <c r="F5">
        <v>247.54400000000001</v>
      </c>
      <c r="G5">
        <v>1.925</v>
      </c>
      <c r="H5" s="33">
        <v>6.101</v>
      </c>
      <c r="I5" s="33">
        <v>212.27600000000001</v>
      </c>
      <c r="J5" s="33">
        <v>0</v>
      </c>
      <c r="K5" s="33"/>
      <c r="L5">
        <f>SUM(E5:G5)</f>
        <v>286.91900000000004</v>
      </c>
      <c r="M5" t="s">
        <v>42</v>
      </c>
      <c r="N5" s="34">
        <f>D5/$L$5</f>
        <v>0</v>
      </c>
      <c r="O5" s="34">
        <f>E5/$L$5</f>
        <v>0.13052464284345058</v>
      </c>
      <c r="P5" s="34">
        <f>F5/$L$5</f>
        <v>0.86276614654310091</v>
      </c>
      <c r="Q5" s="34">
        <f>G5/$L$5</f>
        <v>6.7092106134483938E-3</v>
      </c>
      <c r="R5" s="14" t="s">
        <v>43</v>
      </c>
    </row>
    <row r="6" spans="1:19">
      <c r="A6" t="s">
        <v>44</v>
      </c>
      <c r="B6" t="s">
        <v>34</v>
      </c>
      <c r="C6" s="33">
        <v>37.6</v>
      </c>
      <c r="D6">
        <v>0</v>
      </c>
      <c r="E6">
        <v>322.39999999999998</v>
      </c>
      <c r="F6">
        <v>0</v>
      </c>
      <c r="G6">
        <f>2.9+33+0.2</f>
        <v>36.1</v>
      </c>
      <c r="H6">
        <v>0.6</v>
      </c>
      <c r="I6" s="33">
        <v>113.8</v>
      </c>
      <c r="J6" s="33">
        <v>4.3</v>
      </c>
      <c r="K6" s="33" t="s">
        <v>35</v>
      </c>
      <c r="L6">
        <f>SUM(E6:G6)</f>
        <v>358.5</v>
      </c>
      <c r="M6" s="36" t="s">
        <v>36</v>
      </c>
      <c r="N6" s="34">
        <f>D6/$L$6</f>
        <v>0</v>
      </c>
      <c r="O6" s="34">
        <f>E6/$L$6</f>
        <v>0.89930264993026487</v>
      </c>
      <c r="P6" s="34">
        <f>F6/$L$6</f>
        <v>0</v>
      </c>
      <c r="Q6" s="34">
        <f>G6/$L$6</f>
        <v>0.10069735006973501</v>
      </c>
      <c r="R6" s="14" t="s">
        <v>45</v>
      </c>
      <c r="S6">
        <v>2015</v>
      </c>
    </row>
    <row r="7" spans="1:19">
      <c r="A7" s="17"/>
      <c r="B7" s="17"/>
      <c r="C7" s="17"/>
      <c r="D7" s="17"/>
    </row>
    <row r="13" spans="1:19">
      <c r="A13" s="17"/>
      <c r="B13" s="17"/>
    </row>
  </sheetData>
  <mergeCells count="2">
    <mergeCell ref="N1:Q1"/>
    <mergeCell ref="C1:M1"/>
  </mergeCells>
  <hyperlinks>
    <hyperlink ref="R4" r:id="rId1" xr:uid="{1C48103A-7DB9-42D2-B04E-78D7FBA0B956}"/>
    <hyperlink ref="R5" r:id="rId2" xr:uid="{97D0FA5B-61A3-4E39-85AB-E947FF28A789}"/>
    <hyperlink ref="R6" r:id="rId3" xr:uid="{8EB0AC5F-AB00-4B36-AF1C-FCE39E64AF50}"/>
  </hyperlinks>
  <pageMargins left="0.7" right="0.7" top="0.75" bottom="0.75" header="0.3" footer="0.3"/>
  <pageSetup orientation="portrait" r:id="rId4"/>
  <legacy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EA5DA-616C-43CA-8CC0-A62BF165BE47}">
  <dimension ref="A1:I13"/>
  <sheetViews>
    <sheetView topLeftCell="A2" zoomScale="224" workbookViewId="0">
      <selection activeCell="F16" sqref="F16"/>
    </sheetView>
  </sheetViews>
  <sheetFormatPr baseColWidth="10" defaultColWidth="8.83203125" defaultRowHeight="15"/>
  <sheetData>
    <row r="1" spans="1:9">
      <c r="A1" s="45" t="s">
        <v>46</v>
      </c>
      <c r="B1" s="46"/>
      <c r="C1" s="46"/>
      <c r="D1" s="46"/>
      <c r="E1" s="46"/>
    </row>
    <row r="2" spans="1:9" ht="23">
      <c r="A2" s="18"/>
      <c r="B2" s="1" t="s">
        <v>47</v>
      </c>
      <c r="C2" s="1" t="s">
        <v>48</v>
      </c>
      <c r="D2" s="1" t="s">
        <v>47</v>
      </c>
      <c r="E2" s="1" t="s">
        <v>48</v>
      </c>
    </row>
    <row r="3" spans="1:9" ht="35" thickBot="1">
      <c r="A3" s="2" t="s">
        <v>49</v>
      </c>
      <c r="B3" s="3" t="s">
        <v>50</v>
      </c>
      <c r="C3" s="3" t="s">
        <v>50</v>
      </c>
      <c r="D3" s="3" t="s">
        <v>51</v>
      </c>
      <c r="E3" s="3" t="s">
        <v>51</v>
      </c>
      <c r="I3" s="19"/>
    </row>
    <row r="4" spans="1:9" ht="16" thickBot="1">
      <c r="A4" s="47" t="s">
        <v>52</v>
      </c>
      <c r="B4" s="47"/>
      <c r="C4" s="47"/>
      <c r="D4" s="47"/>
      <c r="E4" s="47"/>
    </row>
    <row r="5" spans="1:9" ht="16" thickBot="1">
      <c r="A5" s="4" t="s">
        <v>7</v>
      </c>
      <c r="B5" s="5" t="s">
        <v>53</v>
      </c>
      <c r="C5" s="5" t="s">
        <v>54</v>
      </c>
      <c r="D5" s="5">
        <v>138.63</v>
      </c>
      <c r="E5" s="5">
        <v>62.88</v>
      </c>
    </row>
    <row r="6" spans="1:9" ht="45" thickBot="1">
      <c r="A6" s="4" t="s">
        <v>55</v>
      </c>
      <c r="B6" s="5" t="s">
        <v>56</v>
      </c>
      <c r="C6" s="5" t="s">
        <v>57</v>
      </c>
      <c r="D6" s="5">
        <v>163.44999999999999</v>
      </c>
      <c r="E6" s="5">
        <v>74.14</v>
      </c>
    </row>
    <row r="7" spans="1:9" ht="16" thickBot="1">
      <c r="A7" s="4" t="s">
        <v>33</v>
      </c>
      <c r="B7" s="5" t="s">
        <v>58</v>
      </c>
      <c r="C7" s="5" t="s">
        <v>59</v>
      </c>
      <c r="D7" s="5">
        <v>161.35</v>
      </c>
      <c r="E7" s="5">
        <v>73.19</v>
      </c>
    </row>
    <row r="8" spans="1:9" ht="23" thickBot="1">
      <c r="A8" s="4" t="s">
        <v>60</v>
      </c>
      <c r="B8" s="5" t="s">
        <v>61</v>
      </c>
      <c r="C8" s="5" t="s">
        <v>62</v>
      </c>
      <c r="D8" s="5">
        <v>211.87</v>
      </c>
      <c r="E8" s="5">
        <v>96.1</v>
      </c>
    </row>
    <row r="9" spans="1:9" ht="34" thickBot="1">
      <c r="A9" s="4" t="s">
        <v>6</v>
      </c>
      <c r="B9" s="5" t="s">
        <v>63</v>
      </c>
      <c r="C9" s="5" t="s">
        <v>64</v>
      </c>
      <c r="D9" s="5">
        <v>116.65</v>
      </c>
      <c r="E9" s="5">
        <v>52.91</v>
      </c>
    </row>
    <row r="10" spans="1:9" ht="24" thickBot="1">
      <c r="A10" s="4" t="s">
        <v>65</v>
      </c>
      <c r="B10" s="5" t="s">
        <v>66</v>
      </c>
      <c r="C10" s="5" t="s">
        <v>67</v>
      </c>
      <c r="D10" s="5">
        <v>148.47</v>
      </c>
      <c r="E10" s="5">
        <v>67.34</v>
      </c>
    </row>
    <row r="11" spans="1:9" ht="16" thickBot="1">
      <c r="A11" s="4" t="s">
        <v>68</v>
      </c>
      <c r="B11" s="5" t="s">
        <v>69</v>
      </c>
      <c r="C11" s="5" t="s">
        <v>70</v>
      </c>
      <c r="D11" s="5">
        <v>155.77000000000001</v>
      </c>
      <c r="E11" s="5">
        <v>70.66</v>
      </c>
    </row>
    <row r="12" spans="1:9" ht="45" thickBot="1">
      <c r="A12" s="4" t="s">
        <v>71</v>
      </c>
      <c r="B12" s="5" t="s">
        <v>72</v>
      </c>
      <c r="C12" s="5" t="s">
        <v>73</v>
      </c>
      <c r="D12" s="5">
        <v>165.55</v>
      </c>
      <c r="E12" s="5">
        <v>75.09</v>
      </c>
    </row>
    <row r="13" spans="1:9">
      <c r="A13" s="42" t="s">
        <v>74</v>
      </c>
      <c r="B13" s="14" t="s">
        <v>75</v>
      </c>
    </row>
  </sheetData>
  <mergeCells count="2">
    <mergeCell ref="A1:E1"/>
    <mergeCell ref="A4:E4"/>
  </mergeCells>
  <hyperlinks>
    <hyperlink ref="B13" r:id="rId1" xr:uid="{60B25748-709E-42DA-B46D-179BEA0362B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AD390-2E4B-4F8F-83EC-04C7877BF8CC}">
  <dimension ref="A1:E4"/>
  <sheetViews>
    <sheetView workbookViewId="0">
      <selection activeCell="C4" sqref="C4"/>
    </sheetView>
  </sheetViews>
  <sheetFormatPr baseColWidth="10" defaultColWidth="8.83203125" defaultRowHeight="15"/>
  <cols>
    <col min="3" max="3" width="14.6640625" bestFit="1" customWidth="1"/>
  </cols>
  <sheetData>
    <row r="1" spans="1:5">
      <c r="A1" t="s">
        <v>76</v>
      </c>
      <c r="B1" t="s">
        <v>77</v>
      </c>
      <c r="C1" t="s">
        <v>78</v>
      </c>
      <c r="D1" t="s">
        <v>74</v>
      </c>
    </row>
    <row r="2" spans="1:5">
      <c r="A2" t="s">
        <v>79</v>
      </c>
      <c r="B2" t="s">
        <v>80</v>
      </c>
      <c r="C2" s="13">
        <v>1055.05585262</v>
      </c>
      <c r="D2" s="14" t="s">
        <v>81</v>
      </c>
    </row>
    <row r="3" spans="1:5">
      <c r="A3" t="s">
        <v>80</v>
      </c>
      <c r="B3" t="s">
        <v>79</v>
      </c>
      <c r="C3" s="15">
        <f>1/C2</f>
        <v>9.4781712031331725E-4</v>
      </c>
      <c r="E3" s="28"/>
    </row>
    <row r="4" spans="1:5">
      <c r="A4" t="s">
        <v>82</v>
      </c>
      <c r="B4" t="s">
        <v>79</v>
      </c>
      <c r="C4" s="16">
        <f>C3*1000</f>
        <v>0.94781712031331722</v>
      </c>
      <c r="E4" s="28"/>
    </row>
  </sheetData>
  <hyperlinks>
    <hyperlink ref="D2" r:id="rId1" xr:uid="{11C8CF55-9382-425E-982B-25B85933B827}"/>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R H t 0 V h s k F L C l A A A A 9 g A A A B I A H A B D b 2 5 m a W c v U G F j a 2 F n Z S 5 4 b W w g o h g A K K A U A A A A A A A A A A A A A A A A A A A A A A A A A A A A h Y + x D o I w G I R f h X S n L d U Y Q k o Z X C U x I R r X p l R o h B 9 D i + X d H H w k X 0 G M o m 6 O d / d d c n e / 3 n g 2 t k 1 w 0 b 0 1 H a Q o w h Q F G l R X G q h S N L h j G K N M 8 K 1 U J 1 n p Y I L B J q M 1 K a q d O y e E e O + x X + C u r w i j N C K H f F O o W r c y N G C d B K X R p 1 X + b y H B 9 6 8 x g u E o W u J 4 x T D l Z D Z 5 b u A L s G n v M / 0 x + X p o 3 N B r o S H c F Z z M k p P 3 B / E A U E s D B B Q A A g A I A E R 7 d F 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E e 3 R W K I p H u A 4 A A A A R A A A A E w A c A E Z v c m 1 1 b G F z L 1 N l Y 3 R p b 2 4 x L m 0 g o h g A K K A U A A A A A A A A A A A A A A A A A A A A A A A A A A A A K 0 5 N L s n M z 1 M I h t C G 1 g B Q S w E C L Q A U A A I A C A B E e 3 R W G y Q U s K U A A A D 2 A A A A E g A A A A A A A A A A A A A A A A A A A A A A Q 2 9 u Z m l n L 1 B h Y 2 t h Z 2 U u e G 1 s U E s B A i 0 A F A A C A A g A R H t 0 V g / K 6 a u k A A A A 6 Q A A A B M A A A A A A A A A A A A A A A A A 8 Q A A A F t D b 2 5 0 Z W 5 0 X 1 R 5 c G V z X S 5 4 b W x Q S w E C L Q A U A A I A C A B E e 3 R W 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C u o o p W u J M k e y C U p d H w 9 0 E w A A A A A C A A A A A A A D Z g A A w A A A A B A A A A C s g h R + C 4 l X o X N O i i a F B h b R A A A A A A S A A A C g A A A A E A A A A N k 0 5 A F x F f x Z x f b + w t e 2 v n l Q A A A A O 9 0 4 F n n 6 h + 4 y X E n u X H G + G 8 m p a O v U 8 i y s H n r b D R + o S 1 8 Q 7 L X i V + G d I 4 2 i H C j K 2 y y g 6 O a n K c D f v 1 L L M c S I M x O b 7 l r P F Q U U d Q E U a z j j J A C K u r 4 U A A A A a h P A t 6 F v a h a I 5 m G x E 3 q + Z W 0 D K o k = < / D a t a M a s h u p > 
</file>

<file path=customXml/itemProps1.xml><?xml version="1.0" encoding="utf-8"?>
<ds:datastoreItem xmlns:ds="http://schemas.openxmlformats.org/officeDocument/2006/customXml" ds:itemID="{2A6FF5D0-AF7D-4B6B-9E68-37E17B27494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CO2 Calculation</vt:lpstr>
      <vt:lpstr>Fuel Mix Assumptions</vt:lpstr>
      <vt:lpstr>Emissions Factors</vt:lpstr>
      <vt:lpstr>Unit Conversions</vt:lpstr>
      <vt:lpstr>Geographic_Area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Nick Sorokin</dc:creator>
  <cp:keywords/>
  <dc:description/>
  <cp:lastModifiedBy>Julia Kourelakos</cp:lastModifiedBy>
  <cp:revision/>
  <dcterms:created xsi:type="dcterms:W3CDTF">2023-02-07T21:24:05Z</dcterms:created>
  <dcterms:modified xsi:type="dcterms:W3CDTF">2023-09-26T04:57:01Z</dcterms:modified>
  <cp:category/>
  <cp:contentStatus/>
</cp:coreProperties>
</file>