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opcase">Sheet1!$B$12</definedName>
    <definedName name="trancase">Sheet1!$B$14</definedName>
    <definedName name="transcase">Sheet1!$B$312</definedName>
  </definedNames>
  <calcPr calcId="191029" fullCalcOnLoad="1"/>
</workbook>
</file>

<file path=xl/styles.xml><?xml version="1.0" encoding="utf-8"?>
<styleSheet xmlns="http://schemas.openxmlformats.org/spreadsheetml/2006/main">
  <numFmts count="23">
    <numFmt numFmtId="164" formatCode="#,##0.0_);\(#,##0.0\)"/>
    <numFmt numFmtId="165" formatCode="0.0%;\(0.0%\)"/>
    <numFmt numFmtId="166" formatCode="&quot;$&quot;#,##0.0_);\(&quot;$&quot;#,##0.0\)"/>
    <numFmt numFmtId="167" formatCode="#,##0.0_);\(#,##0.0\);#,##0.0_);@_)"/>
    <numFmt numFmtId="168" formatCode="#,##0.000_);\(#,##0.000\)"/>
    <numFmt numFmtId="169" formatCode="0.00%;\(0.00%\)"/>
    <numFmt numFmtId="170" formatCode="&quot;$&quot;#,##0.0_);\(&quot;$&quot;#,##0.0\);&quot;$&quot;#,##0.0_);@_)"/>
    <numFmt numFmtId="171" formatCode="0.0"/>
    <numFmt numFmtId="172" formatCode="0.0\ &quot;d&quot;"/>
    <numFmt numFmtId="173" formatCode="0.0\x_);&quot;NM&quot;_);0.0\x_);@_)"/>
    <numFmt numFmtId="174" formatCode="#,##0_)\ ;\(#,##0\)\ "/>
    <numFmt numFmtId="175" formatCode="0.0%_);\(0.0%\);0.0%_);@_)"/>
    <numFmt numFmtId="176" formatCode="&quot;Growth&quot;"/>
    <numFmt numFmtId="177" formatCode="0.0\x;\(0.0\x\)"/>
    <numFmt numFmtId="178" formatCode="&quot;$&quot;#,##0.00_);\(&quot;$&quot;#,##0.00\)"/>
    <numFmt numFmtId="179" formatCode="#,##0.0_)\ \ ;\(#,##0.0\)\ \ "/>
    <numFmt numFmtId="180" formatCode="&quot;$&quot;#,##0.0_)\ ;\(&quot;$&quot;#,##0.0\)\ "/>
    <numFmt numFmtId="181" formatCode="0.0;\(0.0\);&quot;--&quot;;&quot;NA&quot;"/>
    <numFmt numFmtId="182" formatCode="#,##0.0_)\ ;\(#,##0.0\)\ "/>
    <numFmt numFmtId="183" formatCode="0.0\ &quot;y&quot;"/>
    <numFmt numFmtId="184" formatCode="General\ "/>
    <numFmt numFmtId="185" formatCode="0\ &quot;y&quot;"/>
    <numFmt numFmtId="186" formatCode="&quot;yes&quot;;&quot;ERROR&quot;;&quot;no&quot;;&quot;ERROR&quot;"/>
  </numFmts>
  <fonts count="60">
    <font>
      <name val="Times New Roman"/>
      <sz val="10"/>
    </font>
    <font>
      <name val="Times New Roman"/>
      <family val="1"/>
      <sz val="10"/>
    </font>
    <font>
      <name val="Times New Roman"/>
      <family val="1"/>
      <b val="1"/>
      <sz val="14"/>
      <u val="single"/>
    </font>
    <font>
      <name val="Times New Roman"/>
      <family val="1"/>
      <b val="1"/>
      <color indexed="12"/>
      <sz val="10"/>
      <u val="single"/>
    </font>
    <font>
      <name val="times new roman"/>
      <family val="1"/>
      <b val="1"/>
      <color indexed="8"/>
      <sz val="10"/>
      <u val="single"/>
    </font>
    <font>
      <name val="Times New Roman"/>
      <family val="1"/>
      <b val="1"/>
      <color indexed="12"/>
      <sz val="10"/>
      <u val="singleAccounting"/>
    </font>
    <font>
      <name val="times new roman"/>
      <family val="1"/>
      <b val="1"/>
      <sz val="10"/>
      <u val="singleAccounting"/>
    </font>
    <font>
      <name val="Times New Roman"/>
      <family val="1"/>
      <b val="1"/>
      <color indexed="12"/>
      <sz val="14"/>
      <u val="single"/>
    </font>
    <font>
      <name val="times new roman"/>
      <family val="1"/>
      <color indexed="12"/>
      <sz val="10"/>
    </font>
    <font>
      <name val="times new roman"/>
      <family val="1"/>
      <i val="1"/>
      <color indexed="12"/>
      <sz val="10"/>
    </font>
    <font>
      <name val="times new roman"/>
      <family val="1"/>
      <i val="1"/>
      <sz val="10"/>
    </font>
    <font>
      <name val="Times New Roman"/>
      <family val="1"/>
      <sz val="10"/>
    </font>
    <font>
      <name val="times new roman"/>
      <family val="1"/>
      <i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i val="1"/>
      <color indexed="10"/>
      <sz val="10"/>
    </font>
    <font>
      <name val="times new roman"/>
      <family val="1"/>
      <color indexed="12"/>
      <sz val="10"/>
      <u val="singleAccounting"/>
    </font>
    <font>
      <name val="Times New Roman"/>
      <family val="1"/>
      <color indexed="8"/>
      <sz val="10"/>
    </font>
    <font>
      <name val="times new roman"/>
      <family val="1"/>
      <color indexed="12"/>
      <sz val="10"/>
    </font>
    <font>
      <name val="Times New Roman"/>
      <family val="1"/>
      <b val="1"/>
      <color indexed="10"/>
      <sz val="10"/>
    </font>
    <font>
      <name val="times new roman"/>
      <family val="1"/>
      <i val="1"/>
      <color indexed="12"/>
      <sz val="10"/>
      <u val="single"/>
    </font>
    <font>
      <name val="times new roman"/>
      <family val="1"/>
      <color indexed="12"/>
      <sz val="10"/>
      <u val="singleAccounting"/>
    </font>
    <font>
      <name val="Times New Roman"/>
      <family val="1"/>
      <color indexed="12"/>
      <sz val="10"/>
      <u val="single"/>
    </font>
    <font>
      <name val="Times New Roman"/>
      <family val="1"/>
      <color indexed="8"/>
      <sz val="10"/>
      <u val="single"/>
    </font>
    <font>
      <name val="Times New Roman"/>
      <family val="1"/>
      <color indexed="8"/>
      <sz val="10"/>
      <u val="doubleAccounting"/>
    </font>
    <font>
      <name val="Times New Roman"/>
      <family val="1"/>
      <color indexed="10"/>
      <sz val="10"/>
    </font>
    <font>
      <name val="Times New Roman"/>
      <family val="1"/>
      <b val="1"/>
      <color indexed="12"/>
      <sz val="10"/>
    </font>
    <font>
      <name val="Times New Roman"/>
      <family val="1"/>
      <color indexed="12"/>
      <sz val="11"/>
      <u val="single"/>
    </font>
    <font>
      <name val="times new roman"/>
      <family val="1"/>
      <i val="1"/>
      <color indexed="10"/>
      <sz val="10"/>
    </font>
    <font>
      <name val="Times New Roman"/>
      <family val="1"/>
      <b val="1"/>
      <color indexed="12"/>
      <sz val="10"/>
      <u val="single"/>
    </font>
    <font>
      <name val="Times New Roman"/>
      <family val="1"/>
      <sz val="10"/>
      <u val="singleAccounting"/>
    </font>
    <font>
      <name val="times new roman"/>
      <family val="1"/>
      <b val="1"/>
      <color indexed="8"/>
      <sz val="10"/>
    </font>
    <font>
      <name val="Times New Roman"/>
      <family val="1"/>
      <b val="1"/>
      <color indexed="8"/>
      <sz val="10"/>
      <u val="singleAccounting"/>
    </font>
    <font>
      <name val="Times New Roman"/>
      <family val="1"/>
      <b val="1"/>
      <color indexed="8"/>
      <sz val="10"/>
      <u val="singleAccounting"/>
    </font>
    <font>
      <name val="Times New Roman"/>
      <family val="1"/>
      <b val="1"/>
      <color indexed="10"/>
      <sz val="10"/>
    </font>
    <font>
      <name val="Times New Roman"/>
      <family val="1"/>
      <b val="1"/>
      <color indexed="12"/>
      <sz val="12"/>
    </font>
    <font>
      <name val="Times New Roman"/>
      <family val="1"/>
      <b val="1"/>
      <sz val="12"/>
    </font>
    <font>
      <name val="Times New Roman"/>
      <family val="1"/>
      <b val="1"/>
      <color indexed="10"/>
      <sz val="12"/>
    </font>
    <font>
      <name val="Times New Roman"/>
      <family val="1"/>
      <b val="1"/>
      <color indexed="8"/>
      <sz val="12"/>
    </font>
    <font>
      <name val="Times New Roman"/>
      <family val="1"/>
      <color indexed="8"/>
      <sz val="10"/>
      <u val="singleAccounting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Times New Roman"/>
      <family val="1"/>
      <b val="1"/>
      <sz val="10"/>
    </font>
    <font>
      <name val="Times New Roman"/>
      <family val="1"/>
      <b val="1"/>
      <color indexed="12"/>
      <sz val="12"/>
      <u val="single"/>
    </font>
    <font>
      <name val="times new roman"/>
      <family val="1"/>
      <b val="1"/>
      <i val="1"/>
      <sz val="10"/>
      <u val="single"/>
    </font>
    <font>
      <name val="times new roman"/>
      <family val="1"/>
      <b val="1"/>
      <i val="1"/>
      <color indexed="12"/>
      <sz val="10"/>
    </font>
    <font>
      <name val="times new roman"/>
      <family val="1"/>
      <b val="1"/>
      <i val="1"/>
      <color indexed="8"/>
      <sz val="10"/>
    </font>
    <font>
      <name val="Times New Roman"/>
      <family val="1"/>
      <b val="1"/>
      <color indexed="17"/>
      <sz val="10"/>
    </font>
    <font>
      <name val="times new roman"/>
      <family val="1"/>
      <b val="1"/>
      <color indexed="21"/>
      <sz val="10"/>
    </font>
    <font>
      <name val="Times New Roman"/>
      <family val="1"/>
      <sz val="10"/>
      <u val="singleAccounting"/>
    </font>
    <font>
      <name val="times new roman"/>
      <family val="1"/>
      <i val="1"/>
      <color indexed="8"/>
      <sz val="8"/>
    </font>
    <font>
      <name val="times new roman"/>
      <family val="1"/>
      <i val="1"/>
      <color indexed="12"/>
      <sz val="8"/>
    </font>
    <font>
      <name val="Times New Roman"/>
      <family val="1"/>
      <b val="1"/>
      <color indexed="8"/>
      <sz val="12"/>
      <u val="singleAccounting"/>
    </font>
    <font>
      <name val="Times New Roman"/>
      <family val="1"/>
      <b val="1"/>
      <color indexed="12"/>
      <sz val="12"/>
      <u val="singleAccounting"/>
    </font>
    <font>
      <name val="Times New Roman"/>
      <family val="1"/>
      <b val="1"/>
      <color indexed="12"/>
      <sz val="14"/>
      <u val="singleAccounting"/>
    </font>
    <font>
      <name val="Times New Roman"/>
      <family val="1"/>
      <sz val="12"/>
      <u val="singleAccounting"/>
    </font>
    <font>
      <name val="Tahoma"/>
      <family val="2"/>
      <b val="1"/>
      <color indexed="8"/>
      <sz val="10"/>
    </font>
    <font>
      <name val="Tahoma"/>
      <family val="2"/>
      <b val="1"/>
      <color indexed="12"/>
      <sz val="10"/>
    </font>
    <font>
      <name val="times new roman"/>
      <family val="1"/>
      <color indexed="14"/>
      <sz val="10"/>
    </font>
    <font>
      <name val="times new roman"/>
      <family val="1"/>
      <b val="1"/>
      <i val="1"/>
      <color indexed="12"/>
      <sz val="10"/>
      <u val="single"/>
    </font>
    <font>
      <name val="Times New Roman"/>
      <family val="1"/>
      <i val="1"/>
      <color indexed="12"/>
      <sz val="9"/>
    </font>
  </fonts>
  <fills count="5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26" fillId="0" borderId="0" applyAlignment="1" applyProtection="1">
      <alignment vertical="top"/>
      <protection locked="0" hidden="0"/>
    </xf>
    <xf numFmtId="170" fontId="12" fillId="0" borderId="0"/>
  </cellStyleXfs>
  <cellXfs count="381"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horizontal="centerContinuous"/>
    </xf>
    <xf numFmtId="0" fontId="6" fillId="0" borderId="0" applyAlignment="1" pivotButton="0" quotePrefix="0" xfId="0">
      <alignment horizontal="centerContinuous"/>
    </xf>
    <xf numFmtId="164" fontId="7" fillId="0" borderId="0" applyAlignment="1" pivotButton="0" quotePrefix="0" xfId="0">
      <alignment horizontal="centerContinuous"/>
    </xf>
    <xf numFmtId="164" fontId="2" fillId="0" borderId="0" applyAlignment="1" pivotButton="0" quotePrefix="0" xfId="0">
      <alignment horizontal="centerContinuous"/>
    </xf>
    <xf numFmtId="164" fontId="8" fillId="0" borderId="0" pivotButton="0" quotePrefix="0" xfId="0"/>
    <xf numFmtId="165" fontId="9" fillId="0" borderId="0" pivotButton="0" quotePrefix="0" xfId="0"/>
    <xf numFmtId="165" fontId="10" fillId="0" borderId="0" pivotButton="0" quotePrefix="0" xfId="0"/>
    <xf numFmtId="164" fontId="9" fillId="0" borderId="0" pivotButton="0" quotePrefix="0" xfId="0"/>
    <xf numFmtId="164" fontId="11" fillId="0" borderId="0" pivotButton="0" quotePrefix="0" xfId="0"/>
    <xf numFmtId="166" fontId="8" fillId="0" borderId="0" pivotButton="0" quotePrefix="0" xfId="0"/>
    <xf numFmtId="166" fontId="0" fillId="0" borderId="0" pivotButton="0" quotePrefix="0" xfId="0"/>
    <xf numFmtId="165" fontId="12" fillId="0" borderId="0" pivotButton="0" quotePrefix="0" xfId="0"/>
    <xf numFmtId="164" fontId="10" fillId="0" borderId="0" pivotButton="0" quotePrefix="0" xfId="0"/>
    <xf numFmtId="164" fontId="13" fillId="0" borderId="0" pivotButton="0" quotePrefix="0" xfId="0"/>
    <xf numFmtId="165" fontId="14" fillId="0" borderId="0" pivotButton="0" quotePrefix="0" xfId="0"/>
    <xf numFmtId="164" fontId="8" fillId="0" borderId="0" applyAlignment="1" pivotButton="0" quotePrefix="0" xfId="0">
      <alignment horizontal="left" indent="1"/>
    </xf>
    <xf numFmtId="164" fontId="15" fillId="0" borderId="0" applyAlignment="1" pivotButton="0" quotePrefix="0" xfId="0">
      <alignment horizontal="right"/>
    </xf>
    <xf numFmtId="166" fontId="16" fillId="0" borderId="0" pivotButton="0" quotePrefix="0" xfId="0"/>
    <xf numFmtId="164" fontId="16" fillId="0" borderId="0" pivotButton="0" quotePrefix="0" xfId="0"/>
    <xf numFmtId="164" fontId="1" fillId="0" borderId="0" pivotButton="0" quotePrefix="0" xfId="0"/>
    <xf numFmtId="164" fontId="17" fillId="0" borderId="0" pivotButton="0" quotePrefix="0" xfId="0"/>
    <xf numFmtId="167" fontId="16" fillId="0" borderId="0" pivotButton="0" quotePrefix="0" xfId="0"/>
    <xf numFmtId="0" fontId="8" fillId="0" borderId="0" applyAlignment="1" pivotButton="0" quotePrefix="0" xfId="0">
      <alignment horizontal="right"/>
    </xf>
    <xf numFmtId="164" fontId="18" fillId="0" borderId="0" pivotButton="0" quotePrefix="0" xfId="0"/>
    <xf numFmtId="164" fontId="19" fillId="0" borderId="0" pivotButton="0" quotePrefix="0" xfId="0"/>
    <xf numFmtId="164" fontId="20" fillId="0" borderId="0" pivotButton="0" quotePrefix="0" xfId="0"/>
    <xf numFmtId="164" fontId="7" fillId="0" borderId="0" pivotButton="0" quotePrefix="0" xfId="0"/>
    <xf numFmtId="164" fontId="5" fillId="0" borderId="0" applyAlignment="1" pivotButton="0" quotePrefix="0" xfId="0">
      <alignment horizontal="centerContinuous"/>
    </xf>
    <xf numFmtId="0" fontId="11" fillId="0" borderId="0" pivotButton="0" quotePrefix="0" xfId="0"/>
    <xf numFmtId="17" fontId="21" fillId="0" borderId="0" pivotButton="0" quotePrefix="0" xfId="0"/>
    <xf numFmtId="17" fontId="22" fillId="0" borderId="0" pivotButton="0" quotePrefix="0" xfId="0"/>
    <xf numFmtId="164" fontId="3" fillId="0" borderId="0" pivotButton="0" quotePrefix="0" xfId="0"/>
    <xf numFmtId="164" fontId="4" fillId="0" borderId="0" pivotButton="0" quotePrefix="0" xfId="0"/>
    <xf numFmtId="166" fontId="23" fillId="0" borderId="0" pivotButton="0" quotePrefix="0" xfId="0"/>
    <xf numFmtId="168" fontId="13" fillId="0" borderId="0" pivotButton="0" quotePrefix="0" xfId="0"/>
    <xf numFmtId="164" fontId="24" fillId="0" borderId="0" pivotButton="0" quotePrefix="0" xfId="0"/>
    <xf numFmtId="169" fontId="19" fillId="0" borderId="0" applyAlignment="1" pivotButton="0" quotePrefix="0" xfId="0">
      <alignment horizontal="center"/>
    </xf>
    <xf numFmtId="0" fontId="18" fillId="0" borderId="0" pivotButton="0" quotePrefix="0" xfId="0"/>
    <xf numFmtId="164" fontId="16" fillId="0" borderId="0" applyAlignment="1" pivotButton="0" quotePrefix="0" xfId="0">
      <alignment horizontal="right"/>
    </xf>
    <xf numFmtId="164" fontId="25" fillId="0" borderId="0" pivotButton="0" quotePrefix="0" xfId="0"/>
    <xf numFmtId="170" fontId="16" fillId="0" borderId="0" pivotButton="0" quotePrefix="0" xfId="0"/>
    <xf numFmtId="166" fontId="15" fillId="0" borderId="0" pivotButton="0" quotePrefix="0" xfId="0"/>
    <xf numFmtId="164" fontId="0" fillId="0" borderId="0" applyAlignment="1" pivotButton="0" quotePrefix="0" xfId="0">
      <alignment horizontal="left" indent="1"/>
    </xf>
    <xf numFmtId="166" fontId="8" fillId="0" borderId="0" applyAlignment="1" pivotButton="0" quotePrefix="0" xfId="0">
      <alignment horizontal="left" indent="1"/>
    </xf>
    <xf numFmtId="165" fontId="8" fillId="0" borderId="0" pivotButton="0" quotePrefix="0" xfId="0"/>
    <xf numFmtId="171" fontId="12" fillId="0" borderId="0" pivotButton="0" quotePrefix="0" xfId="2"/>
    <xf numFmtId="165" fontId="8" fillId="0" borderId="0" applyAlignment="1" pivotButton="0" quotePrefix="0" xfId="0">
      <alignment horizontal="left" indent="1"/>
    </xf>
    <xf numFmtId="165" fontId="12" fillId="0" borderId="0" applyAlignment="1" pivotButton="0" quotePrefix="0" xfId="0">
      <alignment horizontal="left" indent="1"/>
    </xf>
    <xf numFmtId="164" fontId="10" fillId="0" borderId="0" applyAlignment="1" pivotButton="0" quotePrefix="0" xfId="0">
      <alignment horizontal="left" indent="1"/>
    </xf>
    <xf numFmtId="170" fontId="13" fillId="0" borderId="0" pivotButton="0" quotePrefix="0" xfId="2"/>
    <xf numFmtId="171" fontId="13" fillId="0" borderId="0" pivotButton="0" quotePrefix="0" xfId="2"/>
    <xf numFmtId="171" fontId="15" fillId="0" borderId="0" pivotButton="0" quotePrefix="0" xfId="2"/>
    <xf numFmtId="165" fontId="9" fillId="0" borderId="0" applyAlignment="1" pivotButton="0" quotePrefix="0" xfId="0">
      <alignment horizontal="left" indent="1"/>
    </xf>
    <xf numFmtId="172" fontId="27" fillId="0" borderId="0" pivotButton="0" quotePrefix="0" xfId="0"/>
    <xf numFmtId="173" fontId="12" fillId="0" borderId="0" pivotButton="0" quotePrefix="0" xfId="0"/>
    <xf numFmtId="165" fontId="12" fillId="0" borderId="0" applyAlignment="1" pivotButton="0" quotePrefix="0" xfId="0">
      <alignment horizontal="centerContinuous"/>
    </xf>
    <xf numFmtId="166" fontId="17" fillId="0" borderId="0" pivotButton="0" quotePrefix="0" xfId="0"/>
    <xf numFmtId="164" fontId="28" fillId="0" borderId="0" pivotButton="0" quotePrefix="0" xfId="0"/>
    <xf numFmtId="164" fontId="29" fillId="0" borderId="0" pivotButton="0" quotePrefix="0" xfId="0"/>
    <xf numFmtId="164" fontId="17" fillId="0" borderId="0" applyAlignment="1" pivotButton="0" quotePrefix="0" xfId="0">
      <alignment horizontal="left" indent="1"/>
    </xf>
    <xf numFmtId="0" fontId="17" fillId="0" borderId="0" applyAlignment="1" pivotButton="0" quotePrefix="0" xfId="0">
      <alignment horizontal="left" indent="1"/>
    </xf>
    <xf numFmtId="0" fontId="17" fillId="0" borderId="0" pivotButton="0" quotePrefix="0" xfId="0"/>
    <xf numFmtId="164" fontId="0" fillId="0" borderId="0" applyAlignment="1" pivotButton="0" quotePrefix="0" xfId="0">
      <alignment horizontal="centerContinuous"/>
    </xf>
    <xf numFmtId="0" fontId="19" fillId="0" borderId="0" pivotButton="0" quotePrefix="0" xfId="0"/>
    <xf numFmtId="166" fontId="9" fillId="0" borderId="1" pivotButton="0" quotePrefix="0" xfId="0"/>
    <xf numFmtId="166" fontId="10" fillId="0" borderId="2" pivotButton="0" quotePrefix="0" xfId="0"/>
    <xf numFmtId="164" fontId="13" fillId="0" borderId="0" applyAlignment="1" pivotButton="0" quotePrefix="0" xfId="0">
      <alignment horizontal="right"/>
    </xf>
    <xf numFmtId="0" fontId="1" fillId="0" borderId="0" pivotButton="0" quotePrefix="0" xfId="0"/>
    <xf numFmtId="0" fontId="21" fillId="0" borderId="3" applyAlignment="1" pivotButton="0" quotePrefix="0" xfId="0">
      <alignment horizontal="center"/>
    </xf>
    <xf numFmtId="164" fontId="30" fillId="0" borderId="0" pivotButton="0" quotePrefix="0" xfId="0"/>
    <xf numFmtId="166" fontId="13" fillId="0" borderId="0" pivotButton="0" quotePrefix="0" xfId="0"/>
    <xf numFmtId="0" fontId="8" fillId="0" borderId="0" applyAlignment="1" pivotButton="0" quotePrefix="0" xfId="0">
      <alignment horizontal="left" indent="1"/>
    </xf>
    <xf numFmtId="164" fontId="24" fillId="0" borderId="0" applyAlignment="1" pivotButton="0" quotePrefix="0" xfId="0">
      <alignment horizontal="right"/>
    </xf>
    <xf numFmtId="164" fontId="31" fillId="0" borderId="0" pivotButton="0" quotePrefix="0" xfId="0"/>
    <xf numFmtId="164" fontId="32" fillId="0" borderId="0" pivotButton="0" quotePrefix="0" xfId="0"/>
    <xf numFmtId="164" fontId="33" fillId="0" borderId="0" pivotButton="0" quotePrefix="0" xfId="0"/>
    <xf numFmtId="164" fontId="35" fillId="0" borderId="0" pivotButton="0" quotePrefix="0" xfId="0"/>
    <xf numFmtId="164" fontId="36" fillId="0" borderId="0" pivotButton="0" quotePrefix="0" xfId="0"/>
    <xf numFmtId="164" fontId="34" fillId="0" borderId="0" applyAlignment="1" pivotButton="0" quotePrefix="0" xfId="0">
      <alignment horizontal="left"/>
    </xf>
    <xf numFmtId="37" fontId="37" fillId="0" borderId="0" pivotButton="0" quotePrefix="0" xfId="0"/>
    <xf numFmtId="164" fontId="38" fillId="0" borderId="0" pivotButton="0" quotePrefix="0" xfId="0"/>
    <xf numFmtId="164" fontId="41" fillId="0" borderId="0" pivotButton="0" quotePrefix="0" xfId="0"/>
    <xf numFmtId="164" fontId="3" fillId="0" borderId="4" pivotButton="0" quotePrefix="0" xfId="0"/>
    <xf numFmtId="0" fontId="4" fillId="0" borderId="5" pivotButton="0" quotePrefix="0" xfId="0"/>
    <xf numFmtId="164" fontId="8" fillId="2" borderId="4" pivotButton="0" quotePrefix="0" xfId="0"/>
    <xf numFmtId="164" fontId="25" fillId="2" borderId="4" pivotButton="0" quotePrefix="0" xfId="0"/>
    <xf numFmtId="164" fontId="41" fillId="2" borderId="0" pivotButton="0" quotePrefix="0" xfId="0"/>
    <xf numFmtId="164" fontId="11" fillId="0" borderId="4" pivotButton="0" quotePrefix="0" xfId="0"/>
    <xf numFmtId="164" fontId="11" fillId="0" borderId="5" pivotButton="0" quotePrefix="0" xfId="0"/>
    <xf numFmtId="164" fontId="7" fillId="0" borderId="6" pivotButton="0" quotePrefix="0" xfId="0"/>
    <xf numFmtId="164" fontId="11" fillId="0" borderId="7" pivotButton="0" quotePrefix="0" xfId="0"/>
    <xf numFmtId="164" fontId="11" fillId="0" borderId="8" pivotButton="0" quotePrefix="0" xfId="0"/>
    <xf numFmtId="164" fontId="42" fillId="0" borderId="6" pivotButton="0" quotePrefix="0" xfId="0"/>
    <xf numFmtId="37" fontId="8" fillId="0" borderId="4" pivotButton="0" quotePrefix="0" xfId="0"/>
    <xf numFmtId="165" fontId="8" fillId="0" borderId="5" pivotButton="0" quotePrefix="0" xfId="0"/>
    <xf numFmtId="37" fontId="13" fillId="0" borderId="4" pivotButton="0" quotePrefix="0" xfId="0"/>
    <xf numFmtId="174" fontId="25" fillId="0" borderId="4" applyAlignment="1" pivotButton="0" quotePrefix="0" xfId="0">
      <alignment horizontal="left" indent="1"/>
    </xf>
    <xf numFmtId="37" fontId="30" fillId="0" borderId="0" pivotButton="0" quotePrefix="0" xfId="0"/>
    <xf numFmtId="175" fontId="30" fillId="0" borderId="0" pivotButton="0" quotePrefix="0" xfId="0"/>
    <xf numFmtId="175" fontId="30" fillId="0" borderId="5" pivotButton="0" quotePrefix="0" xfId="0"/>
    <xf numFmtId="174" fontId="25" fillId="0" borderId="9" applyAlignment="1" pivotButton="0" quotePrefix="0" xfId="0">
      <alignment horizontal="left" indent="1"/>
    </xf>
    <xf numFmtId="37" fontId="30" fillId="0" borderId="10" pivotButton="0" quotePrefix="0" xfId="0"/>
    <xf numFmtId="164" fontId="41" fillId="0" borderId="10" pivotButton="0" quotePrefix="0" xfId="0"/>
    <xf numFmtId="175" fontId="30" fillId="0" borderId="10" pivotButton="0" quotePrefix="0" xfId="0"/>
    <xf numFmtId="175" fontId="30" fillId="0" borderId="11" pivotButton="0" quotePrefix="0" xfId="0"/>
    <xf numFmtId="175" fontId="30" fillId="0" borderId="0" applyAlignment="1" pivotButton="0" quotePrefix="0" xfId="0">
      <alignment horizontal="right"/>
    </xf>
    <xf numFmtId="175" fontId="30" fillId="0" borderId="5" applyAlignment="1" pivotButton="0" quotePrefix="0" xfId="0">
      <alignment horizontal="right"/>
    </xf>
    <xf numFmtId="164" fontId="30" fillId="0" borderId="10" pivotButton="0" quotePrefix="0" xfId="0"/>
    <xf numFmtId="164" fontId="30" fillId="0" borderId="11" pivotButton="0" quotePrefix="0" xfId="0"/>
    <xf numFmtId="164" fontId="7" fillId="0" borderId="6" applyAlignment="1" pivotButton="0" quotePrefix="0" xfId="0">
      <alignment horizontal="centerContinuous"/>
    </xf>
    <xf numFmtId="164" fontId="7" fillId="0" borderId="7" applyAlignment="1" pivotButton="0" quotePrefix="0" xfId="0">
      <alignment horizontal="centerContinuous"/>
    </xf>
    <xf numFmtId="164" fontId="7" fillId="0" borderId="8" applyAlignment="1" pivotButton="0" quotePrefix="0" xfId="0">
      <alignment horizontal="centerContinuous"/>
    </xf>
    <xf numFmtId="164" fontId="8" fillId="0" borderId="0" applyAlignment="1" pivotButton="0" quotePrefix="0" xfId="0">
      <alignment horizontal="right"/>
    </xf>
    <xf numFmtId="164" fontId="5" fillId="0" borderId="5" applyAlignment="1" pivotButton="0" quotePrefix="0" xfId="0">
      <alignment horizontal="centerContinuous"/>
    </xf>
    <xf numFmtId="0" fontId="11" fillId="0" borderId="4" pivotButton="0" quotePrefix="0" xfId="0"/>
    <xf numFmtId="0" fontId="43" fillId="0" borderId="4" pivotButton="0" quotePrefix="0" xfId="0"/>
    <xf numFmtId="0" fontId="43" fillId="0" borderId="0" pivotButton="0" quotePrefix="0" xfId="0"/>
    <xf numFmtId="0" fontId="44" fillId="0" borderId="0" pivotButton="0" quotePrefix="0" xfId="0"/>
    <xf numFmtId="0" fontId="45" fillId="0" borderId="0" pivotButton="0" quotePrefix="0" xfId="0"/>
    <xf numFmtId="0" fontId="45" fillId="0" borderId="5" pivotButton="0" quotePrefix="0" xfId="0"/>
    <xf numFmtId="0" fontId="42" fillId="0" borderId="4" pivotButton="0" quotePrefix="0" xfId="0"/>
    <xf numFmtId="0" fontId="3" fillId="0" borderId="4" pivotButton="0" quotePrefix="0" xfId="0"/>
    <xf numFmtId="164" fontId="8" fillId="0" borderId="4" pivotButton="0" quotePrefix="0" xfId="0"/>
    <xf numFmtId="164" fontId="15" fillId="0" borderId="5" applyAlignment="1" pivotButton="0" quotePrefix="0" xfId="0">
      <alignment horizontal="right"/>
    </xf>
    <xf numFmtId="164" fontId="25" fillId="0" borderId="4" pivotButton="0" quotePrefix="0" xfId="0"/>
    <xf numFmtId="164" fontId="46" fillId="0" borderId="0" pivotButton="0" quotePrefix="0" xfId="0"/>
    <xf numFmtId="0" fontId="9" fillId="0" borderId="4" pivotButton="0" quotePrefix="0" xfId="0"/>
    <xf numFmtId="164" fontId="47" fillId="0" borderId="0" pivotButton="0" quotePrefix="0" xfId="0"/>
    <xf numFmtId="164" fontId="9" fillId="0" borderId="4" pivotButton="0" quotePrefix="0" xfId="0"/>
    <xf numFmtId="164" fontId="8" fillId="0" borderId="9" pivotButton="0" quotePrefix="0" xfId="0"/>
    <xf numFmtId="164" fontId="11" fillId="0" borderId="10" pivotButton="0" quotePrefix="0" xfId="0"/>
    <xf numFmtId="164" fontId="5" fillId="0" borderId="6" applyAlignment="1" pivotButton="0" quotePrefix="0" xfId="0">
      <alignment horizontal="centerContinuous"/>
    </xf>
    <xf numFmtId="164" fontId="48" fillId="0" borderId="7" applyAlignment="1" pivotButton="0" quotePrefix="0" xfId="0">
      <alignment horizontal="centerContinuous"/>
    </xf>
    <xf numFmtId="164" fontId="48" fillId="0" borderId="8" applyAlignment="1" pivotButton="0" quotePrefix="0" xfId="0">
      <alignment horizontal="centerContinuous"/>
    </xf>
    <xf numFmtId="164" fontId="8" fillId="0" borderId="0" applyAlignment="1" pivotButton="0" quotePrefix="1" xfId="0">
      <alignment horizontal="right"/>
    </xf>
    <xf numFmtId="0" fontId="5" fillId="0" borderId="6" applyAlignment="1" pivotButton="0" quotePrefix="0" xfId="0">
      <alignment horizontal="centerContinuous"/>
    </xf>
    <xf numFmtId="0" fontId="0" fillId="0" borderId="7" applyAlignment="1" pivotButton="0" quotePrefix="0" xfId="0">
      <alignment horizontal="centerContinuous"/>
    </xf>
    <xf numFmtId="0" fontId="0" fillId="0" borderId="8" applyAlignment="1" pivotButton="0" quotePrefix="0" xfId="0">
      <alignment horizontal="centerContinuous"/>
    </xf>
    <xf numFmtId="0" fontId="0" fillId="0" borderId="4" pivotButton="0" quotePrefix="0" xfId="0"/>
    <xf numFmtId="0" fontId="6" fillId="0" borderId="5" applyAlignment="1" pivotButton="0" quotePrefix="0" xfId="0">
      <alignment horizontal="centerContinuous"/>
    </xf>
    <xf numFmtId="176" fontId="30" fillId="0" borderId="4" pivotButton="0" quotePrefix="0" xfId="0"/>
    <xf numFmtId="175" fontId="17" fillId="0" borderId="5" pivotButton="0" quotePrefix="0" xfId="0"/>
    <xf numFmtId="2" fontId="0" fillId="0" borderId="0" pivotButton="0" quotePrefix="0" xfId="0"/>
    <xf numFmtId="2" fontId="0" fillId="0" borderId="5" pivotButton="0" quotePrefix="0" xfId="0"/>
    <xf numFmtId="2" fontId="0" fillId="0" borderId="10" pivotButton="0" quotePrefix="0" xfId="0"/>
    <xf numFmtId="2" fontId="0" fillId="0" borderId="11" pivotButton="0" quotePrefix="0" xfId="0"/>
    <xf numFmtId="164" fontId="13" fillId="0" borderId="5" pivotButton="0" quotePrefix="0" xfId="0"/>
    <xf numFmtId="177" fontId="13" fillId="0" borderId="0" pivotButton="0" quotePrefix="0" xfId="0"/>
    <xf numFmtId="37" fontId="37" fillId="0" borderId="5" pivotButton="0" quotePrefix="0" xfId="0"/>
    <xf numFmtId="166" fontId="13" fillId="0" borderId="5" pivotButton="0" quotePrefix="0" xfId="0"/>
    <xf numFmtId="164" fontId="13" fillId="0" borderId="10" pivotButton="0" quotePrefix="0" xfId="0"/>
    <xf numFmtId="164" fontId="13" fillId="0" borderId="11" pivotButton="0" quotePrefix="0" xfId="0"/>
    <xf numFmtId="164" fontId="30" fillId="0" borderId="0" applyAlignment="1" pivotButton="0" quotePrefix="0" xfId="0">
      <alignment horizontal="right"/>
    </xf>
    <xf numFmtId="164" fontId="30" fillId="0" borderId="5" applyAlignment="1" pivotButton="0" quotePrefix="0" xfId="0">
      <alignment horizontal="right"/>
    </xf>
    <xf numFmtId="177" fontId="13" fillId="0" borderId="5" pivotButton="0" quotePrefix="0" xfId="0"/>
    <xf numFmtId="173" fontId="49" fillId="0" borderId="0" applyAlignment="1" pivotButton="0" quotePrefix="0" xfId="0">
      <alignment horizontal="centerContinuous"/>
    </xf>
    <xf numFmtId="175" fontId="50" fillId="0" borderId="5" applyAlignment="1" pivotButton="0" quotePrefix="0" xfId="0">
      <alignment horizontal="left" indent="4"/>
    </xf>
    <xf numFmtId="168" fontId="13" fillId="0" borderId="0" applyAlignment="1" pivotButton="0" quotePrefix="0" xfId="0">
      <alignment horizontal="right"/>
    </xf>
    <xf numFmtId="178" fontId="13" fillId="0" borderId="10" pivotButton="0" quotePrefix="0" xfId="0"/>
    <xf numFmtId="173" fontId="49" fillId="0" borderId="10" applyAlignment="1" pivotButton="0" quotePrefix="0" xfId="0">
      <alignment horizontal="right"/>
    </xf>
    <xf numFmtId="173" fontId="30" fillId="0" borderId="0" pivotButton="0" quotePrefix="0" xfId="0"/>
    <xf numFmtId="164" fontId="53" fillId="2" borderId="6" applyAlignment="1" pivotButton="0" quotePrefix="0" xfId="0">
      <alignment horizontal="centerContinuous"/>
    </xf>
    <xf numFmtId="0" fontId="0" fillId="2" borderId="0" pivotButton="0" quotePrefix="0" xfId="0"/>
    <xf numFmtId="0" fontId="0" fillId="2" borderId="5" pivotButton="0" quotePrefix="0" xfId="0"/>
    <xf numFmtId="164" fontId="34" fillId="0" borderId="4" applyAlignment="1" pivotButton="0" quotePrefix="0" xfId="0">
      <alignment horizontal="left"/>
    </xf>
    <xf numFmtId="164" fontId="34" fillId="0" borderId="6" pivotButton="0" quotePrefix="0" xfId="0"/>
    <xf numFmtId="164" fontId="34" fillId="0" borderId="9" applyAlignment="1" pivotButton="0" quotePrefix="0" xfId="0">
      <alignment horizontal="left"/>
    </xf>
    <xf numFmtId="37" fontId="37" fillId="0" borderId="8" pivotButton="0" quotePrefix="0" xfId="0"/>
    <xf numFmtId="37" fontId="51" fillId="0" borderId="5" pivotButton="0" quotePrefix="0" xfId="0"/>
    <xf numFmtId="37" fontId="37" fillId="0" borderId="11" pivotButton="0" quotePrefix="0" xfId="0"/>
    <xf numFmtId="170" fontId="13" fillId="0" borderId="0" pivotButton="0" quotePrefix="0" xfId="0"/>
    <xf numFmtId="164" fontId="53" fillId="0" borderId="6" applyAlignment="1" pivotButton="0" quotePrefix="0" xfId="0">
      <alignment horizontal="centerContinuous"/>
    </xf>
    <xf numFmtId="164" fontId="5" fillId="0" borderId="7" applyAlignment="1" pivotButton="0" quotePrefix="0" xfId="0">
      <alignment horizontal="centerContinuous"/>
    </xf>
    <xf numFmtId="164" fontId="6" fillId="0" borderId="7" applyAlignment="1" pivotButton="0" quotePrefix="0" xfId="0">
      <alignment horizontal="centerContinuous"/>
    </xf>
    <xf numFmtId="164" fontId="6" fillId="0" borderId="8" applyAlignment="1" pivotButton="0" quotePrefix="0" xfId="0">
      <alignment horizontal="centerContinuous"/>
    </xf>
    <xf numFmtId="164" fontId="15" fillId="0" borderId="0" applyAlignment="1" pivotButton="0" quotePrefix="0" xfId="0">
      <alignment horizontal="centerContinuous"/>
    </xf>
    <xf numFmtId="164" fontId="48" fillId="0" borderId="0" applyAlignment="1" pivotButton="0" quotePrefix="0" xfId="0">
      <alignment horizontal="centerContinuous"/>
    </xf>
    <xf numFmtId="164" fontId="48" fillId="0" borderId="5" applyAlignment="1" pivotButton="0" quotePrefix="0" xfId="0">
      <alignment horizontal="centerContinuous"/>
    </xf>
    <xf numFmtId="165" fontId="9" fillId="0" borderId="4" pivotButton="0" quotePrefix="0" xfId="0"/>
    <xf numFmtId="165" fontId="12" fillId="0" borderId="0" applyAlignment="1" pivotButton="0" quotePrefix="0" xfId="0">
      <alignment horizontal="right"/>
    </xf>
    <xf numFmtId="165" fontId="12" fillId="0" borderId="5" applyAlignment="1" pivotButton="0" quotePrefix="0" xfId="0">
      <alignment horizontal="right"/>
    </xf>
    <xf numFmtId="165" fontId="12" fillId="0" borderId="5" pivotButton="0" quotePrefix="0" xfId="0"/>
    <xf numFmtId="178" fontId="13" fillId="0" borderId="0" pivotButton="0" quotePrefix="0" xfId="0"/>
    <xf numFmtId="164" fontId="8" fillId="0" borderId="10" pivotButton="0" quotePrefix="0" xfId="0"/>
    <xf numFmtId="164" fontId="53" fillId="0" borderId="8" applyAlignment="1" pivotButton="0" quotePrefix="0" xfId="0">
      <alignment horizontal="centerContinuous"/>
    </xf>
    <xf numFmtId="170" fontId="30" fillId="0" borderId="5" pivotButton="0" quotePrefix="0" xfId="0"/>
    <xf numFmtId="173" fontId="30" fillId="0" borderId="5" pivotButton="0" quotePrefix="0" xfId="0"/>
    <xf numFmtId="2" fontId="16" fillId="0" borderId="0" pivotButton="0" quotePrefix="0" xfId="0"/>
    <xf numFmtId="2" fontId="16" fillId="0" borderId="5" pivotButton="0" quotePrefix="0" xfId="0"/>
    <xf numFmtId="164" fontId="25" fillId="0" borderId="9" pivotButton="0" quotePrefix="0" xfId="0"/>
    <xf numFmtId="173" fontId="30" fillId="0" borderId="11" pivotButton="0" quotePrefix="0" xfId="0"/>
    <xf numFmtId="2" fontId="16" fillId="0" borderId="10" pivotButton="0" quotePrefix="0" xfId="0"/>
    <xf numFmtId="2" fontId="16" fillId="0" borderId="11" pivotButton="0" quotePrefix="0" xfId="0"/>
    <xf numFmtId="164" fontId="54" fillId="2" borderId="7" applyAlignment="1" pivotButton="0" quotePrefix="0" xfId="0">
      <alignment horizontal="centerContinuous"/>
    </xf>
    <xf numFmtId="164" fontId="54" fillId="2" borderId="8" applyAlignment="1" pivotButton="0" quotePrefix="0" xfId="0">
      <alignment horizontal="centerContinuous"/>
    </xf>
    <xf numFmtId="164" fontId="0" fillId="2" borderId="4" pivotButton="0" quotePrefix="0" xfId="0"/>
    <xf numFmtId="164" fontId="0" fillId="2" borderId="0" pivotButton="0" quotePrefix="0" xfId="0"/>
    <xf numFmtId="164" fontId="0" fillId="2" borderId="5" pivotButton="0" quotePrefix="0" xfId="0"/>
    <xf numFmtId="164" fontId="11" fillId="2" borderId="4" pivotButton="0" quotePrefix="0" xfId="0"/>
    <xf numFmtId="164" fontId="11" fillId="2" borderId="0" pivotButton="0" quotePrefix="0" xfId="0"/>
    <xf numFmtId="164" fontId="11" fillId="2" borderId="5" pivotButton="0" quotePrefix="0" xfId="0"/>
    <xf numFmtId="37" fontId="25" fillId="2" borderId="4" pivotButton="0" quotePrefix="0" xfId="0"/>
    <xf numFmtId="37" fontId="3" fillId="2" borderId="0" applyAlignment="1" pivotButton="0" quotePrefix="0" xfId="0">
      <alignment horizontal="center"/>
    </xf>
    <xf numFmtId="37" fontId="4" fillId="2" borderId="0" applyAlignment="1" pivotButton="0" quotePrefix="0" xfId="0">
      <alignment horizontal="center"/>
    </xf>
    <xf numFmtId="0" fontId="55" fillId="0" borderId="0" applyAlignment="1" pivotButton="0" quotePrefix="0" xfId="0">
      <alignment horizontal="left" indent="1"/>
    </xf>
    <xf numFmtId="164" fontId="25" fillId="0" borderId="0" applyAlignment="1" pivotButton="0" quotePrefix="0" xfId="0">
      <alignment horizontal="left" indent="2"/>
    </xf>
    <xf numFmtId="164" fontId="9" fillId="2" borderId="4" applyAlignment="1" pivotButton="0" quotePrefix="0" xfId="0">
      <alignment vertical="top"/>
    </xf>
    <xf numFmtId="164" fontId="9" fillId="2" borderId="0" applyAlignment="1" pivotButton="0" quotePrefix="0" xfId="0">
      <alignment vertical="top"/>
    </xf>
    <xf numFmtId="164" fontId="27" fillId="2" borderId="0" applyAlignment="1" pivotButton="0" quotePrefix="0" xfId="0">
      <alignment vertical="top" wrapText="1"/>
    </xf>
    <xf numFmtId="164" fontId="12" fillId="2" borderId="0" applyAlignment="1" pivotButton="0" quotePrefix="0" xfId="0">
      <alignment vertical="top" wrapText="1"/>
    </xf>
    <xf numFmtId="164" fontId="8" fillId="2" borderId="0" pivotButton="0" quotePrefix="0" xfId="0"/>
    <xf numFmtId="164" fontId="15" fillId="2" borderId="0" applyAlignment="1" pivotButton="0" quotePrefix="0" xfId="0">
      <alignment horizontal="right"/>
    </xf>
    <xf numFmtId="164" fontId="8" fillId="2" borderId="0" applyAlignment="1" pivotButton="0" quotePrefix="0" xfId="0">
      <alignment horizontal="right"/>
    </xf>
    <xf numFmtId="164" fontId="30" fillId="2" borderId="0" applyAlignment="1" pivotButton="0" quotePrefix="1" xfId="0">
      <alignment horizontal="right"/>
    </xf>
    <xf numFmtId="0" fontId="56" fillId="0" borderId="0" applyAlignment="1" pivotButton="0" quotePrefix="0" xfId="0">
      <alignment horizontal="left" indent="1"/>
    </xf>
    <xf numFmtId="164" fontId="57" fillId="2" borderId="0" pivotButton="0" quotePrefix="0" xfId="0"/>
    <xf numFmtId="0" fontId="25" fillId="0" borderId="0" applyAlignment="1" pivotButton="0" quotePrefix="0" xfId="1">
      <alignment horizontal="left" indent="1"/>
    </xf>
    <xf numFmtId="164" fontId="13" fillId="2" borderId="0" pivotButton="0" quotePrefix="0" xfId="0"/>
    <xf numFmtId="168" fontId="25" fillId="2" borderId="4" pivotButton="0" quotePrefix="0" xfId="0"/>
    <xf numFmtId="168" fontId="41" fillId="2" borderId="0" pivotButton="0" quotePrefix="0" xfId="0"/>
    <xf numFmtId="168" fontId="30" fillId="2" borderId="0" pivotButton="0" quotePrefix="0" xfId="0"/>
    <xf numFmtId="165" fontId="8" fillId="2" borderId="0" pivotButton="0" quotePrefix="0" xfId="0"/>
    <xf numFmtId="165" fontId="8" fillId="2" borderId="4" pivotButton="0" quotePrefix="0" xfId="0"/>
    <xf numFmtId="165" fontId="11" fillId="2" borderId="0" pivotButton="0" quotePrefix="0" xfId="0"/>
    <xf numFmtId="165" fontId="8" fillId="2" borderId="9" pivotButton="0" quotePrefix="0" xfId="0"/>
    <xf numFmtId="165" fontId="11" fillId="2" borderId="10" pivotButton="0" quotePrefix="0" xfId="0"/>
    <xf numFmtId="0" fontId="0" fillId="2" borderId="10" pivotButton="0" quotePrefix="0" xfId="0"/>
    <xf numFmtId="165" fontId="8" fillId="2" borderId="10" pivotButton="0" quotePrefix="0" xfId="0"/>
    <xf numFmtId="164" fontId="0" fillId="2" borderId="11" pivotButton="0" quotePrefix="0" xfId="0"/>
    <xf numFmtId="0" fontId="42" fillId="2" borderId="0" pivotButton="0" quotePrefix="0" xfId="0"/>
    <xf numFmtId="164" fontId="5" fillId="2" borderId="7" applyAlignment="1" pivotButton="0" quotePrefix="0" xfId="0">
      <alignment horizontal="centerContinuous"/>
    </xf>
    <xf numFmtId="164" fontId="5" fillId="2" borderId="8" applyAlignment="1" pivotButton="0" quotePrefix="0" xfId="0">
      <alignment horizontal="centerContinuous"/>
    </xf>
    <xf numFmtId="164" fontId="13" fillId="2" borderId="4" pivotButton="0" quotePrefix="0" xfId="0"/>
    <xf numFmtId="166" fontId="13" fillId="2" borderId="0" pivotButton="0" quotePrefix="0" xfId="0"/>
    <xf numFmtId="166" fontId="13" fillId="2" borderId="5" pivotButton="0" quotePrefix="0" xfId="0"/>
    <xf numFmtId="164" fontId="13" fillId="2" borderId="5" pivotButton="0" quotePrefix="0" xfId="0"/>
    <xf numFmtId="164" fontId="13" fillId="2" borderId="9" pivotButton="0" quotePrefix="0" xfId="0"/>
    <xf numFmtId="164" fontId="11" fillId="2" borderId="10" pivotButton="0" quotePrefix="0" xfId="0"/>
    <xf numFmtId="164" fontId="13" fillId="2" borderId="10" pivotButton="0" quotePrefix="0" xfId="0"/>
    <xf numFmtId="164" fontId="58" fillId="2" borderId="4" pivotButton="0" quotePrefix="0" xfId="0"/>
    <xf numFmtId="164" fontId="58" fillId="2" borderId="0" pivotButton="0" quotePrefix="0" xfId="0"/>
    <xf numFmtId="0" fontId="0" fillId="2" borderId="4" pivotButton="0" quotePrefix="0" xfId="0"/>
    <xf numFmtId="0" fontId="29" fillId="2" borderId="0" pivotButton="0" quotePrefix="0" xfId="0"/>
    <xf numFmtId="0" fontId="29" fillId="2" borderId="5" pivotButton="0" quotePrefix="0" xfId="0"/>
    <xf numFmtId="164" fontId="52" fillId="2" borderId="6" applyAlignment="1" pivotButton="0" quotePrefix="0" xfId="0">
      <alignment horizontal="centerContinuous"/>
    </xf>
    <xf numFmtId="164" fontId="59" fillId="0" borderId="0" applyProtection="1" pivotButton="0" quotePrefix="0" xfId="1">
      <protection locked="1" hidden="1"/>
    </xf>
    <xf numFmtId="179" fontId="34" fillId="3" borderId="12" applyAlignment="1" pivotButton="0" quotePrefix="0" xfId="0">
      <alignment horizontal="left"/>
    </xf>
    <xf numFmtId="37" fontId="34" fillId="3" borderId="13" applyAlignment="1" pivotButton="0" quotePrefix="0" xfId="0">
      <alignment horizontal="right"/>
    </xf>
    <xf numFmtId="164" fontId="34" fillId="3" borderId="12" pivotButton="0" quotePrefix="0" xfId="0"/>
    <xf numFmtId="37" fontId="34" fillId="3" borderId="13" pivotButton="0" quotePrefix="0" xfId="0"/>
    <xf numFmtId="164" fontId="15" fillId="0" borderId="7" applyAlignment="1" pivotButton="0" quotePrefix="0" xfId="0">
      <alignment horizontal="centerContinuous"/>
    </xf>
    <xf numFmtId="0" fontId="0" fillId="0" borderId="5" pivotButton="0" quotePrefix="0" xfId="0"/>
    <xf numFmtId="177" fontId="30" fillId="0" borderId="0" pivotButton="0" quotePrefix="0" xfId="0"/>
    <xf numFmtId="177" fontId="30" fillId="0" borderId="5" pivotButton="0" quotePrefix="0" xfId="0"/>
    <xf numFmtId="165" fontId="30" fillId="0" borderId="0" pivotButton="0" quotePrefix="0" xfId="0"/>
    <xf numFmtId="165" fontId="30" fillId="0" borderId="5" pivotButton="0" quotePrefix="0" xfId="0"/>
    <xf numFmtId="164" fontId="42" fillId="0" borderId="4" pivotButton="0" quotePrefix="0" xfId="0"/>
    <xf numFmtId="177" fontId="30" fillId="0" borderId="0" applyAlignment="1" pivotButton="0" quotePrefix="0" xfId="0">
      <alignment horizontal="right"/>
    </xf>
    <xf numFmtId="177" fontId="30" fillId="0" borderId="5" applyAlignment="1" pivotButton="0" quotePrefix="0" xfId="0">
      <alignment horizontal="right"/>
    </xf>
    <xf numFmtId="164" fontId="25" fillId="0" borderId="10" pivotButton="0" quotePrefix="0" xfId="0"/>
    <xf numFmtId="177" fontId="30" fillId="0" borderId="10" pivotButton="0" quotePrefix="0" xfId="0"/>
    <xf numFmtId="177" fontId="30" fillId="0" borderId="11" pivotButton="0" quotePrefix="0" xfId="0"/>
    <xf numFmtId="164" fontId="34" fillId="2" borderId="12" pivotButton="0" quotePrefix="0" xfId="0"/>
    <xf numFmtId="37" fontId="34" fillId="2" borderId="13" pivotButton="0" quotePrefix="0" xfId="0"/>
    <xf numFmtId="166" fontId="15" fillId="2" borderId="4" pivotButton="0" quotePrefix="0" xfId="0"/>
    <xf numFmtId="180" fontId="13" fillId="2" borderId="4" applyAlignment="1" pivotButton="0" quotePrefix="0" xfId="0">
      <alignment horizontal="right"/>
    </xf>
    <xf numFmtId="166" fontId="8" fillId="2" borderId="4" applyAlignment="1" pivotButton="0" quotePrefix="0" xfId="0">
      <alignment horizontal="left" indent="1"/>
    </xf>
    <xf numFmtId="164" fontId="15" fillId="2" borderId="4" applyAlignment="1" pivotButton="0" quotePrefix="0" xfId="0">
      <alignment horizontal="right"/>
    </xf>
    <xf numFmtId="166" fontId="23" fillId="2" borderId="4" pivotButton="0" quotePrefix="0" xfId="0"/>
    <xf numFmtId="168" fontId="13" fillId="2" borderId="9" pivotButton="0" quotePrefix="0" xfId="0"/>
    <xf numFmtId="170" fontId="13" fillId="2" borderId="5" pivotButton="0" quotePrefix="0" xfId="0"/>
    <xf numFmtId="166" fontId="15" fillId="2" borderId="5" pivotButton="0" quotePrefix="0" xfId="0"/>
    <xf numFmtId="180" fontId="13" fillId="2" borderId="5" applyAlignment="1" pivotButton="0" quotePrefix="0" xfId="0">
      <alignment horizontal="right"/>
    </xf>
    <xf numFmtId="166" fontId="8" fillId="2" borderId="5" applyAlignment="1" pivotButton="0" quotePrefix="0" xfId="0">
      <alignment horizontal="left" indent="1"/>
    </xf>
    <xf numFmtId="164" fontId="15" fillId="2" borderId="5" applyAlignment="1" pivotButton="0" quotePrefix="0" xfId="0">
      <alignment horizontal="right"/>
    </xf>
    <xf numFmtId="166" fontId="23" fillId="2" borderId="5" pivotButton="0" quotePrefix="0" xfId="0"/>
    <xf numFmtId="168" fontId="13" fillId="2" borderId="11" pivotButton="0" quotePrefix="0" xfId="0"/>
    <xf numFmtId="0" fontId="8" fillId="2" borderId="6" applyAlignment="1" pivotButton="0" quotePrefix="0" xfId="0">
      <alignment horizontal="right"/>
    </xf>
    <xf numFmtId="0" fontId="8" fillId="2" borderId="8" applyAlignment="1" pivotButton="0" quotePrefix="0" xfId="0">
      <alignment horizontal="right"/>
    </xf>
    <xf numFmtId="164" fontId="30" fillId="2" borderId="0" pivotButton="0" quotePrefix="0" xfId="0"/>
    <xf numFmtId="166" fontId="13" fillId="2" borderId="10" pivotButton="0" quotePrefix="0" xfId="0"/>
    <xf numFmtId="166" fontId="13" fillId="2" borderId="11" pivotButton="0" quotePrefix="0" xfId="0"/>
    <xf numFmtId="164" fontId="34" fillId="2" borderId="12" applyAlignment="1" pivotButton="0" quotePrefix="0" xfId="0">
      <alignment horizontal="left"/>
    </xf>
    <xf numFmtId="37" fontId="37" fillId="2" borderId="13" pivotButton="0" quotePrefix="0" xfId="0"/>
    <xf numFmtId="0" fontId="17" fillId="2" borderId="14" applyAlignment="1" pivotButton="0" quotePrefix="0" xfId="0">
      <alignment horizontal="right" indent="1"/>
    </xf>
    <xf numFmtId="0" fontId="1" fillId="2" borderId="0" applyAlignment="1" pivotButton="0" quotePrefix="0" xfId="0">
      <alignment horizontal="right" indent="1"/>
    </xf>
    <xf numFmtId="164" fontId="11" fillId="2" borderId="0" applyAlignment="1" pivotButton="0" quotePrefix="0" xfId="0">
      <alignment horizontal="right" indent="1"/>
    </xf>
    <xf numFmtId="181" fontId="8" fillId="2" borderId="0" applyAlignment="1" pivotButton="0" quotePrefix="0" xfId="0">
      <alignment horizontal="right" indent="1"/>
    </xf>
    <xf numFmtId="181" fontId="15" fillId="2" borderId="0" applyAlignment="1" pivotButton="0" quotePrefix="0" xfId="0">
      <alignment horizontal="right" indent="1"/>
    </xf>
    <xf numFmtId="181" fontId="13" fillId="2" borderId="0" applyAlignment="1" pivotButton="0" quotePrefix="0" xfId="0">
      <alignment horizontal="right" indent="1"/>
    </xf>
    <xf numFmtId="181" fontId="23" fillId="2" borderId="0" applyAlignment="1" pivotButton="0" quotePrefix="0" xfId="0">
      <alignment horizontal="right" indent="1"/>
    </xf>
    <xf numFmtId="164" fontId="1" fillId="2" borderId="0" applyAlignment="1" pivotButton="0" quotePrefix="0" xfId="0">
      <alignment horizontal="right" indent="1"/>
    </xf>
    <xf numFmtId="168" fontId="13" fillId="2" borderId="15" applyAlignment="1" pivotButton="0" quotePrefix="0" xfId="0">
      <alignment horizontal="right" indent="1"/>
    </xf>
    <xf numFmtId="182" fontId="8" fillId="4" borderId="0" applyAlignment="1" pivotButton="0" quotePrefix="0" xfId="0">
      <alignment horizontal="right"/>
    </xf>
    <xf numFmtId="175" fontId="17" fillId="4" borderId="0" pivotButton="0" quotePrefix="0" xfId="0"/>
    <xf numFmtId="175" fontId="17" fillId="4" borderId="5" pivotButton="0" quotePrefix="0" xfId="0"/>
    <xf numFmtId="175" fontId="17" fillId="4" borderId="4" pivotButton="0" quotePrefix="0" xfId="0"/>
    <xf numFmtId="175" fontId="17" fillId="4" borderId="9" pivotButton="0" quotePrefix="0" xfId="0"/>
    <xf numFmtId="166" fontId="8" fillId="4" borderId="0" pivotButton="0" quotePrefix="0" xfId="0"/>
    <xf numFmtId="164" fontId="8" fillId="4" borderId="0" pivotButton="0" quotePrefix="0" xfId="0"/>
    <xf numFmtId="167" fontId="17" fillId="4" borderId="0" pivotButton="0" quotePrefix="0" xfId="0"/>
    <xf numFmtId="169" fontId="9" fillId="4" borderId="0" pivotButton="0" quotePrefix="0" xfId="0"/>
    <xf numFmtId="175" fontId="25" fillId="4" borderId="0" pivotButton="0" quotePrefix="0" xfId="0"/>
    <xf numFmtId="183" fontId="25" fillId="4" borderId="0" pivotButton="0" quotePrefix="0" xfId="0"/>
    <xf numFmtId="168" fontId="17" fillId="4" borderId="0" pivotButton="0" quotePrefix="0" xfId="0"/>
    <xf numFmtId="17" fontId="21" fillId="4" borderId="4" pivotButton="0" quotePrefix="0" xfId="0"/>
    <xf numFmtId="17" fontId="21" fillId="4" borderId="5" pivotButton="0" quotePrefix="0" xfId="0"/>
    <xf numFmtId="170" fontId="8" fillId="4" borderId="4" pivotButton="0" quotePrefix="0" xfId="0"/>
    <xf numFmtId="184" fontId="8" fillId="4" borderId="4" applyAlignment="1" pivotButton="0" quotePrefix="0" xfId="0">
      <alignment horizontal="right"/>
    </xf>
    <xf numFmtId="164" fontId="8" fillId="4" borderId="4" pivotButton="0" quotePrefix="0" xfId="0"/>
    <xf numFmtId="164" fontId="17" fillId="4" borderId="0" pivotButton="0" quotePrefix="0" xfId="0"/>
    <xf numFmtId="185" fontId="9" fillId="4" borderId="16" applyAlignment="1" pivotButton="0" quotePrefix="0" xfId="0">
      <alignment horizontal="center"/>
    </xf>
    <xf numFmtId="186" fontId="8" fillId="4" borderId="17" pivotButton="0" quotePrefix="0" xfId="0"/>
    <xf numFmtId="186" fontId="8" fillId="4" borderId="18" pivotButton="0" quotePrefix="0" xfId="0"/>
    <xf numFmtId="165" fontId="8" fillId="4" borderId="0" pivotButton="0" quotePrefix="0" xfId="0"/>
    <xf numFmtId="165" fontId="8" fillId="4" borderId="5" pivotButton="0" quotePrefix="0" xfId="0"/>
    <xf numFmtId="164" fontId="8" fillId="4" borderId="11" applyAlignment="1" pivotButton="0" quotePrefix="0" xfId="0">
      <alignment horizontal="centerContinuous"/>
    </xf>
    <xf numFmtId="164" fontId="8" fillId="4" borderId="5" pivotButton="0" quotePrefix="0" xfId="0"/>
    <xf numFmtId="164" fontId="25" fillId="4" borderId="0" pivotButton="0" quotePrefix="0" xfId="0"/>
    <xf numFmtId="165" fontId="25" fillId="4" borderId="0" pivotButton="0" quotePrefix="0" xfId="0"/>
    <xf numFmtId="165" fontId="25" fillId="4" borderId="10" pivotButton="0" quotePrefix="0" xfId="0"/>
    <xf numFmtId="0" fontId="3" fillId="4" borderId="0" pivotButton="0" quotePrefix="0" xfId="0"/>
    <xf numFmtId="179" fontId="34" fillId="3" borderId="12" applyAlignment="1" pivotButton="0" quotePrefix="0" xfId="0">
      <alignment horizontal="left"/>
    </xf>
    <xf numFmtId="182" fontId="8" fillId="4" borderId="0" applyAlignment="1" pivotButton="0" quotePrefix="0" xfId="0">
      <alignment horizontal="right"/>
    </xf>
    <xf numFmtId="178" fontId="13" fillId="0" borderId="0" pivotButton="0" quotePrefix="0" xfId="0"/>
    <xf numFmtId="177" fontId="30" fillId="0" borderId="0" pivotButton="0" quotePrefix="0" xfId="0"/>
    <xf numFmtId="177" fontId="30" fillId="0" borderId="5" pivotButton="0" quotePrefix="0" xfId="0"/>
    <xf numFmtId="177" fontId="30" fillId="0" borderId="0" applyAlignment="1" pivotButton="0" quotePrefix="0" xfId="0">
      <alignment horizontal="right"/>
    </xf>
    <xf numFmtId="177" fontId="30" fillId="0" borderId="5" applyAlignment="1" pivotButton="0" quotePrefix="0" xfId="0">
      <alignment horizontal="right"/>
    </xf>
    <xf numFmtId="177" fontId="30" fillId="0" borderId="10" pivotButton="0" quotePrefix="0" xfId="0"/>
    <xf numFmtId="177" fontId="30" fillId="0" borderId="11" pivotButton="0" quotePrefix="0" xfId="0"/>
    <xf numFmtId="177" fontId="13" fillId="0" borderId="0" pivotButton="0" quotePrefix="0" xfId="0"/>
    <xf numFmtId="170" fontId="30" fillId="0" borderId="5" pivotButton="0" quotePrefix="0" xfId="0"/>
    <xf numFmtId="173" fontId="30" fillId="0" borderId="5" pivotButton="0" quotePrefix="0" xfId="0"/>
    <xf numFmtId="176" fontId="30" fillId="0" borderId="4" pivotButton="0" quotePrefix="0" xfId="0"/>
    <xf numFmtId="175" fontId="17" fillId="4" borderId="0" pivotButton="0" quotePrefix="0" xfId="0"/>
    <xf numFmtId="175" fontId="17" fillId="4" borderId="5" pivotButton="0" quotePrefix="0" xfId="0"/>
    <xf numFmtId="175" fontId="17" fillId="0" borderId="5" pivotButton="0" quotePrefix="0" xfId="0"/>
    <xf numFmtId="175" fontId="17" fillId="4" borderId="4" pivotButton="0" quotePrefix="0" xfId="0"/>
    <xf numFmtId="170" fontId="16" fillId="0" borderId="0" pivotButton="0" quotePrefix="0" xfId="0"/>
    <xf numFmtId="173" fontId="30" fillId="0" borderId="11" pivotButton="0" quotePrefix="0" xfId="0"/>
    <xf numFmtId="175" fontId="17" fillId="4" borderId="9" pivotButton="0" quotePrefix="0" xfId="0"/>
    <xf numFmtId="173" fontId="30" fillId="0" borderId="0" pivotButton="0" quotePrefix="0" xfId="0"/>
    <xf numFmtId="170" fontId="13" fillId="0" borderId="0" pivotButton="0" quotePrefix="0" xfId="2"/>
    <xf numFmtId="171" fontId="13" fillId="0" borderId="0" pivotButton="0" quotePrefix="0" xfId="2"/>
    <xf numFmtId="171" fontId="15" fillId="0" borderId="0" pivotButton="0" quotePrefix="0" xfId="2"/>
    <xf numFmtId="171" fontId="12" fillId="0" borderId="0" pivotButton="0" quotePrefix="0" xfId="2"/>
    <xf numFmtId="172" fontId="27" fillId="0" borderId="0" pivotButton="0" quotePrefix="0" xfId="0"/>
    <xf numFmtId="173" fontId="12" fillId="0" borderId="0" pivotButton="0" quotePrefix="0" xfId="0"/>
    <xf numFmtId="175" fontId="25" fillId="4" borderId="0" pivotButton="0" quotePrefix="0" xfId="0"/>
    <xf numFmtId="183" fontId="25" fillId="4" borderId="0" pivotButton="0" quotePrefix="0" xfId="0"/>
    <xf numFmtId="170" fontId="8" fillId="4" borderId="4" pivotButton="0" quotePrefix="0" xfId="0"/>
    <xf numFmtId="181" fontId="8" fillId="2" borderId="0" applyAlignment="1" pivotButton="0" quotePrefix="0" xfId="0">
      <alignment horizontal="right" indent="1"/>
    </xf>
    <xf numFmtId="170" fontId="13" fillId="2" borderId="5" pivotButton="0" quotePrefix="0" xfId="0"/>
    <xf numFmtId="184" fontId="8" fillId="4" borderId="4" applyAlignment="1" pivotButton="0" quotePrefix="0" xfId="0">
      <alignment horizontal="right"/>
    </xf>
    <xf numFmtId="181" fontId="15" fillId="2" borderId="0" applyAlignment="1" pivotButton="0" quotePrefix="0" xfId="0">
      <alignment horizontal="right" indent="1"/>
    </xf>
    <xf numFmtId="180" fontId="13" fillId="2" borderId="4" applyAlignment="1" pivotButton="0" quotePrefix="0" xfId="0">
      <alignment horizontal="right"/>
    </xf>
    <xf numFmtId="180" fontId="13" fillId="2" borderId="5" applyAlignment="1" pivotButton="0" quotePrefix="0" xfId="0">
      <alignment horizontal="right"/>
    </xf>
    <xf numFmtId="181" fontId="13" fillId="2" borderId="0" applyAlignment="1" pivotButton="0" quotePrefix="0" xfId="0">
      <alignment horizontal="right" indent="1"/>
    </xf>
    <xf numFmtId="181" fontId="23" fillId="2" borderId="0" applyAlignment="1" pivotButton="0" quotePrefix="0" xfId="0">
      <alignment horizontal="right" indent="1"/>
    </xf>
    <xf numFmtId="185" fontId="9" fillId="4" borderId="16" applyAlignment="1" pivotButton="0" quotePrefix="0" xfId="0">
      <alignment horizontal="center"/>
    </xf>
    <xf numFmtId="186" fontId="8" fillId="4" borderId="17" pivotButton="0" quotePrefix="0" xfId="0"/>
    <xf numFmtId="186" fontId="8" fillId="4" borderId="18" pivotButton="0" quotePrefix="0" xfId="0"/>
    <xf numFmtId="177" fontId="13" fillId="0" borderId="5" pivotButton="0" quotePrefix="0" xfId="0"/>
    <xf numFmtId="173" fontId="49" fillId="0" borderId="0" applyAlignment="1" pivotButton="0" quotePrefix="0" xfId="0">
      <alignment horizontal="centerContinuous"/>
    </xf>
    <xf numFmtId="175" fontId="50" fillId="0" borderId="5" applyAlignment="1" pivotButton="0" quotePrefix="0" xfId="0">
      <alignment horizontal="left" indent="4"/>
    </xf>
    <xf numFmtId="170" fontId="13" fillId="0" borderId="0" pivotButton="0" quotePrefix="0" xfId="0"/>
    <xf numFmtId="178" fontId="13" fillId="0" borderId="10" pivotButton="0" quotePrefix="0" xfId="0"/>
    <xf numFmtId="173" fontId="49" fillId="0" borderId="10" applyAlignment="1" pivotButton="0" quotePrefix="0" xfId="0">
      <alignment horizontal="right"/>
    </xf>
    <xf numFmtId="174" fontId="25" fillId="0" borderId="4" applyAlignment="1" pivotButton="0" quotePrefix="0" xfId="0">
      <alignment horizontal="left" indent="1"/>
    </xf>
    <xf numFmtId="175" fontId="30" fillId="0" borderId="0" pivotButton="0" quotePrefix="0" xfId="0"/>
    <xf numFmtId="175" fontId="30" fillId="0" borderId="5" pivotButton="0" quotePrefix="0" xfId="0"/>
    <xf numFmtId="174" fontId="25" fillId="0" borderId="9" applyAlignment="1" pivotButton="0" quotePrefix="0" xfId="0">
      <alignment horizontal="left" indent="1"/>
    </xf>
    <xf numFmtId="175" fontId="30" fillId="0" borderId="10" pivotButton="0" quotePrefix="0" xfId="0"/>
    <xf numFmtId="175" fontId="30" fillId="0" borderId="11" pivotButton="0" quotePrefix="0" xfId="0"/>
    <xf numFmtId="175" fontId="30" fillId="0" borderId="0" applyAlignment="1" pivotButton="0" quotePrefix="0" xfId="0">
      <alignment horizontal="right"/>
    </xf>
    <xf numFmtId="175" fontId="30" fillId="0" borderId="5" applyAlignment="1" pivotButton="0" quotePrefix="0" xfId="0">
      <alignment horizontal="right"/>
    </xf>
  </cellXfs>
  <cellStyles count="3">
    <cellStyle name="Normal" xfId="0" builtinId="0"/>
    <cellStyle name="Hyperlink" xfId="1" builtinId="8"/>
    <cellStyle name="t" xfId="2"/>
  </cellStyles>
  <dxfs count="3"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DealMaven</author>
  </authors>
  <commentList>
    <comment ref="B357" authorId="0" shapeId="0">
      <text>
        <t>DealMaven:
Note: If the # of shares changed in the deal, you'd want the PreDeal shares here.</t>
      </text>
    </comment>
    <comment ref="A367" authorId="0" shapeId="0">
      <text>
        <t>DealMaven:
Link this row to the output of the operating buildup worksheet, if applicable.</t>
      </text>
    </comment>
    <comment ref="A373" authorId="0" shapeId="0">
      <text>
        <t>DealMaven:
Link this row to the output of the operating buildup worksheet, if applicable.</t>
      </text>
    </comment>
    <comment ref="A382" authorId="0" shapeId="0">
      <text>
        <t>DealMaven:
Link this row to the output of the operating buildup worksheet, if applicable.</t>
      </text>
    </comment>
    <comment ref="A388" authorId="0" shapeId="0">
      <text>
        <t>DealMaven:
Link this row to the output of the operating buildup worksheet, if applicable.</t>
      </text>
    </comment>
    <comment ref="A394" authorId="0" shapeId="0">
      <text>
        <t>DealMaven:
Link this row to the output of the operating buildup worksheet, if applicable.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433"/>
  <sheetViews>
    <sheetView showGridLines="0" tabSelected="1" topLeftCell="A82" zoomScale="130" workbookViewId="0">
      <selection activeCell="E93" sqref="E93:I93"/>
    </sheetView>
  </sheetViews>
  <sheetFormatPr baseColWidth="8" defaultRowHeight="12.75" outlineLevelRow="1"/>
  <cols>
    <col width="30.1640625" customWidth="1" style="2" min="1" max="1"/>
    <col width="10.83203125" bestFit="1" customWidth="1" style="2" min="2" max="2"/>
    <col width="9.1640625" customWidth="1" style="2" min="3" max="3"/>
    <col width="13" customWidth="1" style="2" min="4" max="4"/>
    <col width="10.5" customWidth="1" style="2" min="5" max="5"/>
    <col width="10.83203125" bestFit="1" customWidth="1" style="2" min="6" max="8"/>
    <col width="8.83203125" customWidth="1" style="2" min="9" max="9"/>
    <col width="9.33203125" customWidth="1" style="2" min="10" max="10"/>
    <col width="7.6640625" bestFit="1" customWidth="1" style="2" min="11" max="11"/>
    <col width="9.33203125" customWidth="1" style="2" min="12" max="16384"/>
  </cols>
  <sheetData>
    <row r="1" ht="15.75" customHeight="1">
      <c r="A1" s="169" t="inlineStr">
        <is>
          <t>Bal. Sheet Global</t>
        </is>
      </c>
      <c r="B1" s="171">
        <f>SUM(D235:I235)</f>
        <v/>
      </c>
      <c r="D1" s="24" t="n"/>
    </row>
    <row r="2" ht="15.75" customHeight="1">
      <c r="A2" s="168" t="inlineStr">
        <is>
          <t>Bal. Sheet &gt;0</t>
        </is>
      </c>
      <c r="B2" s="152">
        <f>IF(MIN(E194:E205,E208:E233,F194:I205,F208:I235)&lt;-0.001,1,0)</f>
        <v/>
      </c>
      <c r="D2" s="24" t="n"/>
    </row>
    <row r="3" ht="15.75" customHeight="1">
      <c r="A3" s="168" t="inlineStr">
        <is>
          <t>Debt Schedule</t>
        </is>
      </c>
      <c r="B3" s="152">
        <f>SUM(E316:I316)</f>
        <v/>
      </c>
      <c r="D3" s="24" t="n"/>
    </row>
    <row r="4" ht="15.75" customHeight="1">
      <c r="A4" s="168" t="inlineStr">
        <is>
          <t>DCF Variance</t>
        </is>
      </c>
      <c r="B4" s="152">
        <f>ABS(B358-H356)</f>
        <v/>
      </c>
      <c r="D4" s="24" t="n"/>
    </row>
    <row r="5" ht="15.75" customFormat="1" customHeight="1" s="12">
      <c r="A5" s="82" t="inlineStr">
        <is>
          <t>S&amp;U Lookup</t>
        </is>
      </c>
      <c r="B5" s="152">
        <f>H427</f>
        <v/>
      </c>
      <c r="D5" s="43" t="n"/>
      <c r="G5" s="249" t="n"/>
      <c r="H5" s="249" t="n"/>
    </row>
    <row r="6" ht="15.75" customFormat="1" customHeight="1" s="12">
      <c r="A6" s="286" t="inlineStr">
        <is>
          <t>S&amp;U Cover</t>
        </is>
      </c>
      <c r="B6" s="287">
        <f>ABS(B25-F25)</f>
        <v/>
      </c>
      <c r="D6" s="43" t="inlineStr">
        <is>
          <t>Check Sources equal Uses on the Cover Page</t>
        </is>
      </c>
      <c r="G6" s="249" t="n"/>
      <c r="H6" s="249" t="n"/>
    </row>
    <row r="7" ht="4.5" customHeight="1">
      <c r="B7" s="172" t="inlineStr">
        <is>
          <t xml:space="preserve"> </t>
        </is>
      </c>
      <c r="D7" s="24" t="n"/>
    </row>
    <row r="8" ht="15.75" customHeight="1">
      <c r="A8" s="170" t="inlineStr">
        <is>
          <t>Total Check</t>
        </is>
      </c>
      <c r="B8" s="173">
        <f>SUM(B1:B7)</f>
        <v/>
      </c>
      <c r="D8" s="24" t="n"/>
    </row>
    <row r="9" ht="15.75" customHeight="1">
      <c r="A9" s="82" t="n"/>
      <c r="B9" s="83" t="n"/>
      <c r="D9" s="24" t="n"/>
    </row>
    <row r="10" ht="15.75" customFormat="1" customHeight="1" s="80">
      <c r="A10" s="326" t="inlineStr">
        <is>
          <t>AVERAGE INTEREST</t>
        </is>
      </c>
      <c r="B10" s="251" t="n">
        <v>0</v>
      </c>
      <c r="D10" s="81" t="inlineStr">
        <is>
          <t>Leave the Average Interest Trigger off Until you are ready to Print!</t>
        </is>
      </c>
    </row>
    <row r="12" ht="15.75" customHeight="1">
      <c r="A12" s="252" t="inlineStr">
        <is>
          <t>OPERATING CASE</t>
        </is>
      </c>
      <c r="B12" s="253" t="n">
        <v>1</v>
      </c>
    </row>
    <row r="13"/>
    <row r="14" ht="15.75" customHeight="1">
      <c r="A14" s="266" t="inlineStr">
        <is>
          <t>TRANSACTION CASE</t>
        </is>
      </c>
      <c r="B14" s="267" t="n">
        <v>2</v>
      </c>
    </row>
    <row r="16" ht="20.25" customFormat="1" customHeight="1" s="12">
      <c r="A16" s="248" t="inlineStr">
        <is>
          <t>Sources and Uses of Funds</t>
        </is>
      </c>
      <c r="B16" s="234" t="n"/>
      <c r="C16" s="234" t="n"/>
      <c r="D16" s="234" t="n"/>
      <c r="E16" s="234" t="n"/>
      <c r="F16" s="235" t="n"/>
    </row>
    <row r="17" ht="13.5" customFormat="1" customHeight="1" s="12">
      <c r="A17" s="243" t="inlineStr">
        <is>
          <t>Sources</t>
        </is>
      </c>
      <c r="B17" s="214" t="n"/>
      <c r="C17" s="203" t="n"/>
      <c r="D17" s="244" t="inlineStr">
        <is>
          <t>Uses</t>
        </is>
      </c>
      <c r="E17" s="203" t="n"/>
      <c r="F17" s="204" t="n"/>
    </row>
    <row r="18" customFormat="1" s="12">
      <c r="A18" s="236">
        <f>A410</f>
        <v/>
      </c>
      <c r="B18" s="237">
        <f>H410</f>
        <v/>
      </c>
      <c r="C18" s="203" t="n"/>
      <c r="D18" s="221">
        <f>A418</f>
        <v/>
      </c>
      <c r="E18" s="203" t="n"/>
      <c r="F18" s="238">
        <f>H418</f>
        <v/>
      </c>
    </row>
    <row r="19" customFormat="1" s="12">
      <c r="A19" s="236">
        <f>A411</f>
        <v/>
      </c>
      <c r="B19" s="237">
        <f>H411</f>
        <v/>
      </c>
      <c r="C19" s="203" t="n"/>
      <c r="D19" s="221">
        <f>A419</f>
        <v/>
      </c>
      <c r="E19" s="203" t="n"/>
      <c r="F19" s="238">
        <f>H419</f>
        <v/>
      </c>
    </row>
    <row r="20" customFormat="1" s="12">
      <c r="A20" s="236">
        <f>A412</f>
        <v/>
      </c>
      <c r="B20" s="237">
        <f>H412</f>
        <v/>
      </c>
      <c r="C20" s="203" t="n"/>
      <c r="D20" s="221">
        <f>A420</f>
        <v/>
      </c>
      <c r="E20" s="203" t="n"/>
      <c r="F20" s="238">
        <f>H420</f>
        <v/>
      </c>
    </row>
    <row r="21" customFormat="1" s="12">
      <c r="A21" s="236">
        <f>A413</f>
        <v/>
      </c>
      <c r="B21" s="237">
        <f>H413</f>
        <v/>
      </c>
      <c r="C21" s="203" t="n"/>
      <c r="D21" s="221">
        <f>A421</f>
        <v/>
      </c>
      <c r="E21" s="203" t="n"/>
      <c r="F21" s="238">
        <f>H421</f>
        <v/>
      </c>
    </row>
    <row r="22" customFormat="1" s="12">
      <c r="A22" s="236" t="n"/>
      <c r="B22" s="221" t="n"/>
      <c r="C22" s="203" t="n"/>
      <c r="D22" s="221">
        <f>A422</f>
        <v/>
      </c>
      <c r="E22" s="203" t="n"/>
      <c r="F22" s="238">
        <f>H422</f>
        <v/>
      </c>
    </row>
    <row r="23" customFormat="1" s="12">
      <c r="A23" s="245" t="n"/>
      <c r="B23" s="166" t="n"/>
      <c r="C23" s="166" t="n"/>
      <c r="D23" s="221">
        <f>A423</f>
        <v/>
      </c>
      <c r="E23" s="166" t="n"/>
      <c r="F23" s="238">
        <f>H423</f>
        <v/>
      </c>
    </row>
    <row r="24" ht="4.5" customFormat="1" customHeight="1" s="12">
      <c r="A24" s="245" t="n"/>
      <c r="B24" s="246" t="inlineStr">
        <is>
          <t xml:space="preserve"> </t>
        </is>
      </c>
      <c r="C24" s="166" t="n"/>
      <c r="D24" s="221" t="n"/>
      <c r="E24" s="166" t="n"/>
      <c r="F24" s="247" t="inlineStr">
        <is>
          <t xml:space="preserve"> </t>
        </is>
      </c>
    </row>
    <row r="25" customFormat="1" s="12">
      <c r="A25" s="240">
        <f>A415</f>
        <v/>
      </c>
      <c r="B25" s="284">
        <f>SUM(B18:B24)</f>
        <v/>
      </c>
      <c r="C25" s="241" t="n"/>
      <c r="D25" s="242">
        <f>A425</f>
        <v/>
      </c>
      <c r="E25" s="241" t="n"/>
      <c r="F25" s="285">
        <f>SUM(F18:F24)</f>
        <v/>
      </c>
    </row>
    <row r="26" customFormat="1" s="12">
      <c r="A26" s="8" t="n"/>
      <c r="B26" s="8" t="n"/>
      <c r="C26" s="8" t="n"/>
      <c r="D26" s="8" t="n"/>
    </row>
    <row r="27" ht="23.25" customFormat="1" customHeight="1" s="12">
      <c r="A27" s="175" t="inlineStr">
        <is>
          <t>Summary Financial Results</t>
        </is>
      </c>
      <c r="B27" s="176" t="n"/>
      <c r="C27" s="176" t="n"/>
      <c r="D27" s="176" t="n"/>
      <c r="E27" s="177" t="n"/>
      <c r="F27" s="177" t="n"/>
      <c r="G27" s="177" t="n"/>
      <c r="H27" s="177" t="n"/>
      <c r="I27" s="178" t="n"/>
    </row>
    <row r="28" ht="15" customFormat="1" customHeight="1" s="12">
      <c r="A28" s="126" t="n"/>
      <c r="B28" s="179" t="inlineStr">
        <is>
          <t>Historical</t>
        </is>
      </c>
      <c r="C28" s="179" t="n"/>
      <c r="D28" s="20" t="inlineStr">
        <is>
          <t>ProForma</t>
        </is>
      </c>
      <c r="E28" s="179" t="inlineStr">
        <is>
          <t>Projected</t>
        </is>
      </c>
      <c r="F28" s="180" t="n"/>
      <c r="G28" s="180" t="n"/>
      <c r="H28" s="180" t="n"/>
      <c r="I28" s="181" t="n"/>
    </row>
    <row r="29" customFormat="1" s="12">
      <c r="A29" s="126" t="n"/>
      <c r="B29" s="3">
        <f>B74</f>
        <v/>
      </c>
      <c r="C29" s="3">
        <f>C74</f>
        <v/>
      </c>
      <c r="D29" s="3">
        <f>D74</f>
        <v/>
      </c>
      <c r="E29" s="3">
        <f>E74</f>
        <v/>
      </c>
      <c r="F29" s="3">
        <f>F74</f>
        <v/>
      </c>
      <c r="G29" s="3">
        <f>G74</f>
        <v/>
      </c>
      <c r="H29" s="3">
        <f>H74</f>
        <v/>
      </c>
      <c r="I29" s="87">
        <f>I74</f>
        <v/>
      </c>
    </row>
    <row r="30" customFormat="1" s="12">
      <c r="A30" s="126" t="inlineStr">
        <is>
          <t>Revenue</t>
        </is>
      </c>
      <c r="B30" s="74">
        <f>B76</f>
        <v/>
      </c>
      <c r="C30" s="74">
        <f>C76</f>
        <v/>
      </c>
      <c r="D30" s="74">
        <f>D76</f>
        <v/>
      </c>
      <c r="E30" s="74">
        <f>E76</f>
        <v/>
      </c>
      <c r="F30" s="74">
        <f>F76</f>
        <v/>
      </c>
      <c r="G30" s="74">
        <f>G76</f>
        <v/>
      </c>
      <c r="H30" s="74">
        <f>H76</f>
        <v/>
      </c>
      <c r="I30" s="153">
        <f>I76</f>
        <v/>
      </c>
    </row>
    <row r="31" customFormat="1" s="10">
      <c r="A31" s="182" t="inlineStr">
        <is>
          <t xml:space="preserve">  Growth</t>
        </is>
      </c>
      <c r="B31" s="9" t="n"/>
      <c r="C31" s="183">
        <f>IF(ISERROR(C30/B30-1),"NM",C30/B30-1)</f>
        <v/>
      </c>
      <c r="D31" s="183">
        <f>IF(ISERROR(D30/C30-1),"NM",D30/C30-1)</f>
        <v/>
      </c>
      <c r="E31" s="183">
        <f>IF(ISERROR(E30/D30-1),"NM",E30/D30-1)</f>
        <v/>
      </c>
      <c r="F31" s="183">
        <f>IF(ISERROR(F30/E30-1),"NM",F30/E30-1)</f>
        <v/>
      </c>
      <c r="G31" s="183">
        <f>IF(ISERROR(G30/F30-1),"NM",G30/F30-1)</f>
        <v/>
      </c>
      <c r="H31" s="183">
        <f>IF(ISERROR(H30/G30-1),"NM",H30/G30-1)</f>
        <v/>
      </c>
      <c r="I31" s="184">
        <f>IF(ISERROR(I30/H30-1),"NM",I30/H30-1)</f>
        <v/>
      </c>
    </row>
    <row r="32" ht="6" customFormat="1" customHeight="1" s="12">
      <c r="A32" s="126" t="n"/>
      <c r="B32" s="8" t="n"/>
      <c r="C32" s="8" t="n"/>
      <c r="D32" s="8" t="n"/>
      <c r="I32" s="92" t="n"/>
    </row>
    <row r="33" customFormat="1" s="12">
      <c r="A33" s="126" t="inlineStr">
        <is>
          <t>EBITDA</t>
        </is>
      </c>
      <c r="B33" s="17">
        <f>B100</f>
        <v/>
      </c>
      <c r="C33" s="17">
        <f>C100</f>
        <v/>
      </c>
      <c r="D33" s="17">
        <f>D100</f>
        <v/>
      </c>
      <c r="E33" s="17">
        <f>E100</f>
        <v/>
      </c>
      <c r="F33" s="17">
        <f>F100</f>
        <v/>
      </c>
      <c r="G33" s="17">
        <f>G100</f>
        <v/>
      </c>
      <c r="H33" s="17">
        <f>H100</f>
        <v/>
      </c>
      <c r="I33" s="150">
        <f>I100</f>
        <v/>
      </c>
    </row>
    <row r="34" customFormat="1" s="10">
      <c r="A34" s="182" t="inlineStr">
        <is>
          <t xml:space="preserve">  Margin</t>
        </is>
      </c>
      <c r="B34" s="15">
        <f>B33/B30</f>
        <v/>
      </c>
      <c r="C34" s="15">
        <f>C33/C30</f>
        <v/>
      </c>
      <c r="D34" s="15">
        <f>D33/D30</f>
        <v/>
      </c>
      <c r="E34" s="15">
        <f>E33/E30</f>
        <v/>
      </c>
      <c r="F34" s="15">
        <f>F33/F30</f>
        <v/>
      </c>
      <c r="G34" s="15">
        <f>G33/G30</f>
        <v/>
      </c>
      <c r="H34" s="15">
        <f>H33/H30</f>
        <v/>
      </c>
      <c r="I34" s="185">
        <f>I33/I30</f>
        <v/>
      </c>
    </row>
    <row r="35" customFormat="1" s="10">
      <c r="A35" s="182" t="inlineStr">
        <is>
          <t xml:space="preserve">  Growth</t>
        </is>
      </c>
      <c r="C35" s="183">
        <f>IF(ISERROR(C33/B33-1), "NA", C33/B33-1)</f>
        <v/>
      </c>
      <c r="D35" s="183">
        <f>IF(ISERROR(D33/C33-1), "NA", D33/C33-1)</f>
        <v/>
      </c>
      <c r="E35" s="183">
        <f>IF(ISERROR(E33/D33-1), "NA", E33/D33-1)</f>
        <v/>
      </c>
      <c r="F35" s="183">
        <f>IF(ISERROR(F33/E33-1), "NA", F33/E33-1)</f>
        <v/>
      </c>
      <c r="G35" s="183">
        <f>IF(ISERROR(G33/F33-1), "NA", G33/F33-1)</f>
        <v/>
      </c>
      <c r="H35" s="183">
        <f>IF(ISERROR(H33/G33-1), "NA", H33/G33-1)</f>
        <v/>
      </c>
      <c r="I35" s="184">
        <f>IF(ISERROR(I33/H33-1), "NA", I33/H33-1)</f>
        <v/>
      </c>
    </row>
    <row r="36" ht="6" customFormat="1" customHeight="1" s="12">
      <c r="A36" s="126" t="n"/>
      <c r="B36" s="8" t="n"/>
      <c r="C36" s="8" t="n"/>
      <c r="D36" s="8" t="n"/>
      <c r="I36" s="92" t="n"/>
    </row>
    <row r="37" customFormat="1" s="12">
      <c r="A37" s="126" t="inlineStr">
        <is>
          <t>Capex</t>
        </is>
      </c>
      <c r="B37" s="17" t="n"/>
      <c r="C37" s="17" t="n"/>
      <c r="D37" s="17">
        <f>D107</f>
        <v/>
      </c>
      <c r="E37" s="17">
        <f>E107</f>
        <v/>
      </c>
      <c r="F37" s="17">
        <f>F107</f>
        <v/>
      </c>
      <c r="G37" s="17">
        <f>G107</f>
        <v/>
      </c>
      <c r="H37" s="17">
        <f>H107</f>
        <v/>
      </c>
      <c r="I37" s="150">
        <f>I107</f>
        <v/>
      </c>
    </row>
    <row r="38" customFormat="1" s="12">
      <c r="A38" s="126" t="inlineStr">
        <is>
          <t>Interest Expense</t>
        </is>
      </c>
      <c r="B38" s="8" t="n"/>
      <c r="C38" s="8" t="n"/>
      <c r="D38" s="327" t="n"/>
      <c r="E38" s="17">
        <f>E169</f>
        <v/>
      </c>
      <c r="F38" s="17">
        <f>F169</f>
        <v/>
      </c>
      <c r="G38" s="17">
        <f>G169</f>
        <v/>
      </c>
      <c r="H38" s="17">
        <f>H169</f>
        <v/>
      </c>
      <c r="I38" s="17">
        <f>I169</f>
        <v/>
      </c>
    </row>
    <row r="39" customFormat="1" s="12">
      <c r="A39" s="126" t="inlineStr">
        <is>
          <t>EPS</t>
        </is>
      </c>
      <c r="B39" s="17" t="n"/>
      <c r="C39" s="17" t="n"/>
      <c r="D39" s="328" t="n"/>
      <c r="E39" s="328">
        <f>E179</f>
        <v/>
      </c>
      <c r="F39" s="328">
        <f>F179</f>
        <v/>
      </c>
      <c r="G39" s="328">
        <f>G179</f>
        <v/>
      </c>
      <c r="H39" s="328">
        <f>H179</f>
        <v/>
      </c>
      <c r="I39" s="328">
        <f>I179</f>
        <v/>
      </c>
    </row>
    <row r="40" customFormat="1" s="12">
      <c r="A40" s="126" t="inlineStr">
        <is>
          <t>Net Debt</t>
        </is>
      </c>
      <c r="B40" s="8" t="n"/>
      <c r="C40" s="8" t="n"/>
      <c r="D40" s="17">
        <f>(D225-D195)</f>
        <v/>
      </c>
      <c r="E40" s="17">
        <f>(E225-E195)</f>
        <v/>
      </c>
      <c r="F40" s="17">
        <f>(F225-F195)</f>
        <v/>
      </c>
      <c r="G40" s="17">
        <f>(G225-G195)</f>
        <v/>
      </c>
      <c r="H40" s="17">
        <f>(H225-H195)</f>
        <v/>
      </c>
      <c r="I40" s="150">
        <f>(I225-I195)</f>
        <v/>
      </c>
    </row>
    <row r="41" customFormat="1" s="12">
      <c r="A41" s="133" t="inlineStr">
        <is>
          <t>Total Debt</t>
        </is>
      </c>
      <c r="B41" s="187" t="n"/>
      <c r="C41" s="187" t="n"/>
      <c r="D41" s="154">
        <f>D225</f>
        <v/>
      </c>
      <c r="E41" s="154">
        <f>E225</f>
        <v/>
      </c>
      <c r="F41" s="154">
        <f>F225</f>
        <v/>
      </c>
      <c r="G41" s="154">
        <f>G225</f>
        <v/>
      </c>
      <c r="H41" s="154">
        <f>H225</f>
        <v/>
      </c>
      <c r="I41" s="155">
        <f>I225</f>
        <v/>
      </c>
    </row>
    <row r="42" ht="6" customFormat="1" customHeight="1" s="12">
      <c r="A42" s="126" t="n"/>
      <c r="B42" s="8" t="n"/>
      <c r="C42" s="8" t="n"/>
      <c r="D42" s="8" t="n"/>
    </row>
    <row r="43" ht="6" customFormat="1" customHeight="1" s="12">
      <c r="A43" s="126" t="n"/>
      <c r="B43" s="8" t="n"/>
      <c r="C43" s="8" t="n"/>
      <c r="D43" s="8" t="n"/>
    </row>
    <row r="44" ht="6" customFormat="1" customHeight="1" s="12">
      <c r="A44" s="126" t="n"/>
      <c r="B44" s="8" t="n"/>
      <c r="C44" s="8" t="n"/>
      <c r="D44" s="8" t="n"/>
    </row>
    <row r="45" ht="23.25" customFormat="1" customHeight="1" s="12">
      <c r="A45" s="175" t="inlineStr">
        <is>
          <t>Credit Statistics</t>
        </is>
      </c>
      <c r="B45" s="254" t="n"/>
      <c r="C45" s="254" t="n"/>
      <c r="D45" s="254" t="n"/>
      <c r="E45" s="136" t="n"/>
      <c r="F45" s="136" t="n"/>
      <c r="G45" s="136" t="n"/>
      <c r="H45" s="136" t="n"/>
      <c r="I45" s="137" t="n"/>
    </row>
    <row r="46" ht="15.75" customHeight="1">
      <c r="A46" s="124" t="inlineStr">
        <is>
          <t>LEVERAGE RATIOS</t>
        </is>
      </c>
      <c r="I46" s="255" t="n"/>
    </row>
    <row r="47" customFormat="1" s="12">
      <c r="A47" s="126" t="inlineStr">
        <is>
          <t>Total Debt / EBITDA</t>
        </is>
      </c>
      <c r="B47" s="43" t="n"/>
      <c r="C47" s="43" t="n"/>
      <c r="D47" s="329">
        <f>D41/D33</f>
        <v/>
      </c>
      <c r="E47" s="329">
        <f>E41/E33</f>
        <v/>
      </c>
      <c r="F47" s="329">
        <f>F41/F33</f>
        <v/>
      </c>
      <c r="G47" s="329">
        <f>G41/G33</f>
        <v/>
      </c>
      <c r="H47" s="329">
        <f>H41/H33</f>
        <v/>
      </c>
      <c r="I47" s="329">
        <f>I41/I33</f>
        <v/>
      </c>
    </row>
    <row r="48" customFormat="1" s="12">
      <c r="A48" s="126" t="inlineStr">
        <is>
          <t>Total Debt/Total Capital</t>
        </is>
      </c>
      <c r="B48" s="43" t="n"/>
      <c r="C48" s="43" t="n"/>
      <c r="D48" s="258">
        <f>D41/SUM(D225,D231)</f>
        <v/>
      </c>
      <c r="E48" s="258">
        <f>E41/SUM(E225,E231)</f>
        <v/>
      </c>
      <c r="F48" s="258">
        <f>F41/SUM(F225,F231)</f>
        <v/>
      </c>
      <c r="G48" s="258">
        <f>G41/SUM(G225,G231)</f>
        <v/>
      </c>
      <c r="H48" s="258">
        <f>H41/SUM(H225,H231)</f>
        <v/>
      </c>
      <c r="I48" s="259">
        <f>I41/SUM(I225,I231)</f>
        <v/>
      </c>
    </row>
    <row r="49" customFormat="1" s="12">
      <c r="A49" s="126" t="inlineStr">
        <is>
          <t>Total Debt/Total Assets</t>
        </is>
      </c>
      <c r="B49" s="43" t="n"/>
      <c r="C49" s="43" t="n"/>
      <c r="D49" s="258">
        <f>D41/D213</f>
        <v/>
      </c>
      <c r="E49" s="258">
        <f>E41/E213</f>
        <v/>
      </c>
      <c r="F49" s="258">
        <f>F41/F213</f>
        <v/>
      </c>
      <c r="G49" s="258">
        <f>G41/G213</f>
        <v/>
      </c>
      <c r="H49" s="258">
        <f>H41/H213</f>
        <v/>
      </c>
      <c r="I49" s="259">
        <f>I41/I213</f>
        <v/>
      </c>
    </row>
    <row r="50" customFormat="1" s="12">
      <c r="A50" s="126" t="inlineStr">
        <is>
          <t>Total Debt/ Equity</t>
        </is>
      </c>
      <c r="B50" s="43" t="n"/>
      <c r="C50" s="43" t="n"/>
      <c r="D50" s="329">
        <f>D41/D231</f>
        <v/>
      </c>
      <c r="E50" s="329">
        <f>E41/E231</f>
        <v/>
      </c>
      <c r="F50" s="329">
        <f>F41/F231</f>
        <v/>
      </c>
      <c r="G50" s="329">
        <f>G41/G231</f>
        <v/>
      </c>
      <c r="H50" s="329">
        <f>H41/H231</f>
        <v/>
      </c>
      <c r="I50" s="330">
        <f>I41/I231</f>
        <v/>
      </c>
    </row>
    <row r="51" customFormat="1" s="12">
      <c r="A51" s="126" t="inlineStr">
        <is>
          <t>Short term Debt/Total Debt</t>
        </is>
      </c>
      <c r="B51" s="43" t="n"/>
      <c r="C51" s="43" t="n"/>
      <c r="D51" s="258">
        <f>D221/SUM(D221:D223)</f>
        <v/>
      </c>
      <c r="E51" s="258">
        <f>E221/SUM(E221:E223)</f>
        <v/>
      </c>
      <c r="F51" s="258">
        <f>F221/SUM(F221:F223)</f>
        <v/>
      </c>
      <c r="G51" s="258">
        <f>G221/SUM(G221:G223)</f>
        <v/>
      </c>
      <c r="H51" s="258">
        <f>H221/SUM(H221:H223)</f>
        <v/>
      </c>
      <c r="I51" s="259">
        <f>I221/SUM(I221:I223)</f>
        <v/>
      </c>
    </row>
    <row r="52" customFormat="1" s="12">
      <c r="A52" s="128" t="n"/>
      <c r="B52" s="43" t="n"/>
      <c r="C52" s="43" t="n"/>
      <c r="D52" s="329" t="n"/>
      <c r="E52" s="329" t="n"/>
      <c r="F52" s="329" t="n"/>
      <c r="G52" s="329" t="n"/>
      <c r="H52" s="329" t="n"/>
      <c r="I52" s="330" t="n"/>
    </row>
    <row r="53" ht="15.75" customFormat="1" customHeight="1" s="12">
      <c r="A53" s="260" t="inlineStr">
        <is>
          <t>COVERAGE RATIOS</t>
        </is>
      </c>
      <c r="B53" s="43" t="n"/>
      <c r="C53" s="43" t="n"/>
      <c r="D53" s="329" t="n"/>
      <c r="E53" s="329" t="n"/>
      <c r="F53" s="329" t="n"/>
      <c r="G53" s="329" t="n"/>
      <c r="H53" s="329" t="n"/>
      <c r="I53" s="330" t="n"/>
    </row>
    <row r="54" customFormat="1" s="12">
      <c r="A54" s="126" t="inlineStr">
        <is>
          <t>EBIT/Interest</t>
        </is>
      </c>
      <c r="B54" s="43" t="n"/>
      <c r="C54" s="43" t="n"/>
      <c r="D54" s="331">
        <f>IF(ISERROR(D162/D38), "NA", D162/D38)</f>
        <v/>
      </c>
      <c r="E54" s="331">
        <f>IF(ISERROR(E162/E38), "NA", E162/E38)</f>
        <v/>
      </c>
      <c r="F54" s="331">
        <f>IF(ISERROR(F162/F38), "NA", F162/F38)</f>
        <v/>
      </c>
      <c r="G54" s="331">
        <f>IF(ISERROR(G162/G38), "NA", G162/G38)</f>
        <v/>
      </c>
      <c r="H54" s="331">
        <f>IF(ISERROR(H162/H38), "NA", H162/H38)</f>
        <v/>
      </c>
      <c r="I54" s="332">
        <f>IF(ISERROR(I162/I38), "NA", I162/I38)</f>
        <v/>
      </c>
    </row>
    <row r="55" customFormat="1" s="12">
      <c r="A55" s="126" t="inlineStr">
        <is>
          <t>EBITDA / Interest</t>
        </is>
      </c>
      <c r="B55" s="43" t="n"/>
      <c r="C55" s="43" t="n"/>
      <c r="D55" s="331">
        <f>IF(ISERROR(D33/D38), "NA", D33/D38)</f>
        <v/>
      </c>
      <c r="E55" s="331">
        <f>IF(ISERROR(E33/E38), "NA", E33/E38)</f>
        <v/>
      </c>
      <c r="F55" s="331">
        <f>IF(ISERROR(F33/F38), "NA", F33/F38)</f>
        <v/>
      </c>
      <c r="G55" s="331">
        <f>IF(ISERROR(G33/G38), "NA", G33/G38)</f>
        <v/>
      </c>
      <c r="H55" s="331">
        <f>IF(ISERROR(H33/H38), "NA", H33/H38)</f>
        <v/>
      </c>
      <c r="I55" s="332">
        <f>IF(ISERROR(I33/I38), "NA", I33/I38)</f>
        <v/>
      </c>
    </row>
    <row r="56" customFormat="1" s="12">
      <c r="A56" s="126" t="inlineStr">
        <is>
          <t>EBITDA less Capex / Interest</t>
        </is>
      </c>
      <c r="B56" s="43" t="n"/>
      <c r="C56" s="43" t="n"/>
      <c r="D56" s="331">
        <f>IF(ISERROR((D33-D37)/D38), "NA", (D33-D37)/D38)</f>
        <v/>
      </c>
      <c r="E56" s="331">
        <f>IF(ISERROR((E33-E37)/E38), "NA", (E33-E37)/E38)</f>
        <v/>
      </c>
      <c r="F56" s="331">
        <f>IF(ISERROR((F33-F37)/F38), "NA", (F33-F37)/F38)</f>
        <v/>
      </c>
      <c r="G56" s="331">
        <f>IF(ISERROR((G33-G37)/G38), "NA", (G33-G37)/G38)</f>
        <v/>
      </c>
      <c r="H56" s="331">
        <f>IF(ISERROR((H33-H37)/H38), "NA", (H33-H37)/H38)</f>
        <v/>
      </c>
      <c r="I56" s="332">
        <f>IF(ISERROR((I33-I37)/I38), "NA", (I33-I37)/I38)</f>
        <v/>
      </c>
    </row>
    <row r="57" customFormat="1" s="12">
      <c r="A57" s="126" t="n"/>
      <c r="B57" s="85" t="n"/>
      <c r="C57" s="85" t="n"/>
      <c r="D57" s="329" t="n"/>
      <c r="E57" s="329" t="n"/>
      <c r="F57" s="329" t="n"/>
      <c r="G57" s="329" t="n"/>
      <c r="H57" s="329" t="n"/>
      <c r="I57" s="330" t="n"/>
    </row>
    <row r="58" ht="15.75" customFormat="1" customHeight="1" s="12">
      <c r="A58" s="260" t="inlineStr">
        <is>
          <t>LIQUIDITY RATIOS</t>
        </is>
      </c>
      <c r="B58" s="43" t="n"/>
      <c r="C58" s="43" t="n"/>
      <c r="D58" s="329" t="n"/>
      <c r="E58" s="329" t="n"/>
      <c r="F58" s="329" t="n"/>
      <c r="G58" s="329" t="n"/>
      <c r="H58" s="329" t="n"/>
      <c r="I58" s="330" t="n"/>
    </row>
    <row r="59" customFormat="1" s="12">
      <c r="A59" s="126" t="inlineStr">
        <is>
          <t>Current Ratio</t>
        </is>
      </c>
      <c r="B59" s="43" t="n"/>
      <c r="C59" s="43" t="n"/>
      <c r="D59" s="329">
        <f>D203/D219</f>
        <v/>
      </c>
      <c r="E59" s="329">
        <f>E203/E219</f>
        <v/>
      </c>
      <c r="F59" s="329">
        <f>F203/F219</f>
        <v/>
      </c>
      <c r="G59" s="329">
        <f>G203/G219</f>
        <v/>
      </c>
      <c r="H59" s="329">
        <f>H203/H219</f>
        <v/>
      </c>
      <c r="I59" s="330">
        <f>I203/I219</f>
        <v/>
      </c>
    </row>
    <row r="60" customFormat="1" s="12">
      <c r="A60" s="133" t="inlineStr">
        <is>
          <t>Quick Ratio</t>
        </is>
      </c>
      <c r="B60" s="263" t="n"/>
      <c r="C60" s="263" t="n"/>
      <c r="D60" s="333">
        <f>(D203-D200)/D219</f>
        <v/>
      </c>
      <c r="E60" s="333">
        <f>(E203-E200)/E219</f>
        <v/>
      </c>
      <c r="F60" s="333">
        <f>(F203-F200)/F219</f>
        <v/>
      </c>
      <c r="G60" s="333">
        <f>(G203-G200)/G219</f>
        <v/>
      </c>
      <c r="H60" s="333">
        <f>(H203-H200)/H219</f>
        <v/>
      </c>
      <c r="I60" s="334">
        <f>(I203-I200)/I219</f>
        <v/>
      </c>
    </row>
    <row r="61" customFormat="1" s="12"/>
    <row r="62" customFormat="1" s="12">
      <c r="A62" s="8" t="n"/>
      <c r="B62" s="8" t="n"/>
      <c r="C62" s="8" t="n"/>
      <c r="D62" s="335" t="n"/>
      <c r="E62" s="335" t="n"/>
      <c r="F62" s="335" t="n"/>
      <c r="G62" s="335" t="n"/>
      <c r="H62" s="335" t="n"/>
      <c r="I62" s="335" t="n"/>
    </row>
    <row r="63" ht="23.25" customFormat="1" customHeight="1" s="12">
      <c r="A63" s="175" t="inlineStr">
        <is>
          <t>Valuation</t>
        </is>
      </c>
      <c r="B63" s="188" t="n"/>
      <c r="C63" s="8" t="n"/>
      <c r="D63" s="139" t="inlineStr">
        <is>
          <t>DCF Equity Sensitivity Analysis</t>
        </is>
      </c>
      <c r="E63" s="140" t="n"/>
      <c r="F63" s="140" t="n"/>
      <c r="G63" s="141" t="n"/>
      <c r="H63" s="141" t="n"/>
      <c r="I63" s="335" t="n"/>
    </row>
    <row r="64" ht="15" customFormat="1" customHeight="1" s="12">
      <c r="A64" s="128" t="inlineStr">
        <is>
          <t>DCF Enterprise Value</t>
        </is>
      </c>
      <c r="B64" s="336">
        <f>B353</f>
        <v/>
      </c>
      <c r="C64" s="8" t="n"/>
      <c r="D64" s="142" t="n"/>
      <c r="E64" s="4" t="inlineStr">
        <is>
          <t>WACC</t>
        </is>
      </c>
      <c r="F64" s="5" t="n"/>
      <c r="G64" s="143" t="n"/>
      <c r="H64" s="143" t="n"/>
      <c r="I64" s="335" t="n"/>
    </row>
    <row r="65" customFormat="1" s="12">
      <c r="A65" s="128" t="inlineStr">
        <is>
          <t>Implied EV/EBITDA</t>
        </is>
      </c>
      <c r="B65" s="337">
        <f>C353</f>
        <v/>
      </c>
      <c r="C65" s="8" t="n"/>
      <c r="D65" s="338">
        <f>F354</f>
        <v/>
      </c>
      <c r="E65" s="339" t="n"/>
      <c r="F65" s="339" t="n"/>
      <c r="G65" s="340" t="n"/>
      <c r="H65" s="341" t="n"/>
      <c r="I65" s="335" t="n"/>
    </row>
    <row r="66" customFormat="1" s="12">
      <c r="A66" s="128" t="n"/>
      <c r="B66" s="337" t="n"/>
      <c r="C66" s="8" t="n"/>
      <c r="D66" s="342" t="n"/>
      <c r="E66" s="343">
        <f>G355</f>
        <v/>
      </c>
      <c r="F66" s="191">
        <f>H355</f>
        <v/>
      </c>
      <c r="G66" s="192">
        <f>I355</f>
        <v/>
      </c>
      <c r="H66" s="192" t="n"/>
      <c r="I66" s="335" t="n"/>
    </row>
    <row r="67" customFormat="1" s="12">
      <c r="A67" s="128" t="inlineStr">
        <is>
          <t xml:space="preserve">DCF Equity Value </t>
        </is>
      </c>
      <c r="B67" s="336">
        <f>B356</f>
        <v/>
      </c>
      <c r="C67" s="8" t="n"/>
      <c r="D67" s="342" t="n"/>
      <c r="E67" s="191">
        <f>G356</f>
        <v/>
      </c>
      <c r="F67" s="191">
        <f>H356</f>
        <v/>
      </c>
      <c r="G67" s="192">
        <f>I356</f>
        <v/>
      </c>
      <c r="H67" s="192" t="n"/>
      <c r="I67" s="335" t="n"/>
    </row>
    <row r="68" customFormat="1" s="12">
      <c r="A68" s="193" t="inlineStr">
        <is>
          <t>Forward Implied P/E</t>
        </is>
      </c>
      <c r="B68" s="344">
        <f>C358</f>
        <v/>
      </c>
      <c r="C68" s="8" t="n"/>
      <c r="D68" s="345" t="n"/>
      <c r="E68" s="195">
        <f>G357</f>
        <v/>
      </c>
      <c r="F68" s="195">
        <f>H357</f>
        <v/>
      </c>
      <c r="G68" s="196">
        <f>I357</f>
        <v/>
      </c>
      <c r="H68" s="196" t="n"/>
      <c r="I68" s="335" t="n"/>
    </row>
    <row r="69" customFormat="1" s="12">
      <c r="A69" s="43" t="n"/>
      <c r="B69" s="346" t="n"/>
      <c r="C69" s="8" t="n"/>
      <c r="D69" s="335" t="n"/>
      <c r="E69" s="335" t="n"/>
      <c r="F69" s="335" t="n"/>
      <c r="G69" s="335" t="n"/>
      <c r="H69" s="335" t="n"/>
      <c r="I69" s="335" t="n"/>
    </row>
    <row r="70" customFormat="1" s="12">
      <c r="A70" s="43" t="n"/>
      <c r="B70" s="346" t="n"/>
      <c r="C70" s="8" t="n"/>
      <c r="D70" s="335" t="n"/>
      <c r="E70" s="335" t="n"/>
      <c r="F70" s="335" t="n"/>
      <c r="G70" s="335" t="n"/>
      <c r="H70" s="335" t="n"/>
      <c r="I70" s="335" t="n"/>
    </row>
    <row r="71" ht="18.75" customFormat="1" customHeight="1" s="1">
      <c r="A71" s="6" t="inlineStr">
        <is>
          <t>OPERATING ASSUMPTIONS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</row>
    <row r="72">
      <c r="A72" s="24" t="n"/>
    </row>
    <row r="73" ht="15" customHeight="1">
      <c r="B73" s="4" t="inlineStr">
        <is>
          <t>Historical</t>
        </is>
      </c>
      <c r="C73" s="5" t="n"/>
      <c r="D73" s="5" t="n"/>
      <c r="E73" s="4" t="inlineStr">
        <is>
          <t>Projected</t>
        </is>
      </c>
      <c r="F73" s="4" t="n"/>
      <c r="G73" s="4" t="n"/>
      <c r="H73" s="4" t="n"/>
      <c r="I73" s="4" t="n"/>
    </row>
    <row r="74">
      <c r="B74" s="3">
        <f>C74-1</f>
        <v/>
      </c>
      <c r="C74" s="3">
        <f>D74-1</f>
        <v/>
      </c>
      <c r="D74" s="3">
        <f>E74-1</f>
        <v/>
      </c>
      <c r="E74" s="325" t="n">
        <v>2023</v>
      </c>
      <c r="F74" s="3">
        <f>E74+1</f>
        <v/>
      </c>
      <c r="G74" s="3">
        <f>F74+1</f>
        <v/>
      </c>
      <c r="H74" s="3">
        <f>G74+1</f>
        <v/>
      </c>
      <c r="I74" s="3">
        <f>H74+1</f>
        <v/>
      </c>
    </row>
    <row r="75" ht="6" customHeight="1"/>
    <row r="76" customFormat="1" s="14">
      <c r="A76" s="13" t="inlineStr">
        <is>
          <t>Revenue</t>
        </is>
      </c>
      <c r="B76" s="302" t="n">
        <v>55179000000</v>
      </c>
      <c r="C76" s="302" t="n">
        <v>57350000000</v>
      </c>
      <c r="D76" s="302" t="n">
        <v>60530000000</v>
      </c>
      <c r="E76" s="21">
        <f>D76*(1+E77)</f>
        <v/>
      </c>
      <c r="F76" s="21">
        <f>E76*(1+F77)</f>
        <v/>
      </c>
      <c r="G76" s="21">
        <f>F76*(1+G77)</f>
        <v/>
      </c>
      <c r="H76" s="21">
        <f>G76*(1+H77)</f>
        <v/>
      </c>
      <c r="I76" s="21">
        <f>H76*(1+I77)</f>
        <v/>
      </c>
    </row>
    <row r="77" ht="13.5" customFormat="1" customHeight="1" s="10">
      <c r="A77" s="9" t="inlineStr">
        <is>
          <t xml:space="preserve">  Growth</t>
        </is>
      </c>
      <c r="C77" s="15">
        <f>C76/B76-1</f>
        <v/>
      </c>
      <c r="D77" s="15">
        <f>D76/C76-1</f>
        <v/>
      </c>
      <c r="E77" s="15">
        <f>E379</f>
        <v/>
      </c>
      <c r="F77" s="15">
        <f>F379</f>
        <v/>
      </c>
      <c r="G77" s="15">
        <f>G379</f>
        <v/>
      </c>
      <c r="H77" s="15">
        <f>H379</f>
        <v/>
      </c>
      <c r="I77" s="15">
        <f>I379</f>
        <v/>
      </c>
      <c r="J77" s="18" t="n"/>
    </row>
    <row r="78" ht="6" customHeight="1"/>
    <row r="79">
      <c r="A79" s="11" t="inlineStr">
        <is>
          <t>Cost of Goods Sold:</t>
        </is>
      </c>
    </row>
    <row r="80">
      <c r="A80" s="8" t="inlineStr">
        <is>
          <t xml:space="preserve">  COGS (Excl. Depn.)</t>
        </is>
      </c>
      <c r="B80" s="303" t="n">
        <v>24314000000</v>
      </c>
      <c r="C80" s="303" t="n">
        <v>25865000000</v>
      </c>
      <c r="D80" s="303" t="n">
        <v>27842000000</v>
      </c>
      <c r="E80" s="25">
        <f>E$76*E81</f>
        <v/>
      </c>
      <c r="F80" s="25">
        <f>F$76*F81</f>
        <v/>
      </c>
      <c r="G80" s="25">
        <f>G$76*G81</f>
        <v/>
      </c>
      <c r="H80" s="25">
        <f>H$76*H81</f>
        <v/>
      </c>
      <c r="I80" s="25">
        <f>I$76*I81</f>
        <v/>
      </c>
    </row>
    <row r="81" customFormat="1" s="16">
      <c r="A81" s="9" t="inlineStr">
        <is>
          <t xml:space="preserve">    % Sales</t>
        </is>
      </c>
      <c r="B81" s="15">
        <f>B80/B$76</f>
        <v/>
      </c>
      <c r="C81" s="15">
        <f>C80/C$76</f>
        <v/>
      </c>
      <c r="D81" s="15">
        <f>D80/D$76</f>
        <v/>
      </c>
      <c r="E81" s="15">
        <f>E385</f>
        <v/>
      </c>
      <c r="F81" s="15">
        <f>F385</f>
        <v/>
      </c>
      <c r="G81" s="15">
        <f>G385</f>
        <v/>
      </c>
      <c r="H81" s="15">
        <f>H385</f>
        <v/>
      </c>
      <c r="I81" s="15">
        <f>I385</f>
        <v/>
      </c>
    </row>
    <row r="82" ht="6" customHeight="1">
      <c r="A82" s="12" t="n"/>
    </row>
    <row r="83">
      <c r="A83" s="8" t="inlineStr">
        <is>
          <t xml:space="preserve">  Depreciation</t>
        </is>
      </c>
      <c r="B83" s="303" t="n">
        <v>4227000000</v>
      </c>
      <c r="C83" s="303" t="n">
        <v>3888000000</v>
      </c>
      <c r="D83" s="303" t="n">
        <v>2407000000</v>
      </c>
      <c r="E83" s="304">
        <f>AVERAGE(B83:D83)</f>
        <v/>
      </c>
      <c r="F83" s="304">
        <f>AVERAGE(C83:E83)</f>
        <v/>
      </c>
      <c r="G83" s="304">
        <f>AVERAGE(D83:F83)</f>
        <v/>
      </c>
      <c r="H83" s="304">
        <f>AVERAGE(E83:G83)</f>
        <v/>
      </c>
      <c r="I83" s="304">
        <f>AVERAGE(F83:H83)</f>
        <v/>
      </c>
    </row>
    <row r="84" customFormat="1" s="16">
      <c r="A84" s="9" t="inlineStr">
        <is>
          <t xml:space="preserve">    % Sales</t>
        </is>
      </c>
      <c r="B84" s="15">
        <f>B83/B$76</f>
        <v/>
      </c>
      <c r="C84" s="15">
        <f>C83/C$76</f>
        <v/>
      </c>
      <c r="D84" s="15">
        <f>D83/D$76</f>
        <v/>
      </c>
      <c r="E84" s="15">
        <f>E83/E$76</f>
        <v/>
      </c>
      <c r="F84" s="15">
        <f>F83/F$76</f>
        <v/>
      </c>
      <c r="G84" s="15">
        <f>G83/G$76</f>
        <v/>
      </c>
      <c r="H84" s="15">
        <f>H83/H$76</f>
        <v/>
      </c>
      <c r="I84" s="15">
        <f>I83/I$76</f>
        <v/>
      </c>
    </row>
    <row r="85" ht="4.5" customHeight="1">
      <c r="A85" s="12" t="n"/>
      <c r="B85" s="20" t="inlineStr">
        <is>
          <t xml:space="preserve"> </t>
        </is>
      </c>
      <c r="C85" s="20" t="inlineStr">
        <is>
          <t xml:space="preserve"> </t>
        </is>
      </c>
      <c r="D85" s="20" t="inlineStr">
        <is>
          <t xml:space="preserve"> </t>
        </is>
      </c>
      <c r="E85" s="20" t="inlineStr">
        <is>
          <t xml:space="preserve"> </t>
        </is>
      </c>
      <c r="F85" s="20" t="inlineStr">
        <is>
          <t xml:space="preserve"> </t>
        </is>
      </c>
      <c r="G85" s="20" t="inlineStr">
        <is>
          <t xml:space="preserve"> </t>
        </is>
      </c>
      <c r="H85" s="20" t="inlineStr">
        <is>
          <t xml:space="preserve"> </t>
        </is>
      </c>
      <c r="I85" s="20" t="inlineStr">
        <is>
          <t xml:space="preserve"> </t>
        </is>
      </c>
    </row>
    <row r="86">
      <c r="A86" s="8" t="inlineStr">
        <is>
          <t xml:space="preserve">  Total COGS</t>
        </is>
      </c>
      <c r="B86" s="17">
        <f>B83+B80</f>
        <v/>
      </c>
      <c r="C86" s="17">
        <f>C83+C80</f>
        <v/>
      </c>
      <c r="D86" s="17">
        <f>D83+D80</f>
        <v/>
      </c>
      <c r="E86" s="22">
        <f>E83+E80</f>
        <v/>
      </c>
      <c r="F86" s="22">
        <f>F83+F80</f>
        <v/>
      </c>
      <c r="G86" s="22">
        <f>G83+G80</f>
        <v/>
      </c>
      <c r="H86" s="22">
        <f>H83+H80</f>
        <v/>
      </c>
      <c r="I86" s="22">
        <f>I83+I80</f>
        <v/>
      </c>
    </row>
    <row r="87" customFormat="1" s="16">
      <c r="A87" s="9" t="inlineStr">
        <is>
          <t xml:space="preserve">    % Sales</t>
        </is>
      </c>
      <c r="B87" s="15">
        <f>B86/B$76</f>
        <v/>
      </c>
      <c r="C87" s="15">
        <f>C86/C$76</f>
        <v/>
      </c>
      <c r="D87" s="15">
        <f>D86/D$76</f>
        <v/>
      </c>
      <c r="E87" s="15">
        <f>E86/E$76</f>
        <v/>
      </c>
      <c r="F87" s="15">
        <f>F86/F$76</f>
        <v/>
      </c>
      <c r="G87" s="15">
        <f>G86/G$76</f>
        <v/>
      </c>
      <c r="H87" s="15">
        <f>H86/H$76</f>
        <v/>
      </c>
      <c r="I87" s="15">
        <f>I86/I$76</f>
        <v/>
      </c>
    </row>
    <row r="88" ht="6" customHeight="1">
      <c r="A88" s="12" t="n"/>
    </row>
    <row r="89">
      <c r="A89" s="11" t="inlineStr">
        <is>
          <t>SG&amp;A Expense:</t>
        </is>
      </c>
    </row>
    <row r="90">
      <c r="A90" s="8" t="inlineStr">
        <is>
          <t xml:space="preserve">  SG&amp;A Expense (Excl. Amt.)</t>
        </is>
      </c>
      <c r="B90" s="303" t="n">
        <v>20561000000</v>
      </c>
      <c r="C90" s="303" t="n">
        <v>18745000000</v>
      </c>
      <c r="D90" s="303" t="n">
        <v>18609000000</v>
      </c>
      <c r="E90" s="25">
        <f>E$76*E91</f>
        <v/>
      </c>
      <c r="F90" s="25">
        <f>F$76*F91</f>
        <v/>
      </c>
      <c r="G90" s="25">
        <f>G$76*G91</f>
        <v/>
      </c>
      <c r="H90" s="25">
        <f>H$76*H91</f>
        <v/>
      </c>
      <c r="I90" s="25">
        <f>I$76*I91</f>
        <v/>
      </c>
    </row>
    <row r="91" customFormat="1" s="16">
      <c r="A91" s="9" t="inlineStr">
        <is>
          <t xml:space="preserve">    % Sales</t>
        </is>
      </c>
      <c r="B91" s="15">
        <f>B90/B$76</f>
        <v/>
      </c>
      <c r="C91" s="15">
        <f>C90/C$76</f>
        <v/>
      </c>
      <c r="D91" s="15">
        <f>D90/D$76</f>
        <v/>
      </c>
      <c r="E91" s="15">
        <f>E391</f>
        <v/>
      </c>
      <c r="F91" s="15">
        <f>F391</f>
        <v/>
      </c>
      <c r="G91" s="15">
        <f>G391</f>
        <v/>
      </c>
      <c r="H91" s="15">
        <f>H391</f>
        <v/>
      </c>
      <c r="I91" s="15">
        <f>I391</f>
        <v/>
      </c>
    </row>
    <row r="92" ht="6" customHeight="1">
      <c r="A92" s="12" t="n"/>
    </row>
    <row r="93">
      <c r="A93" s="19" t="inlineStr">
        <is>
          <t>Amortization</t>
        </is>
      </c>
      <c r="B93" s="303" t="n">
        <v>2468000000</v>
      </c>
      <c r="C93" s="303" t="n">
        <v>2529000000</v>
      </c>
      <c r="D93" s="303" t="n">
        <v>2395000000</v>
      </c>
      <c r="E93" s="304">
        <f>AVERAGE(B93:D93)</f>
        <v/>
      </c>
      <c r="F93" s="304">
        <f>AVERAGE(C93:E93)</f>
        <v/>
      </c>
      <c r="G93" s="304">
        <f>AVERAGE(D93:F93)</f>
        <v/>
      </c>
      <c r="H93" s="304">
        <f>AVERAGE(E93:G93)</f>
        <v/>
      </c>
      <c r="I93" s="304">
        <f>AVERAGE(F93:H93)</f>
        <v/>
      </c>
    </row>
    <row r="94" customFormat="1" s="16">
      <c r="A94" s="9" t="inlineStr">
        <is>
          <t xml:space="preserve">    % Sales</t>
        </is>
      </c>
      <c r="B94" s="15">
        <f>B93/B$76</f>
        <v/>
      </c>
      <c r="C94" s="15">
        <f>C93/C$76</f>
        <v/>
      </c>
      <c r="D94" s="15">
        <f>D93/D$76</f>
        <v/>
      </c>
      <c r="E94" s="15">
        <f>E93/E$76</f>
        <v/>
      </c>
      <c r="F94" s="15">
        <f>F93/F$76</f>
        <v/>
      </c>
      <c r="G94" s="15">
        <f>G93/G$76</f>
        <v/>
      </c>
      <c r="H94" s="15">
        <f>H93/H$76</f>
        <v/>
      </c>
      <c r="I94" s="15">
        <f>I93/I$76</f>
        <v/>
      </c>
    </row>
    <row r="95" ht="6" customHeight="1">
      <c r="A95" s="12" t="n"/>
      <c r="B95" s="20" t="inlineStr">
        <is>
          <t xml:space="preserve"> </t>
        </is>
      </c>
      <c r="C95" s="20" t="inlineStr">
        <is>
          <t xml:space="preserve"> </t>
        </is>
      </c>
      <c r="D95" s="20" t="inlineStr">
        <is>
          <t xml:space="preserve"> </t>
        </is>
      </c>
      <c r="E95" s="20" t="inlineStr">
        <is>
          <t xml:space="preserve"> </t>
        </is>
      </c>
      <c r="F95" s="20" t="inlineStr">
        <is>
          <t xml:space="preserve"> </t>
        </is>
      </c>
      <c r="G95" s="20" t="inlineStr">
        <is>
          <t xml:space="preserve"> </t>
        </is>
      </c>
      <c r="H95" s="20" t="inlineStr">
        <is>
          <t xml:space="preserve"> </t>
        </is>
      </c>
      <c r="I95" s="20" t="inlineStr">
        <is>
          <t xml:space="preserve"> </t>
        </is>
      </c>
    </row>
    <row r="96">
      <c r="A96" s="8" t="inlineStr">
        <is>
          <t xml:space="preserve">  Total SG&amp;A Expense</t>
        </is>
      </c>
      <c r="B96" s="17">
        <f>B93+B90</f>
        <v/>
      </c>
      <c r="C96" s="17">
        <f>C93+C90</f>
        <v/>
      </c>
      <c r="D96" s="17">
        <f>D93+D90</f>
        <v/>
      </c>
      <c r="E96" s="17">
        <f>E93+E90</f>
        <v/>
      </c>
      <c r="F96" s="17">
        <f>F93+F90</f>
        <v/>
      </c>
      <c r="G96" s="17">
        <f>G93+G90</f>
        <v/>
      </c>
      <c r="H96" s="17">
        <f>H93+H90</f>
        <v/>
      </c>
      <c r="I96" s="17">
        <f>I93+I90</f>
        <v/>
      </c>
    </row>
    <row r="97" customFormat="1" s="16">
      <c r="A97" s="9" t="inlineStr">
        <is>
          <t xml:space="preserve">    % Sales</t>
        </is>
      </c>
      <c r="B97" s="15">
        <f>B96/B$76</f>
        <v/>
      </c>
      <c r="C97" s="15">
        <f>C96/C$76</f>
        <v/>
      </c>
      <c r="D97" s="15">
        <f>D96/D$76</f>
        <v/>
      </c>
      <c r="E97" s="15">
        <f>E96/E$76</f>
        <v/>
      </c>
      <c r="F97" s="15">
        <f>F96/F$76</f>
        <v/>
      </c>
      <c r="G97" s="15">
        <f>G96/G$76</f>
        <v/>
      </c>
      <c r="H97" s="15">
        <f>H96/H$76</f>
        <v/>
      </c>
      <c r="I97" s="15">
        <f>I96/I$76</f>
        <v/>
      </c>
    </row>
    <row r="98" ht="6" customHeight="1">
      <c r="A98" s="12" t="n"/>
    </row>
    <row r="99" ht="6" customHeight="1">
      <c r="A99" s="12" t="n"/>
    </row>
    <row r="100">
      <c r="A100" s="8" t="inlineStr">
        <is>
          <t>EBITDA</t>
        </is>
      </c>
      <c r="B100" s="17">
        <f>B76-SUM(B80,B90)</f>
        <v/>
      </c>
      <c r="C100" s="17">
        <f>C76-SUM(C80,C90)</f>
        <v/>
      </c>
      <c r="D100" s="17">
        <f>D76-SUM(D80,D90)</f>
        <v/>
      </c>
      <c r="E100" s="22">
        <f>E76-SUM(E80,E90)</f>
        <v/>
      </c>
      <c r="F100" s="22">
        <f>F76-SUM(F80,F90)</f>
        <v/>
      </c>
      <c r="G100" s="22">
        <f>G76-SUM(G80,G90)</f>
        <v/>
      </c>
      <c r="H100" s="22">
        <f>H76-SUM(H80,H90)</f>
        <v/>
      </c>
      <c r="I100" s="22">
        <f>I76-SUM(I80,I90)</f>
        <v/>
      </c>
    </row>
    <row r="101" customFormat="1" s="16">
      <c r="A101" s="9" t="inlineStr">
        <is>
          <t xml:space="preserve">  Margin</t>
        </is>
      </c>
      <c r="B101" s="15">
        <f>B100/B$76</f>
        <v/>
      </c>
      <c r="C101" s="15">
        <f>C100/C$76</f>
        <v/>
      </c>
      <c r="D101" s="15">
        <f>D100/D$76</f>
        <v/>
      </c>
      <c r="E101" s="15">
        <f>E100/E$76</f>
        <v/>
      </c>
      <c r="F101" s="15">
        <f>F100/F$76</f>
        <v/>
      </c>
      <c r="G101" s="15">
        <f>G100/G$76</f>
        <v/>
      </c>
      <c r="H101" s="15">
        <f>H100/H$76</f>
        <v/>
      </c>
      <c r="I101" s="15">
        <f>I100/I$76</f>
        <v/>
      </c>
    </row>
    <row r="102" customFormat="1" s="16">
      <c r="A102" s="9" t="inlineStr">
        <is>
          <t xml:space="preserve">  Growth</t>
        </is>
      </c>
      <c r="B102" s="15" t="n"/>
      <c r="C102" s="15">
        <f>C100/B100-1</f>
        <v/>
      </c>
      <c r="D102" s="15">
        <f>D100/C100-1</f>
        <v/>
      </c>
      <c r="E102" s="15">
        <f>E100/D100-1</f>
        <v/>
      </c>
      <c r="F102" s="15">
        <f>F100/E100-1</f>
        <v/>
      </c>
      <c r="G102" s="15">
        <f>G100/F100-1</f>
        <v/>
      </c>
      <c r="H102" s="15">
        <f>H100/G100-1</f>
        <v/>
      </c>
      <c r="I102" s="15">
        <f>I100/H100-1</f>
        <v/>
      </c>
    </row>
    <row r="103" ht="6" customHeight="1">
      <c r="A103" s="8" t="n"/>
      <c r="E103" s="23" t="n"/>
      <c r="F103" s="23" t="n"/>
      <c r="G103" s="23" t="n"/>
      <c r="H103" s="23" t="n"/>
      <c r="I103" s="23" t="n"/>
    </row>
    <row r="104">
      <c r="A104" s="8" t="inlineStr">
        <is>
          <t>Operating Profit (EBIT)</t>
        </is>
      </c>
      <c r="B104" s="17">
        <f>B100-SUM(B93,B83)</f>
        <v/>
      </c>
      <c r="C104" s="17">
        <f>C100-SUM(C93,C83)</f>
        <v/>
      </c>
      <c r="D104" s="17">
        <f>D100-SUM(D93,D83)</f>
        <v/>
      </c>
      <c r="E104" s="22">
        <f>E100-SUM(E93,E83)</f>
        <v/>
      </c>
      <c r="F104" s="22">
        <f>F100-SUM(F93,F83)</f>
        <v/>
      </c>
      <c r="G104" s="22">
        <f>G100-SUM(G93,G83)</f>
        <v/>
      </c>
      <c r="H104" s="22">
        <f>H100-SUM(H93,H83)</f>
        <v/>
      </c>
      <c r="I104" s="22">
        <f>I100-SUM(I93,I83)</f>
        <v/>
      </c>
    </row>
    <row r="105" customFormat="1" s="16">
      <c r="A105" s="9" t="inlineStr">
        <is>
          <t xml:space="preserve">  Margin</t>
        </is>
      </c>
      <c r="B105" s="15">
        <f>B104/B$76</f>
        <v/>
      </c>
      <c r="C105" s="15">
        <f>C104/C$76</f>
        <v/>
      </c>
      <c r="D105" s="15">
        <f>D104/D$76</f>
        <v/>
      </c>
      <c r="E105" s="15">
        <f>E104/E$76</f>
        <v/>
      </c>
      <c r="F105" s="15">
        <f>F104/F$76</f>
        <v/>
      </c>
      <c r="G105" s="15">
        <f>G104/G$76</f>
        <v/>
      </c>
      <c r="H105" s="15">
        <f>H104/H$76</f>
        <v/>
      </c>
      <c r="I105" s="15">
        <f>I104/I$76</f>
        <v/>
      </c>
    </row>
    <row r="106" ht="6" customHeight="1">
      <c r="A106" s="8" t="n"/>
    </row>
    <row r="107">
      <c r="A107" s="8" t="inlineStr">
        <is>
          <t>Total Capital Expenditures</t>
        </is>
      </c>
      <c r="B107" s="303" t="n"/>
      <c r="C107" s="303" t="n"/>
      <c r="D107" s="303" t="n"/>
      <c r="E107" s="22">
        <f>E397</f>
        <v/>
      </c>
      <c r="F107" s="22">
        <f>F397</f>
        <v/>
      </c>
      <c r="G107" s="22">
        <f>G397</f>
        <v/>
      </c>
      <c r="H107" s="22">
        <f>H397</f>
        <v/>
      </c>
      <c r="I107" s="22">
        <f>I397</f>
        <v/>
      </c>
    </row>
    <row r="108" customFormat="1" s="16">
      <c r="A108" s="9" t="inlineStr">
        <is>
          <t xml:space="preserve">  % of Sales</t>
        </is>
      </c>
      <c r="B108" s="15">
        <f>B107/B$76</f>
        <v/>
      </c>
      <c r="C108" s="15">
        <f>C107/C$76</f>
        <v/>
      </c>
      <c r="D108" s="15">
        <f>D107/D$76</f>
        <v/>
      </c>
      <c r="E108" s="15">
        <f>E107/E$76</f>
        <v/>
      </c>
      <c r="F108" s="15">
        <f>F107/F$76</f>
        <v/>
      </c>
      <c r="G108" s="15">
        <f>G107/G$76</f>
        <v/>
      </c>
      <c r="H108" s="15">
        <f>H107/H$76</f>
        <v/>
      </c>
      <c r="I108" s="15">
        <f>I107/I$76</f>
        <v/>
      </c>
    </row>
    <row r="109" customFormat="1" s="16">
      <c r="A109" s="9" t="n"/>
      <c r="B109" s="15" t="n"/>
      <c r="C109" s="15" t="n"/>
      <c r="D109" s="15" t="n"/>
      <c r="E109" s="15" t="n"/>
      <c r="F109" s="15" t="n"/>
      <c r="G109" s="15" t="n"/>
      <c r="H109" s="15" t="n"/>
      <c r="I109" s="15" t="n"/>
    </row>
    <row r="110" customFormat="1" s="16">
      <c r="A110" s="9" t="n"/>
      <c r="B110" s="15" t="n"/>
      <c r="C110" s="15" t="n"/>
      <c r="D110" s="15" t="n"/>
      <c r="E110" s="15" t="n"/>
      <c r="F110" s="15" t="n"/>
      <c r="G110" s="15" t="n"/>
      <c r="H110" s="15" t="n"/>
      <c r="I110" s="15" t="n"/>
    </row>
    <row r="111" ht="18.75" customFormat="1" customHeight="1" s="16">
      <c r="A111" s="6" t="inlineStr">
        <is>
          <t>WORKING CAPITAL ASSUMPTIONS</t>
        </is>
      </c>
      <c r="B111" s="7" t="n"/>
      <c r="C111" s="7" t="n"/>
      <c r="D111" s="7" t="n"/>
      <c r="E111" s="7" t="n"/>
      <c r="F111" s="15" t="n"/>
      <c r="G111" s="15" t="n"/>
      <c r="H111" s="15" t="n"/>
      <c r="I111" s="15" t="n"/>
    </row>
    <row r="112" customFormat="1" s="16">
      <c r="A112" s="2" t="n"/>
      <c r="B112" s="2" t="n"/>
      <c r="C112" s="2" t="n"/>
      <c r="D112" s="2" t="n"/>
      <c r="E112" s="2" t="n"/>
      <c r="F112" s="15" t="n"/>
      <c r="G112" s="15" t="n"/>
      <c r="H112" s="15" t="n"/>
      <c r="I112" s="15" t="n"/>
    </row>
    <row r="113" ht="15" customFormat="1" customHeight="1" s="16">
      <c r="B113" s="4" t="n"/>
      <c r="C113" s="5" t="n"/>
      <c r="D113" s="5" t="inlineStr">
        <is>
          <t>Pro Forma</t>
        </is>
      </c>
      <c r="E113" s="4" t="inlineStr">
        <is>
          <t>Projected</t>
        </is>
      </c>
      <c r="F113" s="59" t="n"/>
      <c r="G113" s="59" t="n"/>
      <c r="H113" s="59" t="n"/>
      <c r="I113" s="59" t="n"/>
    </row>
    <row r="114" customFormat="1" s="16">
      <c r="A114" s="9" t="n"/>
      <c r="B114" s="15" t="n"/>
      <c r="C114" s="15" t="n"/>
      <c r="D114" s="3">
        <f>D74</f>
        <v/>
      </c>
      <c r="E114" s="3">
        <f>E74</f>
        <v/>
      </c>
      <c r="F114" s="3">
        <f>F74</f>
        <v/>
      </c>
      <c r="G114" s="3">
        <f>G74</f>
        <v/>
      </c>
      <c r="H114" s="3">
        <f>H74</f>
        <v/>
      </c>
      <c r="I114" s="3">
        <f>I74</f>
        <v/>
      </c>
    </row>
    <row r="115" customFormat="1" s="16">
      <c r="A115" s="9" t="n"/>
      <c r="B115" s="15" t="n"/>
      <c r="C115" s="15" t="n"/>
      <c r="D115" s="15" t="n"/>
      <c r="E115" s="15" t="n"/>
      <c r="F115" s="15" t="n"/>
      <c r="G115" s="15" t="n"/>
      <c r="H115" s="15" t="n"/>
      <c r="I115" s="15" t="n"/>
    </row>
    <row r="116" customFormat="1" s="16">
      <c r="A116" s="48" t="inlineStr">
        <is>
          <t>Sales</t>
        </is>
      </c>
      <c r="B116" s="15" t="n"/>
      <c r="C116" s="15" t="n"/>
      <c r="D116" s="347">
        <f>D76</f>
        <v/>
      </c>
      <c r="E116" s="347">
        <f>E76</f>
        <v/>
      </c>
      <c r="F116" s="347">
        <f>F76</f>
        <v/>
      </c>
      <c r="G116" s="347">
        <f>G76</f>
        <v/>
      </c>
      <c r="H116" s="347">
        <f>H76</f>
        <v/>
      </c>
      <c r="I116" s="347">
        <f>I76</f>
        <v/>
      </c>
    </row>
    <row r="117" customFormat="1" s="16">
      <c r="A117" s="48" t="inlineStr">
        <is>
          <t>Total COGS</t>
        </is>
      </c>
      <c r="B117" s="15" t="n"/>
      <c r="C117" s="15" t="n"/>
      <c r="D117" s="348">
        <f>D86</f>
        <v/>
      </c>
      <c r="E117" s="348">
        <f>E86</f>
        <v/>
      </c>
      <c r="F117" s="348">
        <f>F86</f>
        <v/>
      </c>
      <c r="G117" s="348">
        <f>G86</f>
        <v/>
      </c>
      <c r="H117" s="348">
        <f>H86</f>
        <v/>
      </c>
      <c r="I117" s="348">
        <f>I86</f>
        <v/>
      </c>
    </row>
    <row r="118" customFormat="1" s="16">
      <c r="A118" s="48" t="n"/>
      <c r="B118" s="15" t="n"/>
      <c r="C118" s="15" t="n"/>
      <c r="D118" s="348" t="n"/>
      <c r="E118" s="348" t="n"/>
      <c r="F118" s="348" t="n"/>
      <c r="G118" s="348" t="n"/>
      <c r="H118" s="348" t="n"/>
      <c r="I118" s="348" t="n"/>
    </row>
    <row r="119" customFormat="1" s="16">
      <c r="A119" s="48" t="inlineStr">
        <is>
          <t>Current Assets</t>
        </is>
      </c>
      <c r="B119" s="15" t="n"/>
      <c r="C119" s="15" t="n"/>
      <c r="D119" s="348" t="n"/>
      <c r="E119" s="348" t="n"/>
      <c r="F119" s="348" t="n"/>
      <c r="G119" s="348" t="n"/>
      <c r="H119" s="348" t="n"/>
      <c r="I119" s="348" t="n"/>
    </row>
    <row r="120" customFormat="1" s="52">
      <c r="A120" s="50" t="inlineStr">
        <is>
          <t>Required Cash</t>
        </is>
      </c>
      <c r="B120" s="51" t="n"/>
      <c r="C120" s="51" t="n"/>
      <c r="D120" s="348">
        <f>D194</f>
        <v/>
      </c>
      <c r="E120" s="348">
        <f>E117*E138</f>
        <v/>
      </c>
      <c r="F120" s="348">
        <f>F117*F138</f>
        <v/>
      </c>
      <c r="G120" s="348">
        <f>G117*G138</f>
        <v/>
      </c>
      <c r="H120" s="348">
        <f>H117*H138</f>
        <v/>
      </c>
      <c r="I120" s="348">
        <f>I117*I138</f>
        <v/>
      </c>
    </row>
    <row r="121" customFormat="1" s="16">
      <c r="A121" s="48" t="inlineStr">
        <is>
          <t xml:space="preserve">  Accounts Receivable</t>
        </is>
      </c>
      <c r="B121" s="15" t="n"/>
      <c r="C121" s="15" t="n"/>
      <c r="D121" s="348">
        <f>D199</f>
        <v/>
      </c>
      <c r="E121" s="348">
        <f>E116*E139</f>
        <v/>
      </c>
      <c r="F121" s="348">
        <f>F116*F139</f>
        <v/>
      </c>
      <c r="G121" s="348">
        <f>G116*G139</f>
        <v/>
      </c>
      <c r="H121" s="348">
        <f>H116*H139</f>
        <v/>
      </c>
      <c r="I121" s="348">
        <f>I116*I139</f>
        <v/>
      </c>
    </row>
    <row r="122" customFormat="1" s="16">
      <c r="A122" s="48" t="inlineStr">
        <is>
          <t xml:space="preserve">  Inventory</t>
        </is>
      </c>
      <c r="B122" s="15" t="n"/>
      <c r="C122" s="15" t="n"/>
      <c r="D122" s="348">
        <f>D200</f>
        <v/>
      </c>
      <c r="E122" s="348">
        <f>E117*E141</f>
        <v/>
      </c>
      <c r="F122" s="348">
        <f>F117*F141</f>
        <v/>
      </c>
      <c r="G122" s="348">
        <f>G117*G141</f>
        <v/>
      </c>
      <c r="H122" s="348">
        <f>H117*H141</f>
        <v/>
      </c>
      <c r="I122" s="348">
        <f>I117*I141</f>
        <v/>
      </c>
    </row>
    <row r="123" customFormat="1" s="16">
      <c r="A123" s="48" t="inlineStr">
        <is>
          <t xml:space="preserve">  Prepaid Expenses</t>
        </is>
      </c>
      <c r="B123" s="15" t="n"/>
      <c r="C123" s="15" t="n"/>
      <c r="D123" s="348">
        <f>D201</f>
        <v/>
      </c>
      <c r="E123" s="348">
        <f>E117*E143</f>
        <v/>
      </c>
      <c r="F123" s="348">
        <f>F117*F143</f>
        <v/>
      </c>
      <c r="G123" s="348">
        <f>G117*G143</f>
        <v/>
      </c>
      <c r="H123" s="348">
        <f>H117*H143</f>
        <v/>
      </c>
      <c r="I123" s="348">
        <f>I117*I143</f>
        <v/>
      </c>
    </row>
    <row r="124" ht="4.5" customFormat="1" customHeight="1" s="16">
      <c r="A124" s="48" t="n"/>
      <c r="B124" s="15" t="n"/>
      <c r="C124" s="15" t="n"/>
      <c r="D124" s="349" t="inlineStr">
        <is>
          <t xml:space="preserve"> </t>
        </is>
      </c>
      <c r="E124" s="349" t="inlineStr">
        <is>
          <t xml:space="preserve"> </t>
        </is>
      </c>
      <c r="F124" s="349" t="inlineStr">
        <is>
          <t xml:space="preserve"> </t>
        </is>
      </c>
      <c r="G124" s="349" t="inlineStr">
        <is>
          <t xml:space="preserve"> </t>
        </is>
      </c>
      <c r="H124" s="349" t="inlineStr">
        <is>
          <t xml:space="preserve"> </t>
        </is>
      </c>
      <c r="I124" s="349" t="inlineStr">
        <is>
          <t xml:space="preserve"> </t>
        </is>
      </c>
    </row>
    <row r="125" customFormat="1" s="16">
      <c r="A125" s="48" t="inlineStr">
        <is>
          <t xml:space="preserve">    Current Assets</t>
        </is>
      </c>
      <c r="B125" s="15" t="n"/>
      <c r="C125" s="15" t="n"/>
      <c r="D125" s="348">
        <f>SUM(D120:D124)</f>
        <v/>
      </c>
      <c r="E125" s="348">
        <f>SUM(E120:E124)</f>
        <v/>
      </c>
      <c r="F125" s="348">
        <f>SUM(F120:F124)</f>
        <v/>
      </c>
      <c r="G125" s="348">
        <f>SUM(G120:G124)</f>
        <v/>
      </c>
      <c r="H125" s="348">
        <f>SUM(H120:H124)</f>
        <v/>
      </c>
      <c r="I125" s="348">
        <f>SUM(I120:I124)</f>
        <v/>
      </c>
    </row>
    <row r="126" customFormat="1" s="16">
      <c r="A126" s="48" t="n"/>
      <c r="B126" s="15" t="n"/>
      <c r="C126" s="15" t="n"/>
      <c r="D126" s="348" t="n"/>
      <c r="E126" s="348" t="n"/>
      <c r="F126" s="348" t="n"/>
      <c r="G126" s="348" t="n"/>
      <c r="H126" s="348" t="n"/>
      <c r="I126" s="348" t="n"/>
    </row>
    <row r="127" customFormat="1" s="16">
      <c r="A127" s="48" t="inlineStr">
        <is>
          <t>Current Liabilities</t>
        </is>
      </c>
      <c r="B127" s="15" t="n"/>
      <c r="C127" s="15" t="n"/>
      <c r="D127" s="348" t="n"/>
      <c r="E127" s="348" t="n"/>
      <c r="F127" s="348" t="n"/>
      <c r="G127" s="348" t="n"/>
      <c r="H127" s="348" t="n"/>
      <c r="I127" s="348" t="n"/>
    </row>
    <row r="128" customFormat="1" s="16">
      <c r="A128" s="48" t="inlineStr">
        <is>
          <t xml:space="preserve">  Accounts Payable</t>
        </is>
      </c>
      <c r="B128" s="15" t="n"/>
      <c r="C128" s="15" t="n"/>
      <c r="D128" s="348">
        <f>D216</f>
        <v/>
      </c>
      <c r="E128" s="348">
        <f>E117*E144</f>
        <v/>
      </c>
      <c r="F128" s="348">
        <f>F117*F144</f>
        <v/>
      </c>
      <c r="G128" s="348">
        <f>G117*G144</f>
        <v/>
      </c>
      <c r="H128" s="348">
        <f>H117*H144</f>
        <v/>
      </c>
      <c r="I128" s="348">
        <f>I117*I144</f>
        <v/>
      </c>
    </row>
    <row r="129" customFormat="1" s="16">
      <c r="A129" s="48" t="inlineStr">
        <is>
          <t xml:space="preserve">  Accrued Expenses</t>
        </is>
      </c>
      <c r="B129" s="15" t="n"/>
      <c r="C129" s="15" t="n"/>
      <c r="D129" s="348">
        <f>D217</f>
        <v/>
      </c>
      <c r="E129" s="348">
        <f>E117*E145</f>
        <v/>
      </c>
      <c r="F129" s="348">
        <f>F117*F145</f>
        <v/>
      </c>
      <c r="G129" s="348">
        <f>G117*G145</f>
        <v/>
      </c>
      <c r="H129" s="348">
        <f>H117*H145</f>
        <v/>
      </c>
      <c r="I129" s="348">
        <f>I117*I145</f>
        <v/>
      </c>
    </row>
    <row r="130" ht="4.5" customFormat="1" customHeight="1" s="16">
      <c r="A130" s="48" t="n"/>
      <c r="B130" s="15" t="n"/>
      <c r="C130" s="15" t="n"/>
      <c r="D130" s="349" t="inlineStr">
        <is>
          <t xml:space="preserve"> </t>
        </is>
      </c>
      <c r="E130" s="349" t="inlineStr">
        <is>
          <t xml:space="preserve"> </t>
        </is>
      </c>
      <c r="F130" s="349" t="inlineStr">
        <is>
          <t xml:space="preserve"> </t>
        </is>
      </c>
      <c r="G130" s="349" t="inlineStr">
        <is>
          <t xml:space="preserve"> </t>
        </is>
      </c>
      <c r="H130" s="349" t="inlineStr">
        <is>
          <t xml:space="preserve"> </t>
        </is>
      </c>
      <c r="I130" s="349" t="inlineStr">
        <is>
          <t xml:space="preserve"> </t>
        </is>
      </c>
    </row>
    <row r="131" customFormat="1" s="16">
      <c r="A131" s="48" t="inlineStr">
        <is>
          <t xml:space="preserve">    Current Liabilities</t>
        </is>
      </c>
      <c r="B131" s="15" t="n"/>
      <c r="C131" s="15" t="n"/>
      <c r="D131" s="348">
        <f>SUM(D128:D130)</f>
        <v/>
      </c>
      <c r="E131" s="348">
        <f>SUM(E128:E130)</f>
        <v/>
      </c>
      <c r="F131" s="348">
        <f>SUM(F128:F130)</f>
        <v/>
      </c>
      <c r="G131" s="348">
        <f>SUM(G128:G130)</f>
        <v/>
      </c>
      <c r="H131" s="348">
        <f>SUM(H128:H130)</f>
        <v/>
      </c>
      <c r="I131" s="348">
        <f>SUM(I128:I130)</f>
        <v/>
      </c>
    </row>
    <row r="132" customFormat="1" s="16">
      <c r="A132" s="48" t="n"/>
      <c r="B132" s="15" t="n"/>
      <c r="C132" s="15" t="n"/>
      <c r="D132" s="350" t="n"/>
      <c r="E132" s="350" t="n"/>
      <c r="F132" s="350" t="n"/>
      <c r="G132" s="350" t="n"/>
      <c r="H132" s="350" t="n"/>
      <c r="I132" s="350" t="n"/>
    </row>
    <row r="133" customFormat="1" s="16">
      <c r="A133" s="48" t="inlineStr">
        <is>
          <t>Net Cash Impact</t>
        </is>
      </c>
      <c r="B133" s="15" t="n"/>
      <c r="C133" s="15" t="n"/>
      <c r="D133" s="350" t="n"/>
      <c r="E133" s="350" t="n"/>
      <c r="F133" s="350" t="n"/>
      <c r="G133" s="350" t="n"/>
      <c r="H133" s="350" t="n"/>
      <c r="I133" s="350" t="n"/>
    </row>
    <row r="134" customFormat="1" s="16">
      <c r="A134" s="48" t="inlineStr">
        <is>
          <t xml:space="preserve">  Net Working Capital</t>
        </is>
      </c>
      <c r="B134" s="15" t="n"/>
      <c r="C134" s="15" t="n"/>
      <c r="D134" s="350">
        <f>D125-D131</f>
        <v/>
      </c>
      <c r="E134" s="350">
        <f>E125-E131</f>
        <v/>
      </c>
      <c r="F134" s="350">
        <f>F125-F131</f>
        <v/>
      </c>
      <c r="G134" s="350">
        <f>G125-G131</f>
        <v/>
      </c>
      <c r="H134" s="350">
        <f>H125-H131</f>
        <v/>
      </c>
      <c r="I134" s="350">
        <f>I125-I131</f>
        <v/>
      </c>
    </row>
    <row r="135" customFormat="1" s="16">
      <c r="A135" s="48" t="inlineStr">
        <is>
          <t xml:space="preserve">  Cash (Used by) / Generated from Work. Cap.</t>
        </is>
      </c>
      <c r="B135" s="15" t="n"/>
      <c r="C135" s="15" t="n"/>
      <c r="D135" s="350" t="n"/>
      <c r="E135" s="350">
        <f>D134-E134</f>
        <v/>
      </c>
      <c r="F135" s="350">
        <f>E134-F134</f>
        <v/>
      </c>
      <c r="G135" s="350">
        <f>F134-G134</f>
        <v/>
      </c>
      <c r="H135" s="350">
        <f>G134-H134</f>
        <v/>
      </c>
      <c r="I135" s="350">
        <f>H134-I134</f>
        <v/>
      </c>
    </row>
    <row r="136" customFormat="1" s="16">
      <c r="A136" s="9" t="n"/>
      <c r="B136" s="15" t="n"/>
      <c r="C136" s="15" t="n"/>
      <c r="D136" s="15" t="n"/>
      <c r="E136" s="15" t="n"/>
      <c r="F136" s="15" t="n"/>
      <c r="G136" s="15" t="n"/>
      <c r="H136" s="15" t="n"/>
      <c r="I136" s="15" t="n"/>
    </row>
    <row r="137" customFormat="1" s="16">
      <c r="A137" s="9" t="inlineStr">
        <is>
          <t>Ratios</t>
        </is>
      </c>
      <c r="B137" s="15" t="n"/>
      <c r="C137" s="15" t="n"/>
      <c r="D137" s="15" t="n"/>
      <c r="E137" s="15" t="n"/>
      <c r="F137" s="15" t="n"/>
      <c r="G137" s="15" t="n"/>
      <c r="H137" s="15" t="n"/>
      <c r="I137" s="15" t="n"/>
    </row>
    <row r="138" customFormat="1" s="52">
      <c r="A138" s="56" t="inlineStr">
        <is>
          <t>Required Cash % of COGS</t>
        </is>
      </c>
      <c r="B138" s="51" t="n"/>
      <c r="C138" s="51" t="n"/>
      <c r="D138" s="15">
        <f>D120/D117</f>
        <v/>
      </c>
      <c r="E138" s="15">
        <f>D138</f>
        <v/>
      </c>
      <c r="F138" s="15">
        <f>E138</f>
        <v/>
      </c>
      <c r="G138" s="15">
        <f>F138</f>
        <v/>
      </c>
      <c r="H138" s="15">
        <f>G138</f>
        <v/>
      </c>
      <c r="I138" s="15">
        <f>H138</f>
        <v/>
      </c>
    </row>
    <row r="139" customFormat="1" s="16">
      <c r="A139" s="9" t="inlineStr">
        <is>
          <t xml:space="preserve">  A/R % of Sales</t>
        </is>
      </c>
      <c r="B139" s="15" t="n"/>
      <c r="C139" s="15" t="n"/>
      <c r="D139" s="15">
        <f>D121/D$116</f>
        <v/>
      </c>
      <c r="E139" s="15">
        <f>D139</f>
        <v/>
      </c>
      <c r="F139" s="15">
        <f>E139</f>
        <v/>
      </c>
      <c r="G139" s="15">
        <f>F139</f>
        <v/>
      </c>
      <c r="H139" s="15">
        <f>G139</f>
        <v/>
      </c>
      <c r="I139" s="15">
        <f>H139</f>
        <v/>
      </c>
    </row>
    <row r="140" customFormat="1" s="16">
      <c r="A140" s="9" t="inlineStr">
        <is>
          <t xml:space="preserve">    Days Receivable</t>
        </is>
      </c>
      <c r="B140" s="15" t="n"/>
      <c r="C140" s="15" t="n"/>
      <c r="D140" s="351">
        <f>D139*365</f>
        <v/>
      </c>
      <c r="E140" s="351">
        <f>365*E121/E116</f>
        <v/>
      </c>
      <c r="F140" s="351">
        <f>365*F121/F116</f>
        <v/>
      </c>
      <c r="G140" s="351">
        <f>365*G121/G116</f>
        <v/>
      </c>
      <c r="H140" s="351">
        <f>365*H121/H116</f>
        <v/>
      </c>
      <c r="I140" s="351">
        <f>365*I121/I116</f>
        <v/>
      </c>
    </row>
    <row r="141" customFormat="1" s="16">
      <c r="A141" s="9" t="inlineStr">
        <is>
          <t xml:space="preserve">  Inventory % of COGS</t>
        </is>
      </c>
      <c r="B141" s="15" t="n"/>
      <c r="C141" s="15" t="n"/>
      <c r="D141" s="15">
        <f>D122/D117</f>
        <v/>
      </c>
      <c r="E141" s="15">
        <f>D141</f>
        <v/>
      </c>
      <c r="F141" s="15">
        <f>E141</f>
        <v/>
      </c>
      <c r="G141" s="15">
        <f>F141</f>
        <v/>
      </c>
      <c r="H141" s="15">
        <f>G141</f>
        <v/>
      </c>
      <c r="I141" s="15">
        <f>H141</f>
        <v/>
      </c>
    </row>
    <row r="142" customFormat="1" s="16">
      <c r="A142" s="9" t="inlineStr">
        <is>
          <t xml:space="preserve">    Inventory Turns</t>
        </is>
      </c>
      <c r="B142" s="15" t="n"/>
      <c r="C142" s="15" t="n"/>
      <c r="D142" s="352">
        <f>1/D141</f>
        <v/>
      </c>
      <c r="E142" s="352">
        <f>E117/E122</f>
        <v/>
      </c>
      <c r="F142" s="352">
        <f>F117/F122</f>
        <v/>
      </c>
      <c r="G142" s="352">
        <f>G117/G122</f>
        <v/>
      </c>
      <c r="H142" s="352">
        <f>H117/H122</f>
        <v/>
      </c>
      <c r="I142" s="352">
        <f>I117/I122</f>
        <v/>
      </c>
    </row>
    <row r="143" customFormat="1" s="16">
      <c r="A143" s="9" t="inlineStr">
        <is>
          <t xml:space="preserve">  Prepaid % of COGS</t>
        </is>
      </c>
      <c r="B143" s="15" t="n"/>
      <c r="C143" s="15" t="n"/>
      <c r="D143" s="15">
        <f>D123/D117</f>
        <v/>
      </c>
      <c r="E143" s="15">
        <f>D143</f>
        <v/>
      </c>
      <c r="F143" s="15">
        <f>E143</f>
        <v/>
      </c>
      <c r="G143" s="15">
        <f>F143</f>
        <v/>
      </c>
      <c r="H143" s="15">
        <f>G143</f>
        <v/>
      </c>
      <c r="I143" s="15">
        <f>H143</f>
        <v/>
      </c>
    </row>
    <row r="144" customFormat="1" s="16">
      <c r="A144" s="9" t="inlineStr">
        <is>
          <t xml:space="preserve">  Accts Payable % of COGS</t>
        </is>
      </c>
      <c r="B144" s="15" t="n"/>
      <c r="C144" s="15" t="n"/>
      <c r="D144" s="15">
        <f>D128/D$117</f>
        <v/>
      </c>
      <c r="E144" s="15">
        <f>D144</f>
        <v/>
      </c>
      <c r="F144" s="15">
        <f>E144</f>
        <v/>
      </c>
      <c r="G144" s="15">
        <f>F144</f>
        <v/>
      </c>
      <c r="H144" s="15">
        <f>G144</f>
        <v/>
      </c>
      <c r="I144" s="15">
        <f>H144</f>
        <v/>
      </c>
    </row>
    <row r="145" ht="12.75" customFormat="1" customHeight="1" s="16">
      <c r="A145" s="9" t="inlineStr">
        <is>
          <t xml:space="preserve">  Accrued % of COGS</t>
        </is>
      </c>
      <c r="B145" s="15" t="n"/>
      <c r="C145" s="15" t="n"/>
      <c r="D145" s="15">
        <f>D129/D$117</f>
        <v/>
      </c>
      <c r="E145" s="15">
        <f>D145</f>
        <v/>
      </c>
      <c r="F145" s="15">
        <f>E145</f>
        <v/>
      </c>
      <c r="G145" s="15">
        <f>F145</f>
        <v/>
      </c>
      <c r="H145" s="15">
        <f>G145</f>
        <v/>
      </c>
      <c r="I145" s="15">
        <f>H145</f>
        <v/>
      </c>
    </row>
    <row r="146" customFormat="1" s="16">
      <c r="A146" s="9" t="n"/>
      <c r="B146" s="15" t="n"/>
      <c r="C146" s="15" t="n"/>
      <c r="D146" s="15" t="n"/>
      <c r="E146" s="15" t="n"/>
      <c r="F146" s="15" t="n"/>
      <c r="G146" s="15" t="n"/>
      <c r="H146" s="15" t="n"/>
      <c r="I146" s="15" t="n"/>
    </row>
    <row r="147" customFormat="1" s="16">
      <c r="A147" s="9" t="n"/>
      <c r="B147" s="15" t="n"/>
      <c r="C147" s="15" t="n"/>
      <c r="D147" s="15" t="n"/>
      <c r="E147" s="15" t="n"/>
      <c r="F147" s="15" t="n"/>
      <c r="G147" s="15" t="n"/>
      <c r="H147" s="15" t="n"/>
      <c r="I147" s="15" t="n"/>
    </row>
    <row r="148" customFormat="1" s="16">
      <c r="A148" s="9" t="n"/>
      <c r="B148" s="15" t="n"/>
      <c r="C148" s="15" t="n"/>
      <c r="D148" s="15" t="n"/>
      <c r="E148" s="15" t="n"/>
      <c r="F148" s="15" t="n"/>
      <c r="G148" s="15" t="n"/>
      <c r="H148" s="15" t="n"/>
      <c r="I148" s="15" t="n"/>
    </row>
    <row r="149" customFormat="1" s="16">
      <c r="A149" s="9" t="n"/>
      <c r="B149" s="15" t="n"/>
      <c r="C149" s="15" t="n"/>
      <c r="D149" s="15" t="n"/>
    </row>
    <row r="150" ht="18.75" customFormat="1" customHeight="1" s="1">
      <c r="A150" s="6" t="inlineStr">
        <is>
          <t>INCOME STATEMENTS</t>
        </is>
      </c>
      <c r="B150" s="7" t="n"/>
      <c r="C150" s="7" t="n"/>
      <c r="D150" s="7" t="n"/>
      <c r="E150" s="7" t="n"/>
      <c r="F150" s="7" t="n"/>
      <c r="G150" s="7" t="n"/>
      <c r="H150" s="7" t="n"/>
      <c r="I150" s="7" t="n"/>
    </row>
    <row r="152" ht="15" customHeight="1">
      <c r="D152" s="26" t="inlineStr">
        <is>
          <t>Historical</t>
        </is>
      </c>
      <c r="E152" s="4" t="inlineStr">
        <is>
          <t>Projected</t>
        </is>
      </c>
      <c r="F152" s="4" t="n"/>
      <c r="G152" s="4" t="n"/>
      <c r="H152" s="4" t="n"/>
      <c r="I152" s="4" t="n"/>
    </row>
    <row r="153">
      <c r="D153" s="3">
        <f>D74</f>
        <v/>
      </c>
      <c r="E153" s="3">
        <f>E74</f>
        <v/>
      </c>
      <c r="F153" s="3">
        <f>F74</f>
        <v/>
      </c>
      <c r="G153" s="3">
        <f>G74</f>
        <v/>
      </c>
      <c r="H153" s="3">
        <f>H74</f>
        <v/>
      </c>
      <c r="I153" s="3">
        <f>I74</f>
        <v/>
      </c>
      <c r="K153" s="27" t="n"/>
    </row>
    <row r="154" ht="6" customHeight="1"/>
    <row r="155" customFormat="1" s="12">
      <c r="A155" s="8" t="inlineStr">
        <is>
          <t>Revenue</t>
        </is>
      </c>
      <c r="B155" s="2" t="n"/>
      <c r="C155" s="2" t="n"/>
      <c r="D155" s="22">
        <f>D76</f>
        <v/>
      </c>
      <c r="E155" s="22">
        <f>E76</f>
        <v/>
      </c>
      <c r="F155" s="22">
        <f>F76</f>
        <v/>
      </c>
      <c r="G155" s="22">
        <f>G76</f>
        <v/>
      </c>
      <c r="H155" s="22">
        <f>H76</f>
        <v/>
      </c>
      <c r="I155" s="22">
        <f>I76</f>
        <v/>
      </c>
      <c r="J155" s="2" t="n"/>
      <c r="K155" s="22" t="n"/>
      <c r="L155" s="2" t="n"/>
      <c r="M155" s="2" t="n"/>
      <c r="N155" s="2" t="n"/>
    </row>
    <row r="156" customFormat="1" s="12">
      <c r="A156" s="8" t="inlineStr">
        <is>
          <t xml:space="preserve">Less: Total COGS </t>
        </is>
      </c>
      <c r="B156" s="2" t="n"/>
      <c r="C156" s="2" t="n"/>
      <c r="D156" s="22">
        <f>-D86</f>
        <v/>
      </c>
      <c r="E156" s="22">
        <f>-E86</f>
        <v/>
      </c>
      <c r="F156" s="22">
        <f>-F86</f>
        <v/>
      </c>
      <c r="G156" s="22">
        <f>-G86</f>
        <v/>
      </c>
      <c r="H156" s="22">
        <f>-H86</f>
        <v/>
      </c>
      <c r="I156" s="22">
        <f>-I86</f>
        <v/>
      </c>
      <c r="J156" s="2" t="n"/>
      <c r="K156" s="27" t="n"/>
      <c r="L156" s="2" t="n"/>
      <c r="M156" s="2" t="n"/>
      <c r="N156" s="2" t="n"/>
    </row>
    <row r="157" ht="4.5" customFormat="1" customHeight="1" s="12">
      <c r="A157" s="8" t="n"/>
      <c r="B157" s="2" t="n"/>
      <c r="C157" s="2" t="n"/>
      <c r="D157" s="29" t="inlineStr">
        <is>
          <t xml:space="preserve"> </t>
        </is>
      </c>
      <c r="E157" s="29" t="inlineStr">
        <is>
          <t xml:space="preserve"> </t>
        </is>
      </c>
      <c r="F157" s="29" t="inlineStr">
        <is>
          <t xml:space="preserve"> </t>
        </is>
      </c>
      <c r="G157" s="29" t="inlineStr">
        <is>
          <t xml:space="preserve"> </t>
        </is>
      </c>
      <c r="H157" s="29" t="inlineStr">
        <is>
          <t xml:space="preserve"> </t>
        </is>
      </c>
      <c r="I157" s="29" t="inlineStr">
        <is>
          <t xml:space="preserve"> </t>
        </is>
      </c>
      <c r="J157" s="2" t="n"/>
      <c r="K157" s="29" t="n"/>
      <c r="L157" s="2" t="n"/>
      <c r="M157" s="2" t="n"/>
      <c r="N157" s="2" t="n"/>
    </row>
    <row r="158" customFormat="1" s="12">
      <c r="A158" s="8" t="inlineStr">
        <is>
          <t>Gross Profit</t>
        </is>
      </c>
      <c r="B158" s="2" t="n"/>
      <c r="C158" s="2" t="n"/>
      <c r="D158" s="22">
        <f>SUM(D155:D157)</f>
        <v/>
      </c>
      <c r="E158" s="22">
        <f>SUM(E155:E157)</f>
        <v/>
      </c>
      <c r="F158" s="22">
        <f>SUM(F155:F157)</f>
        <v/>
      </c>
      <c r="G158" s="22">
        <f>SUM(G155:G157)</f>
        <v/>
      </c>
      <c r="H158" s="22">
        <f>SUM(H155:H157)</f>
        <v/>
      </c>
      <c r="I158" s="22">
        <f>SUM(I155:I157)</f>
        <v/>
      </c>
      <c r="J158" s="2" t="n"/>
      <c r="K158" s="22" t="n"/>
      <c r="L158" s="2" t="n"/>
      <c r="M158" s="2" t="n"/>
      <c r="N158" s="2" t="n"/>
    </row>
    <row r="159" ht="6" customFormat="1" customHeight="1" s="12">
      <c r="A159" s="8" t="n"/>
      <c r="B159" s="2" t="n"/>
      <c r="C159" s="2" t="n"/>
      <c r="D159" s="2" t="n"/>
      <c r="E159" s="23" t="n"/>
      <c r="F159" s="23" t="n"/>
      <c r="G159" s="23" t="n"/>
      <c r="H159" s="23" t="n"/>
      <c r="I159" s="23" t="n"/>
      <c r="J159" s="2" t="n"/>
      <c r="K159" s="23" t="n"/>
      <c r="L159" s="2" t="n"/>
      <c r="M159" s="2" t="n"/>
      <c r="N159" s="2" t="n"/>
    </row>
    <row r="160" customFormat="1" s="12">
      <c r="A160" s="8" t="inlineStr">
        <is>
          <t>Less: Total SG&amp;A</t>
        </is>
      </c>
      <c r="B160" s="2" t="n"/>
      <c r="C160" s="2" t="n"/>
      <c r="D160" s="22">
        <f>-D96</f>
        <v/>
      </c>
      <c r="E160" s="22">
        <f>-E96</f>
        <v/>
      </c>
      <c r="F160" s="22">
        <f>-F96</f>
        <v/>
      </c>
      <c r="G160" s="22">
        <f>-G96</f>
        <v/>
      </c>
      <c r="H160" s="22">
        <f>-H96</f>
        <v/>
      </c>
      <c r="I160" s="22">
        <f>-I96</f>
        <v/>
      </c>
      <c r="J160" s="2" t="n"/>
      <c r="K160" s="27" t="n"/>
      <c r="L160" s="2" t="n"/>
      <c r="M160" s="2" t="n"/>
      <c r="N160" s="2" t="n"/>
    </row>
    <row r="161" ht="4.5" customFormat="1" customHeight="1" s="12">
      <c r="A161" s="8" t="n"/>
      <c r="B161" s="2" t="n"/>
      <c r="C161" s="2" t="n"/>
      <c r="D161" s="29" t="inlineStr">
        <is>
          <t xml:space="preserve"> </t>
        </is>
      </c>
      <c r="E161" s="29" t="inlineStr">
        <is>
          <t xml:space="preserve"> </t>
        </is>
      </c>
      <c r="F161" s="29" t="inlineStr">
        <is>
          <t xml:space="preserve"> </t>
        </is>
      </c>
      <c r="G161" s="29" t="inlineStr">
        <is>
          <t xml:space="preserve"> </t>
        </is>
      </c>
      <c r="H161" s="29" t="inlineStr">
        <is>
          <t xml:space="preserve"> </t>
        </is>
      </c>
      <c r="I161" s="29" t="inlineStr">
        <is>
          <t xml:space="preserve"> </t>
        </is>
      </c>
      <c r="J161" s="2" t="n"/>
      <c r="K161" s="29" t="n"/>
      <c r="L161" s="2" t="n"/>
      <c r="M161" s="2" t="n"/>
      <c r="N161" s="2" t="n"/>
    </row>
    <row r="162" customFormat="1" s="12">
      <c r="A162" s="8" t="inlineStr">
        <is>
          <t>EBIT</t>
        </is>
      </c>
      <c r="B162" s="2" t="n"/>
      <c r="C162" s="2" t="n"/>
      <c r="D162" s="22">
        <f>SUM(D158:D160)</f>
        <v/>
      </c>
      <c r="E162" s="22">
        <f>SUM(E158:E160)</f>
        <v/>
      </c>
      <c r="F162" s="22">
        <f>SUM(F158:F160)</f>
        <v/>
      </c>
      <c r="G162" s="22">
        <f>SUM(G158:G160)</f>
        <v/>
      </c>
      <c r="H162" s="22">
        <f>SUM(H158:H160)</f>
        <v/>
      </c>
      <c r="I162" s="22">
        <f>SUM(I158:I160)</f>
        <v/>
      </c>
      <c r="J162" s="2" t="n"/>
      <c r="K162" s="22" t="n"/>
      <c r="L162" s="2" t="n"/>
      <c r="M162" s="2" t="n"/>
      <c r="N162" s="2" t="n"/>
    </row>
    <row r="163" customFormat="1" s="12">
      <c r="A163" s="8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</row>
    <row r="164" customFormat="1" s="12">
      <c r="A164" s="11" t="inlineStr">
        <is>
          <t>Interest &amp; Other Expense / (Income):</t>
        </is>
      </c>
      <c r="B164" s="2" t="n"/>
      <c r="C164" s="40" t="inlineStr">
        <is>
          <t>Rate</t>
        </is>
      </c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</row>
    <row r="165" customFormat="1" s="12">
      <c r="A165" s="8" t="inlineStr">
        <is>
          <t xml:space="preserve">  Revolver</t>
        </is>
      </c>
      <c r="B165" s="2" t="n"/>
      <c r="C165" s="305" t="n"/>
      <c r="D165" s="24" t="n"/>
      <c r="E165" s="17">
        <f>$C165*IF($B$10=1,(D221+E221)/2,D221)</f>
        <v/>
      </c>
      <c r="F165" s="17">
        <f>$C165*IF($B$10=1,(E221+F221)/2,E221)</f>
        <v/>
      </c>
      <c r="G165" s="17">
        <f>$C165*IF($B$10=1,(F221+G221)/2,F221)</f>
        <v/>
      </c>
      <c r="H165" s="17">
        <f>$C165*IF($B$10=1,(G221+H221)/2,G221)</f>
        <v/>
      </c>
      <c r="I165" s="17">
        <f>$C165*IF($B$10=1,(H221+I221)/2,H221)</f>
        <v/>
      </c>
      <c r="J165" s="2" t="n"/>
      <c r="K165" s="27" t="n"/>
      <c r="L165" s="2" t="n"/>
      <c r="M165" s="2" t="n"/>
      <c r="N165" s="2" t="n"/>
    </row>
    <row r="166" customFormat="1" s="12">
      <c r="A166" s="8" t="inlineStr">
        <is>
          <t xml:space="preserve">  Term Loan</t>
        </is>
      </c>
      <c r="B166" s="2" t="n"/>
      <c r="C166" s="305" t="n"/>
      <c r="D166" s="24" t="n"/>
      <c r="E166" s="17">
        <f>$C166*IF($B$10=1,(D222+E222)/2,D222)</f>
        <v/>
      </c>
      <c r="F166" s="17">
        <f>$C166*IF($B$10=1,(E222+F222)/2,E222)</f>
        <v/>
      </c>
      <c r="G166" s="17">
        <f>$C166*IF($B$10=1,(F222+G222)/2,F222)</f>
        <v/>
      </c>
      <c r="H166" s="17">
        <f>$C166*IF($B$10=1,(G222+H222)/2,G222)</f>
        <v/>
      </c>
      <c r="I166" s="17">
        <f>$C166*IF($B$10=1,(H222+I222)/2,H222)</f>
        <v/>
      </c>
      <c r="J166" s="2" t="n"/>
      <c r="K166" s="27" t="n"/>
      <c r="L166" s="2" t="n"/>
      <c r="M166" s="2" t="n"/>
      <c r="N166" s="2" t="n"/>
    </row>
    <row r="167" customFormat="1" s="12">
      <c r="A167" s="8" t="inlineStr">
        <is>
          <t xml:space="preserve">  Sr. Sub. Notes</t>
        </is>
      </c>
      <c r="B167" s="2" t="n"/>
      <c r="C167" s="305" t="n"/>
      <c r="D167" s="24" t="n"/>
      <c r="E167" s="17">
        <f>$C167*IF($B$10=1,(D223+E223)/2,D223)</f>
        <v/>
      </c>
      <c r="F167" s="17">
        <f>$C167*IF($B$10=1,(E223+F223)/2,E223)</f>
        <v/>
      </c>
      <c r="G167" s="17">
        <f>$C167*IF($B$10=1,(F223+G223)/2,F223)</f>
        <v/>
      </c>
      <c r="H167" s="17">
        <f>$C167*IF($B$10=1,(G223+H223)/2,G223)</f>
        <v/>
      </c>
      <c r="I167" s="17">
        <f>$C167*IF($B$10=1,(H223+I223)/2,H223)</f>
        <v/>
      </c>
      <c r="J167" s="2" t="n"/>
      <c r="K167" s="27" t="n"/>
      <c r="L167" s="2" t="n"/>
      <c r="M167" s="2" t="n"/>
      <c r="N167" s="2" t="n"/>
    </row>
    <row r="168" ht="4.5" customFormat="1" customHeight="1" s="12">
      <c r="A168" s="8" t="n"/>
      <c r="B168" s="2" t="n"/>
      <c r="C168" s="2" t="n"/>
      <c r="D168" s="62" t="n"/>
      <c r="E168" s="84" t="inlineStr">
        <is>
          <t xml:space="preserve"> </t>
        </is>
      </c>
      <c r="F168" s="84" t="inlineStr">
        <is>
          <t xml:space="preserve"> </t>
        </is>
      </c>
      <c r="G168" s="84" t="inlineStr">
        <is>
          <t xml:space="preserve"> </t>
        </is>
      </c>
      <c r="H168" s="84" t="inlineStr">
        <is>
          <t xml:space="preserve"> </t>
        </is>
      </c>
      <c r="I168" s="84" t="inlineStr">
        <is>
          <t xml:space="preserve"> </t>
        </is>
      </c>
      <c r="J168" s="2" t="n"/>
      <c r="K168" s="39" t="n"/>
      <c r="L168" s="2" t="n"/>
      <c r="M168" s="2" t="n"/>
      <c r="N168" s="2" t="n"/>
    </row>
    <row r="169" customFormat="1" s="12">
      <c r="A169" s="8" t="inlineStr">
        <is>
          <t xml:space="preserve">    Total Interest Expense</t>
        </is>
      </c>
      <c r="B169" s="2" t="n"/>
      <c r="C169" s="2" t="n"/>
      <c r="D169" s="22" t="n"/>
      <c r="E169" s="17">
        <f>SUM(E165:E168)</f>
        <v/>
      </c>
      <c r="F169" s="17">
        <f>SUM(F165:F168)</f>
        <v/>
      </c>
      <c r="G169" s="17">
        <f>SUM(G165:G168)</f>
        <v/>
      </c>
      <c r="H169" s="17">
        <f>SUM(H165:H168)</f>
        <v/>
      </c>
      <c r="I169" s="17">
        <f>SUM(I165:I168)</f>
        <v/>
      </c>
      <c r="J169" s="2" t="n"/>
      <c r="K169" s="39" t="n"/>
      <c r="L169" s="2" t="n"/>
      <c r="M169" s="2" t="n"/>
      <c r="N169" s="2" t="n"/>
    </row>
    <row r="170" ht="6" customFormat="1" customHeight="1" s="12">
      <c r="A170" s="8" t="n"/>
      <c r="B170" s="2" t="n"/>
      <c r="C170" s="2" t="n"/>
      <c r="D170" s="2" t="n"/>
      <c r="E170" s="17" t="n"/>
      <c r="F170" s="17" t="n"/>
      <c r="G170" s="17" t="n"/>
      <c r="H170" s="17" t="n"/>
      <c r="I170" s="17" t="n"/>
      <c r="J170" s="2" t="n"/>
      <c r="K170" s="39" t="n"/>
      <c r="L170" s="2" t="n"/>
      <c r="M170" s="2" t="n"/>
      <c r="N170" s="2" t="n"/>
    </row>
    <row r="171" ht="12.75" customFormat="1" customHeight="1" s="12">
      <c r="A171" s="8" t="inlineStr">
        <is>
          <t>Less: Interest Income</t>
        </is>
      </c>
      <c r="B171" s="2" t="n"/>
      <c r="C171" s="353" t="n"/>
      <c r="D171" s="2" t="n"/>
      <c r="E171" s="17">
        <f>-$C171*IF($B$10=1,(D197+E197)/2,D197)</f>
        <v/>
      </c>
      <c r="F171" s="17">
        <f>-$C171*IF($B$10=1,(E197+F197)/2,E197)</f>
        <v/>
      </c>
      <c r="G171" s="17">
        <f>-$C171*IF($B$10=1,(F197+G197)/2,F197)</f>
        <v/>
      </c>
      <c r="H171" s="17">
        <f>-$C171*IF($B$10=1,(G197+H197)/2,G197)</f>
        <v/>
      </c>
      <c r="I171" s="17">
        <f>-$C171*IF($B$10=1,(H197+I197)/2,H197)</f>
        <v/>
      </c>
      <c r="J171" s="2" t="n"/>
      <c r="K171" s="27" t="n"/>
      <c r="L171" s="2" t="n"/>
      <c r="M171" s="2" t="n"/>
      <c r="N171" s="2" t="n"/>
    </row>
    <row r="172" ht="12.75" customFormat="1" customHeight="1" s="12">
      <c r="A172" s="8" t="inlineStr">
        <is>
          <t>Financing Costs Amortization</t>
        </is>
      </c>
      <c r="B172" s="2" t="n"/>
      <c r="C172" s="354" t="n"/>
      <c r="D172" s="2" t="n"/>
      <c r="E172" s="42">
        <f>$D$211/$C$172</f>
        <v/>
      </c>
      <c r="F172" s="42">
        <f>$D$211/$C$172</f>
        <v/>
      </c>
      <c r="G172" s="42">
        <f>$D$211/$C$172</f>
        <v/>
      </c>
      <c r="H172" s="42">
        <f>$D$211/$C$172</f>
        <v/>
      </c>
      <c r="I172" s="42">
        <f>$D$211/$C$172</f>
        <v/>
      </c>
      <c r="J172" s="2" t="n"/>
      <c r="K172" s="43" t="n"/>
      <c r="L172" s="2" t="n"/>
      <c r="M172" s="2" t="n"/>
      <c r="N172" s="2" t="n"/>
    </row>
    <row r="173" ht="6" customFormat="1" customHeight="1" s="12">
      <c r="A173" s="8" t="n"/>
      <c r="B173" s="2" t="n"/>
      <c r="C173" s="2" t="n"/>
      <c r="D173" s="2" t="n"/>
      <c r="E173" s="29" t="inlineStr">
        <is>
          <t xml:space="preserve"> </t>
        </is>
      </c>
      <c r="F173" s="29" t="inlineStr">
        <is>
          <t xml:space="preserve"> </t>
        </is>
      </c>
      <c r="G173" s="29" t="inlineStr">
        <is>
          <t xml:space="preserve"> </t>
        </is>
      </c>
      <c r="H173" s="29" t="inlineStr">
        <is>
          <t xml:space="preserve"> </t>
        </is>
      </c>
      <c r="I173" s="29" t="inlineStr">
        <is>
          <t xml:space="preserve"> </t>
        </is>
      </c>
      <c r="J173" s="2" t="n"/>
      <c r="K173" s="2" t="n"/>
      <c r="L173" s="2" t="n"/>
      <c r="M173" s="2" t="n"/>
      <c r="N173" s="2" t="n"/>
    </row>
    <row r="174" customFormat="1" s="12">
      <c r="A174" s="8" t="inlineStr">
        <is>
          <t xml:space="preserve">  Pretax Income</t>
        </is>
      </c>
      <c r="B174" s="2" t="n"/>
      <c r="C174" s="2" t="n"/>
      <c r="D174" s="2" t="n"/>
      <c r="E174" s="22">
        <f>E162-SUM(E169:E173)</f>
        <v/>
      </c>
      <c r="F174" s="22">
        <f>F162-SUM(F169:F173)</f>
        <v/>
      </c>
      <c r="G174" s="22">
        <f>G162-SUM(G169:G173)</f>
        <v/>
      </c>
      <c r="H174" s="22">
        <f>H162-SUM(H169:H173)</f>
        <v/>
      </c>
      <c r="I174" s="22">
        <f>I162-SUM(I169:I173)</f>
        <v/>
      </c>
      <c r="J174" s="2" t="n"/>
      <c r="K174" s="2" t="n"/>
      <c r="L174" s="2" t="n"/>
      <c r="M174" s="2" t="n"/>
      <c r="N174" s="2" t="n"/>
    </row>
    <row r="175" customFormat="1" s="12">
      <c r="A175" s="8" t="inlineStr">
        <is>
          <t xml:space="preserve">  Less: Income Taxes</t>
        </is>
      </c>
      <c r="B175" s="2" t="n"/>
      <c r="C175" s="305" t="n"/>
      <c r="D175" s="2" t="n"/>
      <c r="E175" s="22">
        <f>-E174*$C$175</f>
        <v/>
      </c>
      <c r="F175" s="22">
        <f>-F174*$C$175</f>
        <v/>
      </c>
      <c r="G175" s="22">
        <f>-G174*$C$175</f>
        <v/>
      </c>
      <c r="H175" s="22">
        <f>-H174*$C$175</f>
        <v/>
      </c>
      <c r="I175" s="22">
        <f>-I174*$C$175</f>
        <v/>
      </c>
      <c r="J175" s="2" t="n"/>
      <c r="K175" s="2" t="n"/>
      <c r="L175" s="2" t="n"/>
      <c r="M175" s="2" t="n"/>
      <c r="N175" s="2" t="n"/>
    </row>
    <row r="176" ht="4.5" customFormat="1" customHeight="1" s="12">
      <c r="B176" s="2" t="n"/>
      <c r="C176" s="2" t="n"/>
      <c r="D176" s="2" t="n"/>
      <c r="E176" s="29" t="inlineStr">
        <is>
          <t xml:space="preserve"> </t>
        </is>
      </c>
      <c r="F176" s="29" t="inlineStr">
        <is>
          <t xml:space="preserve"> </t>
        </is>
      </c>
      <c r="G176" s="29" t="inlineStr">
        <is>
          <t xml:space="preserve"> </t>
        </is>
      </c>
      <c r="H176" s="29" t="inlineStr">
        <is>
          <t xml:space="preserve"> </t>
        </is>
      </c>
      <c r="I176" s="29" t="inlineStr">
        <is>
          <t xml:space="preserve"> </t>
        </is>
      </c>
      <c r="J176" s="2" t="n"/>
      <c r="K176" s="2" t="n"/>
      <c r="L176" s="2" t="n"/>
      <c r="M176" s="2" t="n"/>
      <c r="N176" s="2" t="n"/>
    </row>
    <row r="177" customFormat="1" s="12">
      <c r="A177" s="8" t="inlineStr">
        <is>
          <t xml:space="preserve">  Net Income</t>
        </is>
      </c>
      <c r="B177" s="2" t="n"/>
      <c r="C177" s="2" t="n"/>
      <c r="D177" s="2" t="n"/>
      <c r="E177" s="22">
        <f>SUM(E174:E176)</f>
        <v/>
      </c>
      <c r="F177" s="22">
        <f>SUM(F174:F176)</f>
        <v/>
      </c>
      <c r="G177" s="22">
        <f>SUM(G174:G176)</f>
        <v/>
      </c>
      <c r="H177" s="22">
        <f>SUM(H174:H176)</f>
        <v/>
      </c>
      <c r="I177" s="22">
        <f>SUM(I174:I176)</f>
        <v/>
      </c>
      <c r="J177" s="2" t="n"/>
      <c r="K177" s="2" t="n"/>
      <c r="L177" s="2" t="n"/>
      <c r="M177" s="2" t="n"/>
      <c r="N177" s="2" t="n"/>
    </row>
    <row r="178" customFormat="1" s="12">
      <c r="A178" s="8" t="inlineStr">
        <is>
          <t xml:space="preserve">  Shares Outstanding</t>
        </is>
      </c>
      <c r="B178" s="2" t="n"/>
      <c r="C178" s="2" t="n"/>
      <c r="D178" s="2" t="n"/>
      <c r="E178" s="308" t="n"/>
      <c r="F178" s="308" t="n"/>
      <c r="G178" s="308" t="n"/>
      <c r="H178" s="308" t="n"/>
      <c r="I178" s="308" t="n"/>
      <c r="J178" s="2" t="n"/>
      <c r="K178" s="27" t="n"/>
      <c r="L178" s="2" t="n"/>
      <c r="M178" s="2" t="n"/>
      <c r="N178" s="2" t="n"/>
    </row>
    <row r="179" customFormat="1" s="12">
      <c r="A179" s="8" t="inlineStr">
        <is>
          <t xml:space="preserve">  Earnings per Share (EPS)</t>
        </is>
      </c>
      <c r="B179" s="2" t="n"/>
      <c r="C179" s="2" t="n"/>
      <c r="D179" s="2" t="n"/>
      <c r="E179" s="343">
        <f>E177/E178</f>
        <v/>
      </c>
      <c r="F179" s="343">
        <f>F177/F178</f>
        <v/>
      </c>
      <c r="G179" s="343">
        <f>G177/G178</f>
        <v/>
      </c>
      <c r="H179" s="343">
        <f>H177/H178</f>
        <v/>
      </c>
      <c r="I179" s="343">
        <f>I177/I178</f>
        <v/>
      </c>
      <c r="J179" s="2" t="n"/>
      <c r="K179" s="2" t="n"/>
      <c r="L179" s="2" t="n"/>
      <c r="M179" s="2" t="n"/>
      <c r="N179" s="2" t="n"/>
    </row>
    <row r="180" customFormat="1" s="12"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</row>
    <row r="181" customFormat="1" s="12">
      <c r="A181" s="28" t="inlineStr">
        <is>
          <t>EBITDA Reconciliation: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</row>
    <row r="182" customFormat="1" s="12">
      <c r="A182" s="17">
        <f>"  "&amp;A162</f>
        <v/>
      </c>
      <c r="B182" s="2" t="n"/>
      <c r="C182" s="2" t="n"/>
      <c r="D182" s="2" t="n"/>
      <c r="E182" s="22">
        <f>E162</f>
        <v/>
      </c>
      <c r="F182" s="22">
        <f>F162</f>
        <v/>
      </c>
      <c r="G182" s="22">
        <f>G162</f>
        <v/>
      </c>
      <c r="H182" s="22">
        <f>H162</f>
        <v/>
      </c>
      <c r="I182" s="22">
        <f>I162</f>
        <v/>
      </c>
      <c r="J182" s="2" t="n"/>
      <c r="K182" s="2" t="n"/>
      <c r="L182" s="2" t="n"/>
      <c r="M182" s="2" t="n"/>
      <c r="N182" s="2" t="n"/>
    </row>
    <row r="183" customFormat="1" s="12">
      <c r="A183" s="8" t="inlineStr">
        <is>
          <t xml:space="preserve">  Plus: Depreciation</t>
        </is>
      </c>
      <c r="B183" s="2" t="n"/>
      <c r="C183" s="2" t="n"/>
      <c r="D183" s="2" t="n"/>
      <c r="E183" s="22">
        <f>E83</f>
        <v/>
      </c>
      <c r="F183" s="22">
        <f>F83</f>
        <v/>
      </c>
      <c r="G183" s="22">
        <f>G83</f>
        <v/>
      </c>
      <c r="H183" s="22">
        <f>H83</f>
        <v/>
      </c>
      <c r="I183" s="22">
        <f>I83</f>
        <v/>
      </c>
      <c r="J183" s="2" t="n"/>
      <c r="K183" s="2" t="n"/>
      <c r="L183" s="2" t="n"/>
      <c r="M183" s="2" t="n"/>
      <c r="N183" s="2" t="n"/>
    </row>
    <row r="184" customFormat="1" s="12">
      <c r="A184" s="8" t="inlineStr">
        <is>
          <t xml:space="preserve">  Plus: Amortization</t>
        </is>
      </c>
      <c r="B184" s="2" t="n"/>
      <c r="C184" s="2" t="n"/>
      <c r="D184" s="2" t="n"/>
      <c r="E184" s="22">
        <f>E93</f>
        <v/>
      </c>
      <c r="F184" s="22">
        <f>F93</f>
        <v/>
      </c>
      <c r="G184" s="22">
        <f>G93</f>
        <v/>
      </c>
      <c r="H184" s="22">
        <f>H93</f>
        <v/>
      </c>
      <c r="I184" s="22">
        <f>I93</f>
        <v/>
      </c>
      <c r="J184" s="2" t="n"/>
      <c r="K184" s="2" t="n"/>
      <c r="L184" s="2" t="n"/>
      <c r="M184" s="2" t="n"/>
      <c r="N184" s="2" t="n"/>
    </row>
    <row r="185" ht="6" customFormat="1" customHeight="1" s="12">
      <c r="B185" s="2" t="n"/>
      <c r="C185" s="2" t="n"/>
      <c r="D185" s="29" t="n"/>
      <c r="E185" s="29" t="inlineStr">
        <is>
          <t xml:space="preserve"> </t>
        </is>
      </c>
      <c r="F185" s="29" t="inlineStr">
        <is>
          <t xml:space="preserve"> </t>
        </is>
      </c>
      <c r="G185" s="29" t="inlineStr">
        <is>
          <t xml:space="preserve"> </t>
        </is>
      </c>
      <c r="H185" s="29" t="inlineStr">
        <is>
          <t xml:space="preserve"> </t>
        </is>
      </c>
      <c r="I185" s="29" t="inlineStr">
        <is>
          <t xml:space="preserve"> </t>
        </is>
      </c>
      <c r="J185" s="2" t="n"/>
      <c r="K185" s="2" t="n"/>
      <c r="L185" s="2" t="n"/>
      <c r="M185" s="2" t="n"/>
      <c r="N185" s="2" t="n"/>
    </row>
    <row r="186" customFormat="1" s="12">
      <c r="A186" s="8" t="inlineStr">
        <is>
          <t xml:space="preserve">    EBITDA</t>
        </is>
      </c>
      <c r="B186" s="2" t="n"/>
      <c r="C186" s="2" t="n"/>
      <c r="D186" s="2" t="n"/>
      <c r="E186" s="22">
        <f>SUM(E182:E185)</f>
        <v/>
      </c>
      <c r="F186" s="22">
        <f>SUM(F182:F185)</f>
        <v/>
      </c>
      <c r="G186" s="22">
        <f>SUM(G182:G185)</f>
        <v/>
      </c>
      <c r="H186" s="22">
        <f>SUM(H182:H185)</f>
        <v/>
      </c>
      <c r="I186" s="22">
        <f>SUM(I182:I185)</f>
        <v/>
      </c>
      <c r="J186" s="2" t="n"/>
      <c r="K186" s="2" t="n"/>
      <c r="L186" s="2" t="n"/>
      <c r="M186" s="2" t="n"/>
      <c r="N186" s="2" t="n"/>
    </row>
    <row r="187" customFormat="1" s="12">
      <c r="A187" s="8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</row>
    <row r="188">
      <c r="A188" s="8" t="n"/>
    </row>
    <row r="189" ht="18.75" customFormat="1" customHeight="1" s="30">
      <c r="A189" s="6" t="inlineStr">
        <is>
          <t>BALANCE SHEETS</t>
        </is>
      </c>
      <c r="B189" s="6" t="n"/>
      <c r="C189" s="6" t="n"/>
      <c r="D189" s="6" t="n"/>
      <c r="E189" s="6" t="n"/>
      <c r="F189" s="6" t="n"/>
      <c r="G189" s="6" t="n"/>
      <c r="H189" s="6" t="n"/>
      <c r="I189" s="6" t="n"/>
    </row>
    <row r="190" customFormat="1" s="12"/>
    <row r="191" ht="15" customFormat="1" customHeight="1" s="12">
      <c r="B191" s="281" t="inlineStr">
        <is>
          <t>Historical</t>
        </is>
      </c>
      <c r="C191" s="288" t="inlineStr">
        <is>
          <t>+/-</t>
        </is>
      </c>
      <c r="D191" s="282" t="inlineStr">
        <is>
          <t>Pro-Forma</t>
        </is>
      </c>
      <c r="E191" s="31" t="inlineStr">
        <is>
          <t>Projected</t>
        </is>
      </c>
      <c r="F191" s="31" t="n"/>
      <c r="G191" s="31" t="n"/>
      <c r="H191" s="31" t="n"/>
      <c r="I191" s="31" t="n"/>
    </row>
    <row r="192" ht="12.75" customFormat="1" customHeight="1" s="32">
      <c r="B192" s="309" t="n"/>
      <c r="C192" s="289" t="n"/>
      <c r="D192" s="310" t="n"/>
      <c r="E192" s="34">
        <f>EOMONTH(D192,12)</f>
        <v/>
      </c>
      <c r="F192" s="34">
        <f>EOMONTH(E192,12)</f>
        <v/>
      </c>
      <c r="G192" s="34">
        <f>EOMONTH(F192,12)</f>
        <v/>
      </c>
      <c r="H192" s="34">
        <f>EOMONTH(G192,12)</f>
        <v/>
      </c>
      <c r="I192" s="34">
        <f>EOMONTH(H192,12)</f>
        <v/>
      </c>
      <c r="K192" s="41" t="n"/>
    </row>
    <row r="193" ht="12.75" customFormat="1" customHeight="1" s="12">
      <c r="A193" s="35" t="inlineStr">
        <is>
          <t>ASSETS:</t>
        </is>
      </c>
      <c r="B193" s="202" t="n"/>
      <c r="C193" s="290" t="n"/>
      <c r="D193" s="204" t="n"/>
      <c r="E193" s="36" t="n"/>
      <c r="F193" s="36" t="n"/>
      <c r="G193" s="36" t="n"/>
      <c r="H193" s="36" t="n"/>
      <c r="I193" s="36" t="n"/>
    </row>
    <row r="194" ht="12.75" customFormat="1" customHeight="1" s="12">
      <c r="A194" s="8" t="inlineStr">
        <is>
          <t>Required Cash</t>
        </is>
      </c>
      <c r="B194" s="355" t="n"/>
      <c r="C194" s="356" t="n">
        <v>0</v>
      </c>
      <c r="D194" s="357">
        <f>B194+C194</f>
        <v/>
      </c>
      <c r="E194" s="17">
        <f>E120</f>
        <v/>
      </c>
      <c r="F194" s="17">
        <f>F120</f>
        <v/>
      </c>
      <c r="G194" s="17">
        <f>G120</f>
        <v/>
      </c>
      <c r="H194" s="17">
        <f>H120</f>
        <v/>
      </c>
      <c r="I194" s="17">
        <f>I120</f>
        <v/>
      </c>
    </row>
    <row r="195" ht="12.75" customHeight="1">
      <c r="A195" s="8" t="inlineStr">
        <is>
          <t>Excess Cash</t>
        </is>
      </c>
      <c r="B195" s="358" t="n"/>
      <c r="C195" s="356">
        <f>H418-H410</f>
        <v/>
      </c>
      <c r="D195" s="357">
        <f>B195+C195</f>
        <v/>
      </c>
      <c r="E195" s="22">
        <f>D195+E272</f>
        <v/>
      </c>
      <c r="F195" s="22">
        <f>E195+F272</f>
        <v/>
      </c>
      <c r="G195" s="22">
        <f>F195+G272</f>
        <v/>
      </c>
      <c r="H195" s="22">
        <f>G195+H272</f>
        <v/>
      </c>
      <c r="I195" s="22">
        <f>H195+I272</f>
        <v/>
      </c>
    </row>
    <row r="196" ht="4.5" customHeight="1">
      <c r="A196" s="8" t="n"/>
      <c r="B196" s="268" t="inlineStr">
        <is>
          <t xml:space="preserve"> </t>
        </is>
      </c>
      <c r="C196" s="359" t="inlineStr">
        <is>
          <t xml:space="preserve"> </t>
        </is>
      </c>
      <c r="D196" s="275" t="inlineStr">
        <is>
          <t xml:space="preserve"> </t>
        </is>
      </c>
      <c r="E196" s="45" t="inlineStr">
        <is>
          <t xml:space="preserve"> </t>
        </is>
      </c>
      <c r="F196" s="45" t="inlineStr">
        <is>
          <t xml:space="preserve"> </t>
        </is>
      </c>
      <c r="G196" s="45" t="inlineStr">
        <is>
          <t xml:space="preserve"> </t>
        </is>
      </c>
      <c r="H196" s="45" t="inlineStr">
        <is>
          <t xml:space="preserve"> </t>
        </is>
      </c>
      <c r="I196" s="45" t="inlineStr">
        <is>
          <t xml:space="preserve"> </t>
        </is>
      </c>
    </row>
    <row r="197" ht="12.75" customFormat="1" customHeight="1" s="46">
      <c r="A197" s="19" t="inlineStr">
        <is>
          <t>Total Cash</t>
        </is>
      </c>
      <c r="B197" s="360">
        <f>SUM(B194:B196)</f>
        <v/>
      </c>
      <c r="C197" s="356">
        <f>SUM(C194:C196)</f>
        <v/>
      </c>
      <c r="D197" s="361">
        <f>SUM(D194:D196)</f>
        <v/>
      </c>
      <c r="E197" s="42">
        <f>SUM(E194:E196)</f>
        <v/>
      </c>
      <c r="F197" s="42">
        <f>SUM(F194:F196)</f>
        <v/>
      </c>
      <c r="G197" s="42">
        <f>SUM(G194:G196)</f>
        <v/>
      </c>
      <c r="H197" s="42">
        <f>SUM(H194:H196)</f>
        <v/>
      </c>
      <c r="I197" s="42">
        <f>SUM(I194:I196)</f>
        <v/>
      </c>
    </row>
    <row r="198" ht="12.75" customFormat="1" customHeight="1" s="46">
      <c r="A198" s="19" t="n"/>
      <c r="B198" s="270" t="n"/>
      <c r="C198" s="356" t="n"/>
      <c r="D198" s="277" t="n"/>
    </row>
    <row r="199" ht="12.75" customHeight="1">
      <c r="A199" s="8" t="inlineStr">
        <is>
          <t>Accounts Receivable</t>
        </is>
      </c>
      <c r="B199" s="313" t="n"/>
      <c r="C199" s="356" t="n">
        <v>0</v>
      </c>
      <c r="D199" s="357">
        <f>B199+C199</f>
        <v/>
      </c>
      <c r="E199" s="22">
        <f>E121</f>
        <v/>
      </c>
      <c r="F199" s="22">
        <f>F121</f>
        <v/>
      </c>
      <c r="G199" s="22">
        <f>G121</f>
        <v/>
      </c>
      <c r="H199" s="22">
        <f>H121</f>
        <v/>
      </c>
      <c r="I199" s="22">
        <f>I121</f>
        <v/>
      </c>
    </row>
    <row r="200" ht="12.75" customHeight="1">
      <c r="A200" s="8" t="inlineStr">
        <is>
          <t>Inventory</t>
        </is>
      </c>
      <c r="B200" s="313" t="n"/>
      <c r="C200" s="356" t="n">
        <v>0</v>
      </c>
      <c r="D200" s="357">
        <f>B200+C200</f>
        <v/>
      </c>
      <c r="E200" s="22">
        <f>E122</f>
        <v/>
      </c>
      <c r="F200" s="22">
        <f>F122</f>
        <v/>
      </c>
      <c r="G200" s="22">
        <f>G122</f>
        <v/>
      </c>
      <c r="H200" s="22">
        <f>H122</f>
        <v/>
      </c>
      <c r="I200" s="22">
        <f>I122</f>
        <v/>
      </c>
    </row>
    <row r="201" ht="12.75" customHeight="1">
      <c r="A201" s="8" t="inlineStr">
        <is>
          <t>Prepaid Expenses</t>
        </is>
      </c>
      <c r="B201" s="313" t="n"/>
      <c r="C201" s="356" t="n">
        <v>0</v>
      </c>
      <c r="D201" s="357">
        <f>B201+C201</f>
        <v/>
      </c>
      <c r="E201" s="22">
        <f>E123</f>
        <v/>
      </c>
      <c r="F201" s="22">
        <f>F123</f>
        <v/>
      </c>
      <c r="G201" s="22">
        <f>G123</f>
        <v/>
      </c>
      <c r="H201" s="22">
        <f>H123</f>
        <v/>
      </c>
      <c r="I201" s="22">
        <f>I123</f>
        <v/>
      </c>
    </row>
    <row r="202" ht="4.5" customHeight="1">
      <c r="A202" s="8" t="n"/>
      <c r="B202" s="271" t="inlineStr">
        <is>
          <t xml:space="preserve"> </t>
        </is>
      </c>
      <c r="C202" s="359" t="inlineStr">
        <is>
          <t xml:space="preserve"> </t>
        </is>
      </c>
      <c r="D202" s="278" t="inlineStr">
        <is>
          <t xml:space="preserve"> </t>
        </is>
      </c>
      <c r="E202" s="20" t="inlineStr">
        <is>
          <t xml:space="preserve"> </t>
        </is>
      </c>
      <c r="F202" s="20" t="inlineStr">
        <is>
          <t xml:space="preserve"> </t>
        </is>
      </c>
      <c r="G202" s="20" t="inlineStr">
        <is>
          <t xml:space="preserve"> </t>
        </is>
      </c>
      <c r="H202" s="20" t="inlineStr">
        <is>
          <t xml:space="preserve"> </t>
        </is>
      </c>
      <c r="I202" s="20" t="inlineStr">
        <is>
          <t xml:space="preserve"> </t>
        </is>
      </c>
    </row>
    <row r="203" ht="12.75" customHeight="1">
      <c r="A203" s="8" t="inlineStr">
        <is>
          <t xml:space="preserve">  Current Assets</t>
        </is>
      </c>
      <c r="B203" s="236">
        <f>SUM(B197:B202)</f>
        <v/>
      </c>
      <c r="C203" s="356">
        <f>SUM(C197:C202)</f>
        <v/>
      </c>
      <c r="D203" s="239">
        <f>SUM(D197:D202)</f>
        <v/>
      </c>
      <c r="E203" s="17">
        <f>SUM(E197:E202)</f>
        <v/>
      </c>
      <c r="F203" s="17">
        <f>SUM(F197:F202)</f>
        <v/>
      </c>
      <c r="G203" s="17">
        <f>SUM(G197:G202)</f>
        <v/>
      </c>
      <c r="H203" s="17">
        <f>SUM(H197:H202)</f>
        <v/>
      </c>
      <c r="I203" s="17">
        <f>SUM(I197:I202)</f>
        <v/>
      </c>
    </row>
    <row r="204" ht="12.75" customHeight="1">
      <c r="A204" s="8" t="n"/>
      <c r="B204" s="199" t="n"/>
      <c r="C204" s="356" t="n"/>
      <c r="D204" s="201" t="n"/>
    </row>
    <row r="205" ht="12.75" customHeight="1">
      <c r="A205" s="8" t="inlineStr">
        <is>
          <t>PP&amp;E - Gross</t>
        </is>
      </c>
      <c r="B205" s="313" t="n"/>
      <c r="C205" s="356" t="n">
        <v>0</v>
      </c>
      <c r="D205" s="357">
        <f>B205+C205</f>
        <v/>
      </c>
      <c r="E205" s="22">
        <f>D205+E107</f>
        <v/>
      </c>
      <c r="F205" s="22">
        <f>E205+F107</f>
        <v/>
      </c>
      <c r="G205" s="22">
        <f>F205+G107</f>
        <v/>
      </c>
      <c r="H205" s="22">
        <f>G205+H107</f>
        <v/>
      </c>
      <c r="I205" s="22">
        <f>H205+I107</f>
        <v/>
      </c>
    </row>
    <row r="206" ht="12.75" customHeight="1">
      <c r="A206" s="8" t="inlineStr">
        <is>
          <t>Less: Accum. Depn.</t>
        </is>
      </c>
      <c r="B206" s="313" t="n"/>
      <c r="C206" s="356" t="n">
        <v>0</v>
      </c>
      <c r="D206" s="357">
        <f>B206+C206</f>
        <v/>
      </c>
      <c r="E206" s="22">
        <f>D206-E83</f>
        <v/>
      </c>
      <c r="F206" s="22">
        <f>E206-F83</f>
        <v/>
      </c>
      <c r="G206" s="22">
        <f>F206-G83</f>
        <v/>
      </c>
      <c r="H206" s="22">
        <f>G206-H83</f>
        <v/>
      </c>
      <c r="I206" s="22">
        <f>H206-I83</f>
        <v/>
      </c>
    </row>
    <row r="207" ht="4.5" customHeight="1">
      <c r="A207" s="8" t="n"/>
      <c r="B207" s="271" t="inlineStr">
        <is>
          <t xml:space="preserve"> </t>
        </is>
      </c>
      <c r="C207" s="359" t="inlineStr">
        <is>
          <t xml:space="preserve"> </t>
        </is>
      </c>
      <c r="D207" s="278" t="inlineStr">
        <is>
          <t xml:space="preserve"> </t>
        </is>
      </c>
      <c r="E207" s="20" t="inlineStr">
        <is>
          <t xml:space="preserve"> </t>
        </is>
      </c>
      <c r="F207" s="20" t="inlineStr">
        <is>
          <t xml:space="preserve"> </t>
        </is>
      </c>
      <c r="G207" s="20" t="inlineStr">
        <is>
          <t xml:space="preserve"> </t>
        </is>
      </c>
      <c r="H207" s="20" t="inlineStr">
        <is>
          <t xml:space="preserve"> </t>
        </is>
      </c>
      <c r="I207" s="20" t="inlineStr">
        <is>
          <t xml:space="preserve"> </t>
        </is>
      </c>
    </row>
    <row r="208" ht="12.75" customHeight="1">
      <c r="A208" s="8" t="inlineStr">
        <is>
          <t xml:space="preserve">  Net PP&amp;E</t>
        </is>
      </c>
      <c r="B208" s="236">
        <f>SUM(B205:B207)</f>
        <v/>
      </c>
      <c r="C208" s="356">
        <f>SUM(C205:C207)</f>
        <v/>
      </c>
      <c r="D208" s="239">
        <f>SUM(D205:D207)</f>
        <v/>
      </c>
      <c r="E208" s="17">
        <f>SUM(E205:E207)</f>
        <v/>
      </c>
      <c r="F208" s="17">
        <f>SUM(F205:F207)</f>
        <v/>
      </c>
      <c r="G208" s="17">
        <f>SUM(G205:G207)</f>
        <v/>
      </c>
      <c r="H208" s="17">
        <f>SUM(H205:H207)</f>
        <v/>
      </c>
      <c r="I208" s="17">
        <f>SUM(I205:I207)</f>
        <v/>
      </c>
    </row>
    <row r="209" ht="12.75" customHeight="1">
      <c r="A209" s="8" t="n"/>
      <c r="B209" s="199" t="n"/>
      <c r="C209" s="356" t="n"/>
      <c r="D209" s="201" t="n"/>
    </row>
    <row r="210" ht="12.75" customHeight="1">
      <c r="A210" s="8" t="inlineStr">
        <is>
          <t>Intangibles</t>
        </is>
      </c>
      <c r="B210" s="313" t="n"/>
      <c r="C210" s="356" t="n">
        <v>0</v>
      </c>
      <c r="D210" s="357">
        <f>B210+C210</f>
        <v/>
      </c>
      <c r="E210" s="22">
        <f>D210-E93</f>
        <v/>
      </c>
      <c r="F210" s="22">
        <f>E210-F93</f>
        <v/>
      </c>
      <c r="G210" s="22">
        <f>F210-G93</f>
        <v/>
      </c>
      <c r="H210" s="22">
        <f>G210-H93</f>
        <v/>
      </c>
      <c r="I210" s="22">
        <f>H210-I93</f>
        <v/>
      </c>
    </row>
    <row r="211" ht="12.75" customHeight="1">
      <c r="A211" s="8" t="inlineStr">
        <is>
          <t>Cap. Financing Costs</t>
        </is>
      </c>
      <c r="B211" s="313" t="n"/>
      <c r="C211" s="362">
        <f>SUM(H422:H423)</f>
        <v/>
      </c>
      <c r="D211" s="357">
        <f>B211+C211</f>
        <v/>
      </c>
      <c r="E211" s="22">
        <f>D211-E172</f>
        <v/>
      </c>
      <c r="F211" s="22">
        <f>E211-F172</f>
        <v/>
      </c>
      <c r="G211" s="22">
        <f>F211-G172</f>
        <v/>
      </c>
      <c r="H211" s="22">
        <f>G211-H172</f>
        <v/>
      </c>
      <c r="I211" s="22">
        <f>H211-I172</f>
        <v/>
      </c>
    </row>
    <row r="212" ht="4.5" customHeight="1">
      <c r="A212" s="8" t="n"/>
      <c r="B212" s="271" t="inlineStr">
        <is>
          <t xml:space="preserve"> </t>
        </is>
      </c>
      <c r="C212" s="359" t="inlineStr">
        <is>
          <t xml:space="preserve"> </t>
        </is>
      </c>
      <c r="D212" s="278" t="inlineStr">
        <is>
          <t xml:space="preserve"> </t>
        </is>
      </c>
      <c r="E212" s="20" t="inlineStr">
        <is>
          <t xml:space="preserve"> </t>
        </is>
      </c>
      <c r="F212" s="20" t="inlineStr">
        <is>
          <t xml:space="preserve"> </t>
        </is>
      </c>
      <c r="G212" s="20" t="inlineStr">
        <is>
          <t xml:space="preserve"> </t>
        </is>
      </c>
      <c r="H212" s="20" t="inlineStr">
        <is>
          <t xml:space="preserve"> </t>
        </is>
      </c>
      <c r="I212" s="20" t="inlineStr">
        <is>
          <t xml:space="preserve"> </t>
        </is>
      </c>
    </row>
    <row r="213" ht="15" customHeight="1">
      <c r="A213" s="8" t="inlineStr">
        <is>
          <t xml:space="preserve">  Total Assets</t>
        </is>
      </c>
      <c r="B213" s="272">
        <f>SUM(B208:B212,B203)</f>
        <v/>
      </c>
      <c r="C213" s="363">
        <f>SUM(C208:C212,C203)</f>
        <v/>
      </c>
      <c r="D213" s="279">
        <f>SUM(D208:D212,D203)</f>
        <v/>
      </c>
      <c r="E213" s="37">
        <f>SUM(E208:E212,E203)</f>
        <v/>
      </c>
      <c r="F213" s="37">
        <f>SUM(F208:F212,F203)</f>
        <v/>
      </c>
      <c r="G213" s="37">
        <f>SUM(G208:G212,G203)</f>
        <v/>
      </c>
      <c r="H213" s="37">
        <f>SUM(H208:H212,H203)</f>
        <v/>
      </c>
      <c r="I213" s="37">
        <f>SUM(I208:I212,I203)</f>
        <v/>
      </c>
    </row>
    <row r="214" ht="12.75" customHeight="1">
      <c r="A214" s="8" t="n"/>
      <c r="B214" s="199" t="n"/>
      <c r="C214" s="356" t="n"/>
      <c r="D214" s="201" t="n"/>
    </row>
    <row r="215" ht="12.75" customHeight="1">
      <c r="A215" s="35" t="inlineStr">
        <is>
          <t>LIABILITIES &amp; EQUITY:</t>
        </is>
      </c>
      <c r="B215" s="199" t="n"/>
      <c r="C215" s="356" t="n"/>
      <c r="D215" s="201" t="n"/>
    </row>
    <row r="216" ht="12.75" customHeight="1">
      <c r="A216" s="8" t="inlineStr">
        <is>
          <t>Accounts Payable</t>
        </is>
      </c>
      <c r="B216" s="313" t="n"/>
      <c r="C216" s="356" t="n">
        <v>0</v>
      </c>
      <c r="D216" s="357">
        <f>B216+C216</f>
        <v/>
      </c>
      <c r="E216" s="22">
        <f>E128</f>
        <v/>
      </c>
      <c r="F216" s="22">
        <f>F128</f>
        <v/>
      </c>
      <c r="G216" s="22">
        <f>G128</f>
        <v/>
      </c>
      <c r="H216" s="22">
        <f>H128</f>
        <v/>
      </c>
      <c r="I216" s="22">
        <f>I128</f>
        <v/>
      </c>
    </row>
    <row r="217" ht="12.75" customHeight="1">
      <c r="A217" s="8" t="inlineStr">
        <is>
          <t>Accrued Expenses</t>
        </is>
      </c>
      <c r="B217" s="313" t="n"/>
      <c r="C217" s="356" t="n">
        <v>0</v>
      </c>
      <c r="D217" s="357">
        <f>B217+C217</f>
        <v/>
      </c>
      <c r="E217" s="22">
        <f>E129</f>
        <v/>
      </c>
      <c r="F217" s="22">
        <f>F129</f>
        <v/>
      </c>
      <c r="G217" s="22">
        <f>G129</f>
        <v/>
      </c>
      <c r="H217" s="22">
        <f>H129</f>
        <v/>
      </c>
      <c r="I217" s="22">
        <f>I129</f>
        <v/>
      </c>
    </row>
    <row r="218" ht="4.5" customHeight="1">
      <c r="A218" s="8" t="n"/>
      <c r="B218" s="271" t="inlineStr">
        <is>
          <t xml:space="preserve"> </t>
        </is>
      </c>
      <c r="C218" s="359" t="inlineStr">
        <is>
          <t xml:space="preserve"> </t>
        </is>
      </c>
      <c r="D218" s="278" t="inlineStr">
        <is>
          <t xml:space="preserve"> </t>
        </is>
      </c>
      <c r="E218" s="20" t="inlineStr">
        <is>
          <t xml:space="preserve"> </t>
        </is>
      </c>
      <c r="F218" s="20" t="inlineStr">
        <is>
          <t xml:space="preserve"> </t>
        </is>
      </c>
      <c r="G218" s="20" t="inlineStr">
        <is>
          <t xml:space="preserve"> </t>
        </is>
      </c>
      <c r="H218" s="20" t="inlineStr">
        <is>
          <t xml:space="preserve"> </t>
        </is>
      </c>
      <c r="I218" s="20" t="inlineStr">
        <is>
          <t xml:space="preserve"> </t>
        </is>
      </c>
    </row>
    <row r="219" ht="12.75" customHeight="1">
      <c r="A219" s="8" t="inlineStr">
        <is>
          <t xml:space="preserve">  Current Liabilities</t>
        </is>
      </c>
      <c r="B219" s="236">
        <f>SUM(B216:B218)</f>
        <v/>
      </c>
      <c r="C219" s="356">
        <f>SUM(C216:C218)</f>
        <v/>
      </c>
      <c r="D219" s="239">
        <f>SUM(D216:D218)</f>
        <v/>
      </c>
      <c r="E219" s="17">
        <f>SUM(E216:E218)</f>
        <v/>
      </c>
      <c r="F219" s="17">
        <f>SUM(F216:F218)</f>
        <v/>
      </c>
      <c r="G219" s="17">
        <f>SUM(G216:G218)</f>
        <v/>
      </c>
      <c r="H219" s="17">
        <f>SUM(H216:H218)</f>
        <v/>
      </c>
      <c r="I219" s="17">
        <f>SUM(I216:I218)</f>
        <v/>
      </c>
    </row>
    <row r="220" ht="12.75" customHeight="1">
      <c r="A220" s="8" t="n"/>
      <c r="B220" s="199" t="n"/>
      <c r="C220" s="356" t="n"/>
      <c r="D220" s="201" t="n"/>
    </row>
    <row r="221" ht="12.75" customHeight="1">
      <c r="A221" s="8" t="inlineStr">
        <is>
          <t>Revolver</t>
        </is>
      </c>
      <c r="B221" s="313" t="n"/>
      <c r="C221" s="356">
        <f>H411-H419</f>
        <v/>
      </c>
      <c r="D221" s="357">
        <f>B221+C221</f>
        <v/>
      </c>
      <c r="E221" s="22">
        <f>D221+E266</f>
        <v/>
      </c>
      <c r="F221" s="22">
        <f>E221+F266</f>
        <v/>
      </c>
      <c r="G221" s="22">
        <f>F221+G266</f>
        <v/>
      </c>
      <c r="H221" s="22">
        <f>G221+H266</f>
        <v/>
      </c>
      <c r="I221" s="22">
        <f>H221+I266</f>
        <v/>
      </c>
    </row>
    <row r="222" ht="12.75" customHeight="1">
      <c r="A222" s="8" t="inlineStr">
        <is>
          <t>Term Loan</t>
        </is>
      </c>
      <c r="B222" s="313" t="n"/>
      <c r="C222" s="356">
        <f>H412-H420</f>
        <v/>
      </c>
      <c r="D222" s="357">
        <f>B222+C222</f>
        <v/>
      </c>
      <c r="E222" s="22">
        <f>D222+E267</f>
        <v/>
      </c>
      <c r="F222" s="22">
        <f>E222+F267</f>
        <v/>
      </c>
      <c r="G222" s="22">
        <f>F222+G267</f>
        <v/>
      </c>
      <c r="H222" s="22">
        <f>G222+H267</f>
        <v/>
      </c>
      <c r="I222" s="22">
        <f>H222+I267</f>
        <v/>
      </c>
    </row>
    <row r="223" ht="12.75" customHeight="1">
      <c r="A223" s="8" t="inlineStr">
        <is>
          <t>Sr. Sub. Notes</t>
        </is>
      </c>
      <c r="B223" s="313" t="n"/>
      <c r="C223" s="356">
        <f>H413-H421</f>
        <v/>
      </c>
      <c r="D223" s="357">
        <f>B223+C223</f>
        <v/>
      </c>
      <c r="E223" s="22">
        <f>D223+E268</f>
        <v/>
      </c>
      <c r="F223" s="22">
        <f>E223+F268</f>
        <v/>
      </c>
      <c r="G223" s="22">
        <f>F223+G268</f>
        <v/>
      </c>
      <c r="H223" s="22">
        <f>G223+H268</f>
        <v/>
      </c>
      <c r="I223" s="22">
        <f>H223+I268</f>
        <v/>
      </c>
    </row>
    <row r="224" ht="4.5" customHeight="1">
      <c r="A224" s="8" t="n"/>
      <c r="B224" s="271" t="inlineStr">
        <is>
          <t xml:space="preserve"> </t>
        </is>
      </c>
      <c r="C224" s="359" t="inlineStr">
        <is>
          <t xml:space="preserve"> </t>
        </is>
      </c>
      <c r="D224" s="278" t="inlineStr">
        <is>
          <t xml:space="preserve"> </t>
        </is>
      </c>
      <c r="E224" s="20" t="inlineStr">
        <is>
          <t xml:space="preserve"> </t>
        </is>
      </c>
      <c r="F224" s="20" t="inlineStr">
        <is>
          <t xml:space="preserve"> </t>
        </is>
      </c>
      <c r="G224" s="20" t="inlineStr">
        <is>
          <t xml:space="preserve"> </t>
        </is>
      </c>
      <c r="H224" s="20" t="inlineStr">
        <is>
          <t xml:space="preserve"> </t>
        </is>
      </c>
      <c r="I224" s="20" t="inlineStr">
        <is>
          <t xml:space="preserve"> </t>
        </is>
      </c>
    </row>
    <row r="225" ht="12.75" customHeight="1">
      <c r="A225" s="8" t="inlineStr">
        <is>
          <t xml:space="preserve">  Total Debt</t>
        </is>
      </c>
      <c r="B225" s="236">
        <f>SUM(B221:B224)</f>
        <v/>
      </c>
      <c r="C225" s="356">
        <f>SUM(C221:C224)</f>
        <v/>
      </c>
      <c r="D225" s="239">
        <f>SUM(D221:D224)</f>
        <v/>
      </c>
      <c r="E225" s="17">
        <f>SUM(E221:E224)</f>
        <v/>
      </c>
      <c r="F225" s="17">
        <f>SUM(F221:F224)</f>
        <v/>
      </c>
      <c r="G225" s="17">
        <f>SUM(G221:G224)</f>
        <v/>
      </c>
      <c r="H225" s="17">
        <f>SUM(H221:H224)</f>
        <v/>
      </c>
      <c r="I225" s="17">
        <f>SUM(I221:I224)</f>
        <v/>
      </c>
    </row>
    <row r="226" ht="12.75" customHeight="1">
      <c r="A226" s="8" t="n"/>
      <c r="B226" s="199" t="n"/>
      <c r="C226" s="356" t="n"/>
      <c r="D226" s="201" t="n"/>
    </row>
    <row r="227" ht="12.75" customHeight="1">
      <c r="A227" s="8" t="inlineStr">
        <is>
          <t>Other Liabilities</t>
        </is>
      </c>
      <c r="B227" s="313" t="n"/>
      <c r="C227" s="356" t="n">
        <v>0</v>
      </c>
      <c r="D227" s="357">
        <f>B227+C227</f>
        <v/>
      </c>
      <c r="E227" s="22">
        <f>D227</f>
        <v/>
      </c>
      <c r="F227" s="22">
        <f>E227</f>
        <v/>
      </c>
      <c r="G227" s="22">
        <f>F227</f>
        <v/>
      </c>
      <c r="H227" s="22">
        <f>G227</f>
        <v/>
      </c>
      <c r="I227" s="22">
        <f>H227</f>
        <v/>
      </c>
    </row>
    <row r="228" ht="4.5" customHeight="1">
      <c r="A228" s="8" t="n"/>
      <c r="B228" s="271" t="inlineStr">
        <is>
          <t xml:space="preserve"> </t>
        </is>
      </c>
      <c r="C228" s="359" t="inlineStr">
        <is>
          <t xml:space="preserve"> </t>
        </is>
      </c>
      <c r="D228" s="278" t="inlineStr">
        <is>
          <t xml:space="preserve"> </t>
        </is>
      </c>
      <c r="E228" s="20" t="inlineStr">
        <is>
          <t xml:space="preserve"> </t>
        </is>
      </c>
      <c r="F228" s="20" t="inlineStr">
        <is>
          <t xml:space="preserve"> </t>
        </is>
      </c>
      <c r="G228" s="20" t="inlineStr">
        <is>
          <t xml:space="preserve"> </t>
        </is>
      </c>
      <c r="H228" s="20" t="inlineStr">
        <is>
          <t xml:space="preserve"> </t>
        </is>
      </c>
      <c r="I228" s="20" t="inlineStr">
        <is>
          <t xml:space="preserve"> </t>
        </is>
      </c>
    </row>
    <row r="229" ht="12.75" customHeight="1">
      <c r="A229" s="8" t="inlineStr">
        <is>
          <t>Total Liabilities</t>
        </is>
      </c>
      <c r="B229" s="236">
        <f>SUM(B225:B228,B219)</f>
        <v/>
      </c>
      <c r="C229" s="356">
        <f>SUM(C225:C228,C219)</f>
        <v/>
      </c>
      <c r="D229" s="239">
        <f>SUM(D225:D228,D219)</f>
        <v/>
      </c>
      <c r="E229" s="17">
        <f>SUM(E225:E228,E219)</f>
        <v/>
      </c>
      <c r="F229" s="17">
        <f>SUM(F225:F228,F219)</f>
        <v/>
      </c>
      <c r="G229" s="17">
        <f>SUM(G225:G228,G219)</f>
        <v/>
      </c>
      <c r="H229" s="17">
        <f>SUM(H225:H228,H219)</f>
        <v/>
      </c>
      <c r="I229" s="17">
        <f>SUM(I225:I228,I219)</f>
        <v/>
      </c>
    </row>
    <row r="230" ht="12.75" customHeight="1">
      <c r="A230" s="8" t="n"/>
      <c r="B230" s="199" t="n"/>
      <c r="C230" s="356" t="n"/>
      <c r="D230" s="201" t="n"/>
    </row>
    <row r="231" ht="12.75" customHeight="1">
      <c r="A231" s="8" t="inlineStr">
        <is>
          <t>Common Equity</t>
        </is>
      </c>
      <c r="B231" s="313" t="n"/>
      <c r="C231" s="356" t="n">
        <v>0</v>
      </c>
      <c r="D231" s="357">
        <f>B231+C231</f>
        <v/>
      </c>
      <c r="E231" s="22">
        <f>D231+E177</f>
        <v/>
      </c>
      <c r="F231" s="22">
        <f>E231+F177</f>
        <v/>
      </c>
      <c r="G231" s="22">
        <f>F231+G177</f>
        <v/>
      </c>
      <c r="H231" s="22">
        <f>G231+H177</f>
        <v/>
      </c>
      <c r="I231" s="22">
        <f>H231+I177</f>
        <v/>
      </c>
    </row>
    <row r="232" ht="4.5" customHeight="1">
      <c r="A232" s="8" t="n"/>
      <c r="B232" s="271" t="inlineStr">
        <is>
          <t xml:space="preserve"> </t>
        </is>
      </c>
      <c r="C232" s="359" t="inlineStr">
        <is>
          <t xml:space="preserve"> </t>
        </is>
      </c>
      <c r="D232" s="278" t="inlineStr">
        <is>
          <t xml:space="preserve"> </t>
        </is>
      </c>
      <c r="E232" s="20" t="inlineStr">
        <is>
          <t xml:space="preserve"> </t>
        </is>
      </c>
      <c r="F232" s="20" t="inlineStr">
        <is>
          <t xml:space="preserve"> </t>
        </is>
      </c>
      <c r="G232" s="20" t="inlineStr">
        <is>
          <t xml:space="preserve"> </t>
        </is>
      </c>
      <c r="H232" s="20" t="inlineStr">
        <is>
          <t xml:space="preserve"> </t>
        </is>
      </c>
      <c r="I232" s="20" t="inlineStr">
        <is>
          <t xml:space="preserve"> </t>
        </is>
      </c>
    </row>
    <row r="233" ht="15" customHeight="1">
      <c r="A233" s="8" t="inlineStr">
        <is>
          <t xml:space="preserve">  Liabilities &amp; Equity</t>
        </is>
      </c>
      <c r="B233" s="272">
        <f>SUM(B229:B232)</f>
        <v/>
      </c>
      <c r="C233" s="363">
        <f>SUM(C229:C232)</f>
        <v/>
      </c>
      <c r="D233" s="279">
        <f>SUM(D229:D232)</f>
        <v/>
      </c>
      <c r="E233" s="37">
        <f>SUM(E229:E232)</f>
        <v/>
      </c>
      <c r="F233" s="37">
        <f>SUM(F229:F232)</f>
        <v/>
      </c>
      <c r="G233" s="37">
        <f>SUM(G229:G232)</f>
        <v/>
      </c>
      <c r="H233" s="37">
        <f>SUM(H229:H232)</f>
        <v/>
      </c>
      <c r="I233" s="37">
        <f>SUM(I229:I232)</f>
        <v/>
      </c>
    </row>
    <row r="234" ht="12.75" customHeight="1">
      <c r="A234" s="8" t="n"/>
      <c r="B234" s="199" t="n"/>
      <c r="C234" s="295" t="n"/>
      <c r="D234" s="201" t="n"/>
    </row>
    <row r="235" ht="12.75" customHeight="1">
      <c r="A235" s="8" t="inlineStr">
        <is>
          <t xml:space="preserve">    Check</t>
        </is>
      </c>
      <c r="B235" s="273">
        <f>ABS(B233-B213)</f>
        <v/>
      </c>
      <c r="C235" s="296">
        <f>ABS(C233-C213)</f>
        <v/>
      </c>
      <c r="D235" s="280">
        <f>ABS(D233-D213)</f>
        <v/>
      </c>
      <c r="E235" s="38">
        <f>ABS(E233-E213)</f>
        <v/>
      </c>
      <c r="F235" s="38">
        <f>ABS(F233-F213)</f>
        <v/>
      </c>
      <c r="G235" s="38">
        <f>ABS(G233-G213)</f>
        <v/>
      </c>
      <c r="H235" s="38">
        <f>ABS(H233-H213)</f>
        <v/>
      </c>
      <c r="I235" s="38">
        <f>ABS(I233-I213)</f>
        <v/>
      </c>
    </row>
    <row r="237" ht="18.75" customHeight="1">
      <c r="A237" s="6" t="inlineStr">
        <is>
          <t>CASH FLOW STATEMENTS</t>
        </is>
      </c>
      <c r="B237" s="6" t="n"/>
      <c r="C237" s="6" t="n"/>
      <c r="D237" s="6" t="n"/>
      <c r="E237" s="6" t="n"/>
      <c r="F237" s="6" t="n"/>
      <c r="G237" s="6" t="n"/>
      <c r="H237" s="6" t="n"/>
      <c r="I237" s="6" t="n"/>
    </row>
    <row r="23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</row>
    <row r="239" ht="15" customHeight="1">
      <c r="B239" s="12" t="n"/>
      <c r="D239" s="26" t="n"/>
      <c r="E239" s="31" t="inlineStr">
        <is>
          <t>Projected</t>
        </is>
      </c>
      <c r="F239" s="31" t="n"/>
      <c r="G239" s="31" t="n"/>
      <c r="H239" s="31" t="n"/>
      <c r="I239" s="31" t="n"/>
    </row>
    <row r="240">
      <c r="B240" s="32" t="n"/>
      <c r="D240" s="33" t="n"/>
      <c r="E240" s="34">
        <f>E192</f>
        <v/>
      </c>
      <c r="F240" s="34">
        <f>F192</f>
        <v/>
      </c>
      <c r="G240" s="34">
        <f>G192</f>
        <v/>
      </c>
      <c r="H240" s="34">
        <f>H192</f>
        <v/>
      </c>
      <c r="I240" s="34">
        <f>I192</f>
        <v/>
      </c>
    </row>
    <row r="241"/>
    <row r="242">
      <c r="A242" s="35" t="inlineStr">
        <is>
          <t>Operating Activities:</t>
        </is>
      </c>
    </row>
    <row r="244">
      <c r="A244" s="60" t="inlineStr">
        <is>
          <t xml:space="preserve">  Net Income</t>
        </is>
      </c>
      <c r="E244" s="21">
        <f>E177</f>
        <v/>
      </c>
      <c r="F244" s="21">
        <f>F177</f>
        <v/>
      </c>
      <c r="G244" s="21">
        <f>G177</f>
        <v/>
      </c>
      <c r="H244" s="21">
        <f>H177</f>
        <v/>
      </c>
      <c r="I244" s="21">
        <f>I177</f>
        <v/>
      </c>
    </row>
    <row r="245">
      <c r="A245" s="24" t="inlineStr">
        <is>
          <t xml:space="preserve">  Depreciation</t>
        </is>
      </c>
      <c r="E245" s="22">
        <f>E183</f>
        <v/>
      </c>
      <c r="F245" s="22">
        <f>F183</f>
        <v/>
      </c>
      <c r="G245" s="22">
        <f>G183</f>
        <v/>
      </c>
      <c r="H245" s="22">
        <f>H183</f>
        <v/>
      </c>
      <c r="I245" s="22">
        <f>I183</f>
        <v/>
      </c>
    </row>
    <row r="246">
      <c r="A246" s="24" t="inlineStr">
        <is>
          <t xml:space="preserve">  Amortization</t>
        </is>
      </c>
      <c r="E246" s="22">
        <f>E184</f>
        <v/>
      </c>
      <c r="F246" s="22">
        <f>F184</f>
        <v/>
      </c>
      <c r="G246" s="22">
        <f>G184</f>
        <v/>
      </c>
      <c r="H246" s="22">
        <f>H184</f>
        <v/>
      </c>
      <c r="I246" s="22">
        <f>I184</f>
        <v/>
      </c>
    </row>
    <row r="247">
      <c r="A247" s="24" t="inlineStr">
        <is>
          <t xml:space="preserve">  Financing Costs Amortization</t>
        </is>
      </c>
      <c r="E247" s="22">
        <f>E172</f>
        <v/>
      </c>
      <c r="F247" s="22">
        <f>F172</f>
        <v/>
      </c>
      <c r="G247" s="22">
        <f>G172</f>
        <v/>
      </c>
      <c r="H247" s="22">
        <f>H172</f>
        <v/>
      </c>
      <c r="I247" s="22">
        <f>I172</f>
        <v/>
      </c>
    </row>
    <row r="248" ht="4.5" customHeight="1">
      <c r="A248" s="24" t="n"/>
      <c r="E248" s="62" t="inlineStr">
        <is>
          <t xml:space="preserve"> </t>
        </is>
      </c>
      <c r="F248" s="62" t="inlineStr">
        <is>
          <t xml:space="preserve"> </t>
        </is>
      </c>
      <c r="G248" s="62" t="inlineStr">
        <is>
          <t xml:space="preserve"> </t>
        </is>
      </c>
      <c r="H248" s="62" t="inlineStr">
        <is>
          <t xml:space="preserve"> </t>
        </is>
      </c>
      <c r="I248" s="62" t="inlineStr">
        <is>
          <t xml:space="preserve"> </t>
        </is>
      </c>
    </row>
    <row r="249">
      <c r="A249" s="24" t="inlineStr">
        <is>
          <t>Subtotal</t>
        </is>
      </c>
      <c r="E249" s="22">
        <f>SUM(E244:E248)</f>
        <v/>
      </c>
      <c r="F249" s="22">
        <f>SUM(F244:F248)</f>
        <v/>
      </c>
      <c r="G249" s="22">
        <f>SUM(G244:G248)</f>
        <v/>
      </c>
      <c r="H249" s="22">
        <f>SUM(H244:H248)</f>
        <v/>
      </c>
      <c r="I249" s="22">
        <f>SUM(I244:I248)</f>
        <v/>
      </c>
    </row>
    <row r="250">
      <c r="A250" s="63" t="inlineStr">
        <is>
          <t>Changes in Working Capital</t>
        </is>
      </c>
      <c r="E250" s="22">
        <f>E135</f>
        <v/>
      </c>
      <c r="F250" s="22">
        <f>F135</f>
        <v/>
      </c>
      <c r="G250" s="22">
        <f>G135</f>
        <v/>
      </c>
      <c r="H250" s="22">
        <f>H135</f>
        <v/>
      </c>
      <c r="I250" s="22">
        <f>I135</f>
        <v/>
      </c>
    </row>
    <row r="251" ht="4.5" customHeight="1">
      <c r="A251" s="24" t="n"/>
      <c r="E251" s="62" t="inlineStr">
        <is>
          <t xml:space="preserve"> </t>
        </is>
      </c>
      <c r="F251" s="62" t="inlineStr">
        <is>
          <t xml:space="preserve"> </t>
        </is>
      </c>
      <c r="G251" s="62" t="inlineStr">
        <is>
          <t xml:space="preserve"> </t>
        </is>
      </c>
      <c r="H251" s="62" t="inlineStr">
        <is>
          <t xml:space="preserve"> </t>
        </is>
      </c>
      <c r="I251" s="62" t="inlineStr">
        <is>
          <t xml:space="preserve"> </t>
        </is>
      </c>
    </row>
    <row r="252">
      <c r="A252" s="24" t="inlineStr">
        <is>
          <t>Cash Flow from Operations</t>
        </is>
      </c>
      <c r="E252" s="22">
        <f>SUM(E249:E251)</f>
        <v/>
      </c>
      <c r="F252" s="22">
        <f>SUM(F249:F251)</f>
        <v/>
      </c>
      <c r="G252" s="22">
        <f>SUM(G249:G251)</f>
        <v/>
      </c>
      <c r="H252" s="22">
        <f>SUM(H249:H251)</f>
        <v/>
      </c>
      <c r="I252" s="22">
        <f>SUM(I249:I251)</f>
        <v/>
      </c>
    </row>
    <row r="253">
      <c r="A253" s="24" t="n"/>
      <c r="F253" s="23" t="n"/>
      <c r="G253" s="23" t="n"/>
      <c r="H253" s="23" t="n"/>
      <c r="I253" s="23" t="n"/>
    </row>
    <row r="254">
      <c r="A254" s="61" t="inlineStr">
        <is>
          <t>Investing Activities:</t>
        </is>
      </c>
      <c r="F254" s="23" t="n"/>
      <c r="G254" s="23" t="n"/>
      <c r="H254" s="23" t="n"/>
      <c r="I254" s="23" t="n"/>
    </row>
    <row r="255">
      <c r="A255" s="24" t="n"/>
      <c r="F255" s="23" t="n"/>
      <c r="G255" s="23" t="n"/>
      <c r="H255" s="23" t="n"/>
      <c r="I255" s="23" t="n"/>
    </row>
    <row r="256">
      <c r="A256" s="64" t="inlineStr">
        <is>
          <t>Less: Capital Expenditures</t>
        </is>
      </c>
      <c r="E256" s="22">
        <f>-E107</f>
        <v/>
      </c>
      <c r="F256" s="22">
        <f>-F107</f>
        <v/>
      </c>
      <c r="G256" s="22">
        <f>-G107</f>
        <v/>
      </c>
      <c r="H256" s="22">
        <f>-H107</f>
        <v/>
      </c>
      <c r="I256" s="22">
        <f>-I107</f>
        <v/>
      </c>
    </row>
    <row r="257">
      <c r="A257" s="64" t="inlineStr">
        <is>
          <t>Plus: Investment Gains/(Losses)</t>
        </is>
      </c>
      <c r="E257" s="314" t="n"/>
      <c r="F257" s="314" t="n"/>
      <c r="G257" s="314" t="n"/>
      <c r="H257" s="314" t="n"/>
      <c r="I257" s="314" t="n"/>
    </row>
    <row r="258" ht="4.5" customHeight="1">
      <c r="A258" s="65" t="n"/>
      <c r="E258" s="62" t="inlineStr">
        <is>
          <t xml:space="preserve"> </t>
        </is>
      </c>
      <c r="F258" s="62" t="inlineStr">
        <is>
          <t xml:space="preserve"> </t>
        </is>
      </c>
      <c r="G258" s="62" t="inlineStr">
        <is>
          <t xml:space="preserve"> </t>
        </is>
      </c>
      <c r="H258" s="62" t="inlineStr">
        <is>
          <t xml:space="preserve"> </t>
        </is>
      </c>
      <c r="I258" s="62" t="inlineStr">
        <is>
          <t xml:space="preserve"> </t>
        </is>
      </c>
    </row>
    <row r="259">
      <c r="A259" s="65" t="inlineStr">
        <is>
          <t>Cash Flow from / (Used by) Investing</t>
        </is>
      </c>
      <c r="E259" s="22">
        <f>SUM(E256:E258)</f>
        <v/>
      </c>
      <c r="F259" s="22">
        <f>SUM(F256:F258)</f>
        <v/>
      </c>
      <c r="G259" s="22">
        <f>SUM(G256:G258)</f>
        <v/>
      </c>
      <c r="H259" s="22">
        <f>SUM(H256:H258)</f>
        <v/>
      </c>
      <c r="I259" s="22">
        <f>SUM(I256:I258)</f>
        <v/>
      </c>
    </row>
    <row r="260">
      <c r="A260" s="24" t="n"/>
      <c r="E260" s="22" t="n"/>
      <c r="F260" s="22" t="n"/>
      <c r="G260" s="22" t="n"/>
      <c r="H260" s="22" t="n"/>
      <c r="I260" s="22" t="n"/>
    </row>
    <row r="261">
      <c r="A261" s="24" t="n"/>
      <c r="F261" s="23" t="n"/>
      <c r="G261" s="23" t="n"/>
      <c r="H261" s="23" t="n"/>
      <c r="I261" s="23" t="n"/>
    </row>
    <row r="262">
      <c r="A262" s="24" t="inlineStr">
        <is>
          <t>Cash Available for Debt Repayment</t>
        </is>
      </c>
      <c r="E262" s="22">
        <f>SUM(E252,E259:E261)</f>
        <v/>
      </c>
      <c r="F262" s="22">
        <f>SUM(F252,F259:F261)</f>
        <v/>
      </c>
      <c r="G262" s="22">
        <f>SUM(G252,G259:G261)</f>
        <v/>
      </c>
      <c r="H262" s="22">
        <f>SUM(H252,H259:H261)</f>
        <v/>
      </c>
      <c r="I262" s="22">
        <f>SUM(I252,I259:I261)</f>
        <v/>
      </c>
    </row>
    <row r="263">
      <c r="A263" s="24" t="n"/>
    </row>
    <row r="264">
      <c r="A264" s="61" t="inlineStr">
        <is>
          <t>Financing Actitivies Capital Inflow / (Outflow):</t>
        </is>
      </c>
    </row>
    <row r="265">
      <c r="A265" s="24" t="n"/>
    </row>
    <row r="266">
      <c r="A266" s="24" t="inlineStr">
        <is>
          <t>Revolver</t>
        </is>
      </c>
      <c r="E266" s="73">
        <f>E312-(E288+E295)</f>
        <v/>
      </c>
      <c r="F266" s="73">
        <f>F312-(F288+F295)</f>
        <v/>
      </c>
      <c r="G266" s="73">
        <f>G312-(G288+G295)</f>
        <v/>
      </c>
      <c r="H266" s="73">
        <f>H312-(H288+H295)</f>
        <v/>
      </c>
      <c r="I266" s="73">
        <f>I312-(I288+I295)</f>
        <v/>
      </c>
    </row>
    <row r="267">
      <c r="A267" s="24" t="inlineStr">
        <is>
          <t>Term Loan</t>
        </is>
      </c>
      <c r="E267" s="73">
        <f>-(E289+E296)</f>
        <v/>
      </c>
      <c r="F267" s="73">
        <f>-(F289+F296)</f>
        <v/>
      </c>
      <c r="G267" s="73">
        <f>-(G289+G296)</f>
        <v/>
      </c>
      <c r="H267" s="73">
        <f>-(H289+H296)</f>
        <v/>
      </c>
      <c r="I267" s="73">
        <f>-(I289+I296)</f>
        <v/>
      </c>
    </row>
    <row r="268">
      <c r="A268" s="24" t="inlineStr">
        <is>
          <t>Sr. Sub. Notes</t>
        </is>
      </c>
      <c r="E268" s="73">
        <f>-(E290+E297)</f>
        <v/>
      </c>
      <c r="F268" s="73">
        <f>-(F290+F297)</f>
        <v/>
      </c>
      <c r="G268" s="73">
        <f>-(G290+G297)</f>
        <v/>
      </c>
      <c r="H268" s="73">
        <f>-(H290+H297)</f>
        <v/>
      </c>
      <c r="I268" s="73">
        <f>-(I290+I297)</f>
        <v/>
      </c>
    </row>
    <row r="269" ht="4.5" customHeight="1">
      <c r="A269" s="24" t="n"/>
      <c r="E269" s="77" t="inlineStr">
        <is>
          <t xml:space="preserve"> </t>
        </is>
      </c>
      <c r="F269" s="78" t="inlineStr">
        <is>
          <t xml:space="preserve"> </t>
        </is>
      </c>
      <c r="G269" s="78" t="inlineStr">
        <is>
          <t xml:space="preserve"> </t>
        </is>
      </c>
      <c r="H269" s="78" t="inlineStr">
        <is>
          <t xml:space="preserve"> </t>
        </is>
      </c>
      <c r="I269" s="78" t="inlineStr">
        <is>
          <t xml:space="preserve"> </t>
        </is>
      </c>
    </row>
    <row r="270">
      <c r="A270" s="24" t="inlineStr">
        <is>
          <t xml:space="preserve">  Cash Flow from / (Used by) Financing</t>
        </is>
      </c>
      <c r="E270" s="73">
        <f>SUM(E266:E269)</f>
        <v/>
      </c>
      <c r="F270" s="73">
        <f>SUM(F266:F269)</f>
        <v/>
      </c>
      <c r="G270" s="73">
        <f>SUM(G266:G269)</f>
        <v/>
      </c>
      <c r="H270" s="73">
        <f>SUM(H266:H269)</f>
        <v/>
      </c>
      <c r="I270" s="73">
        <f>SUM(I266:I269)</f>
        <v/>
      </c>
    </row>
    <row r="271">
      <c r="A271" s="24" t="n"/>
      <c r="E271" s="27" t="n"/>
      <c r="F271" s="79" t="n"/>
      <c r="G271" s="79" t="n"/>
      <c r="H271" s="79" t="n"/>
      <c r="I271" s="79" t="n"/>
    </row>
    <row r="272">
      <c r="A272" s="24" t="inlineStr">
        <is>
          <t>Net Increase / (Decrease) in Cash</t>
        </is>
      </c>
      <c r="E272" s="73">
        <f>SUM(E270,E262)</f>
        <v/>
      </c>
      <c r="F272" s="73">
        <f>SUM(F270,F262)</f>
        <v/>
      </c>
      <c r="G272" s="73">
        <f>SUM(G270,G262)</f>
        <v/>
      </c>
      <c r="H272" s="73">
        <f>SUM(H270,H262)</f>
        <v/>
      </c>
      <c r="I272" s="73">
        <f>SUM(I270,I262)</f>
        <v/>
      </c>
    </row>
    <row r="275" ht="18.75" customHeight="1">
      <c r="A275" s="6" t="inlineStr">
        <is>
          <t>DEBT SCHEDULE</t>
        </is>
      </c>
      <c r="B275" s="66" t="n"/>
      <c r="C275" s="66" t="n"/>
      <c r="D275" s="66" t="n"/>
      <c r="E275" s="66" t="n"/>
      <c r="F275" s="66" t="n"/>
      <c r="G275" s="66" t="n"/>
      <c r="H275" s="66" t="n"/>
      <c r="I275" s="66" t="n"/>
    </row>
    <row r="276" ht="6" customHeight="1">
      <c r="A276" s="8" t="n"/>
    </row>
    <row r="277" ht="15" customHeight="1">
      <c r="E277" s="31" t="inlineStr">
        <is>
          <t>Projected</t>
        </is>
      </c>
      <c r="F277" s="31" t="n"/>
      <c r="G277" s="31" t="n"/>
      <c r="H277" s="31" t="n"/>
      <c r="I277" s="31" t="n"/>
    </row>
    <row r="278">
      <c r="E278" s="3">
        <f>E$74</f>
        <v/>
      </c>
      <c r="F278" s="3">
        <f>F$74</f>
        <v/>
      </c>
      <c r="G278" s="3">
        <f>G$74</f>
        <v/>
      </c>
      <c r="H278" s="3">
        <f>H$74</f>
        <v/>
      </c>
      <c r="I278" s="3">
        <f>I$74</f>
        <v/>
      </c>
    </row>
    <row r="279" ht="6" customHeight="1">
      <c r="A279" s="32" t="n"/>
    </row>
    <row r="280">
      <c r="A280" s="67" t="inlineStr">
        <is>
          <t>Scheduled Debt Retirement</t>
        </is>
      </c>
      <c r="E280" s="24" t="n"/>
    </row>
    <row r="281">
      <c r="A281" s="75" t="inlineStr">
        <is>
          <t>Revolver</t>
        </is>
      </c>
      <c r="E281" s="314" t="n"/>
      <c r="F281" s="314" t="n"/>
      <c r="G281" s="314" t="n"/>
      <c r="H281" s="314" t="n"/>
      <c r="I281" s="314" t="n"/>
      <c r="J281" s="24" t="n"/>
    </row>
    <row r="282" ht="13.15" customHeight="1">
      <c r="A282" s="47" t="inlineStr">
        <is>
          <t>Term Loan</t>
        </is>
      </c>
      <c r="B282" s="68" t="inlineStr">
        <is>
          <t>Years to Amortize</t>
        </is>
      </c>
      <c r="C282" s="69" t="n"/>
      <c r="D282" s="364" t="n"/>
      <c r="E282" s="76">
        <f>IF(ISERROR(D222/D282), "NA", D222/D282)</f>
        <v/>
      </c>
      <c r="F282" s="70">
        <f>E282</f>
        <v/>
      </c>
      <c r="G282" s="70">
        <f>F282</f>
        <v/>
      </c>
      <c r="H282" s="70">
        <f>G282</f>
        <v/>
      </c>
      <c r="I282" s="70">
        <f>H282</f>
        <v/>
      </c>
    </row>
    <row r="283" ht="13.15" customHeight="1">
      <c r="A283" s="47" t="inlineStr">
        <is>
          <t>Sr. Sub. Notes</t>
        </is>
      </c>
      <c r="B283" s="12" t="n"/>
      <c r="C283" s="12" t="n"/>
      <c r="D283" s="12" t="n"/>
      <c r="E283" s="303" t="n"/>
      <c r="F283" s="303" t="n"/>
      <c r="G283" s="303" t="n"/>
      <c r="H283" s="303" t="n"/>
      <c r="I283" s="303" t="n"/>
    </row>
    <row r="284" ht="6" customHeight="1">
      <c r="A284" s="8" t="n"/>
      <c r="B284" s="12" t="n"/>
      <c r="C284" s="12" t="n"/>
      <c r="D284" s="12" t="n"/>
      <c r="F284" s="71" t="n"/>
      <c r="G284" s="71" t="n"/>
      <c r="H284" s="71" t="n"/>
      <c r="I284" s="71" t="n"/>
    </row>
    <row r="285" ht="13.15" customHeight="1">
      <c r="A285" s="35" t="inlineStr">
        <is>
          <t>USES OF FUNDS</t>
        </is>
      </c>
      <c r="B285" s="12" t="n"/>
      <c r="C285" s="12" t="n"/>
      <c r="D285" s="12" t="n"/>
      <c r="F285" s="71" t="n"/>
      <c r="G285" s="71" t="n"/>
      <c r="H285" s="71" t="n"/>
      <c r="I285" s="71" t="n"/>
    </row>
    <row r="286" ht="6" customHeight="1">
      <c r="A286" s="35" t="n"/>
      <c r="B286" s="12" t="n"/>
      <c r="C286" s="12" t="n"/>
      <c r="D286" s="12" t="n"/>
      <c r="F286" s="71" t="n"/>
      <c r="G286" s="71" t="n"/>
      <c r="H286" s="71" t="n"/>
      <c r="I286" s="71" t="n"/>
    </row>
    <row r="287" ht="13.15" customHeight="1">
      <c r="A287" s="67" t="inlineStr">
        <is>
          <t>Required Debt Retirement</t>
        </is>
      </c>
      <c r="B287" s="32" t="n"/>
      <c r="C287" s="32" t="n"/>
      <c r="D287" s="3" t="n"/>
      <c r="F287" s="71" t="n"/>
      <c r="G287" s="71" t="n"/>
      <c r="H287" s="71" t="n"/>
      <c r="I287" s="71" t="n"/>
    </row>
    <row r="288" ht="13.15" customHeight="1">
      <c r="A288" s="47" t="inlineStr">
        <is>
          <t>Revolver</t>
        </is>
      </c>
      <c r="B288" s="32" t="n"/>
      <c r="C288" s="32" t="n"/>
      <c r="D288" s="3" t="n"/>
      <c r="E288" s="22">
        <f>MIN(E281,D221)</f>
        <v/>
      </c>
      <c r="F288" s="22">
        <f>MIN(F281,E221)</f>
        <v/>
      </c>
      <c r="G288" s="22">
        <f>MIN(G281,F221)</f>
        <v/>
      </c>
      <c r="H288" s="22">
        <f>MIN(H281,G221)</f>
        <v/>
      </c>
      <c r="I288" s="22">
        <f>MIN(I281,H221)</f>
        <v/>
      </c>
    </row>
    <row r="289" ht="13.15" customHeight="1">
      <c r="A289" s="47" t="inlineStr">
        <is>
          <t>Term Loan</t>
        </is>
      </c>
      <c r="E289" s="22">
        <f>MIN(E282,D222)</f>
        <v/>
      </c>
      <c r="F289" s="17">
        <f>MIN(F282,E222)</f>
        <v/>
      </c>
      <c r="G289" s="17">
        <f>MIN(G282,F222)</f>
        <v/>
      </c>
      <c r="H289" s="17">
        <f>MIN(H282,G222)</f>
        <v/>
      </c>
      <c r="I289" s="17">
        <f>MIN(I282,H222)</f>
        <v/>
      </c>
    </row>
    <row r="290" ht="13.15" customHeight="1">
      <c r="A290" s="47" t="inlineStr">
        <is>
          <t>Sr. Sub. Notes</t>
        </is>
      </c>
      <c r="B290" s="12" t="n"/>
      <c r="C290" s="12" t="n"/>
      <c r="D290" s="12" t="n"/>
      <c r="E290" s="22">
        <f>MIN(E283,D223)</f>
        <v/>
      </c>
      <c r="F290" s="17">
        <f>MIN(F283,E223)</f>
        <v/>
      </c>
      <c r="G290" s="17">
        <f>MIN(G283,F223)</f>
        <v/>
      </c>
      <c r="H290" s="17">
        <f>MIN(H283,G223)</f>
        <v/>
      </c>
      <c r="I290" s="17">
        <f>MIN(I283,H223)</f>
        <v/>
      </c>
    </row>
    <row r="291" ht="4.5" customHeight="1">
      <c r="A291" s="8" t="n"/>
      <c r="B291" s="12" t="n"/>
      <c r="C291" s="12" t="n"/>
      <c r="D291" s="12" t="n"/>
      <c r="E291" s="20" t="inlineStr">
        <is>
          <t xml:space="preserve"> </t>
        </is>
      </c>
      <c r="F291" s="20" t="inlineStr">
        <is>
          <t xml:space="preserve"> </t>
        </is>
      </c>
      <c r="G291" s="20" t="inlineStr">
        <is>
          <t xml:space="preserve"> </t>
        </is>
      </c>
      <c r="H291" s="20" t="inlineStr">
        <is>
          <t xml:space="preserve"> </t>
        </is>
      </c>
      <c r="I291" s="20" t="inlineStr">
        <is>
          <t xml:space="preserve"> </t>
        </is>
      </c>
    </row>
    <row r="292" ht="13.35" customHeight="1">
      <c r="A292" s="8" t="inlineStr">
        <is>
          <t>Required Debt Retirement</t>
        </is>
      </c>
      <c r="B292" s="12" t="n"/>
      <c r="C292" s="12" t="n"/>
      <c r="D292" s="12" t="n"/>
      <c r="E292" s="17">
        <f>SUM(E288:E291)</f>
        <v/>
      </c>
      <c r="F292" s="17">
        <f>SUM(F288:F291)</f>
        <v/>
      </c>
      <c r="G292" s="17">
        <f>SUM(G288:G291)</f>
        <v/>
      </c>
      <c r="H292" s="17">
        <f>SUM(H288:H291)</f>
        <v/>
      </c>
      <c r="I292" s="17">
        <f>SUM(I288:I291)</f>
        <v/>
      </c>
    </row>
    <row r="293" ht="13.15" customHeight="1">
      <c r="A293" s="8" t="n"/>
      <c r="B293" s="12" t="n"/>
      <c r="C293" s="12" t="n"/>
      <c r="D293" s="12" t="n"/>
      <c r="F293" s="23" t="n"/>
      <c r="G293" s="23" t="n"/>
      <c r="H293" s="23" t="n"/>
      <c r="I293" s="23" t="n"/>
    </row>
    <row r="294" ht="13.15" customHeight="1">
      <c r="A294" s="67" t="inlineStr">
        <is>
          <t>Optional Debt Retirement</t>
        </is>
      </c>
      <c r="B294" s="32" t="n"/>
      <c r="C294" s="32" t="n"/>
      <c r="D294" s="72" t="inlineStr">
        <is>
          <t>Prepay?</t>
        </is>
      </c>
      <c r="F294" s="23" t="n"/>
      <c r="G294" s="23" t="n"/>
      <c r="H294" s="23" t="n"/>
      <c r="I294" s="23" t="n"/>
    </row>
    <row r="295" ht="13.15" customHeight="1">
      <c r="A295" s="13" t="inlineStr">
        <is>
          <t xml:space="preserve">  Revolver</t>
        </is>
      </c>
      <c r="D295" s="365" t="n"/>
      <c r="E295" s="17">
        <f>MAX(MIN(D221-E288,E$311-SUM(E$292:E294)),0)*$D295</f>
        <v/>
      </c>
      <c r="F295" s="17">
        <f>MAX(MIN(E221-F288,F$311-SUM(F$292:F294)),0)*$D295</f>
        <v/>
      </c>
      <c r="G295" s="17">
        <f>MAX(MIN(F221-G288,G$311-SUM(G$292:G294)),0)*$D295</f>
        <v/>
      </c>
      <c r="H295" s="17">
        <f>MAX(MIN(G221-H288,H$311-SUM(H$292:H294)),0)*$D295</f>
        <v/>
      </c>
      <c r="I295" s="17">
        <f>MAX(MIN(H221-I288,I$311-SUM(I$292:I294)),0)*$D295</f>
        <v/>
      </c>
      <c r="K295" s="65" t="n"/>
    </row>
    <row r="296" ht="13.15" customHeight="1">
      <c r="A296" s="13" t="inlineStr">
        <is>
          <t xml:space="preserve">  Term Loan</t>
        </is>
      </c>
      <c r="D296" s="365" t="n"/>
      <c r="E296" s="17">
        <f>MAX(MIN(D222-E289,E$311-SUM(E$292:E295)),0)*$D296</f>
        <v/>
      </c>
      <c r="F296" s="17">
        <f>MAX(MIN(E222-F289,F$311-SUM(F$292:F295)),0)*$D296</f>
        <v/>
      </c>
      <c r="G296" s="17">
        <f>MAX(MIN(F222-G289,G$311-SUM(G$292:G295)),0)*$D296</f>
        <v/>
      </c>
      <c r="H296" s="17">
        <f>MAX(MIN(G222-H289,H$311-SUM(H$292:H295)),0)*$D296</f>
        <v/>
      </c>
      <c r="I296" s="17">
        <f>MAX(MIN(H222-I289,I$311-SUM(I$292:I295)),0)*$D296</f>
        <v/>
      </c>
    </row>
    <row r="297" ht="13.15" customHeight="1">
      <c r="A297" s="13" t="inlineStr">
        <is>
          <t xml:space="preserve">  Sr. Sub. Notes</t>
        </is>
      </c>
      <c r="B297" s="12" t="n"/>
      <c r="C297" s="12" t="n"/>
      <c r="D297" s="366" t="n"/>
      <c r="E297" s="17">
        <f>MAX(MIN(D223-E290,E$311-SUM(E$292:E296)),0)*$D297</f>
        <v/>
      </c>
      <c r="F297" s="17">
        <f>MAX(MIN(E223-F290,F$311-SUM(F$292:F296)),0)*$D297</f>
        <v/>
      </c>
      <c r="G297" s="17">
        <f>MAX(MIN(F223-G290,G$311-SUM(G$292:G296)),0)*$D297</f>
        <v/>
      </c>
      <c r="H297" s="17">
        <f>MAX(MIN(G223-H290,H$311-SUM(H$292:H296)),0)*$D297</f>
        <v/>
      </c>
      <c r="I297" s="17">
        <f>MAX(MIN(H223-I290,I$311-SUM(I$292:I296)),0)*$D297</f>
        <v/>
      </c>
    </row>
    <row r="298" ht="4.5" customHeight="1">
      <c r="A298" s="8" t="n"/>
      <c r="E298" s="20" t="inlineStr">
        <is>
          <t xml:space="preserve"> </t>
        </is>
      </c>
      <c r="F298" s="20" t="inlineStr">
        <is>
          <t xml:space="preserve"> </t>
        </is>
      </c>
      <c r="G298" s="20" t="inlineStr">
        <is>
          <t xml:space="preserve"> </t>
        </is>
      </c>
      <c r="H298" s="20" t="inlineStr">
        <is>
          <t xml:space="preserve"> </t>
        </is>
      </c>
      <c r="I298" s="20" t="inlineStr">
        <is>
          <t xml:space="preserve"> </t>
        </is>
      </c>
    </row>
    <row r="299" ht="13.15" customHeight="1">
      <c r="A299" s="8" t="inlineStr">
        <is>
          <t xml:space="preserve">    Optional Debt Retirement</t>
        </is>
      </c>
      <c r="E299" s="17">
        <f>SUM(E295:E298)</f>
        <v/>
      </c>
      <c r="F299" s="17">
        <f>SUM(F295:F298)</f>
        <v/>
      </c>
      <c r="G299" s="17">
        <f>SUM(G295:G298)</f>
        <v/>
      </c>
      <c r="H299" s="17">
        <f>SUM(H295:H298)</f>
        <v/>
      </c>
      <c r="I299" s="17">
        <f>SUM(I295:I298)</f>
        <v/>
      </c>
    </row>
    <row r="300" ht="4.5" customHeight="1">
      <c r="A300" s="8" t="n"/>
      <c r="E300" s="20" t="inlineStr">
        <is>
          <t xml:space="preserve"> </t>
        </is>
      </c>
      <c r="F300" s="20" t="inlineStr">
        <is>
          <t xml:space="preserve"> </t>
        </is>
      </c>
      <c r="G300" s="20" t="inlineStr">
        <is>
          <t xml:space="preserve"> </t>
        </is>
      </c>
      <c r="H300" s="20" t="inlineStr">
        <is>
          <t xml:space="preserve"> </t>
        </is>
      </c>
      <c r="I300" s="20" t="inlineStr">
        <is>
          <t xml:space="preserve"> </t>
        </is>
      </c>
    </row>
    <row r="301" ht="13.15" customHeight="1">
      <c r="A301" s="8" t="inlineStr">
        <is>
          <t xml:space="preserve">  Uses of Funds Subtotal</t>
        </is>
      </c>
      <c r="E301" s="17">
        <f>SUM(E299:E300,E292)</f>
        <v/>
      </c>
      <c r="F301" s="17">
        <f>SUM(F299:F300,F292)</f>
        <v/>
      </c>
      <c r="G301" s="17">
        <f>SUM(G299:G300,G292)</f>
        <v/>
      </c>
      <c r="H301" s="17">
        <f>SUM(H299:H300,H292)</f>
        <v/>
      </c>
      <c r="I301" s="17">
        <f>SUM(I299:I300,I292)</f>
        <v/>
      </c>
    </row>
    <row r="302" ht="13.15" customHeight="1">
      <c r="A302" s="8" t="inlineStr">
        <is>
          <t xml:space="preserve">  Excess Cash Added to Balance Sheet</t>
        </is>
      </c>
      <c r="E302" s="17">
        <f>MAX(E311-E301,0)</f>
        <v/>
      </c>
      <c r="F302" s="17">
        <f>MAX(F311-F301,0)</f>
        <v/>
      </c>
      <c r="G302" s="17">
        <f>MAX(G311-G301,0)</f>
        <v/>
      </c>
      <c r="H302" s="17">
        <f>MAX(H311-H301,0)</f>
        <v/>
      </c>
      <c r="I302" s="17">
        <f>MAX(I311-I301,0)</f>
        <v/>
      </c>
    </row>
    <row r="303" ht="4.5" customHeight="1">
      <c r="A303" s="8" t="n"/>
      <c r="E303" s="20" t="inlineStr">
        <is>
          <t xml:space="preserve"> </t>
        </is>
      </c>
      <c r="F303" s="20" t="inlineStr">
        <is>
          <t xml:space="preserve"> </t>
        </is>
      </c>
      <c r="G303" s="20" t="inlineStr">
        <is>
          <t xml:space="preserve"> </t>
        </is>
      </c>
      <c r="H303" s="20" t="inlineStr">
        <is>
          <t xml:space="preserve"> </t>
        </is>
      </c>
      <c r="I303" s="20" t="inlineStr">
        <is>
          <t xml:space="preserve"> </t>
        </is>
      </c>
    </row>
    <row r="304" ht="13.15" customHeight="1">
      <c r="A304" s="43" t="inlineStr">
        <is>
          <t xml:space="preserve">    Total Uses of Funds</t>
        </is>
      </c>
      <c r="E304" s="73">
        <f>SUM(E301:E302)</f>
        <v/>
      </c>
      <c r="F304" s="73">
        <f>SUM(F301:F302)</f>
        <v/>
      </c>
      <c r="G304" s="73">
        <f>SUM(G301:G302)</f>
        <v/>
      </c>
      <c r="H304" s="73">
        <f>SUM(H301:H302)</f>
        <v/>
      </c>
      <c r="I304" s="73">
        <f>SUM(I301:I302)</f>
        <v/>
      </c>
      <c r="K304" s="43" t="n"/>
    </row>
    <row r="305" ht="13.15" customHeight="1">
      <c r="A305" s="8" t="n"/>
      <c r="F305" s="23" t="n"/>
      <c r="G305" s="23" t="n"/>
      <c r="H305" s="23" t="n"/>
      <c r="I305" s="23" t="n"/>
    </row>
    <row r="306" ht="13.15" customHeight="1">
      <c r="A306" s="35" t="inlineStr">
        <is>
          <t>SOURCES OF FUNDS</t>
        </is>
      </c>
      <c r="F306" s="23" t="n"/>
      <c r="G306" s="23" t="n"/>
      <c r="H306" s="23" t="n"/>
      <c r="I306" s="23" t="n"/>
    </row>
    <row r="307" ht="6" customHeight="1">
      <c r="A307" s="8" t="n"/>
      <c r="F307" s="23" t="n"/>
      <c r="G307" s="23" t="n"/>
      <c r="H307" s="23" t="n"/>
      <c r="I307" s="23" t="n"/>
    </row>
    <row r="308" ht="13.15" customHeight="1">
      <c r="A308" s="8" t="inlineStr">
        <is>
          <t xml:space="preserve">  Existing Excess Cash</t>
        </is>
      </c>
      <c r="E308" s="74">
        <f>D195</f>
        <v/>
      </c>
      <c r="F308" s="74">
        <f>E195</f>
        <v/>
      </c>
      <c r="G308" s="74">
        <f>F195</f>
        <v/>
      </c>
      <c r="H308" s="74">
        <f>G195</f>
        <v/>
      </c>
      <c r="I308" s="74">
        <f>H195</f>
        <v/>
      </c>
    </row>
    <row r="309" ht="13.15" customHeight="1">
      <c r="A309" s="8" t="inlineStr">
        <is>
          <t xml:space="preserve">  Cash Available for Debt Repayment</t>
        </is>
      </c>
      <c r="E309" s="17">
        <f>E262</f>
        <v/>
      </c>
      <c r="F309" s="17">
        <f>F262</f>
        <v/>
      </c>
      <c r="G309" s="17">
        <f>G262</f>
        <v/>
      </c>
      <c r="H309" s="17">
        <f>H262</f>
        <v/>
      </c>
      <c r="I309" s="17">
        <f>I262</f>
        <v/>
      </c>
    </row>
    <row r="310" ht="4.5" customHeight="1">
      <c r="A310" s="8" t="n"/>
      <c r="E310" s="20" t="inlineStr">
        <is>
          <t xml:space="preserve"> </t>
        </is>
      </c>
      <c r="F310" s="20" t="inlineStr">
        <is>
          <t xml:space="preserve"> </t>
        </is>
      </c>
      <c r="G310" s="20" t="inlineStr">
        <is>
          <t xml:space="preserve"> </t>
        </is>
      </c>
      <c r="H310" s="20" t="inlineStr">
        <is>
          <t xml:space="preserve"> </t>
        </is>
      </c>
      <c r="I310" s="20" t="inlineStr">
        <is>
          <t xml:space="preserve"> </t>
        </is>
      </c>
    </row>
    <row r="311" ht="13.15" customHeight="1">
      <c r="A311" s="8" t="inlineStr">
        <is>
          <t xml:space="preserve">    Subtotal</t>
        </is>
      </c>
      <c r="E311" s="17">
        <f>SUM(E308:E310)</f>
        <v/>
      </c>
      <c r="F311" s="17">
        <f>SUM(F308:F310)</f>
        <v/>
      </c>
      <c r="G311" s="17">
        <f>SUM(G308:G310)</f>
        <v/>
      </c>
      <c r="H311" s="17">
        <f>SUM(H308:H310)</f>
        <v/>
      </c>
      <c r="I311" s="17">
        <f>SUM(I308:I310)</f>
        <v/>
      </c>
    </row>
    <row r="312" ht="13.15" customHeight="1">
      <c r="A312" s="8" t="inlineStr">
        <is>
          <t xml:space="preserve">  Incremental Revolver Borrowings</t>
        </is>
      </c>
      <c r="E312" s="17">
        <f>MAX(E301-E311,0)</f>
        <v/>
      </c>
      <c r="F312" s="17">
        <f>MAX(F301-F311,0)</f>
        <v/>
      </c>
      <c r="G312" s="17">
        <f>MAX(G301-G311,0)</f>
        <v/>
      </c>
      <c r="H312" s="17">
        <f>MAX(H301-H311,0)</f>
        <v/>
      </c>
      <c r="I312" s="17">
        <f>MAX(I301-I311,0)</f>
        <v/>
      </c>
    </row>
    <row r="313" ht="4.5" customHeight="1">
      <c r="A313" s="8" t="n"/>
      <c r="E313" s="20" t="inlineStr">
        <is>
          <t xml:space="preserve"> </t>
        </is>
      </c>
      <c r="F313" s="20" t="inlineStr">
        <is>
          <t xml:space="preserve"> </t>
        </is>
      </c>
      <c r="G313" s="20" t="inlineStr">
        <is>
          <t xml:space="preserve"> </t>
        </is>
      </c>
      <c r="H313" s="20" t="inlineStr">
        <is>
          <t xml:space="preserve"> </t>
        </is>
      </c>
      <c r="I313" s="20" t="inlineStr">
        <is>
          <t xml:space="preserve"> </t>
        </is>
      </c>
    </row>
    <row r="314" ht="13.15" customHeight="1">
      <c r="A314" s="43" t="inlineStr">
        <is>
          <t xml:space="preserve">    Total Sources of Funds</t>
        </is>
      </c>
      <c r="E314" s="73">
        <f>SUM(E311:E312)</f>
        <v/>
      </c>
      <c r="F314" s="73">
        <f>SUM(F311:F312)</f>
        <v/>
      </c>
      <c r="G314" s="73">
        <f>SUM(G311:G312)</f>
        <v/>
      </c>
      <c r="H314" s="73">
        <f>SUM(H311:H312)</f>
        <v/>
      </c>
      <c r="I314" s="73">
        <f>SUM(I311:I312)</f>
        <v/>
      </c>
    </row>
    <row r="315" ht="13.15" customHeight="1">
      <c r="A315" s="8" t="n"/>
      <c r="F315" s="23" t="n"/>
      <c r="G315" s="23" t="n"/>
      <c r="H315" s="23" t="n"/>
      <c r="I315" s="23" t="n"/>
    </row>
    <row r="316" ht="13.15" customHeight="1">
      <c r="A316" s="8" t="inlineStr">
        <is>
          <t xml:space="preserve">  Check</t>
        </is>
      </c>
      <c r="E316" s="38">
        <f>ABS(E314-E304)</f>
        <v/>
      </c>
      <c r="F316" s="38">
        <f>ABS(F314-F304)</f>
        <v/>
      </c>
      <c r="G316" s="38">
        <f>ABS(G314-G304)</f>
        <v/>
      </c>
      <c r="H316" s="38">
        <f>ABS(H314-H304)</f>
        <v/>
      </c>
      <c r="I316" s="38">
        <f>ABS(I314-I304)</f>
        <v/>
      </c>
    </row>
    <row r="317">
      <c r="A317" s="8" t="n"/>
    </row>
    <row r="318" ht="18.75" customFormat="1" customHeight="1" s="30">
      <c r="A318" s="113" t="inlineStr">
        <is>
          <t>VALUATION ANALYSIS</t>
        </is>
      </c>
      <c r="B318" s="114" t="n"/>
      <c r="C318" s="114" t="n"/>
      <c r="D318" s="114" t="n"/>
      <c r="E318" s="114" t="n"/>
      <c r="F318" s="114" t="n"/>
      <c r="G318" s="114" t="n"/>
      <c r="H318" s="114" t="n"/>
      <c r="I318" s="115" t="n"/>
    </row>
    <row r="319" ht="15" customFormat="1" customHeight="1" s="12">
      <c r="A319" s="86" t="n"/>
      <c r="B319" s="32" t="n"/>
      <c r="C319" s="32" t="n"/>
      <c r="D319" s="116" t="n"/>
      <c r="E319" s="31" t="inlineStr">
        <is>
          <t>Projected</t>
        </is>
      </c>
      <c r="F319" s="31" t="n"/>
      <c r="G319" s="31" t="n"/>
      <c r="H319" s="31" t="n"/>
      <c r="I319" s="117" t="n"/>
    </row>
    <row r="320" customFormat="1" s="32">
      <c r="A320" s="118" t="n"/>
      <c r="D320" s="3">
        <f>D74</f>
        <v/>
      </c>
      <c r="E320" s="3">
        <f>E74</f>
        <v/>
      </c>
      <c r="F320" s="3">
        <f>F74</f>
        <v/>
      </c>
      <c r="G320" s="3">
        <f>G74</f>
        <v/>
      </c>
      <c r="H320" s="3">
        <f>H74</f>
        <v/>
      </c>
      <c r="I320" s="87">
        <f>I74</f>
        <v/>
      </c>
    </row>
    <row r="321" ht="13.5" customFormat="1" customHeight="1" s="120">
      <c r="A321" s="119" t="n"/>
      <c r="D321" s="121" t="n">
        <v>0</v>
      </c>
      <c r="E321" s="122">
        <f>D321+1</f>
        <v/>
      </c>
      <c r="F321" s="122">
        <f>E321+1</f>
        <v/>
      </c>
      <c r="G321" s="122">
        <f>F321+1</f>
        <v/>
      </c>
      <c r="H321" s="122">
        <f>G321+1</f>
        <v/>
      </c>
      <c r="I321" s="123">
        <f>H321+1</f>
        <v/>
      </c>
    </row>
    <row r="322" ht="15.75" customFormat="1" customHeight="1" s="32">
      <c r="A322" s="124" t="inlineStr">
        <is>
          <t>Free Cash Flow Calculation</t>
        </is>
      </c>
      <c r="D322" s="3" t="n"/>
      <c r="E322" s="3" t="n"/>
      <c r="F322" s="3" t="n"/>
      <c r="G322" s="3" t="n"/>
      <c r="H322" s="3" t="n"/>
      <c r="I322" s="87" t="n"/>
    </row>
    <row r="323" ht="6" customFormat="1" customHeight="1" s="32">
      <c r="A323" s="125" t="n"/>
      <c r="D323" s="3" t="n"/>
      <c r="E323" s="3" t="n"/>
      <c r="F323" s="3" t="n"/>
      <c r="G323" s="3" t="n"/>
      <c r="H323" s="3" t="n"/>
      <c r="I323" s="87" t="n"/>
    </row>
    <row r="324" customFormat="1" s="12">
      <c r="A324" s="126" t="inlineStr">
        <is>
          <t xml:space="preserve">  EBIT</t>
        </is>
      </c>
      <c r="E324" s="74">
        <f>E162</f>
        <v/>
      </c>
      <c r="F324" s="74">
        <f>F162</f>
        <v/>
      </c>
      <c r="G324" s="74">
        <f>G162</f>
        <v/>
      </c>
      <c r="H324" s="74">
        <f>H162</f>
        <v/>
      </c>
      <c r="I324" s="153">
        <f>I162</f>
        <v/>
      </c>
      <c r="K324" s="27" t="n"/>
    </row>
    <row r="325" customFormat="1" s="12">
      <c r="A325" s="126" t="inlineStr">
        <is>
          <t xml:space="preserve">  Plus: Depreciation</t>
        </is>
      </c>
      <c r="E325" s="17">
        <f>E83</f>
        <v/>
      </c>
      <c r="F325" s="17">
        <f>F83</f>
        <v/>
      </c>
      <c r="G325" s="17">
        <f>G83</f>
        <v/>
      </c>
      <c r="H325" s="17">
        <f>H83</f>
        <v/>
      </c>
      <c r="I325" s="150">
        <f>I83</f>
        <v/>
      </c>
    </row>
    <row r="326" customFormat="1" s="12">
      <c r="A326" s="126" t="inlineStr">
        <is>
          <t xml:space="preserve">  Plus: Amortization</t>
        </is>
      </c>
      <c r="E326" s="17">
        <f>E93</f>
        <v/>
      </c>
      <c r="F326" s="17">
        <f>F93</f>
        <v/>
      </c>
      <c r="G326" s="17">
        <f>G93</f>
        <v/>
      </c>
      <c r="H326" s="17">
        <f>H93</f>
        <v/>
      </c>
      <c r="I326" s="150">
        <f>I93</f>
        <v/>
      </c>
    </row>
    <row r="327" ht="4.5" customFormat="1" customHeight="1" s="12">
      <c r="A327" s="126" t="n"/>
      <c r="E327" s="20" t="inlineStr">
        <is>
          <t xml:space="preserve"> </t>
        </is>
      </c>
      <c r="F327" s="20" t="inlineStr">
        <is>
          <t xml:space="preserve"> </t>
        </is>
      </c>
      <c r="G327" s="20" t="inlineStr">
        <is>
          <t xml:space="preserve"> </t>
        </is>
      </c>
      <c r="H327" s="20" t="inlineStr">
        <is>
          <t xml:space="preserve"> </t>
        </is>
      </c>
      <c r="I327" s="127" t="inlineStr">
        <is>
          <t xml:space="preserve"> </t>
        </is>
      </c>
    </row>
    <row r="328" customFormat="1" s="85">
      <c r="A328" s="128" t="inlineStr">
        <is>
          <t xml:space="preserve">  EBITDA</t>
        </is>
      </c>
      <c r="E328" s="156">
        <f>SUM(E324:E327)</f>
        <v/>
      </c>
      <c r="F328" s="156">
        <f>SUM(F324:F327)</f>
        <v/>
      </c>
      <c r="G328" s="156">
        <f>SUM(G324:G327)</f>
        <v/>
      </c>
      <c r="H328" s="156">
        <f>SUM(H324:H327)</f>
        <v/>
      </c>
      <c r="I328" s="157">
        <f>SUM(I324:I327)</f>
        <v/>
      </c>
      <c r="K328" s="27" t="n"/>
    </row>
    <row r="329" customFormat="1" s="12">
      <c r="A329" s="126" t="inlineStr">
        <is>
          <t xml:space="preserve">  Less: Capex</t>
        </is>
      </c>
      <c r="E329" s="17">
        <f>-E107</f>
        <v/>
      </c>
      <c r="F329" s="17">
        <f>-F107</f>
        <v/>
      </c>
      <c r="G329" s="17">
        <f>-G107</f>
        <v/>
      </c>
      <c r="H329" s="17">
        <f>-H107</f>
        <v/>
      </c>
      <c r="I329" s="150">
        <f>-I107</f>
        <v/>
      </c>
    </row>
    <row r="330" ht="4.5" customFormat="1" customHeight="1" s="12">
      <c r="A330" s="126" t="n"/>
      <c r="E330" s="20" t="inlineStr">
        <is>
          <t xml:space="preserve"> </t>
        </is>
      </c>
      <c r="F330" s="20" t="inlineStr">
        <is>
          <t xml:space="preserve"> </t>
        </is>
      </c>
      <c r="G330" s="20" t="inlineStr">
        <is>
          <t xml:space="preserve"> </t>
        </is>
      </c>
      <c r="H330" s="20" t="inlineStr">
        <is>
          <t xml:space="preserve"> </t>
        </is>
      </c>
      <c r="I330" s="127" t="inlineStr">
        <is>
          <t xml:space="preserve"> </t>
        </is>
      </c>
    </row>
    <row r="331" customFormat="1" s="85">
      <c r="A331" s="128" t="inlineStr">
        <is>
          <t xml:space="preserve">  EBITDA Less Capex</t>
        </is>
      </c>
      <c r="E331" s="156">
        <f>SUM(E328:E330)</f>
        <v/>
      </c>
      <c r="F331" s="156">
        <f>SUM(F328:F330)</f>
        <v/>
      </c>
      <c r="G331" s="156">
        <f>SUM(G328:G330)</f>
        <v/>
      </c>
      <c r="H331" s="156">
        <f>SUM(H328:H330)</f>
        <v/>
      </c>
      <c r="I331" s="157">
        <f>SUM(I328:I330)</f>
        <v/>
      </c>
      <c r="K331" s="27" t="n"/>
    </row>
    <row r="332" customFormat="1" s="12">
      <c r="A332" s="126" t="inlineStr">
        <is>
          <t xml:space="preserve">  Less: Taxes on EBIT</t>
        </is>
      </c>
      <c r="C332" s="318" t="n"/>
      <c r="E332" s="17">
        <f>-$C$332*E324</f>
        <v/>
      </c>
      <c r="F332" s="17">
        <f>-$C$332*F324</f>
        <v/>
      </c>
      <c r="G332" s="17">
        <f>-$C$332*G324</f>
        <v/>
      </c>
      <c r="H332" s="17">
        <f>-$C$332*H324</f>
        <v/>
      </c>
      <c r="I332" s="150">
        <f>-$C$332*I324</f>
        <v/>
      </c>
      <c r="K332" s="129" t="n"/>
    </row>
    <row r="333" customFormat="1" s="12">
      <c r="A333" s="126" t="inlineStr">
        <is>
          <t xml:space="preserve">  Less: Changes in Working Capital</t>
        </is>
      </c>
      <c r="E333" s="17">
        <f>E135</f>
        <v/>
      </c>
      <c r="F333" s="17">
        <f>F135</f>
        <v/>
      </c>
      <c r="G333" s="17">
        <f>G135</f>
        <v/>
      </c>
      <c r="H333" s="17">
        <f>H135</f>
        <v/>
      </c>
      <c r="I333" s="150">
        <f>I135</f>
        <v/>
      </c>
    </row>
    <row r="334" ht="4.5" customFormat="1" customHeight="1" s="12">
      <c r="A334" s="126" t="n"/>
      <c r="E334" s="20" t="inlineStr">
        <is>
          <t xml:space="preserve"> </t>
        </is>
      </c>
      <c r="F334" s="20" t="inlineStr">
        <is>
          <t xml:space="preserve"> </t>
        </is>
      </c>
      <c r="G334" s="20" t="inlineStr">
        <is>
          <t xml:space="preserve"> </t>
        </is>
      </c>
      <c r="H334" s="20" t="inlineStr">
        <is>
          <t xml:space="preserve"> </t>
        </is>
      </c>
      <c r="I334" s="127" t="inlineStr">
        <is>
          <t xml:space="preserve"> </t>
        </is>
      </c>
    </row>
    <row r="335" customFormat="1" s="85">
      <c r="A335" s="128" t="inlineStr">
        <is>
          <t xml:space="preserve">  Unlevered Free Cash Flow</t>
        </is>
      </c>
      <c r="E335" s="156">
        <f>SUM(E331:E334)</f>
        <v/>
      </c>
      <c r="F335" s="156">
        <f>SUM(F331:F334)</f>
        <v/>
      </c>
      <c r="G335" s="156">
        <f>SUM(G331:G334)</f>
        <v/>
      </c>
      <c r="H335" s="156">
        <f>SUM(H331:H334)</f>
        <v/>
      </c>
      <c r="I335" s="157">
        <f>SUM(I331:I334)</f>
        <v/>
      </c>
      <c r="K335" s="27" t="n"/>
    </row>
    <row r="336" customFormat="1" s="12">
      <c r="A336" s="91" t="n"/>
      <c r="I336" s="92" t="n"/>
    </row>
    <row r="337" customFormat="1" s="32">
      <c r="A337" s="125" t="inlineStr">
        <is>
          <t>DCF Enterprise Value Calculation</t>
        </is>
      </c>
      <c r="D337" s="3" t="n"/>
      <c r="E337" s="3" t="n"/>
      <c r="F337" s="3" t="n"/>
      <c r="G337" s="3" t="n"/>
      <c r="H337" s="3" t="n"/>
      <c r="I337" s="87" t="n"/>
    </row>
    <row r="338" ht="6" customFormat="1" customHeight="1" s="32">
      <c r="A338" s="125" t="n"/>
      <c r="D338" s="3" t="n"/>
      <c r="E338" s="3" t="n"/>
      <c r="F338" s="3" t="n"/>
      <c r="G338" s="3" t="n"/>
      <c r="H338" s="3" t="n"/>
      <c r="I338" s="87" t="n"/>
    </row>
    <row r="339" customFormat="1" s="32">
      <c r="A339" s="130" t="inlineStr">
        <is>
          <t>Terminal Value Calculation</t>
        </is>
      </c>
      <c r="D339" s="3" t="n"/>
      <c r="E339" s="3" t="n"/>
      <c r="F339" s="3" t="n"/>
      <c r="G339" s="3" t="n"/>
      <c r="H339" s="3" t="n"/>
      <c r="I339" s="87" t="n"/>
    </row>
    <row r="340" customFormat="1" s="12">
      <c r="A340" s="126" t="inlineStr">
        <is>
          <t xml:space="preserve">  Terminal Value Growth Rate</t>
        </is>
      </c>
      <c r="I340" s="319" t="n"/>
      <c r="K340" s="131" t="n"/>
    </row>
    <row r="341" customFormat="1" s="12">
      <c r="A341" s="126" t="inlineStr">
        <is>
          <t xml:space="preserve">  Projected Free Cash Flow</t>
        </is>
      </c>
      <c r="I341" s="150">
        <f>I335*(1+I340)</f>
        <v/>
      </c>
    </row>
    <row r="342" customFormat="1" s="12">
      <c r="A342" s="126" t="inlineStr">
        <is>
          <t xml:space="preserve">  Discount Rate (WACC)</t>
        </is>
      </c>
      <c r="I342" s="319" t="n"/>
      <c r="K342" s="131" t="n"/>
    </row>
    <row r="343" customFormat="1" s="12">
      <c r="A343" s="126" t="inlineStr">
        <is>
          <t xml:space="preserve">  Terminal Enterprise Value</t>
        </is>
      </c>
      <c r="I343" s="150">
        <f>I341/(I342-I340)</f>
        <v/>
      </c>
    </row>
    <row r="344" customFormat="1" s="12">
      <c r="A344" s="126" t="inlineStr">
        <is>
          <t xml:space="preserve">  Implied Term. Value EBITDA Multiple</t>
        </is>
      </c>
      <c r="I344" s="367">
        <f>I343/I328</f>
        <v/>
      </c>
    </row>
    <row r="345" customFormat="1" s="12">
      <c r="A345" s="91" t="n"/>
      <c r="I345" s="92" t="n"/>
    </row>
    <row r="346" customFormat="1" s="12">
      <c r="A346" s="132" t="inlineStr">
        <is>
          <t>Discounted Cash Flows at WACC</t>
        </is>
      </c>
      <c r="I346" s="92" t="n"/>
    </row>
    <row r="347" customFormat="1" s="12">
      <c r="A347" s="126" t="inlineStr">
        <is>
          <t xml:space="preserve">  Unlevered Free Cash Flow</t>
        </is>
      </c>
      <c r="E347" s="17">
        <f>E335/(1+$I$342)^E321</f>
        <v/>
      </c>
      <c r="F347" s="17">
        <f>F335/(1+$I$342)^F321</f>
        <v/>
      </c>
      <c r="G347" s="17">
        <f>G335/(1+$I$342)^G321</f>
        <v/>
      </c>
      <c r="H347" s="17">
        <f>H335/(1+$I$342)^H321</f>
        <v/>
      </c>
      <c r="I347" s="150">
        <f>I335/(1+$I$342)^I321</f>
        <v/>
      </c>
    </row>
    <row r="348" customFormat="1" s="12">
      <c r="A348" s="126" t="inlineStr">
        <is>
          <t xml:space="preserve">  Terminal Value</t>
        </is>
      </c>
      <c r="E348" s="17" t="n"/>
      <c r="F348" s="17" t="n"/>
      <c r="G348" s="17" t="n"/>
      <c r="H348" s="17" t="n"/>
      <c r="I348" s="150">
        <f>I343/(1+$I$342)^I321</f>
        <v/>
      </c>
    </row>
    <row r="349" ht="4.5" customFormat="1" customHeight="1" s="12">
      <c r="A349" s="91" t="n"/>
      <c r="E349" s="20" t="inlineStr">
        <is>
          <t xml:space="preserve"> </t>
        </is>
      </c>
      <c r="F349" s="20" t="inlineStr">
        <is>
          <t xml:space="preserve"> </t>
        </is>
      </c>
      <c r="G349" s="20" t="inlineStr">
        <is>
          <t xml:space="preserve"> </t>
        </is>
      </c>
      <c r="H349" s="20" t="inlineStr">
        <is>
          <t xml:space="preserve"> </t>
        </is>
      </c>
      <c r="I349" s="127" t="inlineStr">
        <is>
          <t xml:space="preserve"> </t>
        </is>
      </c>
    </row>
    <row r="350" customFormat="1" s="12">
      <c r="A350" s="133" t="inlineStr">
        <is>
          <t xml:space="preserve">  Total Discounted Cash Flows</t>
        </is>
      </c>
      <c r="B350" s="134" t="n"/>
      <c r="C350" s="134" t="n"/>
      <c r="D350" s="111">
        <f>SUM(E350:I350)</f>
        <v/>
      </c>
      <c r="E350" s="154">
        <f>SUM(E347:E349)</f>
        <v/>
      </c>
      <c r="F350" s="154">
        <f>SUM(F347:F349)</f>
        <v/>
      </c>
      <c r="G350" s="154">
        <f>SUM(G347:G349)</f>
        <v/>
      </c>
      <c r="H350" s="154">
        <f>SUM(H347:H349)</f>
        <v/>
      </c>
      <c r="I350" s="155">
        <f>SUM(I347:I349)</f>
        <v/>
      </c>
    </row>
    <row r="351" customFormat="1" s="12">
      <c r="A351" s="8" t="n"/>
      <c r="E351" s="17" t="n"/>
      <c r="F351" s="17" t="n"/>
      <c r="G351" s="17" t="n"/>
      <c r="H351" s="17" t="n"/>
      <c r="I351" s="17" t="n"/>
    </row>
    <row r="352" ht="15" customFormat="1" customHeight="1" s="12">
      <c r="A352" s="135" t="inlineStr">
        <is>
          <t>Summary DCF Valuation (PreDeal)</t>
        </is>
      </c>
      <c r="B352" s="136" t="n"/>
      <c r="C352" s="136" t="n"/>
      <c r="D352" s="137" t="n"/>
      <c r="F352" s="139" t="inlineStr">
        <is>
          <t>DCF Equity Sensitivity Analysis</t>
        </is>
      </c>
      <c r="G352" s="140" t="n"/>
      <c r="H352" s="140" t="n"/>
      <c r="I352" s="141" t="n"/>
    </row>
    <row r="353" ht="15" customFormat="1" customHeight="1" s="12">
      <c r="A353" s="126" t="inlineStr">
        <is>
          <t xml:space="preserve">  DCF Enterprise Value</t>
        </is>
      </c>
      <c r="B353" s="74">
        <f>SUM(E350:I350)</f>
        <v/>
      </c>
      <c r="C353" s="368">
        <f>B353/D100</f>
        <v/>
      </c>
      <c r="D353" s="369" t="n"/>
      <c r="E353" s="131" t="n"/>
      <c r="F353" s="142" t="n"/>
      <c r="G353" s="4" t="inlineStr">
        <is>
          <t>WACC</t>
        </is>
      </c>
      <c r="H353" s="4" t="n"/>
      <c r="I353" s="143" t="n"/>
    </row>
    <row r="354" customFormat="1" s="12">
      <c r="A354" s="126" t="inlineStr">
        <is>
          <t xml:space="preserve">  Less: Net Debt (PreDeal)</t>
        </is>
      </c>
      <c r="B354" s="17">
        <f>-(SUM(D221:D223)-D195)</f>
        <v/>
      </c>
      <c r="D354" s="92" t="n"/>
      <c r="F354" s="338">
        <f>B358</f>
        <v/>
      </c>
      <c r="G354" s="339" t="n"/>
      <c r="H354" s="339" t="n"/>
      <c r="I354" s="340" t="n"/>
    </row>
    <row r="355" customFormat="1" s="12">
      <c r="A355" s="91" t="n"/>
      <c r="B355" s="138" t="n"/>
      <c r="D355" s="92" t="n"/>
      <c r="F355" s="342" t="n"/>
      <c r="G355" s="146">
        <f t="dataTable" ref="G355:I357" dt2D="1" dtr="0" r1="I342" r2="I340" ca="1"/>
        <v/>
      </c>
      <c r="H355" s="146" t="e">
        <v>#DIV/0!</v>
      </c>
      <c r="I355" s="147" t="e">
        <v>#DIV/0!</v>
      </c>
    </row>
    <row r="356" customFormat="1" s="12">
      <c r="A356" s="126" t="inlineStr">
        <is>
          <t xml:space="preserve">  Equity Value</t>
        </is>
      </c>
      <c r="B356" s="370">
        <f>SUM(B353:B355)</f>
        <v/>
      </c>
      <c r="D356" s="92" t="n"/>
      <c r="F356" s="342" t="n"/>
      <c r="G356" s="146" t="e">
        <v>#DIV/0!</v>
      </c>
      <c r="H356" s="146" t="e">
        <v>#DIV/0!</v>
      </c>
      <c r="I356" s="147" t="e">
        <v>#DIV/0!</v>
      </c>
    </row>
    <row r="357" customFormat="1" s="12">
      <c r="A357" s="126" t="inlineStr">
        <is>
          <t xml:space="preserve">  Shares (PreDeal)</t>
        </is>
      </c>
      <c r="B357" s="161">
        <f>E178</f>
        <v/>
      </c>
      <c r="D357" s="92" t="n"/>
      <c r="F357" s="345" t="n"/>
      <c r="G357" s="148" t="e">
        <v>#DIV/0!</v>
      </c>
      <c r="H357" s="148" t="e">
        <v>#DIV/0!</v>
      </c>
      <c r="I357" s="149" t="e">
        <v>#DIV/0!</v>
      </c>
      <c r="M357" s="43" t="n"/>
    </row>
    <row r="358" customFormat="1" s="12">
      <c r="A358" s="133" t="inlineStr">
        <is>
          <t xml:space="preserve">  DCF Value per Share</t>
        </is>
      </c>
      <c r="B358" s="371">
        <f>B356/B357</f>
        <v/>
      </c>
      <c r="C358" s="372">
        <f>B358/E179</f>
        <v/>
      </c>
      <c r="D358" s="320" t="n"/>
      <c r="E358" s="131" t="n"/>
      <c r="F358" s="131" t="n"/>
      <c r="M358" s="27" t="n"/>
    </row>
    <row r="359" customFormat="1" s="12"/>
    <row r="360" customFormat="1" s="12"/>
    <row r="362">
      <c r="A362" s="8" t="n"/>
    </row>
    <row r="363" ht="18.75" customHeight="1">
      <c r="A363" s="93" t="inlineStr">
        <is>
          <t>Operating Assumptions</t>
        </is>
      </c>
      <c r="B363" s="94" t="n"/>
      <c r="C363" s="94" t="n"/>
      <c r="D363" s="94" t="n"/>
      <c r="E363" s="94" t="n"/>
      <c r="F363" s="94" t="n"/>
      <c r="G363" s="94" t="n"/>
      <c r="H363" s="94" t="n"/>
      <c r="I363" s="95" t="n"/>
    </row>
    <row r="364">
      <c r="A364" s="91" t="n"/>
      <c r="B364" s="12" t="n"/>
      <c r="C364" s="12" t="n"/>
      <c r="D364" s="12" t="n"/>
      <c r="E364" s="12" t="n"/>
      <c r="F364" s="12" t="n"/>
      <c r="G364" s="12" t="n"/>
      <c r="H364" s="12" t="n"/>
      <c r="I364" s="92" t="n"/>
    </row>
    <row r="365" ht="15.75" customHeight="1">
      <c r="A365" s="96" t="inlineStr">
        <is>
          <t>REVENUE BUILD UP</t>
        </is>
      </c>
      <c r="B365" s="94" t="n"/>
      <c r="C365" s="94" t="n"/>
      <c r="D365" s="94" t="n"/>
      <c r="E365" s="94" t="n"/>
      <c r="F365" s="94" t="n"/>
      <c r="G365" s="94" t="n"/>
      <c r="H365" s="94" t="n"/>
      <c r="I365" s="95" t="n"/>
    </row>
    <row r="366" hidden="1" outlineLevel="1">
      <c r="A366" s="86" t="inlineStr">
        <is>
          <t>Volume Growth</t>
        </is>
      </c>
      <c r="B366" s="12" t="n"/>
      <c r="C366" s="12" t="n"/>
      <c r="D366" s="12" t="n"/>
      <c r="E366" s="3">
        <f>E$278</f>
        <v/>
      </c>
      <c r="F366" s="3">
        <f>F$278</f>
        <v/>
      </c>
      <c r="G366" s="3">
        <f>G$278</f>
        <v/>
      </c>
      <c r="H366" s="3">
        <f>H$278</f>
        <v/>
      </c>
      <c r="I366" s="87">
        <f>I$278</f>
        <v/>
      </c>
    </row>
    <row r="367" hidden="1" outlineLevel="1">
      <c r="A367" s="97" t="n">
        <v>1</v>
      </c>
      <c r="B367" s="8" t="inlineStr">
        <is>
          <t>Management Case</t>
        </is>
      </c>
      <c r="C367" s="12" t="n"/>
      <c r="D367" s="12" t="n"/>
      <c r="E367" s="48" t="n">
        <v>0.06</v>
      </c>
      <c r="F367" s="48" t="n">
        <v>0.06</v>
      </c>
      <c r="G367" s="48" t="n">
        <v>0.06</v>
      </c>
      <c r="H367" s="48" t="n">
        <v>0.06</v>
      </c>
      <c r="I367" s="98" t="n">
        <v>0.06</v>
      </c>
    </row>
    <row r="368" hidden="1" outlineLevel="1">
      <c r="A368" s="99">
        <f>A367+1</f>
        <v/>
      </c>
      <c r="B368" s="8" t="inlineStr">
        <is>
          <t>Base Case</t>
        </is>
      </c>
      <c r="C368" s="12" t="n"/>
      <c r="D368" s="12" t="n"/>
      <c r="E368" s="48" t="n">
        <v>0.05</v>
      </c>
      <c r="F368" s="48" t="n">
        <v>0.05</v>
      </c>
      <c r="G368" s="48" t="n">
        <v>0.05</v>
      </c>
      <c r="H368" s="48" t="n">
        <v>0.05</v>
      </c>
      <c r="I368" s="98" t="n">
        <v>0.05</v>
      </c>
    </row>
    <row r="369" hidden="1" outlineLevel="1">
      <c r="A369" s="99">
        <f>A368+1</f>
        <v/>
      </c>
      <c r="B369" s="8" t="inlineStr">
        <is>
          <t>Downside Case</t>
        </is>
      </c>
      <c r="C369" s="12" t="n"/>
      <c r="D369" s="12" t="n"/>
      <c r="E369" s="48" t="n">
        <v>0.03</v>
      </c>
      <c r="F369" s="48" t="n">
        <v>0.03</v>
      </c>
      <c r="G369" s="48" t="n">
        <v>0.03</v>
      </c>
      <c r="H369" s="48" t="n">
        <v>0.03</v>
      </c>
      <c r="I369" s="98" t="n">
        <v>0.03</v>
      </c>
    </row>
    <row r="370" hidden="1" outlineLevel="1" ht="12.75" customFormat="1" customHeight="1" s="85">
      <c r="A370" s="373" t="inlineStr">
        <is>
          <t>Active Case</t>
        </is>
      </c>
      <c r="B370" s="101">
        <f>OFFSET(B366,opcase,0)</f>
        <v/>
      </c>
      <c r="E370" s="374">
        <f>OFFSET(E366,opcase,0)</f>
        <v/>
      </c>
      <c r="F370" s="374">
        <f>OFFSET(F366,opcase,0)</f>
        <v/>
      </c>
      <c r="G370" s="374">
        <f>OFFSET(G366,opcase,0)</f>
        <v/>
      </c>
      <c r="H370" s="374">
        <f>OFFSET(H366,opcase,0)</f>
        <v/>
      </c>
      <c r="I370" s="375">
        <f>OFFSET(I366,opcase,0)</f>
        <v/>
      </c>
    </row>
    <row r="371" hidden="1" outlineLevel="1">
      <c r="A371" s="97" t="n"/>
      <c r="B371" s="17" t="n"/>
      <c r="C371" s="12" t="n"/>
      <c r="D371" s="12" t="n"/>
      <c r="E371" s="12" t="n"/>
      <c r="F371" s="12" t="n"/>
      <c r="G371" s="12" t="n"/>
      <c r="H371" s="12" t="n"/>
      <c r="I371" s="92" t="n"/>
    </row>
    <row r="372" hidden="1" outlineLevel="1">
      <c r="A372" s="86" t="inlineStr">
        <is>
          <t>Price Growth</t>
        </is>
      </c>
      <c r="B372" s="12" t="n"/>
      <c r="C372" s="12" t="n"/>
      <c r="D372" s="12" t="n"/>
      <c r="E372" s="3">
        <f>E$278</f>
        <v/>
      </c>
      <c r="F372" s="3">
        <f>F$278</f>
        <v/>
      </c>
      <c r="G372" s="3">
        <f>G$278</f>
        <v/>
      </c>
      <c r="H372" s="3">
        <f>H$278</f>
        <v/>
      </c>
      <c r="I372" s="87">
        <f>I$278</f>
        <v/>
      </c>
    </row>
    <row r="373" hidden="1" outlineLevel="1">
      <c r="A373" s="97" t="n">
        <v>1</v>
      </c>
      <c r="B373" s="8" t="inlineStr">
        <is>
          <t>Management Case</t>
        </is>
      </c>
      <c r="C373" s="12" t="n"/>
      <c r="D373" s="12" t="n"/>
      <c r="E373" s="48" t="n">
        <v>0.04</v>
      </c>
      <c r="F373" s="48" t="n">
        <v>0.04</v>
      </c>
      <c r="G373" s="48" t="n">
        <v>0.04</v>
      </c>
      <c r="H373" s="48" t="n">
        <v>0.04</v>
      </c>
      <c r="I373" s="98" t="n">
        <v>0.04</v>
      </c>
    </row>
    <row r="374" hidden="1" outlineLevel="1">
      <c r="A374" s="99">
        <f>A373+1</f>
        <v/>
      </c>
      <c r="B374" s="8" t="inlineStr">
        <is>
          <t>Base Case</t>
        </is>
      </c>
      <c r="C374" s="12" t="n"/>
      <c r="D374" s="12" t="n"/>
      <c r="E374" s="48" t="n">
        <v>0.03</v>
      </c>
      <c r="F374" s="48" t="n">
        <v>0.03</v>
      </c>
      <c r="G374" s="48" t="n">
        <v>0.03</v>
      </c>
      <c r="H374" s="48" t="n">
        <v>0.03</v>
      </c>
      <c r="I374" s="98" t="n">
        <v>0.03</v>
      </c>
    </row>
    <row r="375" hidden="1" outlineLevel="1">
      <c r="A375" s="99">
        <f>A374+1</f>
        <v/>
      </c>
      <c r="B375" s="8" t="inlineStr">
        <is>
          <t>Downside Case</t>
        </is>
      </c>
      <c r="C375" s="12" t="n"/>
      <c r="D375" s="12" t="n"/>
      <c r="E375" s="48" t="n">
        <v>0.02</v>
      </c>
      <c r="F375" s="48" t="n">
        <v>0.02</v>
      </c>
      <c r="G375" s="48" t="n">
        <v>0.02</v>
      </c>
      <c r="H375" s="48" t="n">
        <v>0.02</v>
      </c>
      <c r="I375" s="98" t="n">
        <v>0.02</v>
      </c>
    </row>
    <row r="376" hidden="1" outlineLevel="1" ht="12.75" customFormat="1" customHeight="1" s="85">
      <c r="A376" s="373" t="inlineStr">
        <is>
          <t>Active Case</t>
        </is>
      </c>
      <c r="B376" s="101">
        <f>OFFSET(B372,opcase,0)</f>
        <v/>
      </c>
      <c r="E376" s="374">
        <f>OFFSET(E372,opcase,0)</f>
        <v/>
      </c>
      <c r="F376" s="374">
        <f>OFFSET(F372,opcase,0)</f>
        <v/>
      </c>
      <c r="G376" s="374">
        <f>OFFSET(G372,opcase,0)</f>
        <v/>
      </c>
      <c r="H376" s="374">
        <f>OFFSET(H372,opcase,0)</f>
        <v/>
      </c>
      <c r="I376" s="375">
        <f>OFFSET(I372,opcase,0)</f>
        <v/>
      </c>
    </row>
    <row r="377" hidden="1" outlineLevel="1">
      <c r="A377" s="97" t="n"/>
      <c r="B377" s="17" t="n"/>
      <c r="C377" s="12" t="n"/>
      <c r="D377" s="12" t="n"/>
      <c r="E377" s="12" t="n"/>
      <c r="F377" s="12" t="n"/>
      <c r="G377" s="12" t="n"/>
      <c r="H377" s="12" t="n"/>
      <c r="I377" s="92" t="n"/>
    </row>
    <row r="378" collapsed="1">
      <c r="A378" s="86" t="inlineStr">
        <is>
          <t>Revenue Growth</t>
        </is>
      </c>
      <c r="B378" s="12" t="n"/>
      <c r="C378" s="12" t="n"/>
      <c r="D378" s="12" t="n"/>
      <c r="E378" s="3">
        <f>E$278</f>
        <v/>
      </c>
      <c r="F378" s="3">
        <f>F$278</f>
        <v/>
      </c>
      <c r="G378" s="3">
        <f>G$278</f>
        <v/>
      </c>
      <c r="H378" s="3">
        <f>H$278</f>
        <v/>
      </c>
      <c r="I378" s="87">
        <f>I$278</f>
        <v/>
      </c>
    </row>
    <row r="379" ht="12.75" customFormat="1" customHeight="1" s="85">
      <c r="A379" s="376" t="inlineStr">
        <is>
          <t>Active Case</t>
        </is>
      </c>
      <c r="B379" s="105">
        <f>B376</f>
        <v/>
      </c>
      <c r="C379" s="106" t="n"/>
      <c r="D379" s="106" t="n"/>
      <c r="E379" s="377">
        <f>(1+E370)*(1+E376)-1</f>
        <v/>
      </c>
      <c r="F379" s="377">
        <f>(1+F370)*(1+F376)-1</f>
        <v/>
      </c>
      <c r="G379" s="377">
        <f>(1+G370)*(1+G376)-1</f>
        <v/>
      </c>
      <c r="H379" s="377">
        <f>(1+H370)*(1+H376)-1</f>
        <v/>
      </c>
      <c r="I379" s="378">
        <f>(1+I370)*(1+I376)-1</f>
        <v/>
      </c>
    </row>
    <row r="380">
      <c r="A380" s="97" t="n"/>
      <c r="B380" s="17" t="n"/>
      <c r="C380" s="12" t="n"/>
      <c r="D380" s="12" t="n"/>
      <c r="E380" s="12" t="n"/>
      <c r="F380" s="12" t="n"/>
      <c r="G380" s="12" t="n"/>
      <c r="H380" s="12" t="n"/>
      <c r="I380" s="92" t="n"/>
    </row>
    <row r="381">
      <c r="A381" s="86" t="inlineStr">
        <is>
          <t>COGS %</t>
        </is>
      </c>
      <c r="B381" s="12" t="n"/>
      <c r="C381" s="12" t="n"/>
      <c r="D381" s="12" t="n"/>
      <c r="E381" s="3">
        <f>E$278</f>
        <v/>
      </c>
      <c r="F381" s="3">
        <f>F$278</f>
        <v/>
      </c>
      <c r="G381" s="3">
        <f>G$278</f>
        <v/>
      </c>
      <c r="H381" s="3">
        <f>H$278</f>
        <v/>
      </c>
      <c r="I381" s="87">
        <f>I$278</f>
        <v/>
      </c>
    </row>
    <row r="382">
      <c r="A382" s="97" t="n">
        <v>1</v>
      </c>
      <c r="B382" s="17">
        <f>B367</f>
        <v/>
      </c>
      <c r="C382" s="12" t="n"/>
      <c r="D382" s="12" t="n"/>
      <c r="E382" s="318" t="n"/>
      <c r="F382" s="318" t="n"/>
      <c r="G382" s="318" t="n"/>
      <c r="H382" s="318" t="n"/>
      <c r="I382" s="319" t="n"/>
    </row>
    <row r="383">
      <c r="A383" s="99">
        <f>A382+1</f>
        <v/>
      </c>
      <c r="B383" s="17">
        <f>B368</f>
        <v/>
      </c>
      <c r="C383" s="12" t="n"/>
      <c r="D383" s="12" t="n"/>
      <c r="E383" s="318" t="n"/>
      <c r="F383" s="318" t="n"/>
      <c r="G383" s="318" t="n"/>
      <c r="H383" s="318" t="n"/>
      <c r="I383" s="319" t="n"/>
    </row>
    <row r="384">
      <c r="A384" s="99">
        <f>A383+1</f>
        <v/>
      </c>
      <c r="B384" s="17">
        <f>B369</f>
        <v/>
      </c>
      <c r="C384" s="12" t="n"/>
      <c r="D384" s="12" t="n"/>
      <c r="E384" s="318" t="n"/>
      <c r="F384" s="318" t="n"/>
      <c r="G384" s="318" t="n"/>
      <c r="H384" s="318" t="n"/>
      <c r="I384" s="319" t="n"/>
    </row>
    <row r="385" customFormat="1" s="85">
      <c r="A385" s="373" t="inlineStr">
        <is>
          <t>Active Case</t>
        </is>
      </c>
      <c r="B385" s="101">
        <f>OFFSET(B381,opcase,0)</f>
        <v/>
      </c>
      <c r="E385" s="379">
        <f>OFFSET(E381,opcase,0)</f>
        <v/>
      </c>
      <c r="F385" s="379">
        <f>OFFSET(F381,opcase,0)</f>
        <v/>
      </c>
      <c r="G385" s="379">
        <f>OFFSET(G381,opcase,0)</f>
        <v/>
      </c>
      <c r="H385" s="379">
        <f>OFFSET(H381,opcase,0)</f>
        <v/>
      </c>
      <c r="I385" s="380">
        <f>OFFSET(I381,opcase,0)</f>
        <v/>
      </c>
    </row>
    <row r="386">
      <c r="A386" s="97" t="n"/>
      <c r="B386" s="12" t="n"/>
      <c r="C386" s="12" t="n"/>
      <c r="D386" s="12" t="n"/>
      <c r="E386" s="12" t="n"/>
      <c r="F386" s="12" t="n"/>
      <c r="G386" s="12" t="n"/>
      <c r="H386" s="12" t="n"/>
      <c r="I386" s="92" t="n"/>
    </row>
    <row r="387">
      <c r="A387" s="86" t="inlineStr">
        <is>
          <t>SG&amp;A %</t>
        </is>
      </c>
      <c r="B387" s="12" t="n"/>
      <c r="C387" s="12" t="n"/>
      <c r="D387" s="12" t="n"/>
      <c r="E387" s="3">
        <f>E$278</f>
        <v/>
      </c>
      <c r="F387" s="3">
        <f>F$278</f>
        <v/>
      </c>
      <c r="G387" s="3">
        <f>G$278</f>
        <v/>
      </c>
      <c r="H387" s="3">
        <f>H$278</f>
        <v/>
      </c>
      <c r="I387" s="87">
        <f>I$278</f>
        <v/>
      </c>
    </row>
    <row r="388">
      <c r="A388" s="97" t="n">
        <v>1</v>
      </c>
      <c r="B388" s="17">
        <f>B373</f>
        <v/>
      </c>
      <c r="C388" s="12" t="n"/>
      <c r="D388" s="12" t="n"/>
      <c r="E388" s="318" t="n"/>
      <c r="F388" s="318" t="n"/>
      <c r="G388" s="318" t="n"/>
      <c r="H388" s="318" t="n"/>
      <c r="I388" s="319" t="n"/>
    </row>
    <row r="389">
      <c r="A389" s="99">
        <f>A388+1</f>
        <v/>
      </c>
      <c r="B389" s="17">
        <f>B374</f>
        <v/>
      </c>
      <c r="C389" s="12" t="n"/>
      <c r="D389" s="12" t="n"/>
      <c r="E389" s="318" t="n"/>
      <c r="F389" s="318" t="n"/>
      <c r="G389" s="318" t="n"/>
      <c r="H389" s="318" t="n"/>
      <c r="I389" s="319" t="n"/>
    </row>
    <row r="390">
      <c r="A390" s="99">
        <f>A389+1</f>
        <v/>
      </c>
      <c r="B390" s="17">
        <f>B375</f>
        <v/>
      </c>
      <c r="C390" s="12" t="n"/>
      <c r="D390" s="12" t="n"/>
      <c r="E390" s="318" t="n"/>
      <c r="F390" s="318" t="n"/>
      <c r="G390" s="318" t="n"/>
      <c r="H390" s="318" t="n"/>
      <c r="I390" s="319" t="n"/>
    </row>
    <row r="391" customFormat="1" s="85">
      <c r="A391" s="373" t="inlineStr">
        <is>
          <t>Active Case</t>
        </is>
      </c>
      <c r="B391" s="101">
        <f>OFFSET(B387,opcase,0)</f>
        <v/>
      </c>
      <c r="E391" s="379">
        <f>OFFSET(E387,opcase,0)</f>
        <v/>
      </c>
      <c r="F391" s="379">
        <f>OFFSET(F387,opcase,0)</f>
        <v/>
      </c>
      <c r="G391" s="379">
        <f>OFFSET(G387,opcase,0)</f>
        <v/>
      </c>
      <c r="H391" s="379">
        <f>OFFSET(H387,opcase,0)</f>
        <v/>
      </c>
      <c r="I391" s="380">
        <f>OFFSET(I387,opcase,0)</f>
        <v/>
      </c>
    </row>
    <row r="392">
      <c r="A392" s="97" t="n"/>
      <c r="B392" s="12" t="n"/>
      <c r="C392" s="12" t="n"/>
      <c r="D392" s="12" t="n"/>
      <c r="E392" s="12" t="n"/>
      <c r="F392" s="12" t="n"/>
      <c r="G392" s="12" t="n"/>
      <c r="H392" s="12" t="n"/>
      <c r="I392" s="92" t="n"/>
    </row>
    <row r="393">
      <c r="A393" s="86" t="inlineStr">
        <is>
          <t>Capex</t>
        </is>
      </c>
      <c r="B393" s="12" t="n"/>
      <c r="C393" s="12" t="n"/>
      <c r="D393" s="12" t="n"/>
      <c r="E393" s="3">
        <f>E$278</f>
        <v/>
      </c>
      <c r="F393" s="3">
        <f>F$278</f>
        <v/>
      </c>
      <c r="G393" s="3">
        <f>G$278</f>
        <v/>
      </c>
      <c r="H393" s="3">
        <f>H$278</f>
        <v/>
      </c>
      <c r="I393" s="87">
        <f>I$278</f>
        <v/>
      </c>
    </row>
    <row r="394">
      <c r="A394" s="97" t="n">
        <v>1</v>
      </c>
      <c r="B394" s="17">
        <f>B388</f>
        <v/>
      </c>
      <c r="C394" s="12" t="n"/>
      <c r="D394" s="12" t="n"/>
      <c r="E394" s="303" t="n"/>
      <c r="F394" s="303" t="n"/>
      <c r="G394" s="303" t="n"/>
      <c r="H394" s="303" t="n"/>
      <c r="I394" s="321" t="n"/>
    </row>
    <row r="395">
      <c r="A395" s="99">
        <f>A394+1</f>
        <v/>
      </c>
      <c r="B395" s="17">
        <f>B389</f>
        <v/>
      </c>
      <c r="C395" s="12" t="n"/>
      <c r="D395" s="12" t="n"/>
      <c r="E395" s="303" t="n"/>
      <c r="F395" s="303" t="n"/>
      <c r="G395" s="303" t="n"/>
      <c r="H395" s="303" t="n"/>
      <c r="I395" s="321" t="n"/>
    </row>
    <row r="396">
      <c r="A396" s="99">
        <f>A395+1</f>
        <v/>
      </c>
      <c r="B396" s="17">
        <f>B390</f>
        <v/>
      </c>
      <c r="C396" s="12" t="n"/>
      <c r="D396" s="12" t="n"/>
      <c r="E396" s="303" t="n"/>
      <c r="F396" s="303" t="n"/>
      <c r="G396" s="303" t="n"/>
      <c r="H396" s="303" t="n"/>
      <c r="I396" s="321" t="n"/>
    </row>
    <row r="397" customFormat="1" s="85">
      <c r="A397" s="376" t="inlineStr">
        <is>
          <t>Active Case</t>
        </is>
      </c>
      <c r="B397" s="105">
        <f>OFFSET(B393,opcase,0)</f>
        <v/>
      </c>
      <c r="C397" s="106" t="n"/>
      <c r="D397" s="106" t="n"/>
      <c r="E397" s="111">
        <f>OFFSET(E393,opcase,0)</f>
        <v/>
      </c>
      <c r="F397" s="111">
        <f>OFFSET(F393,opcase,0)</f>
        <v/>
      </c>
      <c r="G397" s="111">
        <f>OFFSET(G393,opcase,0)</f>
        <v/>
      </c>
      <c r="H397" s="111">
        <f>OFFSET(H393,opcase,0)</f>
        <v/>
      </c>
      <c r="I397" s="112">
        <f>OFFSET(I393,opcase,0)</f>
        <v/>
      </c>
    </row>
    <row r="400" ht="23.25" customHeight="1">
      <c r="A400" s="165" t="inlineStr">
        <is>
          <t>TRANSACTION ANALYSIS / CAPITAL STRUCTURE ASSUMPTIONS</t>
        </is>
      </c>
      <c r="B400" s="197" t="n"/>
      <c r="C400" s="197" t="n"/>
      <c r="D400" s="197" t="n"/>
      <c r="E400" s="197" t="n"/>
      <c r="F400" s="197" t="n"/>
      <c r="G400" s="197" t="n"/>
      <c r="H400" s="197" t="n"/>
      <c r="I400" s="198" t="n"/>
      <c r="K400" s="35" t="n"/>
    </row>
    <row r="401">
      <c r="A401" s="199" t="n"/>
      <c r="B401" s="200" t="n"/>
      <c r="C401" s="200" t="n"/>
      <c r="D401" s="200" t="n"/>
      <c r="E401" s="200" t="n"/>
      <c r="F401" s="200" t="n"/>
      <c r="G401" s="200" t="n"/>
      <c r="H401" s="200" t="n"/>
      <c r="I401" s="201" t="n"/>
    </row>
    <row r="402" ht="15.75" customHeight="1">
      <c r="A402" s="233" t="inlineStr">
        <is>
          <t>Capital Structure Assumptions</t>
        </is>
      </c>
      <c r="B402" s="166" t="n"/>
      <c r="C402" s="166" t="n"/>
      <c r="D402" s="166" t="n"/>
      <c r="E402" s="166" t="n"/>
      <c r="F402" s="166" t="n"/>
      <c r="G402" s="166" t="n"/>
      <c r="H402" s="166" t="n"/>
      <c r="I402" s="167" t="n"/>
    </row>
    <row r="403">
      <c r="A403" s="202" t="n"/>
      <c r="B403" s="203" t="n"/>
      <c r="C403" s="203" t="n"/>
      <c r="D403" s="203" t="n"/>
      <c r="E403" s="203" t="n"/>
      <c r="F403" s="203" t="n"/>
      <c r="G403" s="203" t="n"/>
      <c r="H403" s="203" t="n"/>
      <c r="I403" s="204" t="n"/>
      <c r="J403" s="12" t="n"/>
      <c r="K403" s="35" t="inlineStr">
        <is>
          <t>CASE 2 - Borrow $30MM Term Loan and $70MM Senior Subs</t>
        </is>
      </c>
      <c r="L403" s="12" t="n"/>
    </row>
    <row r="404">
      <c r="A404" s="202" t="n"/>
      <c r="B404" s="203" t="n"/>
      <c r="C404" s="203" t="n"/>
      <c r="D404" s="203" t="n"/>
      <c r="E404" s="203" t="n"/>
      <c r="F404" s="203" t="n"/>
      <c r="G404" s="203" t="n"/>
      <c r="H404" s="203" t="inlineStr">
        <is>
          <t>Active Case</t>
        </is>
      </c>
      <c r="I404" s="201" t="n"/>
      <c r="K404" s="35" t="inlineStr">
        <is>
          <t>CASE 3 - Borrow $100 million Senior Subs</t>
        </is>
      </c>
    </row>
    <row r="405">
      <c r="A405" s="205" t="inlineStr">
        <is>
          <t>Case</t>
        </is>
      </c>
      <c r="B405" s="90" t="n"/>
      <c r="C405" s="166" t="n"/>
      <c r="D405" s="206" t="n">
        <v>1</v>
      </c>
      <c r="E405" s="207">
        <f>D405+1</f>
        <v/>
      </c>
      <c r="F405" s="207">
        <f>E405+1</f>
        <v/>
      </c>
      <c r="G405" s="207" t="n"/>
      <c r="H405" s="207">
        <f>OFFSET(C405,0,trancase)</f>
        <v/>
      </c>
      <c r="I405" s="201" t="n"/>
      <c r="K405" s="208" t="n"/>
    </row>
    <row r="406">
      <c r="A406" s="202" t="n"/>
      <c r="B406" s="203" t="n"/>
      <c r="C406" s="166" t="n"/>
      <c r="D406" s="203" t="n"/>
      <c r="E406" s="203" t="n"/>
      <c r="F406" s="203" t="n"/>
      <c r="G406" s="203" t="n"/>
      <c r="H406" s="203" t="n"/>
      <c r="I406" s="201" t="n"/>
      <c r="L406" s="209" t="n"/>
    </row>
    <row r="407" ht="76.5" customHeight="1">
      <c r="A407" s="210" t="inlineStr">
        <is>
          <t>Description</t>
        </is>
      </c>
      <c r="B407" s="200" t="n"/>
      <c r="C407" s="166" t="n"/>
      <c r="D407" s="211" t="inlineStr">
        <is>
          <t>No deal</t>
        </is>
      </c>
      <c r="E407" s="212">
        <f>TEXT(E412,"$0.0")&amp;$A$412&amp;TEXT(E413,"$0.0")&amp;$A$413</f>
        <v/>
      </c>
      <c r="F407" s="212">
        <f>TEXT(F412,"$0.0")&amp;$A$412&amp;TEXT(F413,"$0.0")&amp;$A$413</f>
        <v/>
      </c>
      <c r="G407" s="213" t="n"/>
      <c r="H407" s="213">
        <f>OFFSET(C407,0,trancase)</f>
        <v/>
      </c>
      <c r="I407" s="201" t="n"/>
      <c r="K407" s="35" t="n"/>
    </row>
    <row r="408">
      <c r="A408" s="202" t="n"/>
      <c r="B408" s="203" t="n"/>
      <c r="C408" s="166" t="n"/>
      <c r="D408" s="203" t="n"/>
      <c r="E408" s="203" t="n"/>
      <c r="F408" s="203" t="n"/>
      <c r="G408" s="203" t="n"/>
      <c r="H408" s="203" t="n"/>
      <c r="I408" s="201" t="n"/>
    </row>
    <row r="409">
      <c r="A409" s="89" t="inlineStr">
        <is>
          <t>Sources of Funds</t>
        </is>
      </c>
      <c r="B409" s="203" t="n"/>
      <c r="C409" s="166" t="n"/>
      <c r="D409" s="203" t="n"/>
      <c r="E409" s="203" t="n"/>
      <c r="F409" s="203" t="n"/>
      <c r="G409" s="203" t="n"/>
      <c r="H409" s="203" t="n"/>
      <c r="I409" s="201" t="n"/>
    </row>
    <row r="410">
      <c r="A410" s="88" t="inlineStr">
        <is>
          <t xml:space="preserve">  Excess Cash</t>
        </is>
      </c>
      <c r="B410" s="203" t="n"/>
      <c r="C410" s="166" t="n"/>
      <c r="D410" s="303" t="n"/>
      <c r="E410" s="303" t="n"/>
      <c r="F410" s="303" t="n"/>
      <c r="G410" s="214" t="n"/>
      <c r="H410" s="214">
        <f>OFFSET(C410,0,trancase)</f>
        <v/>
      </c>
      <c r="I410" s="201" t="n"/>
    </row>
    <row r="411">
      <c r="A411" s="88" t="inlineStr">
        <is>
          <t xml:space="preserve">  New Revolver</t>
        </is>
      </c>
      <c r="B411" s="203" t="n"/>
      <c r="C411" s="166" t="n"/>
      <c r="D411" s="303" t="n"/>
      <c r="E411" s="303" t="n"/>
      <c r="F411" s="303" t="n"/>
      <c r="G411" s="214" t="n"/>
      <c r="H411" s="214">
        <f>OFFSET(C411,0,trancase)</f>
        <v/>
      </c>
      <c r="I411" s="201" t="n"/>
    </row>
    <row r="412">
      <c r="A412" s="88" t="inlineStr">
        <is>
          <t xml:space="preserve">  New Term Loan</t>
        </is>
      </c>
      <c r="B412" s="203" t="n"/>
      <c r="C412" s="166" t="n"/>
      <c r="D412" s="303" t="n"/>
      <c r="E412" s="322" t="n"/>
      <c r="F412" s="322" t="n"/>
      <c r="G412" s="214" t="n"/>
      <c r="H412" s="214">
        <f>OFFSET(C412,0,trancase)</f>
        <v/>
      </c>
      <c r="I412" s="201" t="n"/>
      <c r="K412" s="27" t="n"/>
    </row>
    <row r="413">
      <c r="A413" s="88" t="inlineStr">
        <is>
          <t xml:space="preserve">  New Sr. Sub. Notes</t>
        </is>
      </c>
      <c r="B413" s="203" t="n"/>
      <c r="C413" s="166" t="n"/>
      <c r="D413" s="303" t="n"/>
      <c r="E413" s="322" t="n"/>
      <c r="F413" s="322" t="n"/>
      <c r="G413" s="214" t="n"/>
      <c r="H413" s="214">
        <f>OFFSET(C413,0,trancase)</f>
        <v/>
      </c>
      <c r="I413" s="201" t="n"/>
      <c r="K413" s="27" t="n"/>
    </row>
    <row r="414" ht="4.5" customHeight="1">
      <c r="A414" s="202" t="n"/>
      <c r="B414" s="203" t="n"/>
      <c r="C414" s="166" t="n"/>
      <c r="D414" s="215" t="inlineStr">
        <is>
          <t xml:space="preserve"> </t>
        </is>
      </c>
      <c r="E414" s="215" t="inlineStr">
        <is>
          <t xml:space="preserve"> </t>
        </is>
      </c>
      <c r="F414" s="215" t="inlineStr">
        <is>
          <t xml:space="preserve"> </t>
        </is>
      </c>
      <c r="G414" s="216" t="n"/>
      <c r="H414" s="216" t="inlineStr">
        <is>
          <t xml:space="preserve"> </t>
        </is>
      </c>
      <c r="I414" s="201" t="n"/>
    </row>
    <row r="415">
      <c r="A415" s="89" t="inlineStr">
        <is>
          <t xml:space="preserve">  Total Sources</t>
        </is>
      </c>
      <c r="B415" s="90" t="n"/>
      <c r="C415" s="166" t="n"/>
      <c r="D415" s="217">
        <f>SUM(D410:D414)</f>
        <v/>
      </c>
      <c r="E415" s="217">
        <f>SUM(E410:E414)</f>
        <v/>
      </c>
      <c r="F415" s="217">
        <f>SUM(F410:F414)</f>
        <v/>
      </c>
      <c r="G415" s="217" t="n"/>
      <c r="H415" s="217">
        <f>SUM(H410:H414)</f>
        <v/>
      </c>
      <c r="I415" s="201" t="n"/>
      <c r="K415" s="35" t="n"/>
    </row>
    <row r="416">
      <c r="A416" s="202" t="n"/>
      <c r="B416" s="203" t="n"/>
      <c r="C416" s="166" t="n"/>
      <c r="D416" s="203" t="n"/>
      <c r="E416" s="203" t="n"/>
      <c r="F416" s="203" t="n"/>
      <c r="G416" s="203" t="n"/>
      <c r="H416" s="203" t="n"/>
      <c r="I416" s="201" t="n"/>
    </row>
    <row r="417">
      <c r="A417" s="89" t="inlineStr">
        <is>
          <t>Uses of Funds</t>
        </is>
      </c>
      <c r="B417" s="203" t="n"/>
      <c r="C417" s="166" t="n"/>
      <c r="D417" s="203" t="n"/>
      <c r="E417" s="203" t="n"/>
      <c r="F417" s="203" t="n"/>
      <c r="G417" s="203" t="n"/>
      <c r="H417" s="203" t="n"/>
      <c r="I417" s="201" t="n"/>
    </row>
    <row r="418">
      <c r="A418" s="88" t="inlineStr">
        <is>
          <t xml:space="preserve">  Fund Cash Blc.</t>
        </is>
      </c>
      <c r="B418" s="203" t="n"/>
      <c r="C418" s="166" t="n"/>
      <c r="D418" s="303" t="n"/>
      <c r="E418" s="283">
        <f>MAX(E415-SUM(E419:E423),0)</f>
        <v/>
      </c>
      <c r="F418" s="283">
        <f>MAX(F415-SUM(F419:F423),0)</f>
        <v/>
      </c>
      <c r="G418" s="214" t="n"/>
      <c r="H418" s="214">
        <f>OFFSET(C418,0,trancase)</f>
        <v/>
      </c>
      <c r="I418" s="201" t="n"/>
      <c r="K418" s="220" t="inlineStr">
        <is>
          <t>Any left over money goes into the excess cash account</t>
        </is>
      </c>
    </row>
    <row r="419">
      <c r="A419" s="88" t="inlineStr">
        <is>
          <t xml:space="preserve">  Repay Revolver</t>
        </is>
      </c>
      <c r="B419" s="203" t="n"/>
      <c r="C419" s="166" t="n"/>
      <c r="D419" s="303" t="n"/>
      <c r="E419" s="283">
        <f>MIN($B$221,E415-SUM(E420:E423))</f>
        <v/>
      </c>
      <c r="F419" s="283">
        <f>MIN($B$221,F415-SUM(F420:F423))</f>
        <v/>
      </c>
      <c r="G419" s="219" t="n"/>
      <c r="H419" s="219">
        <f>OFFSET(C419,0,trancase)</f>
        <v/>
      </c>
      <c r="I419" s="201" t="n"/>
      <c r="K419" s="220" t="n"/>
    </row>
    <row r="420">
      <c r="A420" s="88" t="inlineStr">
        <is>
          <t xml:space="preserve">  Repay Term Loan</t>
        </is>
      </c>
      <c r="B420" s="203" t="n"/>
      <c r="C420" s="166" t="n"/>
      <c r="D420" s="303" t="n"/>
      <c r="E420" s="303" t="n"/>
      <c r="F420" s="303" t="n"/>
      <c r="G420" s="221" t="n"/>
      <c r="H420" s="221">
        <f>OFFSET(C420,0,trancase)</f>
        <v/>
      </c>
      <c r="I420" s="201" t="n"/>
      <c r="K420" s="85" t="n"/>
      <c r="L420" s="43" t="n"/>
    </row>
    <row r="421">
      <c r="A421" s="88" t="inlineStr">
        <is>
          <t xml:space="preserve">  Repay Sr. Sub. Notes</t>
        </is>
      </c>
      <c r="B421" s="203" t="n"/>
      <c r="C421" s="166" t="n"/>
      <c r="D421" s="303" t="n"/>
      <c r="E421" s="303" t="n"/>
      <c r="F421" s="303" t="n"/>
      <c r="G421" s="214" t="n"/>
      <c r="H421" s="214">
        <f>OFFSET(C421,0,trancase)</f>
        <v/>
      </c>
      <c r="I421" s="201" t="n"/>
    </row>
    <row r="422">
      <c r="A422" s="88" t="inlineStr">
        <is>
          <t xml:space="preserve">  Term Loan Fee</t>
        </is>
      </c>
      <c r="B422" s="203" t="n"/>
      <c r="C422" s="166" t="n"/>
      <c r="D422" s="303" t="n"/>
      <c r="E422" s="283">
        <f>E412*E430</f>
        <v/>
      </c>
      <c r="F422" s="283">
        <f>F412*F430</f>
        <v/>
      </c>
      <c r="G422" s="221" t="n"/>
      <c r="H422" s="221">
        <f>OFFSET(C422,0,trancase)</f>
        <v/>
      </c>
      <c r="I422" s="201" t="n"/>
      <c r="K422" s="27" t="n"/>
    </row>
    <row r="423">
      <c r="A423" s="88" t="inlineStr">
        <is>
          <t xml:space="preserve">  Sr. Sub. Fee</t>
        </is>
      </c>
      <c r="B423" s="203" t="n"/>
      <c r="C423" s="166" t="n"/>
      <c r="D423" s="303" t="n"/>
      <c r="E423" s="283">
        <f>E413*E431</f>
        <v/>
      </c>
      <c r="F423" s="283">
        <f>F413*F431</f>
        <v/>
      </c>
      <c r="G423" s="221" t="n"/>
      <c r="H423" s="221">
        <f>OFFSET(C423,0,trancase)</f>
        <v/>
      </c>
      <c r="I423" s="201" t="n"/>
      <c r="K423" s="27" t="n"/>
    </row>
    <row r="424" ht="4.5" customHeight="1">
      <c r="A424" s="202" t="n"/>
      <c r="B424" s="203" t="n"/>
      <c r="C424" s="166" t="n"/>
      <c r="D424" s="215" t="inlineStr">
        <is>
          <t xml:space="preserve"> </t>
        </is>
      </c>
      <c r="E424" s="215" t="inlineStr">
        <is>
          <t xml:space="preserve"> </t>
        </is>
      </c>
      <c r="F424" s="215" t="inlineStr">
        <is>
          <t xml:space="preserve"> </t>
        </is>
      </c>
      <c r="G424" s="216" t="n"/>
      <c r="H424" s="216" t="inlineStr">
        <is>
          <t xml:space="preserve"> </t>
        </is>
      </c>
      <c r="I424" s="201" t="n"/>
    </row>
    <row r="425">
      <c r="A425" s="89" t="inlineStr">
        <is>
          <t xml:space="preserve">  Total Uses</t>
        </is>
      </c>
      <c r="B425" s="203" t="n"/>
      <c r="C425" s="166" t="n"/>
      <c r="D425" s="217">
        <f>SUM(D418:D424)</f>
        <v/>
      </c>
      <c r="E425" s="217">
        <f>SUM(E418:E424)</f>
        <v/>
      </c>
      <c r="F425" s="217">
        <f>SUM(F418:F424)</f>
        <v/>
      </c>
      <c r="G425" s="217" t="n"/>
      <c r="H425" s="217">
        <f>SUM(H418:H424)</f>
        <v/>
      </c>
      <c r="I425" s="201" t="n"/>
      <c r="K425" s="35" t="n"/>
    </row>
    <row r="426">
      <c r="A426" s="202" t="n"/>
      <c r="B426" s="203" t="n"/>
      <c r="C426" s="166" t="n"/>
      <c r="D426" s="203" t="n"/>
      <c r="E426" s="203" t="n"/>
      <c r="F426" s="203" t="n"/>
      <c r="G426" s="203" t="n"/>
      <c r="H426" s="203" t="n"/>
      <c r="I426" s="201" t="n"/>
    </row>
    <row r="427">
      <c r="A427" s="222" t="inlineStr">
        <is>
          <t>Check</t>
        </is>
      </c>
      <c r="B427" s="223" t="n"/>
      <c r="C427" s="166" t="n"/>
      <c r="D427" s="224">
        <f>ABS(D415-D425)</f>
        <v/>
      </c>
      <c r="E427" s="224">
        <f>ABS(E415-E425)</f>
        <v/>
      </c>
      <c r="F427" s="224">
        <f>ABS(F415-F425)</f>
        <v/>
      </c>
      <c r="G427" s="224" t="n"/>
      <c r="H427" s="224">
        <f>ABS(H415-H425)</f>
        <v/>
      </c>
      <c r="I427" s="201" t="n"/>
      <c r="K427" s="73" t="inlineStr">
        <is>
          <t>Sources have to equal Uses</t>
        </is>
      </c>
    </row>
    <row r="428">
      <c r="A428" s="202" t="n"/>
      <c r="B428" s="203" t="n"/>
      <c r="C428" s="166" t="n"/>
      <c r="D428" s="203" t="n"/>
      <c r="E428" s="203" t="n"/>
      <c r="F428" s="203" t="n"/>
      <c r="G428" s="203" t="n"/>
      <c r="H428" s="203" t="n"/>
      <c r="I428" s="201" t="n"/>
    </row>
    <row r="429">
      <c r="A429" s="89" t="inlineStr">
        <is>
          <t>Triggers</t>
        </is>
      </c>
      <c r="B429" s="203" t="n"/>
      <c r="C429" s="166" t="n"/>
      <c r="D429" s="203" t="n"/>
      <c r="E429" s="203" t="n"/>
      <c r="F429" s="203" t="n"/>
      <c r="G429" s="203" t="n"/>
      <c r="H429" s="203" t="n"/>
      <c r="I429" s="201" t="n"/>
    </row>
    <row r="430">
      <c r="A430" s="88" t="inlineStr">
        <is>
          <t xml:space="preserve">  Term Loan Financing Fee</t>
        </is>
      </c>
      <c r="B430" s="203" t="n"/>
      <c r="C430" s="166" t="n"/>
      <c r="D430" s="323" t="n"/>
      <c r="E430" s="323" t="n"/>
      <c r="F430" s="323" t="n"/>
      <c r="G430" s="225" t="n"/>
      <c r="H430" s="225">
        <f>OFFSET(C430,0,trancase)</f>
        <v/>
      </c>
      <c r="I430" s="201" t="n"/>
      <c r="K430" s="218" t="n"/>
    </row>
    <row r="431">
      <c r="A431" s="88" t="inlineStr">
        <is>
          <t xml:space="preserve">  Sr. Subs. Financing Fee</t>
        </is>
      </c>
      <c r="B431" s="203" t="n"/>
      <c r="C431" s="166" t="n"/>
      <c r="D431" s="323" t="n"/>
      <c r="E431" s="323" t="n"/>
      <c r="F431" s="323" t="n"/>
      <c r="G431" s="225" t="n"/>
      <c r="H431" s="225">
        <f>OFFSET(C431,0,trancase)</f>
        <v/>
      </c>
      <c r="I431" s="201" t="n"/>
      <c r="K431" s="218" t="n"/>
    </row>
    <row r="432">
      <c r="A432" s="226" t="inlineStr">
        <is>
          <t xml:space="preserve">  Term Loan Rate</t>
        </is>
      </c>
      <c r="B432" s="227" t="n"/>
      <c r="C432" s="166" t="n"/>
      <c r="D432" s="323" t="n"/>
      <c r="E432" s="323" t="n"/>
      <c r="F432" s="323" t="n"/>
      <c r="G432" s="225" t="n"/>
      <c r="H432" s="225">
        <f>OFFSET(C432,0,trancase)</f>
        <v/>
      </c>
      <c r="I432" s="201" t="n"/>
      <c r="K432" s="218" t="n"/>
    </row>
    <row r="433">
      <c r="A433" s="228" t="inlineStr">
        <is>
          <t xml:space="preserve">  Sr. Subs. Coupon</t>
        </is>
      </c>
      <c r="B433" s="229" t="n"/>
      <c r="C433" s="230" t="n"/>
      <c r="D433" s="324" t="n"/>
      <c r="E433" s="324" t="n"/>
      <c r="F433" s="324" t="n"/>
      <c r="G433" s="231" t="n"/>
      <c r="H433" s="231">
        <f>OFFSET(C433,0,trancase)</f>
        <v/>
      </c>
      <c r="I433" s="232" t="n"/>
      <c r="K433" s="218" t="n"/>
    </row>
  </sheetData>
  <conditionalFormatting sqref="D295:D297">
    <cfRule type="cellIs" priority="1" operator="greaterThan" dxfId="0" stopIfTrue="1">
      <formula>1</formula>
    </cfRule>
    <cfRule type="cellIs" priority="2" operator="between" dxfId="0" stopIfTrue="1">
      <formula>0.00001</formula>
      <formula>0.99999</formula>
    </cfRule>
    <cfRule type="cellIs" priority="3" operator="lessThan" dxfId="0" stopIfTrue="1">
      <formula>0</formula>
    </cfRule>
  </conditionalFormatting>
  <dataValidations xWindow="358" yWindow="199" count="3">
    <dataValidation sqref="B12" showDropDown="0" showInputMessage="1" showErrorMessage="1" allowBlank="0" errorTitle="Error" error="Enter only _x000a_1 = Management's Case_x000a_2 = Base Case_x000a_3 = Downside Case" promptTitle="Operating Case" prompt="1 = Management's Case_x000a_2 = Base Case_x000a_3 = Downside Case" type="whole">
      <formula1>1</formula1>
      <formula2>3</formula2>
    </dataValidation>
    <dataValidation sqref="B10" showDropDown="0" showInputMessage="1" showErrorMessage="1" allowBlank="0" errorTitle="Error!" error="Enter either a zero or a one" promptTitle="Average Interest Trigger" prompt="0 = Average Interest off_x000a_1 = Average Interest on" type="whole">
      <formula1>0</formula1>
      <formula2>1</formula2>
    </dataValidation>
    <dataValidation sqref="B14" showDropDown="0" showInputMessage="1" showErrorMessage="1" allowBlank="0" errorTitle="Error" error="Enter only 1, 2, or 3" promptTitle="Transaction Case" prompt="1 = No Deal_x000a_2 = Refinance w/ $70MM Term Loan and $30MM Senior Subs_x000a_3 = Refinance w/ $100 Senior Subs" type="whole">
      <formula1>1</formula1>
      <formula2>3</formula2>
    </dataValidation>
  </dataValidations>
  <pageMargins left="0.75" right="0.75" top="1" bottom="1" header="0.5" footer="0.5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Vince Scafaria</dc:creator>
  <dcterms:created xmlns:dcterms="http://purl.org/dc/terms/" xmlns:xsi="http://www.w3.org/2001/XMLSchema-instance" xsi:type="dcterms:W3CDTF">1999-11-21T04:51:56Z</dcterms:created>
  <dcterms:modified xmlns:dcterms="http://purl.org/dc/terms/" xmlns:xsi="http://www.w3.org/2001/XMLSchema-instance" xsi:type="dcterms:W3CDTF">2023-08-04T23:09:46Z</dcterms:modified>
  <cp:lastModifiedBy>19739</cp:lastModifiedBy>
</cp:coreProperties>
</file>